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69DF997E7A85A/Documents/"/>
    </mc:Choice>
  </mc:AlternateContent>
  <xr:revisionPtr revIDLastSave="0" documentId="8_{55FA31F1-3F0E-48E8-8E03-41E822E10C10}" xr6:coauthVersionLast="47" xr6:coauthVersionMax="47" xr10:uidLastSave="{00000000-0000-0000-0000-000000000000}"/>
  <bookViews>
    <workbookView xWindow="-108" yWindow="-108" windowWidth="23256" windowHeight="13176" tabRatio="775" xr2:uid="{5ECF019B-D745-4453-A5C5-3DCD8AB4A758}"/>
  </bookViews>
  <sheets>
    <sheet name="WACC" sheetId="1" r:id="rId1"/>
    <sheet name="Forecasting" sheetId="6" r:id="rId2"/>
    <sheet name="Beta - Regression" sheetId="7" r:id="rId3"/>
    <sheet name="Rm" sheetId="9" r:id="rId4"/>
    <sheet name="Intrisic Growth" sheetId="14" r:id="rId5"/>
    <sheet name="DCF" sheetId="15" r:id="rId6"/>
    <sheet name="Ratio Analysis " sheetId="16" r:id="rId7"/>
    <sheet name="HistoricalFS" sheetId="10" r:id="rId8"/>
    <sheet name="Data Room&gt;" sheetId="12" r:id="rId9"/>
    <sheet name="Data Sheet" sheetId="11" r:id="rId10"/>
    <sheet name="Raw FS" sheetId="13" r:id="rId11"/>
  </sheets>
  <definedNames>
    <definedName name="_xlnm._FilterDatabase" localSheetId="2" hidden="1">'Beta - Regression'!$B$10:$D$115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"01/26/2023 09:21:20"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9">'Data Sheet'!$A$1:$L$93</definedName>
    <definedName name="_xlnm.Print_Area" localSheetId="7">HistoricalFS!$A$1:$M$80</definedName>
    <definedName name="_xlnm.Print_Area" localSheetId="10">'Raw FS'!$A$1:$N$44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6" l="1"/>
  <c r="E39" i="1"/>
  <c r="J35" i="1"/>
  <c r="E36" i="1"/>
  <c r="E35" i="1"/>
  <c r="D35" i="1"/>
  <c r="H14" i="1"/>
  <c r="G18" i="1"/>
  <c r="G17" i="1"/>
  <c r="G16" i="1"/>
  <c r="G15" i="1"/>
  <c r="G14" i="1"/>
  <c r="M11" i="7" l="1"/>
  <c r="M8" i="7"/>
  <c r="O6" i="6"/>
  <c r="O18" i="6"/>
  <c r="O17" i="6"/>
  <c r="O16" i="6"/>
  <c r="O15" i="6"/>
  <c r="O14" i="6"/>
  <c r="O13" i="6"/>
  <c r="O12" i="6"/>
  <c r="O11" i="6"/>
  <c r="O10" i="6"/>
  <c r="O9" i="6"/>
  <c r="O8" i="6"/>
  <c r="O7" i="6"/>
  <c r="O5" i="6"/>
  <c r="N15" i="6"/>
  <c r="N16" i="6"/>
  <c r="N17" i="6"/>
  <c r="N18" i="6"/>
  <c r="N14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5" i="6"/>
  <c r="I18" i="6"/>
  <c r="I15" i="6"/>
  <c r="I16" i="6"/>
  <c r="I17" i="6"/>
  <c r="I14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E14" i="6"/>
  <c r="E15" i="6"/>
  <c r="E16" i="6"/>
  <c r="E17" i="6"/>
  <c r="E18" i="6"/>
  <c r="D15" i="6"/>
  <c r="D16" i="6"/>
  <c r="D17" i="6"/>
  <c r="D18" i="6"/>
  <c r="D14" i="6"/>
  <c r="E6" i="6"/>
  <c r="E7" i="6"/>
  <c r="E8" i="6"/>
  <c r="E9" i="6"/>
  <c r="E10" i="6"/>
  <c r="E11" i="6"/>
  <c r="E12" i="6"/>
  <c r="E13" i="6"/>
  <c r="E5" i="6"/>
  <c r="G2" i="6"/>
  <c r="L2" i="6"/>
  <c r="B2" i="6"/>
  <c r="B2" i="10"/>
  <c r="M4" i="6"/>
  <c r="M5" i="6" s="1"/>
  <c r="M6" i="6" s="1"/>
  <c r="M7" i="6" s="1"/>
  <c r="M8" i="6" s="1"/>
  <c r="M9" i="6" s="1"/>
  <c r="M11" i="6" s="1"/>
  <c r="M12" i="6" s="1"/>
  <c r="M13" i="6" s="1"/>
  <c r="M14" i="6" s="1"/>
  <c r="M15" i="6" s="1"/>
  <c r="M16" i="6" s="1"/>
  <c r="M17" i="6" s="1"/>
  <c r="M18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4" i="6"/>
  <c r="C4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5" i="6"/>
  <c r="B4" i="6"/>
  <c r="D39" i="15"/>
  <c r="F11" i="15"/>
  <c r="G11" i="15"/>
  <c r="H11" i="15"/>
  <c r="I11" i="15"/>
  <c r="J11" i="15"/>
  <c r="E11" i="15"/>
  <c r="D18" i="15"/>
  <c r="K47" i="14"/>
  <c r="K38" i="14"/>
  <c r="K68" i="14"/>
  <c r="K67" i="14"/>
  <c r="K57" i="14"/>
  <c r="K58" i="14"/>
  <c r="H60" i="14"/>
  <c r="I60" i="14"/>
  <c r="J60" i="14"/>
  <c r="K60" i="14"/>
  <c r="G60" i="14"/>
  <c r="H47" i="14"/>
  <c r="G51" i="14"/>
  <c r="G49" i="14"/>
  <c r="H46" i="14"/>
  <c r="I46" i="14"/>
  <c r="J46" i="14"/>
  <c r="K46" i="14"/>
  <c r="G46" i="14"/>
  <c r="H44" i="14"/>
  <c r="I44" i="14"/>
  <c r="J44" i="14"/>
  <c r="K44" i="14"/>
  <c r="G44" i="14"/>
  <c r="G39" i="14"/>
  <c r="G9" i="9"/>
  <c r="O5" i="16" l="1"/>
  <c r="O6" i="16"/>
  <c r="O7" i="16"/>
  <c r="O8" i="16"/>
  <c r="O10" i="16"/>
  <c r="O11" i="16"/>
  <c r="O12" i="16"/>
  <c r="O13" i="16"/>
  <c r="O14" i="16"/>
  <c r="O16" i="16"/>
  <c r="O17" i="16"/>
  <c r="O18" i="16"/>
  <c r="O20" i="16"/>
  <c r="O21" i="16"/>
  <c r="O22" i="16"/>
  <c r="O23" i="16"/>
  <c r="O24" i="16"/>
  <c r="O26" i="16"/>
  <c r="O27" i="16"/>
  <c r="O28" i="16"/>
  <c r="O29" i="16"/>
  <c r="O30" i="16"/>
  <c r="O33" i="16"/>
  <c r="O34" i="16"/>
  <c r="O35" i="16"/>
  <c r="O36" i="16"/>
  <c r="O38" i="16"/>
  <c r="O39" i="16"/>
  <c r="O40" i="16"/>
  <c r="O4" i="16"/>
  <c r="N11" i="16"/>
  <c r="N12" i="16"/>
  <c r="N13" i="16"/>
  <c r="N14" i="16"/>
  <c r="N16" i="16"/>
  <c r="N17" i="16"/>
  <c r="N18" i="16"/>
  <c r="N20" i="16"/>
  <c r="N21" i="16"/>
  <c r="N22" i="16"/>
  <c r="N23" i="16"/>
  <c r="N24" i="16"/>
  <c r="N26" i="16"/>
  <c r="N27" i="16"/>
  <c r="N28" i="16"/>
  <c r="N29" i="16"/>
  <c r="N30" i="16"/>
  <c r="N33" i="16"/>
  <c r="N34" i="16"/>
  <c r="N35" i="16"/>
  <c r="N36" i="16"/>
  <c r="N38" i="16"/>
  <c r="N39" i="16"/>
  <c r="N40" i="16"/>
  <c r="N10" i="16"/>
  <c r="N5" i="16"/>
  <c r="N6" i="16"/>
  <c r="N7" i="16"/>
  <c r="N8" i="16"/>
  <c r="N4" i="16"/>
  <c r="E38" i="16"/>
  <c r="L40" i="16"/>
  <c r="K40" i="16"/>
  <c r="J40" i="16"/>
  <c r="I40" i="16"/>
  <c r="H40" i="16"/>
  <c r="G40" i="16"/>
  <c r="F40" i="16"/>
  <c r="E40" i="16"/>
  <c r="D40" i="16"/>
  <c r="L39" i="16"/>
  <c r="K39" i="16"/>
  <c r="J39" i="16"/>
  <c r="I39" i="16"/>
  <c r="H39" i="16"/>
  <c r="G39" i="16"/>
  <c r="F39" i="16"/>
  <c r="E39" i="16"/>
  <c r="D39" i="16"/>
  <c r="L38" i="16"/>
  <c r="K38" i="16"/>
  <c r="J38" i="16"/>
  <c r="I38" i="16"/>
  <c r="H38" i="16"/>
  <c r="G38" i="16"/>
  <c r="F38" i="16"/>
  <c r="D38" i="16"/>
  <c r="C40" i="16"/>
  <c r="C39" i="16"/>
  <c r="C38" i="16"/>
  <c r="L29" i="16"/>
  <c r="K29" i="16"/>
  <c r="J29" i="16"/>
  <c r="I29" i="16"/>
  <c r="H29" i="16"/>
  <c r="G29" i="16"/>
  <c r="F29" i="16"/>
  <c r="E29" i="16"/>
  <c r="D29" i="16"/>
  <c r="L28" i="16"/>
  <c r="K28" i="16"/>
  <c r="J28" i="16"/>
  <c r="I28" i="16"/>
  <c r="H28" i="16"/>
  <c r="G28" i="16"/>
  <c r="F28" i="16"/>
  <c r="E28" i="16"/>
  <c r="D28" i="16"/>
  <c r="D30" i="16"/>
  <c r="E30" i="16"/>
  <c r="F30" i="16"/>
  <c r="G30" i="16"/>
  <c r="H30" i="16"/>
  <c r="I30" i="16"/>
  <c r="J30" i="16"/>
  <c r="K30" i="16"/>
  <c r="L30" i="16"/>
  <c r="C30" i="16"/>
  <c r="C29" i="16"/>
  <c r="C28" i="16"/>
  <c r="D27" i="16"/>
  <c r="E27" i="16"/>
  <c r="F27" i="16"/>
  <c r="G27" i="16"/>
  <c r="H27" i="16"/>
  <c r="I27" i="16"/>
  <c r="J27" i="16"/>
  <c r="K27" i="16"/>
  <c r="L27" i="16"/>
  <c r="C27" i="16"/>
  <c r="D26" i="16"/>
  <c r="E26" i="16"/>
  <c r="F26" i="16"/>
  <c r="G26" i="16"/>
  <c r="H26" i="16"/>
  <c r="I26" i="16"/>
  <c r="J26" i="16"/>
  <c r="K26" i="16"/>
  <c r="L26" i="16"/>
  <c r="C26" i="16"/>
  <c r="D24" i="16"/>
  <c r="E24" i="16"/>
  <c r="F24" i="16"/>
  <c r="G24" i="16"/>
  <c r="H24" i="16"/>
  <c r="I24" i="16"/>
  <c r="J24" i="16"/>
  <c r="K24" i="16"/>
  <c r="L24" i="16"/>
  <c r="C24" i="16"/>
  <c r="D22" i="16"/>
  <c r="D23" i="16" s="1"/>
  <c r="E22" i="16"/>
  <c r="E23" i="16" s="1"/>
  <c r="F22" i="16"/>
  <c r="F23" i="16" s="1"/>
  <c r="G22" i="16"/>
  <c r="G23" i="16" s="1"/>
  <c r="H22" i="16"/>
  <c r="H23" i="16" s="1"/>
  <c r="I22" i="16"/>
  <c r="J22" i="16"/>
  <c r="J23" i="16" s="1"/>
  <c r="K22" i="16"/>
  <c r="L22" i="16"/>
  <c r="L23" i="16" s="1"/>
  <c r="C22" i="16"/>
  <c r="D21" i="16"/>
  <c r="E21" i="16"/>
  <c r="F21" i="16"/>
  <c r="G21" i="16"/>
  <c r="H21" i="16"/>
  <c r="I21" i="16"/>
  <c r="J21" i="16"/>
  <c r="K21" i="16"/>
  <c r="L21" i="16"/>
  <c r="C21" i="16"/>
  <c r="D20" i="16"/>
  <c r="E20" i="16"/>
  <c r="F20" i="16"/>
  <c r="G20" i="16"/>
  <c r="H20" i="16"/>
  <c r="I20" i="16"/>
  <c r="J20" i="16"/>
  <c r="K20" i="16"/>
  <c r="L20" i="16"/>
  <c r="C20" i="16"/>
  <c r="D6" i="16"/>
  <c r="D17" i="16"/>
  <c r="E17" i="16"/>
  <c r="F17" i="16"/>
  <c r="G17" i="16"/>
  <c r="H17" i="16"/>
  <c r="I17" i="16"/>
  <c r="J17" i="16"/>
  <c r="K17" i="16"/>
  <c r="L17" i="16"/>
  <c r="C17" i="16"/>
  <c r="D16" i="16"/>
  <c r="E16" i="16"/>
  <c r="F16" i="16"/>
  <c r="G16" i="16"/>
  <c r="H16" i="16"/>
  <c r="I16" i="16"/>
  <c r="J16" i="16"/>
  <c r="K16" i="16"/>
  <c r="L16" i="16"/>
  <c r="C16" i="16"/>
  <c r="D12" i="16"/>
  <c r="D18" i="16" s="1"/>
  <c r="E12" i="16"/>
  <c r="E18" i="16" s="1"/>
  <c r="F12" i="16"/>
  <c r="F18" i="16" s="1"/>
  <c r="G12" i="16"/>
  <c r="G18" i="16" s="1"/>
  <c r="H12" i="16"/>
  <c r="H18" i="16" s="1"/>
  <c r="I12" i="16"/>
  <c r="I18" i="16" s="1"/>
  <c r="J12" i="16"/>
  <c r="J18" i="16" s="1"/>
  <c r="K12" i="16"/>
  <c r="K18" i="16" s="1"/>
  <c r="L12" i="16"/>
  <c r="L18" i="16" s="1"/>
  <c r="C12" i="16"/>
  <c r="C18" i="16" s="1"/>
  <c r="D14" i="16"/>
  <c r="E14" i="16"/>
  <c r="F14" i="16"/>
  <c r="G14" i="16"/>
  <c r="H14" i="16"/>
  <c r="I14" i="16"/>
  <c r="J14" i="16"/>
  <c r="K14" i="16"/>
  <c r="L14" i="16"/>
  <c r="C14" i="16"/>
  <c r="D13" i="16"/>
  <c r="E13" i="16"/>
  <c r="F13" i="16"/>
  <c r="G13" i="16"/>
  <c r="H13" i="16"/>
  <c r="I13" i="16"/>
  <c r="J13" i="16"/>
  <c r="K13" i="16"/>
  <c r="L13" i="16"/>
  <c r="C13" i="16"/>
  <c r="D11" i="16"/>
  <c r="E11" i="16"/>
  <c r="F11" i="16"/>
  <c r="G11" i="16"/>
  <c r="H11" i="16"/>
  <c r="I11" i="16"/>
  <c r="J11" i="16"/>
  <c r="K11" i="16"/>
  <c r="L11" i="16"/>
  <c r="C11" i="16"/>
  <c r="D10" i="16"/>
  <c r="E10" i="16"/>
  <c r="F10" i="16"/>
  <c r="G10" i="16"/>
  <c r="H10" i="16"/>
  <c r="I10" i="16"/>
  <c r="J10" i="16"/>
  <c r="K10" i="16"/>
  <c r="L10" i="16"/>
  <c r="C10" i="16"/>
  <c r="E8" i="16"/>
  <c r="F8" i="16"/>
  <c r="G8" i="16"/>
  <c r="H8" i="16"/>
  <c r="I8" i="16"/>
  <c r="J8" i="16"/>
  <c r="K8" i="16"/>
  <c r="L8" i="16"/>
  <c r="D8" i="16"/>
  <c r="E7" i="16"/>
  <c r="F7" i="16"/>
  <c r="G7" i="16"/>
  <c r="H7" i="16"/>
  <c r="I7" i="16"/>
  <c r="J7" i="16"/>
  <c r="K7" i="16"/>
  <c r="L7" i="16"/>
  <c r="D7" i="16"/>
  <c r="E6" i="16"/>
  <c r="F6" i="16"/>
  <c r="G6" i="16"/>
  <c r="H6" i="16"/>
  <c r="I6" i="16"/>
  <c r="J6" i="16"/>
  <c r="K6" i="16"/>
  <c r="L6" i="16"/>
  <c r="E5" i="16"/>
  <c r="F5" i="16"/>
  <c r="G5" i="16"/>
  <c r="H5" i="16"/>
  <c r="I5" i="16"/>
  <c r="J5" i="16"/>
  <c r="K5" i="16"/>
  <c r="L5" i="16"/>
  <c r="D5" i="16"/>
  <c r="E4" i="16"/>
  <c r="F4" i="16"/>
  <c r="G4" i="16"/>
  <c r="H4" i="16"/>
  <c r="I4" i="16"/>
  <c r="J4" i="16"/>
  <c r="K4" i="16"/>
  <c r="L4" i="16"/>
  <c r="D4" i="16"/>
  <c r="D2" i="16"/>
  <c r="E2" i="16"/>
  <c r="F2" i="16"/>
  <c r="G2" i="16"/>
  <c r="H2" i="16"/>
  <c r="I2" i="16"/>
  <c r="J2" i="16"/>
  <c r="K2" i="16"/>
  <c r="L2" i="16"/>
  <c r="C2" i="16"/>
  <c r="B1" i="16"/>
  <c r="C47" i="10"/>
  <c r="C45" i="10"/>
  <c r="L44" i="10"/>
  <c r="B6" i="11"/>
  <c r="M41" i="10"/>
  <c r="C41" i="10"/>
  <c r="D22" i="10"/>
  <c r="E22" i="10"/>
  <c r="F22" i="10"/>
  <c r="G22" i="10"/>
  <c r="H22" i="10"/>
  <c r="I22" i="10"/>
  <c r="J22" i="10"/>
  <c r="K22" i="10"/>
  <c r="L22" i="10"/>
  <c r="M22" i="10"/>
  <c r="C22" i="10"/>
  <c r="M30" i="10"/>
  <c r="D30" i="10"/>
  <c r="E30" i="10"/>
  <c r="F30" i="10"/>
  <c r="G30" i="10"/>
  <c r="H30" i="10"/>
  <c r="I30" i="10"/>
  <c r="J30" i="10"/>
  <c r="K30" i="10"/>
  <c r="C30" i="10"/>
  <c r="L30" i="10"/>
  <c r="M21" i="10"/>
  <c r="D21" i="10"/>
  <c r="E21" i="10"/>
  <c r="F21" i="10"/>
  <c r="G21" i="10"/>
  <c r="H21" i="10"/>
  <c r="I21" i="10"/>
  <c r="J21" i="10"/>
  <c r="K21" i="10"/>
  <c r="L21" i="10"/>
  <c r="C21" i="10"/>
  <c r="K34" i="11"/>
  <c r="H35" i="14"/>
  <c r="I35" i="14"/>
  <c r="J35" i="14"/>
  <c r="K35" i="14"/>
  <c r="G35" i="14"/>
  <c r="H32" i="14"/>
  <c r="I32" i="14"/>
  <c r="J32" i="14"/>
  <c r="K32" i="14"/>
  <c r="H31" i="14"/>
  <c r="I31" i="14"/>
  <c r="J31" i="14"/>
  <c r="K31" i="14"/>
  <c r="H30" i="14"/>
  <c r="I30" i="14"/>
  <c r="J30" i="14"/>
  <c r="K30" i="14"/>
  <c r="H29" i="14"/>
  <c r="I29" i="14"/>
  <c r="J29" i="14"/>
  <c r="K29" i="14"/>
  <c r="H28" i="14"/>
  <c r="I28" i="14"/>
  <c r="J28" i="14"/>
  <c r="K28" i="14"/>
  <c r="H27" i="14"/>
  <c r="I27" i="14"/>
  <c r="J27" i="14"/>
  <c r="K27" i="14"/>
  <c r="H26" i="14"/>
  <c r="I26" i="14"/>
  <c r="J26" i="14"/>
  <c r="K26" i="14"/>
  <c r="H25" i="14"/>
  <c r="I25" i="14"/>
  <c r="J25" i="14"/>
  <c r="K25" i="14"/>
  <c r="G26" i="14"/>
  <c r="G27" i="14"/>
  <c r="G28" i="14"/>
  <c r="G29" i="14"/>
  <c r="G30" i="14"/>
  <c r="G31" i="14"/>
  <c r="G32" i="14"/>
  <c r="G25" i="14"/>
  <c r="H24" i="14"/>
  <c r="I24" i="14"/>
  <c r="J24" i="14"/>
  <c r="K24" i="14"/>
  <c r="G24" i="14"/>
  <c r="H18" i="14"/>
  <c r="I18" i="14"/>
  <c r="J18" i="14"/>
  <c r="K18" i="14"/>
  <c r="G18" i="14"/>
  <c r="H17" i="14"/>
  <c r="I17" i="14"/>
  <c r="J17" i="14"/>
  <c r="K17" i="14"/>
  <c r="G17" i="14"/>
  <c r="H16" i="14"/>
  <c r="I16" i="14"/>
  <c r="J16" i="14"/>
  <c r="K16" i="14"/>
  <c r="G16" i="14"/>
  <c r="H12" i="14"/>
  <c r="I12" i="14"/>
  <c r="J12" i="14"/>
  <c r="K12" i="14"/>
  <c r="G12" i="14"/>
  <c r="H11" i="14"/>
  <c r="I11" i="14"/>
  <c r="J11" i="14"/>
  <c r="K11" i="14"/>
  <c r="G11" i="14"/>
  <c r="H6" i="14"/>
  <c r="I6" i="14"/>
  <c r="J6" i="14"/>
  <c r="K6" i="14"/>
  <c r="G6" i="14"/>
  <c r="H10" i="14"/>
  <c r="I10" i="14"/>
  <c r="J10" i="14"/>
  <c r="K10" i="14"/>
  <c r="G10" i="14"/>
  <c r="H9" i="14"/>
  <c r="I9" i="14"/>
  <c r="J9" i="14"/>
  <c r="K9" i="14"/>
  <c r="G9" i="14"/>
  <c r="M6" i="10"/>
  <c r="D30" i="13"/>
  <c r="E30" i="13"/>
  <c r="F30" i="13"/>
  <c r="G30" i="13"/>
  <c r="H30" i="13"/>
  <c r="I30" i="13"/>
  <c r="J30" i="13"/>
  <c r="K30" i="13"/>
  <c r="L30" i="13"/>
  <c r="M30" i="13"/>
  <c r="N30" i="13"/>
  <c r="C30" i="13"/>
  <c r="M9" i="7"/>
  <c r="I14" i="1"/>
  <c r="J14" i="1" s="1"/>
  <c r="G12" i="7"/>
  <c r="D12" i="7"/>
  <c r="K73" i="11"/>
  <c r="K32" i="11"/>
  <c r="B51" i="11"/>
  <c r="D38" i="15"/>
  <c r="D27" i="15"/>
  <c r="G13" i="15"/>
  <c r="H13" i="15" s="1"/>
  <c r="I13" i="15" s="1"/>
  <c r="J13" i="15" s="1"/>
  <c r="F9" i="15"/>
  <c r="G9" i="15" s="1"/>
  <c r="H9" i="15" s="1"/>
  <c r="I9" i="15" s="1"/>
  <c r="J9" i="15" s="1"/>
  <c r="K23" i="16" l="1"/>
  <c r="I23" i="16"/>
  <c r="C23" i="16"/>
  <c r="G34" i="14"/>
  <c r="K34" i="14"/>
  <c r="J34" i="14"/>
  <c r="H34" i="14"/>
  <c r="I34" i="14"/>
  <c r="E6" i="15"/>
  <c r="F6" i="15" s="1"/>
  <c r="G6" i="15" s="1"/>
  <c r="H6" i="15" s="1"/>
  <c r="I6" i="15" s="1"/>
  <c r="J6" i="15" s="1"/>
  <c r="B26" i="14"/>
  <c r="B27" i="14"/>
  <c r="B28" i="14"/>
  <c r="B29" i="14"/>
  <c r="B30" i="14"/>
  <c r="B31" i="14"/>
  <c r="B32" i="14"/>
  <c r="B25" i="14"/>
  <c r="B18" i="14"/>
  <c r="B17" i="14"/>
  <c r="B16" i="14"/>
  <c r="B10" i="14"/>
  <c r="B9" i="14"/>
  <c r="J73" i="11"/>
  <c r="I73" i="11"/>
  <c r="H73" i="11"/>
  <c r="K51" i="11"/>
  <c r="J51" i="11"/>
  <c r="I51" i="11"/>
  <c r="H51" i="11"/>
  <c r="G51" i="11"/>
  <c r="F51" i="11"/>
  <c r="E51" i="11"/>
  <c r="D51" i="11"/>
  <c r="C51" i="11"/>
  <c r="E8" i="15"/>
  <c r="J34" i="11"/>
  <c r="I34" i="11"/>
  <c r="H34" i="11"/>
  <c r="G34" i="11"/>
  <c r="F34" i="11"/>
  <c r="E34" i="11"/>
  <c r="D34" i="11"/>
  <c r="C34" i="11"/>
  <c r="B34" i="11"/>
  <c r="B15" i="11" s="1"/>
  <c r="J32" i="11"/>
  <c r="I32" i="11"/>
  <c r="H32" i="11"/>
  <c r="G32" i="11"/>
  <c r="F32" i="11"/>
  <c r="E32" i="11"/>
  <c r="D32" i="11"/>
  <c r="C32" i="11"/>
  <c r="B32" i="11"/>
  <c r="K15" i="11"/>
  <c r="D41" i="15"/>
  <c r="E1" i="11"/>
  <c r="L77" i="10"/>
  <c r="K77" i="10"/>
  <c r="J77" i="10"/>
  <c r="I77" i="10"/>
  <c r="H77" i="10"/>
  <c r="G77" i="10"/>
  <c r="F77" i="10"/>
  <c r="E77" i="10"/>
  <c r="D77" i="10"/>
  <c r="C77" i="10"/>
  <c r="L75" i="10"/>
  <c r="K75" i="10"/>
  <c r="J75" i="10"/>
  <c r="I75" i="10"/>
  <c r="H75" i="10"/>
  <c r="G75" i="10"/>
  <c r="F75" i="10"/>
  <c r="E75" i="10"/>
  <c r="D75" i="10"/>
  <c r="C75" i="10"/>
  <c r="L73" i="10"/>
  <c r="K73" i="10"/>
  <c r="J73" i="10"/>
  <c r="I73" i="10"/>
  <c r="H73" i="10"/>
  <c r="G73" i="10"/>
  <c r="F73" i="10"/>
  <c r="E73" i="10"/>
  <c r="E79" i="10" s="1"/>
  <c r="D73" i="10"/>
  <c r="D79" i="10" s="1"/>
  <c r="C73" i="10"/>
  <c r="C79" i="10" s="1"/>
  <c r="L64" i="10"/>
  <c r="K64" i="10"/>
  <c r="J64" i="10"/>
  <c r="I64" i="10"/>
  <c r="H64" i="10"/>
  <c r="G64" i="10"/>
  <c r="F64" i="10"/>
  <c r="E64" i="10"/>
  <c r="D64" i="10"/>
  <c r="C64" i="10"/>
  <c r="L63" i="10"/>
  <c r="K63" i="10"/>
  <c r="J63" i="10"/>
  <c r="I63" i="10"/>
  <c r="H63" i="10"/>
  <c r="G63" i="10"/>
  <c r="F63" i="10"/>
  <c r="E63" i="10"/>
  <c r="D63" i="10"/>
  <c r="D65" i="10" s="1"/>
  <c r="C63" i="10"/>
  <c r="L62" i="10"/>
  <c r="K62" i="10"/>
  <c r="J62" i="10"/>
  <c r="I62" i="10"/>
  <c r="H62" i="10"/>
  <c r="G62" i="10"/>
  <c r="F62" i="10"/>
  <c r="E62" i="10"/>
  <c r="D62" i="10"/>
  <c r="C62" i="10"/>
  <c r="L59" i="10"/>
  <c r="K59" i="10"/>
  <c r="J59" i="10"/>
  <c r="I59" i="10"/>
  <c r="H59" i="10"/>
  <c r="G59" i="10"/>
  <c r="F59" i="10"/>
  <c r="E59" i="10"/>
  <c r="D59" i="10"/>
  <c r="C59" i="10"/>
  <c r="L58" i="10"/>
  <c r="K58" i="10"/>
  <c r="J58" i="10"/>
  <c r="I58" i="10"/>
  <c r="H58" i="10"/>
  <c r="G58" i="10"/>
  <c r="F58" i="10"/>
  <c r="E58" i="10"/>
  <c r="D58" i="10"/>
  <c r="C58" i="10"/>
  <c r="L57" i="10"/>
  <c r="K57" i="10"/>
  <c r="J57" i="10"/>
  <c r="I57" i="10"/>
  <c r="H57" i="10"/>
  <c r="G57" i="10"/>
  <c r="F57" i="10"/>
  <c r="E57" i="10"/>
  <c r="D57" i="10"/>
  <c r="C57" i="10"/>
  <c r="L56" i="10"/>
  <c r="L60" i="10" s="1"/>
  <c r="K56" i="10"/>
  <c r="K60" i="10" s="1"/>
  <c r="J56" i="10"/>
  <c r="I56" i="10"/>
  <c r="H56" i="10"/>
  <c r="G56" i="10"/>
  <c r="F56" i="10"/>
  <c r="E56" i="10"/>
  <c r="D56" i="10"/>
  <c r="C56" i="10"/>
  <c r="L54" i="10"/>
  <c r="K54" i="10"/>
  <c r="J54" i="10"/>
  <c r="I54" i="10"/>
  <c r="H54" i="10"/>
  <c r="G54" i="10"/>
  <c r="F54" i="10"/>
  <c r="E54" i="10"/>
  <c r="D54" i="10"/>
  <c r="C54" i="10"/>
  <c r="L53" i="10"/>
  <c r="K53" i="10"/>
  <c r="J53" i="10"/>
  <c r="I53" i="10"/>
  <c r="H53" i="10"/>
  <c r="G53" i="10"/>
  <c r="F53" i="10"/>
  <c r="E53" i="10"/>
  <c r="D53" i="10"/>
  <c r="C53" i="10"/>
  <c r="L52" i="10"/>
  <c r="K52" i="10"/>
  <c r="J52" i="10"/>
  <c r="I52" i="10"/>
  <c r="H52" i="10"/>
  <c r="G52" i="10"/>
  <c r="F52" i="10"/>
  <c r="E52" i="10"/>
  <c r="D52" i="10"/>
  <c r="C52" i="10"/>
  <c r="L51" i="10"/>
  <c r="K51" i="10"/>
  <c r="J51" i="10"/>
  <c r="I51" i="10"/>
  <c r="H51" i="10"/>
  <c r="G51" i="10"/>
  <c r="F51" i="10"/>
  <c r="E51" i="10"/>
  <c r="D51" i="10"/>
  <c r="C51" i="10"/>
  <c r="L50" i="10"/>
  <c r="K50" i="10"/>
  <c r="J50" i="10"/>
  <c r="I50" i="10"/>
  <c r="H50" i="10"/>
  <c r="G50" i="10"/>
  <c r="F50" i="10"/>
  <c r="E50" i="10"/>
  <c r="D50" i="10"/>
  <c r="C50" i="10"/>
  <c r="L39" i="10"/>
  <c r="M39" i="10" s="1"/>
  <c r="M44" i="10" s="1"/>
  <c r="K39" i="10"/>
  <c r="K44" i="10" s="1"/>
  <c r="J39" i="10"/>
  <c r="J44" i="10" s="1"/>
  <c r="I39" i="10"/>
  <c r="I44" i="10" s="1"/>
  <c r="H39" i="10"/>
  <c r="H44" i="10" s="1"/>
  <c r="G39" i="10"/>
  <c r="G44" i="10" s="1"/>
  <c r="F39" i="10"/>
  <c r="F44" i="10" s="1"/>
  <c r="E39" i="10"/>
  <c r="E44" i="10" s="1"/>
  <c r="D39" i="10"/>
  <c r="D44" i="10" s="1"/>
  <c r="C39" i="10"/>
  <c r="C44" i="10" s="1"/>
  <c r="M33" i="10"/>
  <c r="L33" i="10"/>
  <c r="K33" i="10"/>
  <c r="J33" i="10"/>
  <c r="I33" i="10"/>
  <c r="H33" i="10"/>
  <c r="G33" i="10"/>
  <c r="F33" i="10"/>
  <c r="E33" i="10"/>
  <c r="D33" i="10"/>
  <c r="C33" i="10"/>
  <c r="M27" i="10"/>
  <c r="L27" i="10"/>
  <c r="K27" i="10"/>
  <c r="J27" i="10"/>
  <c r="I27" i="10"/>
  <c r="H27" i="10"/>
  <c r="G27" i="10"/>
  <c r="F27" i="10"/>
  <c r="E27" i="10"/>
  <c r="D27" i="10"/>
  <c r="C27" i="10"/>
  <c r="M24" i="10"/>
  <c r="M25" i="10" s="1"/>
  <c r="L24" i="10"/>
  <c r="K24" i="10"/>
  <c r="J24" i="10"/>
  <c r="I24" i="10"/>
  <c r="H24" i="10"/>
  <c r="G24" i="10"/>
  <c r="G25" i="10" s="1"/>
  <c r="F24" i="10"/>
  <c r="F25" i="10" s="1"/>
  <c r="E24" i="10"/>
  <c r="E25" i="10" s="1"/>
  <c r="D24" i="10"/>
  <c r="C24" i="10"/>
  <c r="M18" i="10"/>
  <c r="L15" i="10"/>
  <c r="K15" i="10"/>
  <c r="J15" i="10"/>
  <c r="I15" i="10"/>
  <c r="H15" i="10"/>
  <c r="G15" i="10"/>
  <c r="F15" i="10"/>
  <c r="E15" i="10"/>
  <c r="D15" i="10"/>
  <c r="C15" i="10"/>
  <c r="M9" i="10"/>
  <c r="L9" i="10"/>
  <c r="K9" i="10"/>
  <c r="J9" i="10"/>
  <c r="I9" i="10"/>
  <c r="I10" i="10" s="1"/>
  <c r="H9" i="10"/>
  <c r="H10" i="10" s="1"/>
  <c r="G9" i="10"/>
  <c r="F9" i="10"/>
  <c r="E9" i="10"/>
  <c r="D9" i="10"/>
  <c r="C9" i="10"/>
  <c r="L6" i="10"/>
  <c r="K6" i="10"/>
  <c r="J6" i="10"/>
  <c r="K7" i="10" s="1"/>
  <c r="I6" i="10"/>
  <c r="H6" i="10"/>
  <c r="G6" i="10"/>
  <c r="F6" i="10"/>
  <c r="E6" i="10"/>
  <c r="D6" i="10"/>
  <c r="C6" i="10"/>
  <c r="L3" i="10"/>
  <c r="K3" i="10"/>
  <c r="J3" i="10"/>
  <c r="I3" i="10"/>
  <c r="H3" i="10"/>
  <c r="G3" i="10"/>
  <c r="F3" i="10"/>
  <c r="E3" i="10"/>
  <c r="D3" i="10"/>
  <c r="C3" i="10"/>
  <c r="J60" i="10" l="1"/>
  <c r="J65" i="10"/>
  <c r="K16" i="10"/>
  <c r="G65" i="10"/>
  <c r="I65" i="10"/>
  <c r="L28" i="10"/>
  <c r="K65" i="10"/>
  <c r="C12" i="10"/>
  <c r="C18" i="10" s="1"/>
  <c r="C16" i="10"/>
  <c r="I60" i="10"/>
  <c r="I79" i="10"/>
  <c r="G12" i="10"/>
  <c r="G13" i="10" s="1"/>
  <c r="L79" i="10"/>
  <c r="C60" i="10"/>
  <c r="L12" i="10"/>
  <c r="L18" i="10" s="1"/>
  <c r="E10" i="15"/>
  <c r="D12" i="10"/>
  <c r="D18" i="10" s="1"/>
  <c r="G79" i="10"/>
  <c r="F10" i="10"/>
  <c r="K79" i="10"/>
  <c r="I7" i="10"/>
  <c r="D28" i="10"/>
  <c r="J12" i="10"/>
  <c r="J18" i="10" s="1"/>
  <c r="J19" i="10" s="1"/>
  <c r="K12" i="10"/>
  <c r="K18" i="10" s="1"/>
  <c r="J39" i="14" s="1"/>
  <c r="J49" i="14" s="1"/>
  <c r="J51" i="14" s="1"/>
  <c r="D60" i="10"/>
  <c r="D67" i="10" s="1"/>
  <c r="D69" i="10" s="1"/>
  <c r="M19" i="10"/>
  <c r="J16" i="10"/>
  <c r="H28" i="10"/>
  <c r="F60" i="10"/>
  <c r="G10" i="10"/>
  <c r="I16" i="10"/>
  <c r="C25" i="10"/>
  <c r="K25" i="10"/>
  <c r="F28" i="10"/>
  <c r="H65" i="10"/>
  <c r="J79" i="10"/>
  <c r="E12" i="10"/>
  <c r="E18" i="10" s="1"/>
  <c r="D7" i="10"/>
  <c r="D25" i="10"/>
  <c r="L25" i="10"/>
  <c r="G28" i="10"/>
  <c r="I28" i="10"/>
  <c r="H12" i="10"/>
  <c r="H13" i="10" s="1"/>
  <c r="L7" i="10"/>
  <c r="J10" i="10"/>
  <c r="D16" i="10"/>
  <c r="L16" i="10"/>
  <c r="K67" i="10"/>
  <c r="K69" i="10" s="1"/>
  <c r="C10" i="10"/>
  <c r="K10" i="10"/>
  <c r="E16" i="10"/>
  <c r="J28" i="10"/>
  <c r="E60" i="10"/>
  <c r="L65" i="10"/>
  <c r="L67" i="10" s="1"/>
  <c r="L69" i="10" s="1"/>
  <c r="F79" i="10"/>
  <c r="J7" i="10"/>
  <c r="D10" i="10"/>
  <c r="L10" i="10"/>
  <c r="F16" i="10"/>
  <c r="H25" i="10"/>
  <c r="C28" i="10"/>
  <c r="K28" i="10"/>
  <c r="E65" i="10"/>
  <c r="I36" i="14"/>
  <c r="G16" i="10"/>
  <c r="I25" i="10"/>
  <c r="G60" i="10"/>
  <c r="F65" i="10"/>
  <c r="H79" i="10"/>
  <c r="M36" i="10"/>
  <c r="M37" i="10" s="1"/>
  <c r="H16" i="10"/>
  <c r="J25" i="10"/>
  <c r="E28" i="10"/>
  <c r="M28" i="10"/>
  <c r="H60" i="10"/>
  <c r="C65" i="10"/>
  <c r="C67" i="10" s="1"/>
  <c r="C69" i="10" s="1"/>
  <c r="G36" i="14"/>
  <c r="G38" i="14" s="1"/>
  <c r="H36" i="14"/>
  <c r="J36" i="14"/>
  <c r="K36" i="14"/>
  <c r="H13" i="14"/>
  <c r="G13" i="14"/>
  <c r="I13" i="14"/>
  <c r="I19" i="14"/>
  <c r="G19" i="14"/>
  <c r="J13" i="14"/>
  <c r="K13" i="14"/>
  <c r="J19" i="14"/>
  <c r="H19" i="14"/>
  <c r="K19" i="14"/>
  <c r="C34" i="10"/>
  <c r="C19" i="10"/>
  <c r="G67" i="10"/>
  <c r="G69" i="10" s="1"/>
  <c r="J67" i="10"/>
  <c r="J69" i="10" s="1"/>
  <c r="E10" i="10"/>
  <c r="I12" i="10"/>
  <c r="E7" i="10"/>
  <c r="M7" i="10"/>
  <c r="F7" i="10"/>
  <c r="M12" i="10"/>
  <c r="M13" i="10" s="1"/>
  <c r="M16" i="10"/>
  <c r="G7" i="10"/>
  <c r="F12" i="10"/>
  <c r="M10" i="10"/>
  <c r="H7" i="10"/>
  <c r="F67" i="10" l="1"/>
  <c r="F69" i="10" s="1"/>
  <c r="C13" i="10"/>
  <c r="I67" i="10"/>
  <c r="I69" i="10" s="1"/>
  <c r="E13" i="10"/>
  <c r="M31" i="10"/>
  <c r="K19" i="10"/>
  <c r="I39" i="14"/>
  <c r="I49" i="14" s="1"/>
  <c r="I51" i="14" s="1"/>
  <c r="L13" i="10"/>
  <c r="H67" i="10"/>
  <c r="H69" i="10" s="1"/>
  <c r="D13" i="10"/>
  <c r="J13" i="10"/>
  <c r="G18" i="10"/>
  <c r="G19" i="10" s="1"/>
  <c r="K34" i="10"/>
  <c r="H18" i="10"/>
  <c r="H19" i="10" s="1"/>
  <c r="K13" i="10"/>
  <c r="M34" i="10"/>
  <c r="E67" i="10"/>
  <c r="E69" i="10" s="1"/>
  <c r="K21" i="14"/>
  <c r="H21" i="14"/>
  <c r="G21" i="14"/>
  <c r="J21" i="14"/>
  <c r="I21" i="14"/>
  <c r="F18" i="10"/>
  <c r="F13" i="10"/>
  <c r="I18" i="10"/>
  <c r="I13" i="10"/>
  <c r="C31" i="10"/>
  <c r="C36" i="10"/>
  <c r="E19" i="10"/>
  <c r="L19" i="10"/>
  <c r="K39" i="14"/>
  <c r="K49" i="14" s="1"/>
  <c r="K51" i="14" s="1"/>
  <c r="K36" i="10"/>
  <c r="K31" i="10"/>
  <c r="D19" i="10"/>
  <c r="J31" i="10" l="1"/>
  <c r="J36" i="10"/>
  <c r="J37" i="10" s="1"/>
  <c r="J34" i="10"/>
  <c r="M45" i="10"/>
  <c r="M47" i="10" s="1"/>
  <c r="I47" i="14"/>
  <c r="I53" i="14" s="1"/>
  <c r="I55" i="14" s="1"/>
  <c r="I62" i="14" s="1"/>
  <c r="I38" i="14"/>
  <c r="I41" i="14" s="1"/>
  <c r="I63" i="14" s="1"/>
  <c r="J47" i="14"/>
  <c r="J53" i="14" s="1"/>
  <c r="J55" i="14" s="1"/>
  <c r="J62" i="14" s="1"/>
  <c r="J38" i="14"/>
  <c r="J41" i="14" s="1"/>
  <c r="J63" i="14" s="1"/>
  <c r="H38" i="14"/>
  <c r="K53" i="14"/>
  <c r="K55" i="14" s="1"/>
  <c r="K62" i="14" s="1"/>
  <c r="K41" i="14"/>
  <c r="K63" i="14" s="1"/>
  <c r="E36" i="10"/>
  <c r="E31" i="10"/>
  <c r="E34" i="10"/>
  <c r="C37" i="10"/>
  <c r="J41" i="10"/>
  <c r="D36" i="10"/>
  <c r="D31" i="10"/>
  <c r="D34" i="10"/>
  <c r="H36" i="10"/>
  <c r="H34" i="10"/>
  <c r="K37" i="10"/>
  <c r="K41" i="10"/>
  <c r="I19" i="10"/>
  <c r="H39" i="14"/>
  <c r="H49" i="14" s="1"/>
  <c r="H51" i="14" s="1"/>
  <c r="G36" i="10"/>
  <c r="G31" i="10"/>
  <c r="G34" i="10"/>
  <c r="L36" i="10"/>
  <c r="L31" i="10"/>
  <c r="L34" i="10"/>
  <c r="F19" i="10"/>
  <c r="H31" i="10" l="1"/>
  <c r="K65" i="14"/>
  <c r="G41" i="14"/>
  <c r="J65" i="14"/>
  <c r="H41" i="14"/>
  <c r="I65" i="14"/>
  <c r="L37" i="10"/>
  <c r="L41" i="10"/>
  <c r="H37" i="10"/>
  <c r="H41" i="10"/>
  <c r="G37" i="10"/>
  <c r="G41" i="10"/>
  <c r="F36" i="10"/>
  <c r="F31" i="10"/>
  <c r="F34" i="10"/>
  <c r="I36" i="10"/>
  <c r="I31" i="10"/>
  <c r="I34" i="10"/>
  <c r="E41" i="10"/>
  <c r="E37" i="10"/>
  <c r="D37" i="10"/>
  <c r="D41" i="10"/>
  <c r="K42" i="10"/>
  <c r="K45" i="10"/>
  <c r="K47" i="10" s="1"/>
  <c r="J45" i="10"/>
  <c r="J47" i="10" s="1"/>
  <c r="D42" i="10" l="1"/>
  <c r="D45" i="10"/>
  <c r="D47" i="10" s="1"/>
  <c r="F41" i="10"/>
  <c r="G42" i="10" s="1"/>
  <c r="F37" i="10"/>
  <c r="H42" i="10"/>
  <c r="H45" i="10"/>
  <c r="H47" i="10" s="1"/>
  <c r="L42" i="10"/>
  <c r="M42" i="10"/>
  <c r="L45" i="10"/>
  <c r="L47" i="10" s="1"/>
  <c r="G45" i="10"/>
  <c r="G47" i="10" s="1"/>
  <c r="E42" i="10"/>
  <c r="E45" i="10"/>
  <c r="E47" i="10" s="1"/>
  <c r="I37" i="10"/>
  <c r="I41" i="10"/>
  <c r="D19" i="15" l="1"/>
  <c r="F8" i="15" s="1"/>
  <c r="E12" i="15"/>
  <c r="I42" i="10"/>
  <c r="I45" i="10"/>
  <c r="I47" i="10" s="1"/>
  <c r="J42" i="10"/>
  <c r="F42" i="10"/>
  <c r="F45" i="10"/>
  <c r="F47" i="10" s="1"/>
  <c r="F10" i="15" l="1"/>
  <c r="F12" i="15" s="1"/>
  <c r="G8" i="15"/>
  <c r="G11" i="9"/>
  <c r="J27" i="1" s="1"/>
  <c r="J15" i="1"/>
  <c r="J16" i="1"/>
  <c r="J17" i="1"/>
  <c r="J18" i="1"/>
  <c r="C35" i="1"/>
  <c r="J10" i="7"/>
  <c r="J16" i="7" s="1"/>
  <c r="H8" i="15" l="1"/>
  <c r="G10" i="15"/>
  <c r="G12" i="15" s="1"/>
  <c r="H16" i="1"/>
  <c r="H15" i="1"/>
  <c r="H17" i="1"/>
  <c r="H18" i="1"/>
  <c r="C36" i="1"/>
  <c r="C37" i="1" s="1"/>
  <c r="D37" i="1" s="1"/>
  <c r="E37" i="1" s="1"/>
  <c r="I21" i="1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J36" i="1"/>
  <c r="F21" i="1"/>
  <c r="E27" i="1" s="1"/>
  <c r="E28" i="1" s="1"/>
  <c r="J44" i="1" s="1"/>
  <c r="F20" i="1"/>
  <c r="H10" i="15" l="1"/>
  <c r="H12" i="15" s="1"/>
  <c r="I8" i="15"/>
  <c r="J21" i="1"/>
  <c r="J34" i="1" s="1"/>
  <c r="I20" i="1"/>
  <c r="H21" i="1"/>
  <c r="D36" i="1"/>
  <c r="G21" i="1"/>
  <c r="H20" i="1"/>
  <c r="J45" i="1" s="1"/>
  <c r="G20" i="1"/>
  <c r="J8" i="15" l="1"/>
  <c r="J10" i="15" s="1"/>
  <c r="J12" i="15" s="1"/>
  <c r="D25" i="15" s="1"/>
  <c r="I10" i="15"/>
  <c r="I12" i="15" s="1"/>
  <c r="J20" i="1"/>
  <c r="D39" i="1"/>
  <c r="J37" i="1" l="1"/>
  <c r="J28" i="1" s="1"/>
  <c r="J42" i="1"/>
  <c r="J29" i="1" l="1"/>
  <c r="J41" i="1" s="1"/>
  <c r="J47" i="1" s="1"/>
  <c r="D21" i="15" s="1"/>
  <c r="F14" i="15" s="1"/>
  <c r="J14" i="15" l="1"/>
  <c r="J16" i="15" s="1"/>
  <c r="F16" i="15"/>
  <c r="G14" i="15"/>
  <c r="G16" i="15" s="1"/>
  <c r="H14" i="15"/>
  <c r="H16" i="15" s="1"/>
  <c r="I14" i="15"/>
  <c r="I16" i="15" s="1"/>
  <c r="D26" i="15"/>
  <c r="D29" i="15" s="1"/>
  <c r="D35" i="15" l="1"/>
  <c r="D34" i="15"/>
  <c r="D36" i="15" l="1"/>
  <c r="D40" i="15" s="1"/>
  <c r="D43" i="15" s="1"/>
  <c r="D46" i="15" s="1"/>
</calcChain>
</file>

<file path=xl/sharedStrings.xml><?xml version="1.0" encoding="utf-8"?>
<sst xmlns="http://schemas.openxmlformats.org/spreadsheetml/2006/main" count="386" uniqueCount="304">
  <si>
    <t>Weighted Average Cost of Capital</t>
  </si>
  <si>
    <t>All figures are in INR unless stated otherwise.</t>
  </si>
  <si>
    <t>Peer Comps</t>
  </si>
  <si>
    <t>Name</t>
  </si>
  <si>
    <t>Country</t>
  </si>
  <si>
    <t>Total Debt</t>
  </si>
  <si>
    <t>Total Equity</t>
  </si>
  <si>
    <t>Average</t>
  </si>
  <si>
    <t>Debt/</t>
  </si>
  <si>
    <t>Equity</t>
  </si>
  <si>
    <t>Levered</t>
  </si>
  <si>
    <r>
      <t xml:space="preserve">Tax Rate </t>
    </r>
    <r>
      <rPr>
        <vertAlign val="superscript"/>
        <sz val="11"/>
        <color theme="1"/>
        <rFont val="Calibri"/>
        <family val="2"/>
      </rPr>
      <t>1</t>
    </r>
  </si>
  <si>
    <r>
      <t xml:space="preserve">Beta </t>
    </r>
    <r>
      <rPr>
        <vertAlign val="superscript"/>
        <sz val="11"/>
        <color theme="1"/>
        <rFont val="Calibri"/>
        <family val="2"/>
      </rPr>
      <t>2</t>
    </r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</si>
  <si>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</si>
  <si>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</rPr>
      <t>3</t>
    </r>
  </si>
  <si>
    <t>India</t>
  </si>
  <si>
    <t>Capital</t>
  </si>
  <si>
    <t>Median</t>
  </si>
  <si>
    <t>Capital Structure</t>
  </si>
  <si>
    <t>Market Capitalization</t>
  </si>
  <si>
    <t>Total Capitalization</t>
  </si>
  <si>
    <t>Current</t>
  </si>
  <si>
    <t>Target</t>
  </si>
  <si>
    <t>Cost of Equity</t>
  </si>
  <si>
    <t>Risk Free Rate</t>
  </si>
  <si>
    <t>Equity Risk Premium</t>
  </si>
  <si>
    <t>Levered Beta</t>
  </si>
  <si>
    <t>Debt / Equity</t>
  </si>
  <si>
    <r>
      <t xml:space="preserve">Levered Beta </t>
    </r>
    <r>
      <rPr>
        <vertAlign val="superscript"/>
        <sz val="11"/>
        <color theme="1"/>
        <rFont val="Calibri"/>
        <family val="2"/>
      </rPr>
      <t>4</t>
    </r>
  </si>
  <si>
    <t>Cost of Debt</t>
  </si>
  <si>
    <t>Pre-tax Cost of Debt</t>
  </si>
  <si>
    <t>Tax Rate</t>
  </si>
  <si>
    <t>After Tax Cost of Debt</t>
  </si>
  <si>
    <t xml:space="preserve">Levered Beta </t>
  </si>
  <si>
    <t>Comps Median Unlevered Beta</t>
  </si>
  <si>
    <t xml:space="preserve">Target Debt/ Equity  </t>
  </si>
  <si>
    <t>1. Tax Rate considered as Marginal Tax Rate for the country</t>
  </si>
  <si>
    <t>2. Levered Beta is based on 5 year monthly data</t>
  </si>
  <si>
    <t xml:space="preserve"> </t>
  </si>
  <si>
    <t>3. Unlevered Beta = Levered Beta/(1+(1-Tax Rate) x Debt/Equity)</t>
  </si>
  <si>
    <t>3. Levered Beta = Unlevered Beta/(1+(1-Tax Rate) x Debt/Equity)</t>
  </si>
  <si>
    <t>Date</t>
  </si>
  <si>
    <t>Closing Price</t>
  </si>
  <si>
    <t>Return</t>
  </si>
  <si>
    <t>NIFTY Returns</t>
  </si>
  <si>
    <t>Beta 1</t>
  </si>
  <si>
    <t>Beta 2</t>
  </si>
  <si>
    <t>Beta 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</si>
  <si>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</si>
  <si>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</si>
  <si>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</si>
  <si>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</si>
  <si>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</si>
  <si>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</si>
  <si>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</si>
  <si>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</si>
  <si>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</si>
  <si>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</si>
  <si>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</si>
  <si>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</si>
  <si>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</si>
  <si>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</si>
  <si>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</si>
  <si>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</si>
  <si>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</si>
  <si>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</si>
  <si>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</si>
  <si>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</si>
  <si>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</si>
  <si>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</si>
  <si>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</si>
  <si>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</si>
  <si>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Beta Drifting</t>
  </si>
  <si>
    <t>Levered Raw Beta</t>
  </si>
  <si>
    <t>Raw Beta Weight</t>
  </si>
  <si>
    <t>Market Beta Weight</t>
  </si>
  <si>
    <t xml:space="preserve">Market Beta </t>
  </si>
  <si>
    <t>Adjusted Beta</t>
  </si>
  <si>
    <t>Regression Beta - 2 Years Weekly</t>
  </si>
  <si>
    <t>Year</t>
  </si>
  <si>
    <t>Return on Markets</t>
  </si>
  <si>
    <t>Average Return</t>
  </si>
  <si>
    <t>Dividend Yield</t>
  </si>
  <si>
    <r>
      <t xml:space="preserve">1.39% </t>
    </r>
    <r>
      <rPr>
        <vertAlign val="superscript"/>
        <sz val="11"/>
        <color theme="1"/>
        <rFont val="Calibri"/>
        <family val="2"/>
      </rPr>
      <t>1</t>
    </r>
  </si>
  <si>
    <t>Total Market Returns</t>
  </si>
  <si>
    <t>Equity Weight</t>
  </si>
  <si>
    <t>Debt Weight</t>
  </si>
  <si>
    <t>WACC</t>
  </si>
  <si>
    <t>Years</t>
  </si>
  <si>
    <t>LTM</t>
  </si>
  <si>
    <t>#</t>
  </si>
  <si>
    <t>Income Statement</t>
  </si>
  <si>
    <t>Sales</t>
  </si>
  <si>
    <t>Sales Growth</t>
  </si>
  <si>
    <t>-</t>
  </si>
  <si>
    <t>COGS</t>
  </si>
  <si>
    <t>COGS % Sales</t>
  </si>
  <si>
    <t>Gross Profit</t>
  </si>
  <si>
    <t>Gross Margins</t>
  </si>
  <si>
    <t>Selling &amp; General Expenses</t>
  </si>
  <si>
    <t>S&amp;G Exp % Sales</t>
  </si>
  <si>
    <t>EBITDA</t>
  </si>
  <si>
    <t>EBITDA Margins</t>
  </si>
  <si>
    <t>Interest</t>
  </si>
  <si>
    <t>Interest % Sales</t>
  </si>
  <si>
    <t>Depreciation</t>
  </si>
  <si>
    <t>Depreciation%Sales</t>
  </si>
  <si>
    <t>Earnings Before Tax</t>
  </si>
  <si>
    <t>EBT % Sales</t>
  </si>
  <si>
    <t>Tax</t>
  </si>
  <si>
    <t>Effective Tax Rate</t>
  </si>
  <si>
    <t>Net Profit</t>
  </si>
  <si>
    <t>Net Margins</t>
  </si>
  <si>
    <t>No of Equity Shares</t>
  </si>
  <si>
    <t>Earnings per Share</t>
  </si>
  <si>
    <t>EPS Growth %</t>
  </si>
  <si>
    <t>Dividend per Share</t>
  </si>
  <si>
    <t>Dividend payout ratio</t>
  </si>
  <si>
    <t>Retained Earnings</t>
  </si>
  <si>
    <t>Balance Sheet</t>
  </si>
  <si>
    <t>Equity Share Capital</t>
  </si>
  <si>
    <t>Reserves</t>
  </si>
  <si>
    <t>Borrowings</t>
  </si>
  <si>
    <t>Other Liabilities</t>
  </si>
  <si>
    <t>Total Liabilities</t>
  </si>
  <si>
    <t>Fixed Assets Net Block</t>
  </si>
  <si>
    <t>Capital Work in Progress</t>
  </si>
  <si>
    <t>Investments</t>
  </si>
  <si>
    <t>Other Assets</t>
  </si>
  <si>
    <t>Total Non Current Assets</t>
  </si>
  <si>
    <t>Receivables</t>
  </si>
  <si>
    <t>Inventory</t>
  </si>
  <si>
    <t>Cash &amp; Bank</t>
  </si>
  <si>
    <t>Total Current Assets</t>
  </si>
  <si>
    <t>Total Assets</t>
  </si>
  <si>
    <t>Check</t>
  </si>
  <si>
    <t>Cash Flow Statements</t>
  </si>
  <si>
    <t>Cash from Operating Activities</t>
  </si>
  <si>
    <t>Cash from Investing Activities</t>
  </si>
  <si>
    <t>Cash from Financing Activities</t>
  </si>
  <si>
    <t>Net Cash Flow</t>
  </si>
  <si>
    <t>COMPANY NAME</t>
  </si>
  <si>
    <t>TITAN COMPANY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</si>
  <si>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</si>
  <si>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</si>
  <si>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</si>
  <si>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</si>
  <si>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</si>
  <si>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</si>
  <si>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</si>
  <si>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</si>
  <si>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</si>
  <si>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</si>
  <si>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</si>
  <si>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</si>
  <si>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</si>
  <si>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</si>
  <si>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</si>
  <si>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</si>
  <si>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</si>
  <si>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Profit before tax</t>
  </si>
  <si>
    <t>Net profit</t>
  </si>
  <si>
    <t>Dividend Amount</t>
  </si>
  <si>
    <t>Quarters</t>
  </si>
  <si>
    <t>Expenses</t>
  </si>
  <si>
    <t>Operating Profit</t>
  </si>
  <si>
    <t>BALANCE SHEET</t>
  </si>
  <si>
    <t>Net Block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</si>
  <si>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</si>
  <si>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</si>
  <si>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</si>
  <si>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</si>
  <si>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</si>
  <si>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</si>
  <si>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</si>
  <si>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PRICE:</t>
  </si>
  <si>
    <t>DERIVED:</t>
  </si>
  <si>
    <t>Adjusted Equity Shares in Cr</t>
  </si>
  <si>
    <t>Equity Capital</t>
  </si>
  <si>
    <t>Borrowings -</t>
  </si>
  <si>
    <t>Long term Borrowings</t>
  </si>
  <si>
    <t>Short term Borrowings</t>
  </si>
  <si>
    <t>Lease Liabilities</t>
  </si>
  <si>
    <t>Other Borrowings</t>
  </si>
  <si>
    <t>Other Liabilities -</t>
  </si>
  <si>
    <t>Non controlling int</t>
  </si>
  <si>
    <t>Trade Payables</t>
  </si>
  <si>
    <t>Advance from Customers</t>
  </si>
  <si>
    <t>Other liability items</t>
  </si>
  <si>
    <t>Fixed Assets 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</si>
  <si>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</si>
  <si>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</si>
  <si>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</si>
  <si>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</si>
  <si>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</si>
  <si>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</si>
  <si>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</si>
  <si>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</si>
  <si>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</si>
  <si>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</si>
  <si>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</si>
  <si>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Other Assets -</t>
  </si>
  <si>
    <t>Inventories</t>
  </si>
  <si>
    <t>Cash Equivalents</t>
  </si>
  <si>
    <t>Loans n Advances</t>
  </si>
  <si>
    <t>Other asset items</t>
  </si>
  <si>
    <t>Particulars</t>
  </si>
  <si>
    <t>ROIC</t>
  </si>
  <si>
    <t>Calculation of ROIC</t>
  </si>
  <si>
    <t>Current Assets</t>
  </si>
  <si>
    <t>Current Liabilities</t>
  </si>
  <si>
    <t>Total Current Liabilities</t>
  </si>
  <si>
    <t>Net Working Capital</t>
  </si>
  <si>
    <t>Non Current Assets</t>
  </si>
  <si>
    <t>Net Non Current Assets</t>
  </si>
  <si>
    <t>Invested Capital</t>
  </si>
  <si>
    <t>EBIT</t>
  </si>
  <si>
    <t>Calculation of Reinvestment Rate</t>
  </si>
  <si>
    <t>Net Capex</t>
  </si>
  <si>
    <t>Fixed assets purchased</t>
  </si>
  <si>
    <t>Fixed assets sold</t>
  </si>
  <si>
    <t>Change in Working Capital</t>
  </si>
  <si>
    <t>Marginal Tax Rate</t>
  </si>
  <si>
    <t>Reinvestment</t>
  </si>
  <si>
    <t>EBIT(1-T)</t>
  </si>
  <si>
    <t>Reinvestment Rate</t>
  </si>
  <si>
    <t>Calculation of Growth Rate</t>
  </si>
  <si>
    <t>Intrinsic Growth</t>
  </si>
  <si>
    <t>Less: Reinvestment Rate</t>
  </si>
  <si>
    <t>Expected Growth</t>
  </si>
  <si>
    <t>Terminal Growth</t>
  </si>
  <si>
    <t>Calculation of Terminal Value</t>
  </si>
  <si>
    <t>FCFF (n+1)</t>
  </si>
  <si>
    <t>Terminal Growth Rate</t>
  </si>
  <si>
    <t>Terminal Value</t>
  </si>
  <si>
    <t>Calculation of PV of FCFF</t>
  </si>
  <si>
    <t>Discounting Factor</t>
  </si>
  <si>
    <t>PV of FCFF</t>
  </si>
  <si>
    <t>PV of Terminal Value</t>
  </si>
  <si>
    <t>Add: Cash</t>
  </si>
  <si>
    <t>Less: Debt</t>
  </si>
  <si>
    <t>Value of Equity</t>
  </si>
  <si>
    <t>Free Cash Flow to Firm (FCFF)</t>
  </si>
  <si>
    <t>Mid Year Convention</t>
  </si>
  <si>
    <t>Value of Operating Assets</t>
  </si>
  <si>
    <t>Calculation of Equity Value per Share</t>
  </si>
  <si>
    <t>No of Shares</t>
  </si>
  <si>
    <t>Equity Value per Share</t>
  </si>
  <si>
    <t>Share price</t>
  </si>
  <si>
    <t>Discount/Premium</t>
  </si>
  <si>
    <t>Kalyan Jewellers</t>
  </si>
  <si>
    <t>Bluestone Jewellery</t>
  </si>
  <si>
    <t>PN Gadgil</t>
  </si>
  <si>
    <t>Ethos Ltd</t>
  </si>
  <si>
    <t>PC Jeweller</t>
  </si>
  <si>
    <t>Titan Company  Weekly Returns</t>
  </si>
  <si>
    <t>Computers</t>
  </si>
  <si>
    <t>Trade receivables +</t>
  </si>
  <si>
    <t xml:space="preserve">Net Block </t>
  </si>
  <si>
    <t xml:space="preserve">Trade Receivables </t>
  </si>
  <si>
    <t xml:space="preserve">Land </t>
  </si>
  <si>
    <t xml:space="preserve">Other Income </t>
  </si>
  <si>
    <t>Other Income  % Sales</t>
  </si>
  <si>
    <t xml:space="preserve">Sales Growth </t>
  </si>
  <si>
    <t xml:space="preserve">EBITDA Growth </t>
  </si>
  <si>
    <t>EBIT Growth</t>
  </si>
  <si>
    <t xml:space="preserve">Net Profit Growth </t>
  </si>
  <si>
    <t xml:space="preserve">Dividend Growth </t>
  </si>
  <si>
    <t>EBITDA Margin</t>
  </si>
  <si>
    <t>EBIT Margin</t>
  </si>
  <si>
    <t xml:space="preserve">EBT Margin </t>
  </si>
  <si>
    <t xml:space="preserve">Net Profit Margin </t>
  </si>
  <si>
    <t>Sales Expenses% Sales</t>
  </si>
  <si>
    <t>Depreciation% Sales</t>
  </si>
  <si>
    <t>Operating Income% Sales</t>
  </si>
  <si>
    <t xml:space="preserve">Gross Margin </t>
  </si>
  <si>
    <t>Return on Capital Employed</t>
  </si>
  <si>
    <t>Retained Earnings %</t>
  </si>
  <si>
    <t>Return on Equity %</t>
  </si>
  <si>
    <t xml:space="preserve">Self Sustained Growth Rate </t>
  </si>
  <si>
    <t>Interest Coverage Ratio</t>
  </si>
  <si>
    <t>Debtor Turnover Ratio</t>
  </si>
  <si>
    <t>Credit Turnover Ratio</t>
  </si>
  <si>
    <t>Inventory Turnover Ratio</t>
  </si>
  <si>
    <t>Fixed Asset  Turnover</t>
  </si>
  <si>
    <t>Capital Turnover Ratio</t>
  </si>
  <si>
    <t>Debtor Days</t>
  </si>
  <si>
    <t>Payable Days</t>
  </si>
  <si>
    <t>Inventory Days</t>
  </si>
  <si>
    <t>Cash Conversion Cycle</t>
  </si>
  <si>
    <t>(In Days)</t>
  </si>
  <si>
    <t>CFO/Sales</t>
  </si>
  <si>
    <t>CFO/Total Assets</t>
  </si>
  <si>
    <t>CFO/Total Debt</t>
  </si>
  <si>
    <t>Mean</t>
  </si>
  <si>
    <t>Trend</t>
  </si>
  <si>
    <t>3 Year Average</t>
  </si>
  <si>
    <t>3 Year Median</t>
  </si>
  <si>
    <t xml:space="preserve">Industry Reinvestment Rate </t>
  </si>
  <si>
    <t xml:space="preserve">Year Weight </t>
  </si>
  <si>
    <t xml:space="preserve">Year </t>
  </si>
  <si>
    <t>EPS</t>
  </si>
  <si>
    <t xml:space="preserve">EPS Growth </t>
  </si>
  <si>
    <t>Annual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</si>
</sst>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#,##0.0"/>
    <numFmt numFmtId="165" formatCode="&quot;₹&quot;\ #,##0.0;\(&quot;₹&quot;\ #,##0.0\);\-"/>
    <numFmt numFmtId="166" formatCode="&quot;₹&quot;\ #,##0.00"/>
    <numFmt numFmtId="167" formatCode="&quot;₹&quot;\ #,##0.00;\(&quot;₹&quot;\ #,##0.00\);\-"/>
    <numFmt numFmtId="168" formatCode="[$-409]mmm\-yy;@"/>
    <numFmt numFmtId="169" formatCode="_(* #,##0.00_);_(* \(#,##0.00\);_(* &quot;-&quot;??_);_(@_)"/>
    <numFmt numFmtId="170" formatCode="#,##0.0;\(#,##0.0\);\-"/>
    <numFmt numFmtId="171" formatCode="0.000000000000000%"/>
    <numFmt numFmtId="172" formatCode="0.000"/>
    <numFmt numFmtId="173" formatCode="mmm/yy&quot;A&quot;"/>
    <numFmt numFmtId="174" formatCode="mmm/yy&quot;F&quot;"/>
    <numFmt numFmtId="175" formatCode="0.00\x"/>
    <numFmt numFmtId="180" formatCode="&quot;₹&quot;\ #,##0.0"/>
    <numFmt numFmtId="187" formatCode="#,##0.00\x"/>
    <numFmt numFmtId="192" formatCode="0&quot;A&quot;"/>
    <numFmt numFmtId="193" formatCode="0&quot;F&quot;"/>
  </numFmts>
  <fonts count="27"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3333FF"/>
      <name val="calibri"/>
      <family val="2"/>
    </font>
    <font>
      <i/>
      <sz val="10"/>
      <color theme="1"/>
      <name val="calibri"/>
      <family val="2"/>
    </font>
    <font>
      <i/>
      <sz val="9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sz val="11"/>
      <color rgb="FF22222F"/>
      <name val="Calibri "/>
    </font>
    <font>
      <sz val="11"/>
      <color rgb="FF22222F"/>
      <name val="Calibri "/>
    </font>
    <font>
      <sz val="11"/>
      <name val="calibri"/>
      <family val="2"/>
    </font>
    <font>
      <sz val="11"/>
      <color rgb="FF232526"/>
      <name val="Segoe UI"/>
      <family val="2"/>
    </font>
    <font>
      <b/>
      <i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2060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8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hair">
        <color rgb="FF002060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/>
      <top style="dotted">
        <color rgb="FF002060"/>
      </top>
      <bottom style="dotted">
        <color rgb="FF002060"/>
      </bottom>
      <diagonal/>
    </border>
    <border>
      <left/>
      <right/>
      <top/>
      <bottom style="hair">
        <color rgb="FF002060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8" fillId="6" borderId="0" applyNumberFormat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21" fillId="0" borderId="0"/>
  </cellStyleXfs>
  <cellXfs count="17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vertical="top"/>
    </xf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0" fillId="0" borderId="0" xfId="0" applyAlignment="1">
      <alignment vertical="top"/>
    </xf>
    <xf numFmtId="2" fontId="0" fillId="0" borderId="0" xfId="0" applyNumberFormat="1"/>
    <xf numFmtId="0" fontId="6" fillId="0" borderId="0" xfId="0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 vertical="top"/>
    </xf>
    <xf numFmtId="2" fontId="6" fillId="0" borderId="0" xfId="0" applyNumberFormat="1" applyFont="1"/>
    <xf numFmtId="10" fontId="0" fillId="0" borderId="0" xfId="1" applyNumberFormat="1" applyFont="1"/>
    <xf numFmtId="10" fontId="6" fillId="0" borderId="0" xfId="0" applyNumberFormat="1" applyFont="1" applyAlignment="1">
      <alignment vertical="top"/>
    </xf>
    <xf numFmtId="10" fontId="0" fillId="0" borderId="0" xfId="0" applyNumberFormat="1"/>
    <xf numFmtId="0" fontId="1" fillId="0" borderId="3" xfId="0" applyFont="1" applyBorder="1"/>
    <xf numFmtId="10" fontId="0" fillId="0" borderId="3" xfId="1" applyNumberFormat="1" applyFont="1" applyBorder="1"/>
    <xf numFmtId="2" fontId="0" fillId="0" borderId="3" xfId="0" applyNumberFormat="1" applyBorder="1"/>
    <xf numFmtId="0" fontId="1" fillId="0" borderId="4" xfId="0" applyFont="1" applyBorder="1"/>
    <xf numFmtId="10" fontId="0" fillId="0" borderId="4" xfId="1" applyNumberFormat="1" applyFont="1" applyBorder="1"/>
    <xf numFmtId="2" fontId="0" fillId="0" borderId="4" xfId="0" applyNumberFormat="1" applyBorder="1"/>
    <xf numFmtId="10" fontId="0" fillId="4" borderId="0" xfId="1" applyNumberFormat="1" applyFont="1" applyFill="1" applyAlignment="1"/>
    <xf numFmtId="2" fontId="0" fillId="4" borderId="0" xfId="0" applyNumberFormat="1" applyFill="1"/>
    <xf numFmtId="0" fontId="0" fillId="0" borderId="4" xfId="0" applyBorder="1"/>
    <xf numFmtId="0" fontId="1" fillId="0" borderId="4" xfId="0" applyFont="1" applyBorder="1" applyAlignment="1">
      <alignment horizontal="right"/>
    </xf>
    <xf numFmtId="0" fontId="0" fillId="0" borderId="5" xfId="0" applyBorder="1"/>
    <xf numFmtId="10" fontId="0" fillId="0" borderId="5" xfId="1" applyNumberFormat="1" applyFont="1" applyBorder="1"/>
    <xf numFmtId="10" fontId="0" fillId="0" borderId="5" xfId="0" applyNumberFormat="1" applyBorder="1"/>
    <xf numFmtId="10" fontId="0" fillId="4" borderId="0" xfId="0" applyNumberFormat="1" applyFill="1"/>
    <xf numFmtId="10" fontId="0" fillId="4" borderId="5" xfId="1" applyNumberFormat="1" applyFont="1" applyFill="1" applyBorder="1"/>
    <xf numFmtId="10" fontId="6" fillId="0" borderId="0" xfId="0" applyNumberFormat="1" applyFont="1"/>
    <xf numFmtId="10" fontId="0" fillId="0" borderId="0" xfId="1" applyNumberFormat="1" applyFont="1" applyBorder="1"/>
    <xf numFmtId="2" fontId="0" fillId="0" borderId="5" xfId="0" applyNumberFormat="1" applyBorder="1"/>
    <xf numFmtId="0" fontId="7" fillId="0" borderId="0" xfId="0" applyFont="1"/>
    <xf numFmtId="0" fontId="8" fillId="0" borderId="0" xfId="0" applyFont="1"/>
    <xf numFmtId="164" fontId="6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0" fillId="5" borderId="0" xfId="0" applyFill="1"/>
    <xf numFmtId="10" fontId="6" fillId="0" borderId="0" xfId="1" applyNumberFormat="1" applyFont="1"/>
    <xf numFmtId="10" fontId="0" fillId="0" borderId="0" xfId="1" applyNumberFormat="1" applyFont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10" fontId="0" fillId="0" borderId="0" xfId="0" applyNumberFormat="1" applyAlignment="1">
      <alignment horizontal="right"/>
    </xf>
    <xf numFmtId="0" fontId="1" fillId="4" borderId="0" xfId="0" applyFont="1" applyFill="1"/>
    <xf numFmtId="10" fontId="1" fillId="4" borderId="0" xfId="0" applyNumberFormat="1" applyFont="1" applyFill="1"/>
    <xf numFmtId="10" fontId="6" fillId="0" borderId="0" xfId="0" applyNumberFormat="1" applyFont="1" applyAlignment="1">
      <alignment horizontal="right"/>
    </xf>
    <xf numFmtId="2" fontId="0" fillId="4" borderId="0" xfId="0" applyNumberFormat="1" applyFill="1" applyAlignment="1">
      <alignment horizontal="right"/>
    </xf>
    <xf numFmtId="10" fontId="0" fillId="4" borderId="5" xfId="0" applyNumberFormat="1" applyFill="1" applyBorder="1"/>
    <xf numFmtId="10" fontId="0" fillId="0" borderId="0" xfId="1" applyNumberFormat="1" applyFont="1" applyFill="1" applyBorder="1"/>
    <xf numFmtId="0" fontId="1" fillId="5" borderId="0" xfId="0" applyFont="1" applyFill="1"/>
    <xf numFmtId="10" fontId="1" fillId="5" borderId="0" xfId="0" applyNumberFormat="1" applyFont="1" applyFill="1"/>
    <xf numFmtId="0" fontId="9" fillId="0" borderId="0" xfId="0" applyFont="1"/>
    <xf numFmtId="17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" fillId="3" borderId="0" xfId="0" applyFont="1" applyFill="1"/>
    <xf numFmtId="165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right"/>
    </xf>
    <xf numFmtId="10" fontId="12" fillId="0" borderId="0" xfId="1" applyNumberFormat="1" applyFont="1"/>
    <xf numFmtId="0" fontId="1" fillId="0" borderId="9" xfId="0" applyFont="1" applyBorder="1"/>
    <xf numFmtId="166" fontId="1" fillId="0" borderId="9" xfId="0" applyNumberFormat="1" applyFont="1" applyBorder="1"/>
    <xf numFmtId="166" fontId="0" fillId="0" borderId="0" xfId="0" applyNumberFormat="1"/>
    <xf numFmtId="165" fontId="1" fillId="0" borderId="9" xfId="0" applyNumberFormat="1" applyFont="1" applyBorder="1"/>
    <xf numFmtId="167" fontId="0" fillId="0" borderId="0" xfId="0" applyNumberFormat="1"/>
    <xf numFmtId="0" fontId="11" fillId="0" borderId="0" xfId="0" applyFont="1"/>
    <xf numFmtId="165" fontId="1" fillId="0" borderId="0" xfId="0" applyNumberFormat="1" applyFont="1"/>
    <xf numFmtId="43" fontId="15" fillId="0" borderId="0" xfId="2" applyFont="1" applyBorder="1"/>
    <xf numFmtId="43" fontId="17" fillId="0" borderId="0" xfId="2" applyFont="1" applyBorder="1"/>
    <xf numFmtId="0" fontId="17" fillId="0" borderId="0" xfId="5" applyFont="1"/>
    <xf numFmtId="168" fontId="19" fillId="7" borderId="0" xfId="2" applyNumberFormat="1" applyFont="1" applyFill="1" applyBorder="1"/>
    <xf numFmtId="168" fontId="19" fillId="7" borderId="0" xfId="5" applyNumberFormat="1" applyFont="1" applyFill="1" applyAlignment="1">
      <alignment horizontal="center"/>
    </xf>
    <xf numFmtId="168" fontId="20" fillId="0" borderId="0" xfId="2" applyNumberFormat="1" applyFont="1" applyFill="1" applyBorder="1"/>
    <xf numFmtId="0" fontId="14" fillId="0" borderId="0" xfId="5"/>
    <xf numFmtId="9" fontId="17" fillId="0" borderId="0" xfId="6" applyFont="1" applyBorder="1"/>
    <xf numFmtId="0" fontId="21" fillId="0" borderId="0" xfId="7"/>
    <xf numFmtId="169" fontId="17" fillId="0" borderId="0" xfId="2" applyNumberFormat="1" applyFont="1" applyBorder="1"/>
    <xf numFmtId="3" fontId="0" fillId="0" borderId="0" xfId="0" applyNumberFormat="1"/>
    <xf numFmtId="17" fontId="9" fillId="2" borderId="0" xfId="0" applyNumberFormat="1" applyFont="1" applyFill="1"/>
    <xf numFmtId="0" fontId="1" fillId="0" borderId="10" xfId="0" applyFont="1" applyBorder="1"/>
    <xf numFmtId="0" fontId="0" fillId="0" borderId="9" xfId="0" applyBorder="1"/>
    <xf numFmtId="170" fontId="0" fillId="0" borderId="9" xfId="0" applyNumberFormat="1" applyBorder="1"/>
    <xf numFmtId="170" fontId="0" fillId="0" borderId="0" xfId="0" applyNumberFormat="1"/>
    <xf numFmtId="170" fontId="1" fillId="0" borderId="0" xfId="0" applyNumberFormat="1" applyFont="1"/>
    <xf numFmtId="0" fontId="1" fillId="0" borderId="1" xfId="0" applyFont="1" applyBorder="1"/>
    <xf numFmtId="170" fontId="0" fillId="0" borderId="11" xfId="0" applyNumberFormat="1" applyBorder="1"/>
    <xf numFmtId="0" fontId="1" fillId="0" borderId="12" xfId="0" applyFont="1" applyBorder="1"/>
    <xf numFmtId="0" fontId="0" fillId="0" borderId="12" xfId="0" applyBorder="1"/>
    <xf numFmtId="10" fontId="1" fillId="0" borderId="12" xfId="1" applyNumberFormat="1" applyFont="1" applyBorder="1"/>
    <xf numFmtId="0" fontId="22" fillId="8" borderId="0" xfId="0" applyFont="1" applyFill="1" applyAlignment="1">
      <alignment horizontal="left" vertical="center" indent="1"/>
    </xf>
    <xf numFmtId="0" fontId="22" fillId="8" borderId="0" xfId="0" applyFont="1" applyFill="1" applyAlignment="1">
      <alignment horizontal="right" vertical="center" wrapText="1" indent="1"/>
    </xf>
    <xf numFmtId="3" fontId="22" fillId="8" borderId="0" xfId="0" applyNumberFormat="1" applyFont="1" applyFill="1" applyAlignment="1">
      <alignment horizontal="right" vertical="center" wrapText="1" indent="1"/>
    </xf>
    <xf numFmtId="0" fontId="22" fillId="8" borderId="0" xfId="0" applyFont="1" applyFill="1" applyAlignment="1">
      <alignment horizontal="left" vertical="center"/>
    </xf>
    <xf numFmtId="0" fontId="23" fillId="8" borderId="0" xfId="0" applyFont="1" applyFill="1" applyAlignment="1">
      <alignment horizontal="left" vertical="center"/>
    </xf>
    <xf numFmtId="0" fontId="23" fillId="8" borderId="0" xfId="0" applyFont="1" applyFill="1" applyAlignment="1">
      <alignment horizontal="right" vertical="center" wrapText="1" indent="1"/>
    </xf>
    <xf numFmtId="3" fontId="23" fillId="8" borderId="0" xfId="0" applyNumberFormat="1" applyFont="1" applyFill="1" applyAlignment="1">
      <alignment horizontal="right" vertical="center" wrapText="1" indent="1"/>
    </xf>
    <xf numFmtId="171" fontId="0" fillId="0" borderId="0" xfId="0" applyNumberFormat="1"/>
    <xf numFmtId="170" fontId="1" fillId="0" borderId="1" xfId="0" applyNumberFormat="1" applyFont="1" applyBorder="1"/>
    <xf numFmtId="170" fontId="1" fillId="0" borderId="12" xfId="0" applyNumberFormat="1" applyFont="1" applyBorder="1"/>
    <xf numFmtId="10" fontId="6" fillId="0" borderId="9" xfId="0" applyNumberFormat="1" applyFont="1" applyBorder="1"/>
    <xf numFmtId="170" fontId="24" fillId="0" borderId="9" xfId="0" applyNumberFormat="1" applyFont="1" applyBorder="1"/>
    <xf numFmtId="10" fontId="0" fillId="0" borderId="9" xfId="0" applyNumberFormat="1" applyBorder="1"/>
    <xf numFmtId="10" fontId="1" fillId="0" borderId="12" xfId="0" applyNumberFormat="1" applyFont="1" applyBorder="1"/>
    <xf numFmtId="17" fontId="9" fillId="2" borderId="0" xfId="0" applyNumberFormat="1" applyFont="1" applyFill="1" applyAlignment="1">
      <alignment horizontal="right"/>
    </xf>
    <xf numFmtId="43" fontId="0" fillId="0" borderId="0" xfId="0" applyNumberFormat="1"/>
    <xf numFmtId="43" fontId="1" fillId="0" borderId="0" xfId="0" applyNumberFormat="1" applyFont="1"/>
    <xf numFmtId="43" fontId="1" fillId="0" borderId="12" xfId="0" applyNumberFormat="1" applyFont="1" applyBorder="1"/>
    <xf numFmtId="10" fontId="0" fillId="5" borderId="0" xfId="0" applyNumberFormat="1" applyFill="1"/>
    <xf numFmtId="173" fontId="9" fillId="2" borderId="0" xfId="0" applyNumberFormat="1" applyFont="1" applyFill="1"/>
    <xf numFmtId="174" fontId="9" fillId="2" borderId="0" xfId="0" applyNumberFormat="1" applyFont="1" applyFill="1"/>
    <xf numFmtId="43" fontId="0" fillId="0" borderId="9" xfId="0" applyNumberFormat="1" applyBorder="1"/>
    <xf numFmtId="0" fontId="6" fillId="0" borderId="9" xfId="0" applyFont="1" applyBorder="1"/>
    <xf numFmtId="43" fontId="0" fillId="4" borderId="9" xfId="0" applyNumberFormat="1" applyFill="1" applyBorder="1"/>
    <xf numFmtId="10" fontId="6" fillId="4" borderId="9" xfId="0" applyNumberFormat="1" applyFont="1" applyFill="1" applyBorder="1"/>
    <xf numFmtId="10" fontId="0" fillId="4" borderId="9" xfId="0" applyNumberFormat="1" applyFill="1" applyBorder="1"/>
    <xf numFmtId="0" fontId="0" fillId="4" borderId="9" xfId="0" applyFill="1" applyBorder="1"/>
    <xf numFmtId="0" fontId="0" fillId="4" borderId="0" xfId="0" applyFill="1"/>
    <xf numFmtId="172" fontId="0" fillId="0" borderId="9" xfId="0" applyNumberFormat="1" applyBorder="1"/>
    <xf numFmtId="0" fontId="1" fillId="4" borderId="12" xfId="0" applyFont="1" applyFill="1" applyBorder="1"/>
    <xf numFmtId="0" fontId="9" fillId="2" borderId="0" xfId="0" applyFont="1" applyFill="1" applyAlignment="1">
      <alignment horizontal="center"/>
    </xf>
    <xf numFmtId="43" fontId="16" fillId="0" borderId="0" xfId="3" applyNumberFormat="1" applyFont="1" applyBorder="1" applyAlignment="1" applyProtection="1">
      <alignment horizontal="center"/>
    </xf>
    <xf numFmtId="43" fontId="19" fillId="6" borderId="0" xfId="4" applyNumberFormat="1" applyFont="1" applyBorder="1" applyAlignment="1">
      <alignment horizontal="center"/>
    </xf>
    <xf numFmtId="14" fontId="25" fillId="8" borderId="0" xfId="0" applyNumberFormat="1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4" fontId="14" fillId="0" borderId="0" xfId="0" applyNumberFormat="1" applyFont="1" applyFill="1" applyAlignment="1">
      <alignment horizontal="right" vertical="center" wrapText="1" readingOrder="1"/>
    </xf>
    <xf numFmtId="14" fontId="25" fillId="9" borderId="0" xfId="0" applyNumberFormat="1" applyFont="1" applyFill="1" applyAlignment="1">
      <alignment horizontal="left" vertical="center"/>
    </xf>
    <xf numFmtId="3" fontId="1" fillId="0" borderId="10" xfId="0" applyNumberFormat="1" applyFont="1" applyBorder="1"/>
    <xf numFmtId="0" fontId="0" fillId="0" borderId="0" xfId="0" applyBorder="1"/>
    <xf numFmtId="170" fontId="0" fillId="0" borderId="0" xfId="0" applyNumberFormat="1" applyBorder="1"/>
    <xf numFmtId="0" fontId="1" fillId="0" borderId="0" xfId="0" applyFont="1" applyBorder="1"/>
    <xf numFmtId="170" fontId="1" fillId="0" borderId="0" xfId="0" applyNumberFormat="1" applyFont="1" applyBorder="1"/>
    <xf numFmtId="0" fontId="1" fillId="0" borderId="13" xfId="0" applyFont="1" applyBorder="1"/>
    <xf numFmtId="170" fontId="1" fillId="0" borderId="13" xfId="0" applyNumberFormat="1" applyFont="1" applyBorder="1"/>
    <xf numFmtId="3" fontId="0" fillId="0" borderId="14" xfId="0" applyNumberFormat="1" applyBorder="1"/>
    <xf numFmtId="0" fontId="1" fillId="0" borderId="15" xfId="0" applyFont="1" applyBorder="1"/>
    <xf numFmtId="164" fontId="0" fillId="0" borderId="15" xfId="0" applyNumberFormat="1" applyBorder="1"/>
    <xf numFmtId="0" fontId="1" fillId="0" borderId="16" xfId="0" applyFont="1" applyBorder="1"/>
    <xf numFmtId="170" fontId="0" fillId="0" borderId="16" xfId="0" applyNumberFormat="1" applyBorder="1"/>
    <xf numFmtId="0" fontId="0" fillId="0" borderId="0" xfId="0" applyFont="1"/>
    <xf numFmtId="0" fontId="0" fillId="0" borderId="17" xfId="0" applyBorder="1"/>
    <xf numFmtId="0" fontId="0" fillId="0" borderId="9" xfId="0" applyFont="1" applyBorder="1"/>
    <xf numFmtId="180" fontId="0" fillId="0" borderId="0" xfId="0" applyNumberFormat="1"/>
    <xf numFmtId="0" fontId="10" fillId="2" borderId="0" xfId="0" applyFont="1" applyFill="1" applyAlignment="1">
      <alignment horizontal="center"/>
    </xf>
    <xf numFmtId="172" fontId="0" fillId="0" borderId="0" xfId="0" applyNumberFormat="1"/>
    <xf numFmtId="0" fontId="26" fillId="0" borderId="0" xfId="0" applyFont="1"/>
    <xf numFmtId="0" fontId="0" fillId="0" borderId="18" xfId="0" applyBorder="1"/>
    <xf numFmtId="10" fontId="0" fillId="0" borderId="18" xfId="1" applyNumberFormat="1" applyFont="1" applyBorder="1"/>
    <xf numFmtId="9" fontId="0" fillId="0" borderId="5" xfId="1" applyFont="1" applyBorder="1"/>
    <xf numFmtId="9" fontId="0" fillId="0" borderId="0" xfId="1" applyFont="1" applyBorder="1"/>
    <xf numFmtId="187" fontId="0" fillId="0" borderId="18" xfId="0" applyNumberFormat="1" applyBorder="1"/>
    <xf numFmtId="187" fontId="0" fillId="0" borderId="5" xfId="0" applyNumberFormat="1" applyBorder="1"/>
    <xf numFmtId="187" fontId="0" fillId="0" borderId="0" xfId="0" applyNumberFormat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18" xfId="0" applyNumberFormat="1" applyBorder="1"/>
    <xf numFmtId="17" fontId="9" fillId="2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14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92" fontId="0" fillId="0" borderId="0" xfId="0" applyNumberFormat="1" applyAlignment="1">
      <alignment horizontal="left"/>
    </xf>
    <xf numFmtId="193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7" xfId="0" applyFill="1" applyBorder="1" applyAlignment="1"/>
    <xf numFmtId="0" fontId="11" fillId="0" borderId="8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Continuous"/>
    </xf>
    <xf numFmtId="172" fontId="0" fillId="5" borderId="0" xfId="0" applyNumberFormat="1" applyFill="1"/>
    <xf numFmtId="0" fontId="0" fillId="0" borderId="0" xfId="0" applyFill="1"/>
    <xf numFmtId="0" fontId="1" fillId="0" borderId="19" xfId="0" applyFont="1" applyBorder="1"/>
    <xf numFmtId="175" fontId="1" fillId="0" borderId="13" xfId="1" applyNumberFormat="1" applyFont="1" applyFill="1" applyBorder="1"/>
  </cellXfs>
  <cellStyles count="8">
    <cellStyle name="Accent6 2" xfId="4" xr:uid="{C4E8E0CB-FE77-482F-93E0-B2E0584F0368}"/>
    <cellStyle name="Comma 2" xfId="2" xr:uid="{1A7DFA1D-C51A-40CE-910E-8390CF1EC924}"/>
    <cellStyle name="Hyperlink 2" xfId="3" xr:uid="{C7BBB295-D97F-41F6-AD82-25BFD9046B13}"/>
    <cellStyle name="Normal" xfId="0" builtinId="0"/>
    <cellStyle name="Normal 2" xfId="7" xr:uid="{633D282F-8662-4C6C-BDD9-AD052BE7F2A5}"/>
    <cellStyle name="Normal 3" xfId="5" xr:uid="{EAECDA40-276A-48EF-BFC3-4D8D193BC9C6}"/>
    <cellStyle name="Percent" xfId="1" builtinId="5"/>
    <cellStyle name="Percent 3" xfId="6" xr:uid="{43F4A9DE-7E1B-4A43-8A65-13C050C61561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screener.in/excel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5B7B-C668-4751-B269-60A6246385E1}">
  <sheetPr>
    <pageSetUpPr fitToPage="1"/>
  </sheetPr>
  <dimension ref="A1:J47"/>
  <sheetViews>
    <sheetView showGridLines="0" tabSelected="1" zoomScaleNormal="100" workbookViewId="0">
      <selection activeCell="K40" sqref="K40"/>
    </sheetView>
  </sheetViews>
  <sheetFormatPr defaultRowHeight="14.4"/>
  <cols>
    <col min="1" max="1" width="1.88671875" customWidth="1"/>
    <col min="2" max="2" width="19.88671875" customWidth="1"/>
    <col min="3" max="3" width="10.33203125" bestFit="1" customWidth="1"/>
    <col min="4" max="4" width="10.109375" bestFit="1" customWidth="1"/>
    <col min="5" max="5" width="11.44140625" bestFit="1" customWidth="1"/>
    <col min="6" max="6" width="10.88671875" customWidth="1"/>
    <col min="7" max="9" width="9.33203125" customWidth="1"/>
    <col min="10" max="10" width="10.33203125" bestFit="1" customWidth="1"/>
    <col min="14" max="14" width="16.5546875" bestFit="1" customWidth="1"/>
    <col min="15" max="15" width="9.88671875" bestFit="1" customWidth="1"/>
    <col min="16" max="16" width="6.5546875" bestFit="1" customWidth="1"/>
  </cols>
  <sheetData>
    <row r="1" spans="2:10">
      <c r="B1" s="1"/>
      <c r="C1" s="1"/>
      <c r="D1" s="1"/>
      <c r="E1" s="1"/>
      <c r="F1" s="1"/>
      <c r="G1" s="1"/>
      <c r="H1" s="1"/>
      <c r="I1" s="1"/>
      <c r="J1" s="1"/>
    </row>
    <row r="2" spans="2:10">
      <c r="B2" s="1"/>
      <c r="C2" s="1"/>
      <c r="D2" s="1"/>
      <c r="E2" s="1"/>
      <c r="F2" s="1"/>
      <c r="G2" s="1"/>
      <c r="H2" s="1"/>
      <c r="I2" s="1"/>
      <c r="J2" s="1"/>
    </row>
    <row r="3" spans="2:10">
      <c r="B3" s="1"/>
      <c r="C3" s="1"/>
      <c r="D3" s="1"/>
      <c r="E3" s="1"/>
      <c r="F3" s="1"/>
      <c r="G3" s="1"/>
      <c r="H3" s="1"/>
      <c r="I3" s="1"/>
      <c r="J3" s="1"/>
    </row>
    <row r="4" spans="2:10">
      <c r="B4" s="1"/>
      <c r="C4" s="1"/>
      <c r="D4" s="1"/>
      <c r="E4" s="1"/>
      <c r="F4" s="1"/>
      <c r="G4" s="1"/>
      <c r="H4" s="1"/>
      <c r="I4" s="1"/>
      <c r="J4" s="1"/>
    </row>
    <row r="6" spans="2:10" ht="18">
      <c r="B6" s="5" t="s">
        <v>0</v>
      </c>
      <c r="C6" s="6"/>
      <c r="D6" s="6"/>
      <c r="E6" s="6"/>
      <c r="F6" s="7"/>
      <c r="G6" s="7"/>
      <c r="H6" s="7"/>
      <c r="I6" s="7"/>
      <c r="J6" s="7"/>
    </row>
    <row r="8" spans="2:10">
      <c r="B8" s="35" t="s">
        <v>1</v>
      </c>
    </row>
    <row r="10" spans="2:10">
      <c r="B10" s="2" t="s">
        <v>2</v>
      </c>
    </row>
    <row r="11" spans="2:10" ht="13.5" customHeight="1">
      <c r="B11" s="3"/>
      <c r="C11" s="3"/>
      <c r="D11" s="3"/>
      <c r="E11" s="3"/>
      <c r="F11" s="11"/>
      <c r="G11" s="11" t="s">
        <v>8</v>
      </c>
      <c r="H11" s="11" t="s">
        <v>8</v>
      </c>
      <c r="I11" s="11" t="s">
        <v>10</v>
      </c>
      <c r="J11" s="11" t="s">
        <v>13</v>
      </c>
    </row>
    <row r="12" spans="2:10" ht="18.75" customHeight="1">
      <c r="B12" s="4" t="s">
        <v>3</v>
      </c>
      <c r="C12" s="4" t="s">
        <v>4</v>
      </c>
      <c r="D12" s="12" t="s">
        <v>5</v>
      </c>
      <c r="E12" s="12" t="s">
        <v>6</v>
      </c>
      <c r="F12" s="12" t="s">
        <v>11</v>
      </c>
      <c r="G12" s="12" t="s">
        <v>9</v>
      </c>
      <c r="H12" s="12" t="s">
        <v>16</v>
      </c>
      <c r="I12" s="12" t="s">
        <v>12</v>
      </c>
      <c r="J12" s="12" t="s">
        <v>14</v>
      </c>
    </row>
    <row r="13" spans="2:10">
      <c r="B13" s="8"/>
      <c r="C13" s="8"/>
      <c r="D13" s="8"/>
      <c r="E13" s="8"/>
      <c r="F13" s="8"/>
      <c r="G13" s="8"/>
      <c r="H13" s="8"/>
      <c r="I13" s="8"/>
      <c r="J13" s="8"/>
    </row>
    <row r="14" spans="2:10">
      <c r="B14" s="10" t="s">
        <v>250</v>
      </c>
      <c r="C14" s="10" t="s">
        <v>15</v>
      </c>
      <c r="D14" s="37">
        <v>4959</v>
      </c>
      <c r="E14" s="37">
        <v>52990</v>
      </c>
      <c r="F14" s="15">
        <v>0.3</v>
      </c>
      <c r="G14" s="23">
        <f>D14/E14</f>
        <v>9.3583695036799391E-2</v>
      </c>
      <c r="H14" s="23">
        <f>D14/(D14+E14)</f>
        <v>8.5575247200124244E-2</v>
      </c>
      <c r="I14" s="13">
        <f>'Beta - Regression'!M11</f>
        <v>0.97899689790704103</v>
      </c>
      <c r="J14" s="24">
        <f>I14/(1+(1-F14)*G14)</f>
        <v>0.9188071408220162</v>
      </c>
    </row>
    <row r="15" spans="2:10">
      <c r="B15" s="10" t="s">
        <v>251</v>
      </c>
      <c r="C15" s="10" t="s">
        <v>15</v>
      </c>
      <c r="D15" s="37">
        <v>1914</v>
      </c>
      <c r="E15" s="37">
        <v>10671</v>
      </c>
      <c r="F15" s="15">
        <v>0.3</v>
      </c>
      <c r="G15" s="23">
        <f t="shared" ref="G15:G18" si="0">D15/E15</f>
        <v>0.17936463311779591</v>
      </c>
      <c r="H15" s="23">
        <f t="shared" ref="H15:H18" si="1">D15/(D15+E15)</f>
        <v>0.15208581644815256</v>
      </c>
      <c r="I15" s="13">
        <v>1.67</v>
      </c>
      <c r="J15" s="24">
        <f t="shared" ref="J15:J18" si="2">I15/(1+(1-F15)*G15)</f>
        <v>1.4837121590568487</v>
      </c>
    </row>
    <row r="16" spans="2:10">
      <c r="B16" s="10" t="s">
        <v>252</v>
      </c>
      <c r="C16" s="10" t="s">
        <v>15</v>
      </c>
      <c r="D16" s="37">
        <v>930</v>
      </c>
      <c r="E16" s="37">
        <v>8888.2000000000007</v>
      </c>
      <c r="F16" s="15">
        <v>0.3</v>
      </c>
      <c r="G16" s="23">
        <f t="shared" si="0"/>
        <v>0.10463310906595261</v>
      </c>
      <c r="H16" s="23">
        <f t="shared" si="1"/>
        <v>9.4722046811024418E-2</v>
      </c>
      <c r="I16" s="13">
        <v>1.27</v>
      </c>
      <c r="J16" s="24">
        <f t="shared" si="2"/>
        <v>1.1833292099966455</v>
      </c>
    </row>
    <row r="17" spans="2:10">
      <c r="B17" s="10" t="s">
        <v>253</v>
      </c>
      <c r="C17" s="10" t="s">
        <v>15</v>
      </c>
      <c r="D17" s="37">
        <v>288.7</v>
      </c>
      <c r="E17" s="37">
        <v>7759.2</v>
      </c>
      <c r="F17" s="15">
        <v>0.3</v>
      </c>
      <c r="G17" s="23">
        <f t="shared" si="0"/>
        <v>3.7207444066398594E-2</v>
      </c>
      <c r="H17" s="23">
        <f t="shared" si="1"/>
        <v>3.5872712136085193E-2</v>
      </c>
      <c r="I17" s="13">
        <v>1.22</v>
      </c>
      <c r="J17" s="24">
        <f t="shared" si="2"/>
        <v>1.1890314258116461</v>
      </c>
    </row>
    <row r="18" spans="2:10">
      <c r="B18" s="10" t="s">
        <v>254</v>
      </c>
      <c r="C18" s="10" t="s">
        <v>15</v>
      </c>
      <c r="D18" s="37">
        <v>2151.1</v>
      </c>
      <c r="E18" s="37">
        <v>7726.7</v>
      </c>
      <c r="F18" s="15">
        <v>0.3</v>
      </c>
      <c r="G18" s="23">
        <f t="shared" si="0"/>
        <v>0.27839828128437755</v>
      </c>
      <c r="H18" s="23">
        <f t="shared" si="1"/>
        <v>0.21777116361942944</v>
      </c>
      <c r="I18" s="13">
        <v>1.82</v>
      </c>
      <c r="J18" s="24">
        <f t="shared" si="2"/>
        <v>1.5231670398062491</v>
      </c>
    </row>
    <row r="19" spans="2:10">
      <c r="F19" s="16"/>
    </row>
    <row r="20" spans="2:10">
      <c r="E20" s="17" t="s">
        <v>7</v>
      </c>
      <c r="F20" s="18">
        <f>AVERAGE(F14:F18)</f>
        <v>0.3</v>
      </c>
      <c r="G20" s="18">
        <f t="shared" ref="G20:J20" si="3">AVERAGE(G14:G18)</f>
        <v>0.1386374325142648</v>
      </c>
      <c r="H20" s="18">
        <f t="shared" si="3"/>
        <v>0.11720539724296317</v>
      </c>
      <c r="I20" s="19">
        <f t="shared" si="3"/>
        <v>1.3917993795814083</v>
      </c>
      <c r="J20" s="19">
        <f t="shared" si="3"/>
        <v>1.2596093950986811</v>
      </c>
    </row>
    <row r="21" spans="2:10">
      <c r="E21" s="20" t="s">
        <v>17</v>
      </c>
      <c r="F21" s="21">
        <f>MEDIAN(F14:F18)</f>
        <v>0.3</v>
      </c>
      <c r="G21" s="21">
        <f t="shared" ref="G21:J21" si="4">MEDIAN(G14:G18)</f>
        <v>0.10463310906595261</v>
      </c>
      <c r="H21" s="21">
        <f t="shared" si="4"/>
        <v>9.4722046811024418E-2</v>
      </c>
      <c r="I21" s="22">
        <f t="shared" si="4"/>
        <v>1.27</v>
      </c>
      <c r="J21" s="22">
        <f t="shared" si="4"/>
        <v>1.1890314258116461</v>
      </c>
    </row>
    <row r="22" spans="2:10">
      <c r="G22" s="9"/>
    </row>
    <row r="23" spans="2:10">
      <c r="G23" s="9"/>
    </row>
    <row r="24" spans="2:10">
      <c r="B24" s="20" t="s">
        <v>29</v>
      </c>
      <c r="C24" s="25"/>
      <c r="D24" s="25"/>
      <c r="E24" s="25"/>
      <c r="G24" s="20" t="s">
        <v>23</v>
      </c>
      <c r="H24" s="25"/>
      <c r="I24" s="25"/>
      <c r="J24" s="25"/>
    </row>
    <row r="25" spans="2:10">
      <c r="B25" s="9"/>
      <c r="G25" s="9"/>
    </row>
    <row r="26" spans="2:10">
      <c r="B26" t="s">
        <v>30</v>
      </c>
      <c r="E26" s="43">
        <v>5.8000000000000003E-2</v>
      </c>
      <c r="G26" t="s">
        <v>24</v>
      </c>
      <c r="J26" s="50">
        <v>7.3910000000000003E-2</v>
      </c>
    </row>
    <row r="27" spans="2:10">
      <c r="B27" t="s">
        <v>31</v>
      </c>
      <c r="E27" s="16">
        <f>F21</f>
        <v>0.3</v>
      </c>
      <c r="G27" t="s">
        <v>25</v>
      </c>
      <c r="J27" s="47">
        <f>Rm!G11-WACC!J26</f>
        <v>7.3439230769230757E-2</v>
      </c>
    </row>
    <row r="28" spans="2:10" ht="15.75" customHeight="1">
      <c r="B28" s="27" t="s">
        <v>32</v>
      </c>
      <c r="C28" s="27"/>
      <c r="D28" s="27"/>
      <c r="E28" s="31">
        <f>E26*(1-E27)</f>
        <v>4.0599999999999997E-2</v>
      </c>
      <c r="G28" t="s">
        <v>28</v>
      </c>
      <c r="J28" s="51">
        <f>J37</f>
        <v>1.4983818528901882</v>
      </c>
    </row>
    <row r="29" spans="2:10">
      <c r="G29" s="27" t="s">
        <v>23</v>
      </c>
      <c r="H29" s="27"/>
      <c r="I29" s="27"/>
      <c r="J29" s="52">
        <f>J26+(J27*J28)</f>
        <v>0.18395001067483011</v>
      </c>
    </row>
    <row r="32" spans="2:10">
      <c r="B32" s="20" t="s">
        <v>18</v>
      </c>
      <c r="C32" s="25"/>
      <c r="D32" s="25"/>
      <c r="E32" s="25"/>
      <c r="G32" s="20" t="s">
        <v>33</v>
      </c>
      <c r="H32" s="25"/>
      <c r="I32" s="25"/>
      <c r="J32" s="25"/>
    </row>
    <row r="33" spans="1:10">
      <c r="G33" s="2"/>
    </row>
    <row r="34" spans="1:10">
      <c r="D34" s="26" t="s">
        <v>21</v>
      </c>
      <c r="E34" s="26" t="s">
        <v>22</v>
      </c>
      <c r="G34" s="9" t="s">
        <v>34</v>
      </c>
      <c r="J34" s="9">
        <f>J21</f>
        <v>1.1890314258116461</v>
      </c>
    </row>
    <row r="35" spans="1:10">
      <c r="B35" t="s">
        <v>5</v>
      </c>
      <c r="C35" s="37">
        <f>D14</f>
        <v>4959</v>
      </c>
      <c r="D35" s="14">
        <f>C35/$C$37</f>
        <v>8.5575247200124244E-2</v>
      </c>
      <c r="E35" s="32">
        <f>H20</f>
        <v>0.11720539724296317</v>
      </c>
      <c r="G35" t="s">
        <v>35</v>
      </c>
      <c r="J35" s="33">
        <f>E39</f>
        <v>0.13276632738455979</v>
      </c>
    </row>
    <row r="36" spans="1:10">
      <c r="B36" t="s">
        <v>19</v>
      </c>
      <c r="C36" s="37">
        <f>E14</f>
        <v>52990</v>
      </c>
      <c r="D36" s="14">
        <f>C36/$C$37</f>
        <v>0.91442475279987578</v>
      </c>
      <c r="E36" s="16">
        <f>E37-E35</f>
        <v>0.88279460275703681</v>
      </c>
      <c r="G36" t="s">
        <v>31</v>
      </c>
      <c r="J36" s="16">
        <f>E27</f>
        <v>0.3</v>
      </c>
    </row>
    <row r="37" spans="1:10">
      <c r="B37" t="s">
        <v>20</v>
      </c>
      <c r="C37" s="27">
        <f>SUM(C35:C36)</f>
        <v>57949</v>
      </c>
      <c r="D37" s="28">
        <f>C37/$C$37</f>
        <v>1</v>
      </c>
      <c r="E37" s="29">
        <f>D37</f>
        <v>1</v>
      </c>
      <c r="G37" s="27" t="s">
        <v>26</v>
      </c>
      <c r="H37" s="27"/>
      <c r="I37" s="27"/>
      <c r="J37" s="34">
        <f>J34*(1+(1-J35)*J36)</f>
        <v>1.4983818528901882</v>
      </c>
    </row>
    <row r="39" spans="1:10">
      <c r="B39" t="s">
        <v>27</v>
      </c>
      <c r="D39" s="30">
        <f>D35/D36</f>
        <v>9.3583695036799391E-2</v>
      </c>
      <c r="E39" s="30">
        <f>E35/E36</f>
        <v>0.13276632738455979</v>
      </c>
      <c r="G39" s="20" t="s">
        <v>0</v>
      </c>
      <c r="H39" s="25"/>
      <c r="I39" s="25"/>
      <c r="J39" s="25"/>
    </row>
    <row r="40" spans="1:10">
      <c r="G40" s="9"/>
    </row>
    <row r="41" spans="1:10">
      <c r="B41" s="36" t="s">
        <v>36</v>
      </c>
      <c r="G41" t="s">
        <v>23</v>
      </c>
      <c r="J41" s="53">
        <f>J29</f>
        <v>0.18395001067483011</v>
      </c>
    </row>
    <row r="42" spans="1:10">
      <c r="B42" s="36" t="s">
        <v>37</v>
      </c>
      <c r="G42" t="s">
        <v>85</v>
      </c>
      <c r="J42" s="16">
        <f>E36</f>
        <v>0.88279460275703681</v>
      </c>
    </row>
    <row r="43" spans="1:10">
      <c r="A43" t="s">
        <v>38</v>
      </c>
      <c r="B43" s="36" t="s">
        <v>39</v>
      </c>
      <c r="J43" s="53"/>
    </row>
    <row r="44" spans="1:10">
      <c r="B44" s="36" t="s">
        <v>40</v>
      </c>
      <c r="G44" t="s">
        <v>29</v>
      </c>
      <c r="J44" s="16">
        <f>E28</f>
        <v>4.0599999999999997E-2</v>
      </c>
    </row>
    <row r="45" spans="1:10">
      <c r="G45" t="s">
        <v>86</v>
      </c>
      <c r="J45" s="16">
        <f>E35</f>
        <v>0.11720539724296317</v>
      </c>
    </row>
    <row r="47" spans="1:10">
      <c r="G47" s="54" t="s">
        <v>87</v>
      </c>
      <c r="H47" s="54"/>
      <c r="I47" s="54"/>
      <c r="J47" s="55">
        <f>(J41*J42)+(J44*J45)</f>
        <v>0.16714861572890363</v>
      </c>
    </row>
  </sheetData>
  <pageMargins left="0.7" right="0.7" top="0.75" bottom="0.75" header="0.3" footer="0.3"/>
  <pageSetup scale="87" orientation="portrait" r:id="rId1"/>
  <customProperties>
    <customPr name="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284B-6E43-4C29-92AC-CEA7C520B163}">
  <dimension ref="A1:L93"/>
  <sheetViews>
    <sheetView zoomScaleNormal="100" workbookViewId="0">
      <pane xSplit="1" ySplit="1" topLeftCell="B48" activePane="bottomRight" state="frozen"/>
      <selection activeCell="C4" sqref="C4"/>
      <selection pane="topRight" activeCell="C4" sqref="C4"/>
      <selection pane="bottomLeft" activeCell="C4" sqref="C4"/>
      <selection pane="bottomRight" activeCell="J49" sqref="J49"/>
    </sheetView>
  </sheetViews>
  <sheetFormatPr defaultColWidth="10.44140625" defaultRowHeight="13.2"/>
  <cols>
    <col min="1" max="1" width="26.6640625" style="72" bestFit="1" customWidth="1"/>
    <col min="2" max="11" width="11.44140625" style="72" bestFit="1" customWidth="1"/>
    <col min="12" max="16384" width="10.44140625" style="72"/>
  </cols>
  <sheetData>
    <row r="1" spans="1:11" s="71" customFormat="1">
      <c r="A1" s="71" t="s">
        <v>141</v>
      </c>
      <c r="B1" s="71" t="s">
        <v>142</v>
      </c>
      <c r="E1" s="124" t="str">
        <f>IF(B2&lt;&gt;B3, "A NEW VERSION OF THE WORKSHEET IS AVAILABLE", "")</f>
        <v/>
      </c>
      <c r="F1" s="124"/>
      <c r="G1" s="124"/>
      <c r="H1" s="124"/>
      <c r="I1" s="124"/>
      <c r="J1" s="124"/>
      <c r="K1" s="124"/>
    </row>
    <row r="2" spans="1:11">
      <c r="A2" s="71" t="s">
        <v>143</v>
      </c>
      <c r="B2" s="72">
        <v>2.1</v>
      </c>
      <c r="E2" s="125" t="s">
        <v>144</v>
      </c>
      <c r="F2" s="125"/>
      <c r="G2" s="125"/>
      <c r="H2" s="125"/>
      <c r="I2" s="125"/>
      <c r="J2" s="125"/>
      <c r="K2" s="125"/>
    </row>
    <row r="3" spans="1:11">
      <c r="A3" s="71" t="s">
        <v>145</v>
      </c>
      <c r="B3" s="72">
        <v>2.1</v>
      </c>
    </row>
    <row r="4" spans="1:11">
      <c r="A4" s="71"/>
    </row>
    <row r="5" spans="1:11">
      <c r="A5" s="71" t="s">
        <v>146</v>
      </c>
    </row>
    <row r="6" spans="1:11">
      <c r="A6" s="72" t="s">
        <v>147</v>
      </c>
      <c r="B6" s="72">
        <f>IF(B9&gt;0, B9/B8, 0)</f>
        <v>88.778617164379881</v>
      </c>
    </row>
    <row r="7" spans="1:11">
      <c r="A7" s="72" t="s">
        <v>148</v>
      </c>
      <c r="B7" s="73">
        <v>1</v>
      </c>
    </row>
    <row r="8" spans="1:11">
      <c r="A8" s="72" t="s">
        <v>149</v>
      </c>
      <c r="B8" s="73">
        <v>3717</v>
      </c>
    </row>
    <row r="9" spans="1:11">
      <c r="A9" s="72" t="s">
        <v>19</v>
      </c>
      <c r="B9" s="73">
        <v>329990.12</v>
      </c>
    </row>
    <row r="15" spans="1:11">
      <c r="A15" s="71" t="s">
        <v>150</v>
      </c>
      <c r="B15" s="72">
        <f>B26+B34</f>
        <v>1104.8500000000001</v>
      </c>
      <c r="K15" s="72">
        <f>K17-K18-K20-K21-K22-K23-K19</f>
        <v>-8686</v>
      </c>
    </row>
    <row r="16" spans="1:11" s="76" customFormat="1">
      <c r="A16" s="74" t="s">
        <v>151</v>
      </c>
      <c r="B16" s="75">
        <v>42460</v>
      </c>
      <c r="C16" s="75">
        <v>42825</v>
      </c>
      <c r="D16" s="75">
        <v>43190</v>
      </c>
      <c r="E16" s="75">
        <v>43555</v>
      </c>
      <c r="F16" s="75">
        <v>43921</v>
      </c>
      <c r="G16" s="75">
        <v>44286</v>
      </c>
      <c r="H16" s="75">
        <v>44651</v>
      </c>
      <c r="I16" s="75">
        <v>45016</v>
      </c>
      <c r="J16" s="75">
        <v>45382</v>
      </c>
      <c r="K16" s="75">
        <v>45747</v>
      </c>
    </row>
    <row r="17" spans="1:11">
      <c r="A17" s="72" t="s">
        <v>92</v>
      </c>
      <c r="B17" s="73">
        <v>11275.89</v>
      </c>
      <c r="C17" s="73">
        <v>13260.83</v>
      </c>
      <c r="D17" s="73">
        <v>16119.77</v>
      </c>
      <c r="E17" s="73">
        <v>19778.52</v>
      </c>
      <c r="F17" s="73">
        <v>21052</v>
      </c>
      <c r="G17" s="73">
        <v>21644</v>
      </c>
      <c r="H17" s="73">
        <v>28799</v>
      </c>
      <c r="I17" s="73">
        <v>40575</v>
      </c>
      <c r="J17" s="73">
        <v>51084</v>
      </c>
      <c r="K17" s="73">
        <v>60456</v>
      </c>
    </row>
    <row r="18" spans="1:11" ht="14.4">
      <c r="A18" s="72" t="s">
        <v>152</v>
      </c>
      <c r="B18" s="77">
        <v>8372.17</v>
      </c>
      <c r="C18" s="77">
        <v>9821.14</v>
      </c>
      <c r="D18" s="77">
        <v>12664.83</v>
      </c>
      <c r="E18" s="77">
        <v>15170.66</v>
      </c>
      <c r="F18" s="77">
        <v>16033</v>
      </c>
      <c r="G18" s="77">
        <v>16292</v>
      </c>
      <c r="H18" s="77">
        <v>26436</v>
      </c>
      <c r="I18" s="77">
        <v>32589</v>
      </c>
      <c r="J18" s="77">
        <v>42103</v>
      </c>
      <c r="K18" s="77">
        <v>55271</v>
      </c>
    </row>
    <row r="19" spans="1:11" ht="14.4">
      <c r="A19" s="72" t="s">
        <v>153</v>
      </c>
      <c r="B19" s="77">
        <v>191.43</v>
      </c>
      <c r="C19" s="77">
        <v>313.70999999999998</v>
      </c>
      <c r="D19" s="77">
        <v>978.61</v>
      </c>
      <c r="E19" s="77">
        <v>776.41</v>
      </c>
      <c r="F19" s="77">
        <v>878</v>
      </c>
      <c r="G19" s="77">
        <v>-122</v>
      </c>
      <c r="H19" s="77">
        <v>4795</v>
      </c>
      <c r="I19" s="77">
        <v>2234</v>
      </c>
      <c r="J19" s="77">
        <v>2671</v>
      </c>
      <c r="K19" s="77">
        <v>7815</v>
      </c>
    </row>
    <row r="20" spans="1:11">
      <c r="A20" s="72" t="s">
        <v>154</v>
      </c>
      <c r="B20" s="73">
        <v>41.2</v>
      </c>
      <c r="C20" s="73">
        <v>43.84</v>
      </c>
      <c r="D20" s="73">
        <v>45.32</v>
      </c>
      <c r="E20" s="73">
        <v>48.51</v>
      </c>
      <c r="F20" s="73">
        <v>52</v>
      </c>
      <c r="G20" s="73">
        <v>37</v>
      </c>
      <c r="H20" s="73">
        <v>45</v>
      </c>
      <c r="I20" s="73">
        <v>59</v>
      </c>
      <c r="J20" s="73">
        <v>71</v>
      </c>
      <c r="K20" s="73">
        <v>78</v>
      </c>
    </row>
    <row r="21" spans="1:11">
      <c r="A21" s="72" t="s">
        <v>155</v>
      </c>
      <c r="B21" s="73">
        <v>261.7</v>
      </c>
      <c r="C21" s="73">
        <v>160.41999999999999</v>
      </c>
      <c r="D21" s="73">
        <v>124.83</v>
      </c>
      <c r="E21" s="73">
        <v>193.28</v>
      </c>
      <c r="F21" s="73">
        <v>215</v>
      </c>
      <c r="G21" s="73">
        <v>141</v>
      </c>
      <c r="H21" s="73">
        <v>183</v>
      </c>
      <c r="I21" s="73">
        <v>225</v>
      </c>
      <c r="J21" s="73">
        <v>286</v>
      </c>
      <c r="K21" s="73">
        <v>326</v>
      </c>
    </row>
    <row r="22" spans="1:11">
      <c r="A22" s="72" t="s">
        <v>156</v>
      </c>
      <c r="B22" s="73">
        <v>699.69</v>
      </c>
      <c r="C22" s="73">
        <v>894.32</v>
      </c>
      <c r="D22" s="73">
        <v>906.26</v>
      </c>
      <c r="E22" s="73">
        <v>1024.44</v>
      </c>
      <c r="F22" s="73">
        <v>1204</v>
      </c>
      <c r="G22" s="73">
        <v>1069</v>
      </c>
      <c r="H22" s="73">
        <v>1356</v>
      </c>
      <c r="I22" s="73">
        <v>1656</v>
      </c>
      <c r="J22" s="73">
        <v>1875</v>
      </c>
      <c r="K22" s="73">
        <v>2164</v>
      </c>
    </row>
    <row r="23" spans="1:11">
      <c r="A23" s="72" t="s">
        <v>157</v>
      </c>
      <c r="B23" s="73">
        <v>846.43</v>
      </c>
      <c r="C23" s="73">
        <v>1211.1600000000001</v>
      </c>
      <c r="D23" s="73">
        <v>1277.81</v>
      </c>
      <c r="E23" s="73">
        <v>1454.32</v>
      </c>
      <c r="F23" s="73">
        <v>1470</v>
      </c>
      <c r="G23" s="73">
        <v>1029</v>
      </c>
      <c r="H23" s="73">
        <v>1697</v>
      </c>
      <c r="I23" s="73">
        <v>2715</v>
      </c>
      <c r="J23" s="73">
        <v>3249</v>
      </c>
      <c r="K23" s="73">
        <v>3488</v>
      </c>
    </row>
    <row r="24" spans="1:11">
      <c r="A24" s="72" t="s">
        <v>158</v>
      </c>
      <c r="B24" s="73">
        <v>306.8</v>
      </c>
      <c r="C24" s="73">
        <v>279.76</v>
      </c>
      <c r="D24" s="73">
        <v>435.13</v>
      </c>
      <c r="E24" s="73">
        <v>669.93</v>
      </c>
      <c r="F24" s="73">
        <v>493</v>
      </c>
      <c r="G24" s="73">
        <v>1229</v>
      </c>
      <c r="H24" s="73">
        <v>533</v>
      </c>
      <c r="I24" s="73">
        <v>683</v>
      </c>
      <c r="J24" s="73">
        <v>879</v>
      </c>
      <c r="K24" s="73">
        <v>1250</v>
      </c>
    </row>
    <row r="25" spans="1:11">
      <c r="A25" s="72" t="s">
        <v>159</v>
      </c>
      <c r="B25" s="73">
        <v>69.33</v>
      </c>
      <c r="C25" s="73">
        <v>-42.38</v>
      </c>
      <c r="D25" s="73">
        <v>69.930000000000007</v>
      </c>
      <c r="E25" s="73">
        <v>178.48</v>
      </c>
      <c r="F25" s="73">
        <v>153</v>
      </c>
      <c r="G25" s="73">
        <v>180</v>
      </c>
      <c r="H25" s="73">
        <v>177</v>
      </c>
      <c r="I25" s="73">
        <v>306</v>
      </c>
      <c r="J25" s="73">
        <v>534</v>
      </c>
      <c r="K25" s="73">
        <v>487</v>
      </c>
    </row>
    <row r="26" spans="1:11">
      <c r="A26" s="72" t="s">
        <v>105</v>
      </c>
      <c r="B26" s="73">
        <v>98.19</v>
      </c>
      <c r="C26" s="73">
        <v>110.53</v>
      </c>
      <c r="D26" s="73">
        <v>131.43</v>
      </c>
      <c r="E26" s="73">
        <v>162.84</v>
      </c>
      <c r="F26" s="73">
        <v>348</v>
      </c>
      <c r="G26" s="73">
        <v>375</v>
      </c>
      <c r="H26" s="73">
        <v>399</v>
      </c>
      <c r="I26" s="73">
        <v>441</v>
      </c>
      <c r="J26" s="73">
        <v>584</v>
      </c>
      <c r="K26" s="73">
        <v>693</v>
      </c>
    </row>
    <row r="27" spans="1:11" ht="14.4">
      <c r="A27" s="72" t="s">
        <v>103</v>
      </c>
      <c r="B27" s="73">
        <v>42.36</v>
      </c>
      <c r="C27" s="73">
        <v>37.74</v>
      </c>
      <c r="D27" s="73">
        <v>52.92</v>
      </c>
      <c r="E27" s="73">
        <v>52.54</v>
      </c>
      <c r="F27" s="73">
        <v>166</v>
      </c>
      <c r="G27" s="73">
        <v>203</v>
      </c>
      <c r="H27" s="73">
        <v>218</v>
      </c>
      <c r="I27" s="73">
        <v>300</v>
      </c>
      <c r="J27" s="77">
        <v>619</v>
      </c>
      <c r="K27" s="77">
        <v>953</v>
      </c>
    </row>
    <row r="28" spans="1:11">
      <c r="A28" s="72" t="s">
        <v>160</v>
      </c>
      <c r="B28" s="73">
        <v>868.11</v>
      </c>
      <c r="C28" s="73">
        <v>973.25</v>
      </c>
      <c r="D28" s="73">
        <v>1529.78</v>
      </c>
      <c r="E28" s="73">
        <v>1956.89</v>
      </c>
      <c r="F28" s="73">
        <v>2102</v>
      </c>
      <c r="G28" s="73">
        <v>1327</v>
      </c>
      <c r="H28" s="73">
        <v>2904</v>
      </c>
      <c r="I28" s="73">
        <v>4447</v>
      </c>
      <c r="J28" s="73">
        <v>4623</v>
      </c>
      <c r="K28" s="73">
        <v>4535</v>
      </c>
    </row>
    <row r="29" spans="1:11">
      <c r="A29" s="72" t="s">
        <v>109</v>
      </c>
      <c r="B29" s="73">
        <v>191.59</v>
      </c>
      <c r="C29" s="73">
        <v>275.97000000000003</v>
      </c>
      <c r="D29" s="73">
        <v>427.87</v>
      </c>
      <c r="E29" s="73">
        <v>568.24</v>
      </c>
      <c r="F29" s="73">
        <v>609</v>
      </c>
      <c r="G29" s="73">
        <v>353</v>
      </c>
      <c r="H29" s="73">
        <v>706</v>
      </c>
      <c r="I29" s="73">
        <v>1173</v>
      </c>
      <c r="J29" s="73">
        <v>1127</v>
      </c>
      <c r="K29" s="73">
        <v>1198</v>
      </c>
    </row>
    <row r="30" spans="1:11">
      <c r="A30" s="72" t="s">
        <v>161</v>
      </c>
      <c r="B30" s="73">
        <v>674.52</v>
      </c>
      <c r="C30" s="73">
        <v>711.47</v>
      </c>
      <c r="D30" s="73">
        <v>1130.0899999999999</v>
      </c>
      <c r="E30" s="73">
        <v>1404.15</v>
      </c>
      <c r="F30" s="73">
        <v>1501</v>
      </c>
      <c r="G30" s="73">
        <v>973</v>
      </c>
      <c r="H30" s="73">
        <v>2173</v>
      </c>
      <c r="I30" s="73">
        <v>3250</v>
      </c>
      <c r="J30" s="73">
        <v>3496</v>
      </c>
      <c r="K30" s="73">
        <v>3337</v>
      </c>
    </row>
    <row r="31" spans="1:11">
      <c r="A31" s="72" t="s">
        <v>162</v>
      </c>
      <c r="B31" s="73">
        <v>195.32</v>
      </c>
      <c r="C31" s="73">
        <v>230.83</v>
      </c>
      <c r="D31" s="73">
        <v>332.92</v>
      </c>
      <c r="E31" s="73">
        <v>443.9</v>
      </c>
      <c r="F31" s="73">
        <v>356</v>
      </c>
      <c r="G31" s="73">
        <v>356</v>
      </c>
      <c r="H31" s="73">
        <v>667.5</v>
      </c>
      <c r="I31" s="73">
        <v>890</v>
      </c>
      <c r="J31" s="73">
        <v>979</v>
      </c>
      <c r="K31" s="73">
        <v>979</v>
      </c>
    </row>
    <row r="32" spans="1:11">
      <c r="A32" s="72" t="s">
        <v>110</v>
      </c>
      <c r="B32" s="78">
        <f>B29/B28</f>
        <v>0.2206978378316112</v>
      </c>
      <c r="C32" s="78">
        <f t="shared" ref="C32:K32" si="0">C29/C28</f>
        <v>0.28355509889545338</v>
      </c>
      <c r="D32" s="78">
        <f t="shared" si="0"/>
        <v>0.27969381218214384</v>
      </c>
      <c r="E32" s="78">
        <f t="shared" si="0"/>
        <v>0.29037912197415283</v>
      </c>
      <c r="F32" s="78">
        <f t="shared" si="0"/>
        <v>0.28972407231208375</v>
      </c>
      <c r="G32" s="78">
        <f t="shared" si="0"/>
        <v>0.26601356443104746</v>
      </c>
      <c r="H32" s="78">
        <f t="shared" si="0"/>
        <v>0.24311294765840222</v>
      </c>
      <c r="I32" s="78">
        <f t="shared" si="0"/>
        <v>0.26377333033505734</v>
      </c>
      <c r="J32" s="78">
        <f t="shared" si="0"/>
        <v>0.24378109452736318</v>
      </c>
      <c r="K32" s="78">
        <f>K29/K28</f>
        <v>0.26416758544652702</v>
      </c>
    </row>
    <row r="34" spans="1:11">
      <c r="A34" s="72" t="s">
        <v>101</v>
      </c>
      <c r="B34" s="72">
        <f>+B30+B29+B27+B26</f>
        <v>1006.6600000000001</v>
      </c>
      <c r="C34" s="72">
        <f t="shared" ref="C34:K34" si="1">+C30+C29+C27+C26</f>
        <v>1135.71</v>
      </c>
      <c r="D34" s="72">
        <f t="shared" si="1"/>
        <v>1742.3100000000002</v>
      </c>
      <c r="E34" s="72">
        <f t="shared" si="1"/>
        <v>2187.77</v>
      </c>
      <c r="F34" s="72">
        <f t="shared" si="1"/>
        <v>2624</v>
      </c>
      <c r="G34" s="72">
        <f t="shared" si="1"/>
        <v>1904</v>
      </c>
      <c r="H34" s="72">
        <f t="shared" si="1"/>
        <v>3496</v>
      </c>
      <c r="I34" s="72">
        <f t="shared" si="1"/>
        <v>5164</v>
      </c>
      <c r="J34" s="72">
        <f t="shared" si="1"/>
        <v>5826</v>
      </c>
      <c r="K34" s="72">
        <f>+K30+K29+K27+K26</f>
        <v>6181</v>
      </c>
    </row>
    <row r="40" spans="1:11">
      <c r="A40" s="71" t="s">
        <v>163</v>
      </c>
    </row>
    <row r="41" spans="1:11" s="76" customFormat="1">
      <c r="A41" s="74" t="s">
        <v>151</v>
      </c>
      <c r="B41" s="75">
        <v>45016</v>
      </c>
      <c r="C41" s="75">
        <v>45107</v>
      </c>
      <c r="D41" s="75">
        <v>45199</v>
      </c>
      <c r="E41" s="75">
        <v>45291</v>
      </c>
      <c r="F41" s="75">
        <v>45382</v>
      </c>
      <c r="G41" s="75">
        <v>45473</v>
      </c>
      <c r="H41" s="75">
        <v>45565</v>
      </c>
      <c r="I41" s="75">
        <v>45657</v>
      </c>
      <c r="J41" s="75">
        <v>45747</v>
      </c>
      <c r="K41" s="75">
        <v>45838</v>
      </c>
    </row>
    <row r="42" spans="1:11">
      <c r="A42" s="72" t="s">
        <v>92</v>
      </c>
      <c r="B42" s="73">
        <v>10360</v>
      </c>
      <c r="C42" s="73">
        <v>11897</v>
      </c>
      <c r="D42" s="73">
        <v>12529</v>
      </c>
      <c r="E42" s="73">
        <v>14164</v>
      </c>
      <c r="F42" s="73">
        <v>12494</v>
      </c>
      <c r="G42" s="73">
        <v>13266</v>
      </c>
      <c r="H42" s="73">
        <v>14534</v>
      </c>
      <c r="I42" s="73">
        <v>17740</v>
      </c>
      <c r="J42" s="73">
        <v>14916</v>
      </c>
      <c r="K42" s="73">
        <v>16523</v>
      </c>
    </row>
    <row r="43" spans="1:11">
      <c r="A43" s="72" t="s">
        <v>164</v>
      </c>
      <c r="B43" s="73">
        <v>9271</v>
      </c>
      <c r="C43" s="73">
        <v>10772</v>
      </c>
      <c r="D43" s="73">
        <v>11118</v>
      </c>
      <c r="E43" s="73">
        <v>12599</v>
      </c>
      <c r="F43" s="73">
        <v>11303</v>
      </c>
      <c r="G43" s="73">
        <v>12019</v>
      </c>
      <c r="H43" s="73">
        <v>13298</v>
      </c>
      <c r="I43" s="73">
        <v>16066</v>
      </c>
      <c r="J43" s="73">
        <v>13379</v>
      </c>
      <c r="K43" s="73">
        <v>14693</v>
      </c>
    </row>
    <row r="44" spans="1:11">
      <c r="A44" s="72" t="s">
        <v>159</v>
      </c>
      <c r="B44" s="73">
        <v>114</v>
      </c>
      <c r="C44" s="73">
        <v>114</v>
      </c>
      <c r="D44" s="73">
        <v>125</v>
      </c>
      <c r="E44" s="73">
        <v>136</v>
      </c>
      <c r="F44" s="73">
        <v>159</v>
      </c>
      <c r="G44" s="73">
        <v>120</v>
      </c>
      <c r="H44" s="73">
        <v>123</v>
      </c>
      <c r="I44" s="73">
        <v>128</v>
      </c>
      <c r="J44" s="73">
        <v>116</v>
      </c>
      <c r="K44" s="73">
        <v>105</v>
      </c>
    </row>
    <row r="45" spans="1:11">
      <c r="A45" s="72" t="s">
        <v>105</v>
      </c>
      <c r="B45" s="73">
        <v>119</v>
      </c>
      <c r="C45" s="73">
        <v>128</v>
      </c>
      <c r="D45" s="73">
        <v>144</v>
      </c>
      <c r="E45" s="73">
        <v>154</v>
      </c>
      <c r="F45" s="73">
        <v>158</v>
      </c>
      <c r="G45" s="73">
        <v>164</v>
      </c>
      <c r="H45" s="73">
        <v>171</v>
      </c>
      <c r="I45" s="73">
        <v>175</v>
      </c>
      <c r="J45" s="73">
        <v>183</v>
      </c>
      <c r="K45" s="73">
        <v>184</v>
      </c>
    </row>
    <row r="46" spans="1:11" ht="14.4">
      <c r="A46" s="72" t="s">
        <v>103</v>
      </c>
      <c r="B46" s="77">
        <v>96</v>
      </c>
      <c r="C46" s="77">
        <v>109</v>
      </c>
      <c r="D46" s="77">
        <v>140</v>
      </c>
      <c r="E46" s="77">
        <v>169</v>
      </c>
      <c r="F46" s="77">
        <v>201</v>
      </c>
      <c r="G46" s="77">
        <v>230</v>
      </c>
      <c r="H46" s="77">
        <v>240</v>
      </c>
      <c r="I46" s="77">
        <v>231</v>
      </c>
      <c r="J46" s="77">
        <v>252</v>
      </c>
      <c r="K46" s="77">
        <v>271</v>
      </c>
    </row>
    <row r="47" spans="1:11">
      <c r="A47" s="72" t="s">
        <v>160</v>
      </c>
      <c r="B47" s="73">
        <v>988</v>
      </c>
      <c r="C47" s="73">
        <v>1002</v>
      </c>
      <c r="D47" s="73">
        <v>1252</v>
      </c>
      <c r="E47" s="73">
        <v>1378</v>
      </c>
      <c r="F47" s="73">
        <v>991</v>
      </c>
      <c r="G47" s="73">
        <v>973</v>
      </c>
      <c r="H47" s="73">
        <v>948</v>
      </c>
      <c r="I47" s="73">
        <v>1396</v>
      </c>
      <c r="J47" s="73">
        <v>1218</v>
      </c>
      <c r="K47" s="73">
        <v>1480</v>
      </c>
    </row>
    <row r="48" spans="1:11">
      <c r="A48" s="72" t="s">
        <v>109</v>
      </c>
      <c r="B48" s="73">
        <v>252</v>
      </c>
      <c r="C48" s="73">
        <v>246</v>
      </c>
      <c r="D48" s="73">
        <v>336</v>
      </c>
      <c r="E48" s="73">
        <v>325</v>
      </c>
      <c r="F48" s="73">
        <v>220</v>
      </c>
      <c r="G48" s="73">
        <v>258</v>
      </c>
      <c r="H48" s="73">
        <v>244</v>
      </c>
      <c r="I48" s="73">
        <v>349</v>
      </c>
      <c r="J48" s="73">
        <v>347</v>
      </c>
      <c r="K48" s="73">
        <v>389</v>
      </c>
    </row>
    <row r="49" spans="1:11">
      <c r="A49" s="72" t="s">
        <v>161</v>
      </c>
      <c r="B49" s="73">
        <v>730</v>
      </c>
      <c r="C49" s="73">
        <v>753</v>
      </c>
      <c r="D49" s="73">
        <v>915</v>
      </c>
      <c r="E49" s="73">
        <v>1053</v>
      </c>
      <c r="F49" s="73">
        <v>771</v>
      </c>
      <c r="G49" s="73">
        <v>715</v>
      </c>
      <c r="H49" s="73">
        <v>704</v>
      </c>
      <c r="I49" s="73">
        <v>1047</v>
      </c>
      <c r="J49" s="73">
        <v>871</v>
      </c>
      <c r="K49" s="73">
        <v>1091</v>
      </c>
    </row>
    <row r="50" spans="1:11">
      <c r="A50" s="72" t="s">
        <v>165</v>
      </c>
      <c r="B50" s="73">
        <v>1089</v>
      </c>
      <c r="C50" s="73">
        <v>1125</v>
      </c>
      <c r="D50" s="73">
        <v>1411</v>
      </c>
      <c r="E50" s="73">
        <v>1565</v>
      </c>
      <c r="F50" s="73">
        <v>1191</v>
      </c>
      <c r="G50" s="73">
        <v>1247</v>
      </c>
      <c r="H50" s="73">
        <v>1236</v>
      </c>
      <c r="I50" s="73">
        <v>1674</v>
      </c>
      <c r="J50" s="73">
        <v>1537</v>
      </c>
      <c r="K50" s="73">
        <v>1830</v>
      </c>
    </row>
    <row r="51" spans="1:11">
      <c r="A51" s="72" t="s">
        <v>101</v>
      </c>
      <c r="B51" s="72">
        <f>B49+B48+B46+B45</f>
        <v>1197</v>
      </c>
      <c r="C51" s="72">
        <f t="shared" ref="C51:K51" si="2">C49+C48+C46+C45</f>
        <v>1236</v>
      </c>
      <c r="D51" s="72">
        <f t="shared" si="2"/>
        <v>1535</v>
      </c>
      <c r="E51" s="72">
        <f t="shared" si="2"/>
        <v>1701</v>
      </c>
      <c r="F51" s="72">
        <f t="shared" si="2"/>
        <v>1350</v>
      </c>
      <c r="G51" s="72">
        <f t="shared" si="2"/>
        <v>1367</v>
      </c>
      <c r="H51" s="72">
        <f t="shared" si="2"/>
        <v>1359</v>
      </c>
      <c r="I51" s="72">
        <f t="shared" si="2"/>
        <v>1802</v>
      </c>
      <c r="J51" s="72">
        <f t="shared" si="2"/>
        <v>1653</v>
      </c>
      <c r="K51" s="72">
        <f t="shared" si="2"/>
        <v>1935</v>
      </c>
    </row>
    <row r="55" spans="1:11">
      <c r="A55" s="71" t="s">
        <v>166</v>
      </c>
    </row>
    <row r="56" spans="1:11" s="76" customFormat="1">
      <c r="A56" s="74" t="s">
        <v>151</v>
      </c>
      <c r="B56" s="75">
        <v>42460</v>
      </c>
      <c r="C56" s="75">
        <v>42825</v>
      </c>
      <c r="D56" s="75">
        <v>43190</v>
      </c>
      <c r="E56" s="75">
        <v>43555</v>
      </c>
      <c r="F56" s="75">
        <v>43921</v>
      </c>
      <c r="G56" s="75">
        <v>44286</v>
      </c>
      <c r="H56" s="75">
        <v>44651</v>
      </c>
      <c r="I56" s="75">
        <v>45016</v>
      </c>
      <c r="J56" s="75">
        <v>45382</v>
      </c>
      <c r="K56" s="75">
        <v>45747</v>
      </c>
    </row>
    <row r="57" spans="1:11">
      <c r="A57" s="72" t="s">
        <v>120</v>
      </c>
      <c r="B57" s="73">
        <v>88.78</v>
      </c>
      <c r="C57" s="73">
        <v>88.78</v>
      </c>
      <c r="D57" s="73">
        <v>88.78</v>
      </c>
      <c r="E57" s="73">
        <v>88.78</v>
      </c>
      <c r="F57" s="73">
        <v>89</v>
      </c>
      <c r="G57" s="73">
        <v>89</v>
      </c>
      <c r="H57" s="73">
        <v>89</v>
      </c>
      <c r="I57" s="73">
        <v>89</v>
      </c>
      <c r="J57" s="73">
        <v>89</v>
      </c>
      <c r="K57" s="73">
        <v>89</v>
      </c>
    </row>
    <row r="58" spans="1:11">
      <c r="A58" s="72" t="s">
        <v>121</v>
      </c>
      <c r="B58" s="73">
        <v>3417.5</v>
      </c>
      <c r="C58" s="73">
        <v>4143.6000000000004</v>
      </c>
      <c r="D58" s="73">
        <v>5001.1000000000004</v>
      </c>
      <c r="E58" s="73">
        <v>5981.37</v>
      </c>
      <c r="F58" s="73">
        <v>6580</v>
      </c>
      <c r="G58" s="73">
        <v>7408</v>
      </c>
      <c r="H58" s="73">
        <v>9214</v>
      </c>
      <c r="I58" s="73">
        <v>11762</v>
      </c>
      <c r="J58" s="73">
        <v>9304</v>
      </c>
      <c r="K58" s="73">
        <v>11535</v>
      </c>
    </row>
    <row r="59" spans="1:11" ht="14.4">
      <c r="A59" s="72" t="s">
        <v>122</v>
      </c>
      <c r="B59" s="77">
        <v>113.05</v>
      </c>
      <c r="C59" s="77">
        <v>1882.43</v>
      </c>
      <c r="D59" s="77">
        <v>1691.01</v>
      </c>
      <c r="E59" s="77">
        <v>2392.98</v>
      </c>
      <c r="F59" s="77">
        <v>3562</v>
      </c>
      <c r="G59" s="77">
        <v>5638</v>
      </c>
      <c r="H59" s="77">
        <v>7275</v>
      </c>
      <c r="I59" s="77">
        <v>9367</v>
      </c>
      <c r="J59" s="77">
        <v>15528</v>
      </c>
      <c r="K59" s="77">
        <v>20777</v>
      </c>
    </row>
    <row r="60" spans="1:11">
      <c r="A60" s="72" t="s">
        <v>123</v>
      </c>
      <c r="B60" s="73">
        <v>2722.58</v>
      </c>
      <c r="C60" s="73">
        <v>2292.7600000000002</v>
      </c>
      <c r="D60" s="73">
        <v>2740.15</v>
      </c>
      <c r="E60" s="73">
        <v>3246.71</v>
      </c>
      <c r="F60" s="73">
        <v>3313</v>
      </c>
      <c r="G60" s="73">
        <v>3309</v>
      </c>
      <c r="H60" s="73">
        <v>4610</v>
      </c>
      <c r="I60" s="73">
        <v>5802</v>
      </c>
      <c r="J60" s="73">
        <v>6626</v>
      </c>
      <c r="K60" s="73">
        <v>8244</v>
      </c>
    </row>
    <row r="61" spans="1:11" s="71" customFormat="1">
      <c r="A61" s="71" t="s">
        <v>58</v>
      </c>
      <c r="B61" s="73">
        <v>6341.91</v>
      </c>
      <c r="C61" s="73">
        <v>8407.57</v>
      </c>
      <c r="D61" s="73">
        <v>9521.0400000000009</v>
      </c>
      <c r="E61" s="73">
        <v>11709.84</v>
      </c>
      <c r="F61" s="73">
        <v>13544</v>
      </c>
      <c r="G61" s="73">
        <v>16444</v>
      </c>
      <c r="H61" s="73">
        <v>21188</v>
      </c>
      <c r="I61" s="73">
        <v>27020</v>
      </c>
      <c r="J61" s="73">
        <v>31547</v>
      </c>
      <c r="K61" s="73">
        <v>40645</v>
      </c>
    </row>
    <row r="62" spans="1:11">
      <c r="A62" s="72" t="s">
        <v>167</v>
      </c>
      <c r="B62" s="73">
        <v>770.54</v>
      </c>
      <c r="C62" s="73">
        <v>1188.72</v>
      </c>
      <c r="D62" s="73">
        <v>1473.81</v>
      </c>
      <c r="E62" s="73">
        <v>1566.63</v>
      </c>
      <c r="F62" s="73">
        <v>2633</v>
      </c>
      <c r="G62" s="73">
        <v>2523</v>
      </c>
      <c r="H62" s="73">
        <v>2544</v>
      </c>
      <c r="I62" s="73">
        <v>2998</v>
      </c>
      <c r="J62" s="73">
        <v>3709</v>
      </c>
      <c r="K62" s="73">
        <v>4062</v>
      </c>
    </row>
    <row r="63" spans="1:11">
      <c r="A63" s="72" t="s">
        <v>126</v>
      </c>
      <c r="B63" s="73">
        <v>106.71</v>
      </c>
      <c r="C63" s="73">
        <v>152.07</v>
      </c>
      <c r="D63" s="73">
        <v>43.37</v>
      </c>
      <c r="E63" s="73">
        <v>31.77</v>
      </c>
      <c r="F63" s="73">
        <v>18</v>
      </c>
      <c r="G63" s="73">
        <v>32</v>
      </c>
      <c r="H63" s="73">
        <v>85</v>
      </c>
      <c r="I63" s="73">
        <v>144</v>
      </c>
      <c r="J63" s="73">
        <v>97</v>
      </c>
      <c r="K63" s="73">
        <v>105</v>
      </c>
    </row>
    <row r="64" spans="1:11" ht="14.4">
      <c r="A64" s="72" t="s">
        <v>127</v>
      </c>
      <c r="B64" s="73">
        <v>30.41</v>
      </c>
      <c r="C64" s="77">
        <v>430.73</v>
      </c>
      <c r="D64" s="73">
        <v>35.99</v>
      </c>
      <c r="E64" s="73">
        <v>108.42</v>
      </c>
      <c r="F64" s="73">
        <v>158</v>
      </c>
      <c r="G64" s="73">
        <v>2824</v>
      </c>
      <c r="H64" s="73">
        <v>294</v>
      </c>
      <c r="I64" s="73">
        <v>2515</v>
      </c>
      <c r="J64" s="73">
        <v>2345</v>
      </c>
      <c r="K64" s="73">
        <v>1988</v>
      </c>
    </row>
    <row r="65" spans="1:11">
      <c r="A65" s="72" t="s">
        <v>128</v>
      </c>
      <c r="B65" s="73">
        <v>5434.25</v>
      </c>
      <c r="C65" s="73">
        <v>6636.05</v>
      </c>
      <c r="D65" s="73">
        <v>7967.87</v>
      </c>
      <c r="E65" s="73">
        <v>10003.02</v>
      </c>
      <c r="F65" s="73">
        <v>10735</v>
      </c>
      <c r="G65" s="73">
        <v>11065</v>
      </c>
      <c r="H65" s="73">
        <v>18265</v>
      </c>
      <c r="I65" s="73">
        <v>21363</v>
      </c>
      <c r="J65" s="73">
        <v>25396</v>
      </c>
      <c r="K65" s="73">
        <v>34490</v>
      </c>
    </row>
    <row r="66" spans="1:11" s="71" customFormat="1">
      <c r="A66" s="71" t="s">
        <v>58</v>
      </c>
      <c r="B66" s="73">
        <v>6341.91</v>
      </c>
      <c r="C66" s="73">
        <v>8407.57</v>
      </c>
      <c r="D66" s="73">
        <v>9521.0400000000009</v>
      </c>
      <c r="E66" s="73">
        <v>11709.84</v>
      </c>
      <c r="F66" s="73">
        <v>13544</v>
      </c>
      <c r="G66" s="73">
        <v>16444</v>
      </c>
      <c r="H66" s="73">
        <v>21188</v>
      </c>
      <c r="I66" s="73">
        <v>27020</v>
      </c>
      <c r="J66" s="73">
        <v>31547</v>
      </c>
      <c r="K66" s="73">
        <v>40645</v>
      </c>
    </row>
    <row r="67" spans="1:11">
      <c r="A67" s="72" t="s">
        <v>130</v>
      </c>
      <c r="B67" s="73">
        <v>192.5</v>
      </c>
      <c r="C67" s="73">
        <v>207.6</v>
      </c>
      <c r="D67" s="73">
        <v>295.69</v>
      </c>
      <c r="E67" s="73">
        <v>420.45</v>
      </c>
      <c r="F67" s="73">
        <v>312</v>
      </c>
      <c r="G67" s="73">
        <v>366</v>
      </c>
      <c r="H67" s="73">
        <v>565</v>
      </c>
      <c r="I67" s="73">
        <v>674</v>
      </c>
      <c r="J67" s="73">
        <v>1018</v>
      </c>
      <c r="K67" s="73">
        <v>1068</v>
      </c>
    </row>
    <row r="68" spans="1:11" ht="14.4">
      <c r="A68" s="72" t="s">
        <v>131</v>
      </c>
      <c r="B68" s="77">
        <v>4447.1499999999996</v>
      </c>
      <c r="C68" s="77">
        <v>4925.74</v>
      </c>
      <c r="D68" s="77">
        <v>5924.84</v>
      </c>
      <c r="E68" s="77">
        <v>7038.82</v>
      </c>
      <c r="F68" s="77">
        <v>8103</v>
      </c>
      <c r="G68" s="77">
        <v>8408</v>
      </c>
      <c r="H68" s="77">
        <v>13609</v>
      </c>
      <c r="I68" s="77">
        <v>16584</v>
      </c>
      <c r="J68" s="77">
        <v>19051</v>
      </c>
      <c r="K68" s="77">
        <v>28184</v>
      </c>
    </row>
    <row r="69" spans="1:11">
      <c r="A69" s="72" t="s">
        <v>132</v>
      </c>
      <c r="B69" s="73">
        <v>116.35</v>
      </c>
      <c r="C69" s="73">
        <v>778.93</v>
      </c>
      <c r="D69" s="73">
        <v>617.91</v>
      </c>
      <c r="E69" s="73">
        <v>1066.48</v>
      </c>
      <c r="F69" s="73">
        <v>381</v>
      </c>
      <c r="G69" s="73">
        <v>560</v>
      </c>
      <c r="H69" s="73">
        <v>1573</v>
      </c>
      <c r="I69" s="73">
        <v>1343</v>
      </c>
      <c r="J69" s="73">
        <v>1526</v>
      </c>
      <c r="K69" s="73">
        <v>1584</v>
      </c>
    </row>
    <row r="70" spans="1:11">
      <c r="A70" s="72" t="s">
        <v>168</v>
      </c>
      <c r="B70" s="73">
        <v>887786160</v>
      </c>
      <c r="C70" s="73">
        <v>887786160</v>
      </c>
      <c r="D70" s="73">
        <v>887786160</v>
      </c>
      <c r="E70" s="73">
        <v>887786160</v>
      </c>
      <c r="F70" s="73">
        <v>887786160</v>
      </c>
      <c r="G70" s="73">
        <v>887786160</v>
      </c>
      <c r="H70" s="73">
        <v>887786160</v>
      </c>
      <c r="I70" s="73">
        <v>890000000</v>
      </c>
      <c r="J70" s="73">
        <v>890000000</v>
      </c>
      <c r="K70" s="73">
        <v>890000000</v>
      </c>
    </row>
    <row r="71" spans="1:11" ht="13.8">
      <c r="A71" s="72" t="s">
        <v>169</v>
      </c>
      <c r="B71" s="79"/>
      <c r="C71" s="79"/>
      <c r="G71" s="79"/>
      <c r="H71" s="79"/>
    </row>
    <row r="72" spans="1:11">
      <c r="A72" s="72" t="s">
        <v>170</v>
      </c>
      <c r="B72" s="73">
        <v>1</v>
      </c>
      <c r="C72" s="73">
        <v>1</v>
      </c>
      <c r="D72" s="73">
        <v>1</v>
      </c>
      <c r="E72" s="73">
        <v>1</v>
      </c>
      <c r="F72" s="73">
        <v>1</v>
      </c>
      <c r="G72" s="73">
        <v>1</v>
      </c>
      <c r="H72" s="73">
        <v>1</v>
      </c>
      <c r="I72" s="73">
        <v>1</v>
      </c>
      <c r="J72" s="73">
        <v>1</v>
      </c>
      <c r="K72" s="73">
        <v>1</v>
      </c>
    </row>
    <row r="73" spans="1:11">
      <c r="H73" s="72">
        <f>H62-G62+H45</f>
        <v>192</v>
      </c>
      <c r="I73" s="72">
        <f t="shared" ref="I73:K73" si="3">I62-H62+I45</f>
        <v>629</v>
      </c>
      <c r="J73" s="72">
        <f t="shared" si="3"/>
        <v>894</v>
      </c>
      <c r="K73" s="72">
        <f t="shared" si="3"/>
        <v>537</v>
      </c>
    </row>
    <row r="80" spans="1:11">
      <c r="A80" s="71" t="s">
        <v>171</v>
      </c>
    </row>
    <row r="81" spans="1:12" s="76" customFormat="1">
      <c r="A81" s="74" t="s">
        <v>151</v>
      </c>
      <c r="B81" s="75">
        <v>42460</v>
      </c>
      <c r="C81" s="75">
        <v>42825</v>
      </c>
      <c r="D81" s="75">
        <v>43190</v>
      </c>
      <c r="E81" s="75">
        <v>43555</v>
      </c>
      <c r="F81" s="75">
        <v>43921</v>
      </c>
      <c r="G81" s="75">
        <v>44286</v>
      </c>
      <c r="H81" s="75">
        <v>44651</v>
      </c>
      <c r="I81" s="75">
        <v>45016</v>
      </c>
      <c r="J81" s="75">
        <v>45382</v>
      </c>
      <c r="K81" s="75">
        <v>45747</v>
      </c>
      <c r="L81" s="75"/>
    </row>
    <row r="82" spans="1:12" s="71" customFormat="1">
      <c r="A82" s="72" t="s">
        <v>172</v>
      </c>
      <c r="B82" s="73">
        <v>576.09</v>
      </c>
      <c r="C82" s="73">
        <v>1712.3</v>
      </c>
      <c r="D82" s="73">
        <v>-51.12</v>
      </c>
      <c r="E82" s="73">
        <v>1242.92</v>
      </c>
      <c r="F82" s="73">
        <v>-348</v>
      </c>
      <c r="G82" s="73">
        <v>4139</v>
      </c>
      <c r="H82" s="73">
        <v>-724</v>
      </c>
      <c r="I82" s="73">
        <v>1370</v>
      </c>
      <c r="J82" s="73">
        <v>1695</v>
      </c>
      <c r="K82" s="73">
        <v>-541</v>
      </c>
    </row>
    <row r="83" spans="1:12">
      <c r="A83" s="72" t="s">
        <v>173</v>
      </c>
      <c r="B83" s="73">
        <v>-158.79</v>
      </c>
      <c r="C83" s="73">
        <v>-953.15</v>
      </c>
      <c r="D83" s="73">
        <v>97.62</v>
      </c>
      <c r="E83" s="73">
        <v>-796.61</v>
      </c>
      <c r="F83" s="73">
        <v>235</v>
      </c>
      <c r="G83" s="73">
        <v>-2799</v>
      </c>
      <c r="H83" s="73">
        <v>1165</v>
      </c>
      <c r="I83" s="73">
        <v>-1814</v>
      </c>
      <c r="J83" s="73">
        <v>-189</v>
      </c>
      <c r="K83" s="73">
        <v>546</v>
      </c>
    </row>
    <row r="84" spans="1:12">
      <c r="A84" s="72" t="s">
        <v>174</v>
      </c>
      <c r="B84" s="73">
        <v>-504.84</v>
      </c>
      <c r="C84" s="73">
        <v>-165.6</v>
      </c>
      <c r="D84" s="73">
        <v>-252.45</v>
      </c>
      <c r="E84" s="73">
        <v>-488.83</v>
      </c>
      <c r="F84" s="73">
        <v>-242</v>
      </c>
      <c r="G84" s="73">
        <v>-1234</v>
      </c>
      <c r="H84" s="73">
        <v>-403</v>
      </c>
      <c r="I84" s="73">
        <v>457</v>
      </c>
      <c r="J84" s="73">
        <v>-1329</v>
      </c>
      <c r="K84" s="73">
        <v>-7</v>
      </c>
    </row>
    <row r="85" spans="1:12" s="71" customFormat="1">
      <c r="A85" s="72" t="s">
        <v>140</v>
      </c>
      <c r="B85" s="73">
        <v>-87.54</v>
      </c>
      <c r="C85" s="73">
        <v>593.54999999999995</v>
      </c>
      <c r="D85" s="73">
        <v>-205.95</v>
      </c>
      <c r="E85" s="73">
        <v>-42.52</v>
      </c>
      <c r="F85" s="73">
        <v>-355</v>
      </c>
      <c r="G85" s="73">
        <v>106</v>
      </c>
      <c r="H85" s="73">
        <v>38</v>
      </c>
      <c r="I85" s="73">
        <v>13</v>
      </c>
      <c r="J85" s="73">
        <v>177</v>
      </c>
      <c r="K85" s="73">
        <v>-2</v>
      </c>
    </row>
    <row r="90" spans="1:12" s="71" customFormat="1">
      <c r="A90" s="71" t="s">
        <v>175</v>
      </c>
      <c r="B90" s="73">
        <v>338.8</v>
      </c>
      <c r="C90" s="73">
        <v>462.75</v>
      </c>
      <c r="D90" s="73">
        <v>942.3</v>
      </c>
      <c r="E90" s="73">
        <v>1141.8499999999999</v>
      </c>
      <c r="F90" s="73">
        <v>933.7</v>
      </c>
      <c r="G90" s="73">
        <v>1558.05</v>
      </c>
      <c r="H90" s="73">
        <v>2536.15</v>
      </c>
      <c r="I90" s="73">
        <v>2514.9</v>
      </c>
      <c r="J90" s="73">
        <v>3801.8</v>
      </c>
      <c r="K90" s="73">
        <v>3063.35</v>
      </c>
    </row>
    <row r="92" spans="1:12" s="71" customFormat="1">
      <c r="A92" s="71" t="s">
        <v>176</v>
      </c>
    </row>
    <row r="93" spans="1:12">
      <c r="A93" s="72" t="s">
        <v>177</v>
      </c>
      <c r="B93" s="80">
        <v>88.78</v>
      </c>
      <c r="C93" s="80">
        <v>88.78</v>
      </c>
      <c r="D93" s="80">
        <v>88.78</v>
      </c>
      <c r="E93" s="80">
        <v>88.78</v>
      </c>
      <c r="F93" s="80">
        <v>88.78</v>
      </c>
      <c r="G93" s="80">
        <v>88.78</v>
      </c>
      <c r="H93" s="80">
        <v>88.78</v>
      </c>
      <c r="I93" s="80">
        <v>88.78</v>
      </c>
      <c r="J93" s="80">
        <v>88.78</v>
      </c>
      <c r="K93" s="80">
        <v>88.78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C03866C7-AB34-441B-ACAE-C23DCFBCDD3D}"/>
  </hyperlinks>
  <pageMargins left="0.7" right="0.7" top="0.75" bottom="0.75" header="0.3" footer="0.3"/>
  <pageSetup paperSize="9" scale="57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55B1-9469-4E1B-8CE5-647380F64976}">
  <dimension ref="B2:N70"/>
  <sheetViews>
    <sheetView showGridLines="0" topLeftCell="A2" zoomScaleNormal="100" workbookViewId="0">
      <pane ySplit="1" topLeftCell="A22" activePane="bottomLeft" state="frozen"/>
      <selection activeCell="A2" sqref="A2"/>
      <selection pane="bottomLeft" activeCell="A2" sqref="A2:N44"/>
    </sheetView>
  </sheetViews>
  <sheetFormatPr defaultRowHeight="14.4"/>
  <cols>
    <col min="1" max="1" width="1.88671875" customWidth="1"/>
    <col min="2" max="2" width="35.44140625" bestFit="1" customWidth="1"/>
  </cols>
  <sheetData>
    <row r="2" spans="2:14">
      <c r="B2" s="45" t="s">
        <v>206</v>
      </c>
      <c r="C2" s="82">
        <v>41699</v>
      </c>
      <c r="D2" s="82">
        <v>42064</v>
      </c>
      <c r="E2" s="82">
        <v>42430</v>
      </c>
      <c r="F2" s="82">
        <v>42795</v>
      </c>
      <c r="G2" s="82">
        <v>43160</v>
      </c>
      <c r="H2" s="82">
        <v>43525</v>
      </c>
      <c r="I2" s="82">
        <v>43891</v>
      </c>
      <c r="J2" s="82">
        <v>44256</v>
      </c>
      <c r="K2" s="82">
        <v>44621</v>
      </c>
      <c r="L2" s="82">
        <v>44986</v>
      </c>
      <c r="M2" s="82">
        <v>45352</v>
      </c>
      <c r="N2" s="82">
        <v>45717</v>
      </c>
    </row>
    <row r="3" spans="2:14">
      <c r="B3" s="56"/>
      <c r="C3" s="57"/>
      <c r="D3" s="57"/>
      <c r="E3" s="57"/>
      <c r="F3" s="57"/>
      <c r="G3" s="57"/>
      <c r="H3" s="57"/>
      <c r="I3" s="57"/>
      <c r="J3" s="57"/>
      <c r="K3" s="57"/>
    </row>
    <row r="4" spans="2:14">
      <c r="B4" s="2" t="s">
        <v>178</v>
      </c>
      <c r="C4" s="85">
        <v>89</v>
      </c>
      <c r="D4" s="85">
        <v>89</v>
      </c>
      <c r="E4" s="85">
        <v>89</v>
      </c>
      <c r="F4" s="85">
        <v>89</v>
      </c>
      <c r="G4" s="85">
        <v>89</v>
      </c>
      <c r="H4" s="85">
        <v>89</v>
      </c>
      <c r="I4" s="85">
        <v>89</v>
      </c>
      <c r="J4" s="85">
        <v>89</v>
      </c>
      <c r="K4" s="85">
        <v>89</v>
      </c>
      <c r="L4" s="85">
        <v>89</v>
      </c>
      <c r="M4" s="85">
        <v>89</v>
      </c>
      <c r="N4" s="85">
        <v>89</v>
      </c>
    </row>
    <row r="5" spans="2:14">
      <c r="B5" s="2" t="s">
        <v>121</v>
      </c>
      <c r="C5" s="85">
        <v>2434</v>
      </c>
      <c r="D5" s="85">
        <v>2995</v>
      </c>
      <c r="E5" s="85">
        <v>3418</v>
      </c>
      <c r="F5" s="85">
        <v>4144</v>
      </c>
      <c r="G5" s="85">
        <v>5001</v>
      </c>
      <c r="H5" s="85">
        <v>5981</v>
      </c>
      <c r="I5" s="85">
        <v>6580</v>
      </c>
      <c r="J5" s="85">
        <v>7408</v>
      </c>
      <c r="K5" s="85">
        <v>9214</v>
      </c>
      <c r="L5" s="85">
        <v>11762</v>
      </c>
      <c r="M5" s="85">
        <v>9304</v>
      </c>
      <c r="N5" s="85">
        <v>11535</v>
      </c>
    </row>
    <row r="6" spans="2:14">
      <c r="B6" s="2" t="s">
        <v>179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</row>
    <row r="7" spans="2:14">
      <c r="B7" t="s">
        <v>180</v>
      </c>
      <c r="C7" s="85">
        <v>0</v>
      </c>
      <c r="D7" s="85">
        <v>0</v>
      </c>
      <c r="E7" s="85">
        <v>0</v>
      </c>
      <c r="F7" s="85">
        <v>0</v>
      </c>
      <c r="G7" s="85">
        <v>0</v>
      </c>
      <c r="H7" s="85">
        <v>32</v>
      </c>
      <c r="I7" s="85">
        <v>17</v>
      </c>
      <c r="J7" s="85">
        <v>9</v>
      </c>
      <c r="K7" s="85">
        <v>2</v>
      </c>
      <c r="L7" s="85">
        <v>0</v>
      </c>
      <c r="M7" s="85">
        <v>3302</v>
      </c>
      <c r="N7" s="85">
        <v>595</v>
      </c>
    </row>
    <row r="8" spans="2:14">
      <c r="B8" t="s">
        <v>181</v>
      </c>
      <c r="C8" s="85">
        <v>807</v>
      </c>
      <c r="D8" s="85">
        <v>100</v>
      </c>
      <c r="E8" s="85">
        <v>113</v>
      </c>
      <c r="F8" s="85">
        <v>1882</v>
      </c>
      <c r="G8" s="85">
        <v>1691</v>
      </c>
      <c r="H8" s="85">
        <v>2353</v>
      </c>
      <c r="I8" s="85">
        <v>2291</v>
      </c>
      <c r="J8" s="85">
        <v>4367</v>
      </c>
      <c r="K8" s="85">
        <v>5914</v>
      </c>
      <c r="L8" s="85">
        <v>7494</v>
      </c>
      <c r="M8" s="85">
        <v>9877</v>
      </c>
      <c r="N8" s="85">
        <v>17501</v>
      </c>
    </row>
    <row r="9" spans="2:14">
      <c r="B9" t="s">
        <v>182</v>
      </c>
      <c r="C9" s="85">
        <v>0</v>
      </c>
      <c r="D9" s="85">
        <v>0</v>
      </c>
      <c r="E9" s="85">
        <v>0</v>
      </c>
      <c r="F9" s="85">
        <v>0</v>
      </c>
      <c r="G9" s="85">
        <v>0</v>
      </c>
      <c r="H9" s="85">
        <v>0</v>
      </c>
      <c r="I9" s="85">
        <v>1243</v>
      </c>
      <c r="J9" s="85">
        <v>1256</v>
      </c>
      <c r="K9" s="85">
        <v>1359</v>
      </c>
      <c r="L9" s="85">
        <v>1873</v>
      </c>
      <c r="M9" s="85">
        <v>2349</v>
      </c>
      <c r="N9" s="85">
        <v>2681</v>
      </c>
    </row>
    <row r="10" spans="2:14">
      <c r="B10" t="s">
        <v>183</v>
      </c>
      <c r="C10" s="85">
        <v>0</v>
      </c>
      <c r="D10" s="85">
        <v>0</v>
      </c>
      <c r="E10" s="85">
        <v>0</v>
      </c>
      <c r="F10" s="85">
        <v>0</v>
      </c>
      <c r="G10" s="85">
        <v>0</v>
      </c>
      <c r="H10" s="85">
        <v>8</v>
      </c>
      <c r="I10" s="85">
        <v>11</v>
      </c>
      <c r="J10" s="85">
        <v>6</v>
      </c>
      <c r="K10" s="85">
        <v>0</v>
      </c>
      <c r="L10" s="85">
        <v>0</v>
      </c>
      <c r="M10" s="85">
        <v>0</v>
      </c>
      <c r="N10" s="85">
        <v>0</v>
      </c>
    </row>
    <row r="11" spans="2:14">
      <c r="B11" s="2" t="s">
        <v>184</v>
      </c>
      <c r="C11" s="85">
        <v>2781</v>
      </c>
      <c r="D11" s="85">
        <v>2684</v>
      </c>
      <c r="E11" s="85">
        <v>2723</v>
      </c>
      <c r="F11" s="85">
        <v>2293</v>
      </c>
      <c r="G11" s="85">
        <v>2740</v>
      </c>
      <c r="H11" s="85">
        <v>3247</v>
      </c>
      <c r="I11" s="85">
        <v>3313</v>
      </c>
      <c r="J11" s="85">
        <v>3309</v>
      </c>
      <c r="K11" s="85">
        <v>4610</v>
      </c>
      <c r="L11" s="85">
        <v>5802</v>
      </c>
      <c r="M11" s="85">
        <v>6626</v>
      </c>
      <c r="N11" s="85">
        <v>8244</v>
      </c>
    </row>
    <row r="12" spans="2:14">
      <c r="B12" t="s">
        <v>185</v>
      </c>
      <c r="C12" s="85">
        <v>0</v>
      </c>
      <c r="D12" s="85">
        <v>0</v>
      </c>
      <c r="E12" s="85">
        <v>0</v>
      </c>
      <c r="F12" s="85">
        <v>26</v>
      </c>
      <c r="G12" s="85">
        <v>-2</v>
      </c>
      <c r="H12" s="85">
        <v>14</v>
      </c>
      <c r="I12" s="85">
        <v>4</v>
      </c>
      <c r="J12" s="85">
        <v>5</v>
      </c>
      <c r="K12" s="85">
        <v>30</v>
      </c>
      <c r="L12" s="85">
        <v>53</v>
      </c>
      <c r="M12" s="85">
        <v>0</v>
      </c>
      <c r="N12" s="85">
        <v>0</v>
      </c>
    </row>
    <row r="13" spans="2:14">
      <c r="B13" t="s">
        <v>186</v>
      </c>
      <c r="C13" s="85">
        <v>859</v>
      </c>
      <c r="D13" s="85">
        <v>1940</v>
      </c>
      <c r="E13" s="85">
        <v>1655</v>
      </c>
      <c r="F13" s="85">
        <v>783</v>
      </c>
      <c r="G13" s="85">
        <v>878</v>
      </c>
      <c r="H13" s="85">
        <v>906</v>
      </c>
      <c r="I13" s="85">
        <v>596</v>
      </c>
      <c r="J13" s="85">
        <v>789</v>
      </c>
      <c r="K13" s="85">
        <v>1294</v>
      </c>
      <c r="L13" s="85">
        <v>1214</v>
      </c>
      <c r="M13" s="85">
        <v>1410</v>
      </c>
      <c r="N13" s="85">
        <v>1963</v>
      </c>
    </row>
    <row r="14" spans="2:14">
      <c r="B14" t="s">
        <v>187</v>
      </c>
      <c r="C14" s="85">
        <v>1418</v>
      </c>
      <c r="D14" s="85">
        <v>160</v>
      </c>
      <c r="E14" s="85">
        <v>710</v>
      </c>
      <c r="F14" s="85">
        <v>943</v>
      </c>
      <c r="G14" s="85">
        <v>233</v>
      </c>
      <c r="H14" s="85">
        <v>290</v>
      </c>
      <c r="I14" s="85">
        <v>386</v>
      </c>
      <c r="J14" s="85">
        <v>479</v>
      </c>
      <c r="K14" s="85">
        <v>532</v>
      </c>
      <c r="L14" s="85">
        <v>718</v>
      </c>
      <c r="M14" s="85">
        <v>1085</v>
      </c>
      <c r="N14" s="85">
        <v>2140</v>
      </c>
    </row>
    <row r="15" spans="2:14">
      <c r="B15" t="s">
        <v>188</v>
      </c>
      <c r="C15" s="86">
        <v>504</v>
      </c>
      <c r="D15" s="86">
        <v>585</v>
      </c>
      <c r="E15" s="86">
        <v>358</v>
      </c>
      <c r="F15" s="86">
        <v>541</v>
      </c>
      <c r="G15" s="86">
        <v>1631</v>
      </c>
      <c r="H15" s="86">
        <v>2037</v>
      </c>
      <c r="I15" s="86">
        <v>2327</v>
      </c>
      <c r="J15" s="86">
        <v>2036</v>
      </c>
      <c r="K15" s="86">
        <v>2754</v>
      </c>
      <c r="L15" s="86">
        <v>3817</v>
      </c>
      <c r="M15" s="86">
        <v>4131</v>
      </c>
      <c r="N15" s="86">
        <v>4141</v>
      </c>
    </row>
    <row r="16" spans="2:14">
      <c r="B16" s="83" t="s">
        <v>124</v>
      </c>
      <c r="C16" s="130">
        <v>6111</v>
      </c>
      <c r="D16" s="130">
        <v>5868</v>
      </c>
      <c r="E16" s="130">
        <v>6342</v>
      </c>
      <c r="F16" s="130">
        <v>8408</v>
      </c>
      <c r="G16" s="130">
        <v>9521</v>
      </c>
      <c r="H16" s="130">
        <v>11710</v>
      </c>
      <c r="I16" s="130">
        <v>13544</v>
      </c>
      <c r="J16" s="130">
        <v>16444</v>
      </c>
      <c r="K16" s="130">
        <v>21188</v>
      </c>
      <c r="L16" s="130">
        <v>27020</v>
      </c>
      <c r="M16" s="130">
        <v>31547</v>
      </c>
      <c r="N16" s="130">
        <v>40645</v>
      </c>
    </row>
    <row r="18" spans="2:14">
      <c r="B18" t="s">
        <v>189</v>
      </c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</row>
    <row r="19" spans="2:14">
      <c r="B19" s="142" t="s">
        <v>190</v>
      </c>
      <c r="C19" s="81">
        <v>95</v>
      </c>
      <c r="D19" s="81">
        <v>104</v>
      </c>
      <c r="E19" s="81">
        <v>85</v>
      </c>
      <c r="F19" s="81">
        <v>85</v>
      </c>
      <c r="G19" s="81">
        <v>85</v>
      </c>
      <c r="H19" s="81">
        <v>85</v>
      </c>
      <c r="I19" s="81">
        <v>108</v>
      </c>
      <c r="J19" s="81">
        <v>108</v>
      </c>
      <c r="K19" s="81">
        <v>136</v>
      </c>
      <c r="L19" s="81">
        <v>144</v>
      </c>
      <c r="M19" s="81">
        <v>163</v>
      </c>
      <c r="N19" s="81">
        <v>163</v>
      </c>
    </row>
    <row r="20" spans="2:14">
      <c r="B20" t="s">
        <v>191</v>
      </c>
      <c r="C20" s="85">
        <v>121</v>
      </c>
      <c r="D20" s="85">
        <v>156</v>
      </c>
      <c r="E20" s="85">
        <v>137</v>
      </c>
      <c r="F20" s="85">
        <v>198</v>
      </c>
      <c r="G20" s="85">
        <v>341</v>
      </c>
      <c r="H20" s="85">
        <v>386</v>
      </c>
      <c r="I20" s="85">
        <v>1473</v>
      </c>
      <c r="J20" s="85">
        <v>1617</v>
      </c>
      <c r="K20" s="85">
        <v>1853</v>
      </c>
      <c r="L20" s="85">
        <v>2403</v>
      </c>
      <c r="M20" s="85">
        <v>3546</v>
      </c>
      <c r="N20" s="85">
        <v>4177</v>
      </c>
    </row>
    <row r="21" spans="2:14">
      <c r="B21" t="s">
        <v>192</v>
      </c>
      <c r="C21" s="85">
        <v>632</v>
      </c>
      <c r="D21" s="85">
        <v>719</v>
      </c>
      <c r="E21" s="85">
        <v>445</v>
      </c>
      <c r="F21" s="85">
        <v>473</v>
      </c>
      <c r="G21" s="85">
        <v>563</v>
      </c>
      <c r="H21" s="85">
        <v>630</v>
      </c>
      <c r="I21" s="85">
        <v>724</v>
      </c>
      <c r="J21" s="85">
        <v>739</v>
      </c>
      <c r="K21" s="85">
        <v>768</v>
      </c>
      <c r="L21" s="85">
        <v>838</v>
      </c>
      <c r="M21" s="85">
        <v>899</v>
      </c>
      <c r="N21" s="85">
        <v>1012</v>
      </c>
    </row>
    <row r="22" spans="2:14">
      <c r="B22" t="s">
        <v>193</v>
      </c>
      <c r="C22" s="85">
        <v>23</v>
      </c>
      <c r="D22" s="85">
        <v>24</v>
      </c>
      <c r="E22" s="85">
        <v>18</v>
      </c>
      <c r="F22" s="85">
        <v>24</v>
      </c>
      <c r="G22" s="85">
        <v>34</v>
      </c>
      <c r="H22" s="85">
        <v>50</v>
      </c>
      <c r="I22" s="85">
        <v>70</v>
      </c>
      <c r="J22" s="85">
        <v>76</v>
      </c>
      <c r="K22" s="85">
        <v>96</v>
      </c>
      <c r="L22" s="85">
        <v>130</v>
      </c>
      <c r="M22" s="85">
        <v>110</v>
      </c>
      <c r="N22" s="85">
        <v>127</v>
      </c>
    </row>
    <row r="23" spans="2:14">
      <c r="B23" t="s">
        <v>256</v>
      </c>
      <c r="C23" s="85">
        <v>0</v>
      </c>
      <c r="D23" s="85">
        <v>0</v>
      </c>
      <c r="E23" s="85">
        <v>0</v>
      </c>
      <c r="F23" s="85">
        <v>46</v>
      </c>
      <c r="G23" s="85">
        <v>72</v>
      </c>
      <c r="H23" s="85">
        <v>92</v>
      </c>
      <c r="I23" s="85">
        <v>119</v>
      </c>
      <c r="J23" s="85">
        <v>142</v>
      </c>
      <c r="K23" s="85">
        <v>159</v>
      </c>
      <c r="L23" s="85">
        <v>204</v>
      </c>
      <c r="M23" s="85">
        <v>212</v>
      </c>
      <c r="N23" s="85">
        <v>228</v>
      </c>
    </row>
    <row r="24" spans="2:14">
      <c r="B24" t="s">
        <v>194</v>
      </c>
      <c r="C24" s="85">
        <v>174</v>
      </c>
      <c r="D24" s="85">
        <v>189</v>
      </c>
      <c r="E24" s="85">
        <v>107</v>
      </c>
      <c r="F24" s="85">
        <v>138</v>
      </c>
      <c r="G24" s="85">
        <v>203</v>
      </c>
      <c r="H24" s="85">
        <v>251</v>
      </c>
      <c r="I24" s="85">
        <v>313</v>
      </c>
      <c r="J24" s="85">
        <v>309</v>
      </c>
      <c r="K24" s="85">
        <v>321</v>
      </c>
      <c r="L24" s="85">
        <v>376</v>
      </c>
      <c r="M24" s="85">
        <v>173</v>
      </c>
      <c r="N24" s="85">
        <v>193</v>
      </c>
    </row>
    <row r="25" spans="2:14">
      <c r="B25" t="s">
        <v>195</v>
      </c>
      <c r="C25" s="85">
        <v>14</v>
      </c>
      <c r="D25" s="85">
        <v>17</v>
      </c>
      <c r="E25" s="85">
        <v>11</v>
      </c>
      <c r="F25" s="85">
        <v>10</v>
      </c>
      <c r="G25" s="85">
        <v>16</v>
      </c>
      <c r="H25" s="85">
        <v>22</v>
      </c>
      <c r="I25" s="85">
        <v>28</v>
      </c>
      <c r="J25" s="85">
        <v>30</v>
      </c>
      <c r="K25" s="85">
        <v>38</v>
      </c>
      <c r="L25" s="85">
        <v>40</v>
      </c>
      <c r="M25" s="85">
        <v>50</v>
      </c>
      <c r="N25" s="85">
        <v>57</v>
      </c>
    </row>
    <row r="26" spans="2:14">
      <c r="B26" t="s">
        <v>196</v>
      </c>
      <c r="C26" s="85">
        <v>0</v>
      </c>
      <c r="D26" s="85">
        <v>0</v>
      </c>
      <c r="E26" s="85">
        <v>13</v>
      </c>
      <c r="F26" s="85">
        <v>318</v>
      </c>
      <c r="G26" s="85">
        <v>319</v>
      </c>
      <c r="H26" s="85">
        <v>319</v>
      </c>
      <c r="I26" s="85">
        <v>333</v>
      </c>
      <c r="J26" s="85">
        <v>320</v>
      </c>
      <c r="K26" s="85">
        <v>320</v>
      </c>
      <c r="L26" s="85">
        <v>320</v>
      </c>
      <c r="M26" s="85">
        <v>320</v>
      </c>
      <c r="N26" s="85">
        <v>320</v>
      </c>
    </row>
    <row r="27" spans="2:14">
      <c r="B27" t="s">
        <v>197</v>
      </c>
      <c r="C27" s="85">
        <v>73</v>
      </c>
      <c r="D27" s="85">
        <v>73</v>
      </c>
      <c r="E27" s="85">
        <v>20</v>
      </c>
      <c r="F27" s="85">
        <v>26</v>
      </c>
      <c r="G27" s="85">
        <v>69</v>
      </c>
      <c r="H27" s="85">
        <v>96</v>
      </c>
      <c r="I27" s="85">
        <v>135</v>
      </c>
      <c r="J27" s="85">
        <v>158</v>
      </c>
      <c r="K27" s="85">
        <v>157</v>
      </c>
      <c r="L27" s="85">
        <v>205</v>
      </c>
      <c r="M27" s="85">
        <v>305</v>
      </c>
      <c r="N27" s="85">
        <v>369</v>
      </c>
    </row>
    <row r="28" spans="2:14">
      <c r="B28" s="2" t="s">
        <v>198</v>
      </c>
      <c r="C28" s="87">
        <v>1132</v>
      </c>
      <c r="D28" s="87">
        <v>1282</v>
      </c>
      <c r="E28" s="87">
        <v>836</v>
      </c>
      <c r="F28" s="87">
        <v>1318</v>
      </c>
      <c r="G28" s="87">
        <v>1704</v>
      </c>
      <c r="H28" s="87">
        <v>1931</v>
      </c>
      <c r="I28" s="87">
        <v>3303</v>
      </c>
      <c r="J28" s="87">
        <v>3499</v>
      </c>
      <c r="K28" s="87">
        <v>3848</v>
      </c>
      <c r="L28" s="87">
        <v>4660</v>
      </c>
      <c r="M28" s="87">
        <v>5778</v>
      </c>
      <c r="N28" s="87">
        <v>6646</v>
      </c>
    </row>
    <row r="29" spans="2:14" ht="15" thickBot="1">
      <c r="B29" s="2" t="s">
        <v>199</v>
      </c>
      <c r="C29" s="86">
        <v>518</v>
      </c>
      <c r="D29" s="86">
        <v>583</v>
      </c>
      <c r="E29" s="86">
        <v>66</v>
      </c>
      <c r="F29" s="86">
        <v>130</v>
      </c>
      <c r="G29" s="86">
        <v>230</v>
      </c>
      <c r="H29" s="86">
        <v>365</v>
      </c>
      <c r="I29" s="86">
        <v>670</v>
      </c>
      <c r="J29" s="86">
        <v>976</v>
      </c>
      <c r="K29" s="86">
        <v>1304</v>
      </c>
      <c r="L29" s="86">
        <v>1662</v>
      </c>
      <c r="M29" s="86">
        <v>2069</v>
      </c>
      <c r="N29" s="86">
        <v>2584</v>
      </c>
    </row>
    <row r="30" spans="2:14" ht="15" thickTop="1">
      <c r="B30" s="138" t="s">
        <v>258</v>
      </c>
      <c r="C30" s="139">
        <f>C28-C29</f>
        <v>614</v>
      </c>
      <c r="D30" s="139">
        <f t="shared" ref="D30:N30" si="0">D28-D29</f>
        <v>699</v>
      </c>
      <c r="E30" s="139">
        <f t="shared" si="0"/>
        <v>770</v>
      </c>
      <c r="F30" s="139">
        <f t="shared" si="0"/>
        <v>1188</v>
      </c>
      <c r="G30" s="139">
        <f t="shared" si="0"/>
        <v>1474</v>
      </c>
      <c r="H30" s="139">
        <f t="shared" si="0"/>
        <v>1566</v>
      </c>
      <c r="I30" s="139">
        <f t="shared" si="0"/>
        <v>2633</v>
      </c>
      <c r="J30" s="139">
        <f t="shared" si="0"/>
        <v>2523</v>
      </c>
      <c r="K30" s="139">
        <f t="shared" si="0"/>
        <v>2544</v>
      </c>
      <c r="L30" s="139">
        <f t="shared" si="0"/>
        <v>2998</v>
      </c>
      <c r="M30" s="139">
        <f t="shared" si="0"/>
        <v>3709</v>
      </c>
      <c r="N30" s="139">
        <f t="shared" si="0"/>
        <v>4062</v>
      </c>
    </row>
    <row r="32" spans="2:14">
      <c r="B32" s="140" t="s">
        <v>200</v>
      </c>
      <c r="C32" s="141">
        <v>33</v>
      </c>
      <c r="D32" s="141">
        <v>55</v>
      </c>
      <c r="E32" s="141">
        <v>107</v>
      </c>
      <c r="F32" s="141">
        <v>152</v>
      </c>
      <c r="G32" s="141">
        <v>43</v>
      </c>
      <c r="H32" s="141">
        <v>32</v>
      </c>
      <c r="I32" s="141">
        <v>18</v>
      </c>
      <c r="J32" s="141">
        <v>32</v>
      </c>
      <c r="K32" s="141">
        <v>85</v>
      </c>
      <c r="L32" s="141">
        <v>144</v>
      </c>
      <c r="M32" s="141">
        <v>97</v>
      </c>
      <c r="N32" s="141">
        <v>105</v>
      </c>
    </row>
    <row r="33" spans="2:14">
      <c r="B33" s="140" t="s">
        <v>127</v>
      </c>
      <c r="C33" s="141">
        <v>3</v>
      </c>
      <c r="D33" s="141">
        <v>3</v>
      </c>
      <c r="E33" s="141">
        <v>30</v>
      </c>
      <c r="F33" s="141">
        <v>431</v>
      </c>
      <c r="G33" s="141">
        <v>36</v>
      </c>
      <c r="H33" s="141">
        <v>108</v>
      </c>
      <c r="I33" s="141">
        <v>158</v>
      </c>
      <c r="J33" s="141">
        <v>2824</v>
      </c>
      <c r="K33" s="141">
        <v>294</v>
      </c>
      <c r="L33" s="141">
        <v>2515</v>
      </c>
      <c r="M33" s="141">
        <v>2345</v>
      </c>
      <c r="N33" s="141">
        <v>1988</v>
      </c>
    </row>
    <row r="35" spans="2:14">
      <c r="B35" s="2" t="s">
        <v>201</v>
      </c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</row>
    <row r="36" spans="2:14">
      <c r="B36" s="2" t="s">
        <v>202</v>
      </c>
      <c r="C36" s="85">
        <v>3869</v>
      </c>
      <c r="D36" s="85">
        <v>4049</v>
      </c>
      <c r="E36" s="85">
        <v>4447</v>
      </c>
      <c r="F36" s="85">
        <v>4926</v>
      </c>
      <c r="G36" s="85">
        <v>5925</v>
      </c>
      <c r="H36" s="85">
        <v>7039</v>
      </c>
      <c r="I36" s="85">
        <v>8103</v>
      </c>
      <c r="J36" s="85">
        <v>8408</v>
      </c>
      <c r="K36" s="85">
        <v>13609</v>
      </c>
      <c r="L36" s="85">
        <v>16584</v>
      </c>
      <c r="M36" s="85">
        <v>19051</v>
      </c>
      <c r="N36" s="85">
        <v>28184</v>
      </c>
    </row>
    <row r="37" spans="2:14">
      <c r="B37" s="2" t="s">
        <v>257</v>
      </c>
      <c r="C37" s="86">
        <v>154</v>
      </c>
      <c r="D37" s="86">
        <v>190</v>
      </c>
      <c r="E37" s="86">
        <v>192</v>
      </c>
      <c r="F37" s="86">
        <v>208</v>
      </c>
      <c r="G37" s="86">
        <v>296</v>
      </c>
      <c r="H37" s="86">
        <v>420</v>
      </c>
      <c r="I37" s="86">
        <v>312</v>
      </c>
      <c r="J37" s="86">
        <v>366</v>
      </c>
      <c r="K37" s="86">
        <v>565</v>
      </c>
      <c r="L37" s="86">
        <v>674</v>
      </c>
      <c r="M37" s="86">
        <v>1018</v>
      </c>
      <c r="N37" s="86">
        <v>1068</v>
      </c>
    </row>
    <row r="38" spans="2:14">
      <c r="B38" s="2" t="s">
        <v>203</v>
      </c>
      <c r="C38" s="86">
        <v>893</v>
      </c>
      <c r="D38" s="86">
        <v>214</v>
      </c>
      <c r="E38" s="86">
        <v>116</v>
      </c>
      <c r="F38" s="86">
        <v>779</v>
      </c>
      <c r="G38" s="86">
        <v>618</v>
      </c>
      <c r="H38" s="86">
        <v>1066</v>
      </c>
      <c r="I38" s="86">
        <v>381</v>
      </c>
      <c r="J38" s="86">
        <v>560</v>
      </c>
      <c r="K38" s="86">
        <v>1573</v>
      </c>
      <c r="L38" s="86">
        <v>1343</v>
      </c>
      <c r="M38" s="86">
        <v>1526</v>
      </c>
      <c r="N38" s="86">
        <v>1584</v>
      </c>
    </row>
    <row r="39" spans="2:14">
      <c r="B39" t="s">
        <v>204</v>
      </c>
      <c r="C39" s="85">
        <v>24</v>
      </c>
      <c r="D39" s="85">
        <v>47</v>
      </c>
      <c r="E39" s="85">
        <v>87</v>
      </c>
      <c r="F39" s="85">
        <v>122</v>
      </c>
      <c r="G39" s="85">
        <v>141</v>
      </c>
      <c r="H39" s="85">
        <v>25</v>
      </c>
      <c r="I39" s="85">
        <v>142</v>
      </c>
      <c r="J39" s="85">
        <v>109</v>
      </c>
      <c r="K39" s="85">
        <v>29</v>
      </c>
      <c r="L39" s="85">
        <v>167</v>
      </c>
      <c r="M39" s="85">
        <v>151</v>
      </c>
      <c r="N39" s="85">
        <v>324</v>
      </c>
    </row>
    <row r="40" spans="2:14">
      <c r="B40" t="s">
        <v>205</v>
      </c>
      <c r="C40" s="89">
        <v>520</v>
      </c>
      <c r="D40" s="89">
        <v>611</v>
      </c>
      <c r="E40" s="89">
        <v>591</v>
      </c>
      <c r="F40" s="89">
        <v>602</v>
      </c>
      <c r="G40" s="89">
        <v>988</v>
      </c>
      <c r="H40" s="89">
        <v>1452</v>
      </c>
      <c r="I40" s="89">
        <v>1797</v>
      </c>
      <c r="J40" s="89">
        <v>1622</v>
      </c>
      <c r="K40" s="89">
        <v>2489</v>
      </c>
      <c r="L40" s="89">
        <v>2595</v>
      </c>
      <c r="M40" s="89">
        <v>3650</v>
      </c>
      <c r="N40" s="89">
        <v>3330</v>
      </c>
    </row>
    <row r="41" spans="2:14" ht="15" thickBot="1">
      <c r="B41" s="135" t="s">
        <v>134</v>
      </c>
      <c r="C41" s="136">
        <v>6111</v>
      </c>
      <c r="D41" s="136">
        <v>5868</v>
      </c>
      <c r="E41" s="136">
        <v>6342</v>
      </c>
      <c r="F41" s="136">
        <v>8408</v>
      </c>
      <c r="G41" s="136">
        <v>9521</v>
      </c>
      <c r="H41" s="136">
        <v>11710</v>
      </c>
      <c r="I41" s="136">
        <v>13544</v>
      </c>
      <c r="J41" s="136">
        <v>16444</v>
      </c>
      <c r="K41" s="136">
        <v>21188</v>
      </c>
      <c r="L41" s="136">
        <v>27020</v>
      </c>
      <c r="M41" s="136">
        <v>31547</v>
      </c>
      <c r="N41" s="136">
        <v>40645</v>
      </c>
    </row>
    <row r="42" spans="2:14" ht="15" thickTop="1"/>
    <row r="43" spans="2:14">
      <c r="B43" s="160" t="s">
        <v>219</v>
      </c>
      <c r="C43" s="161">
        <v>-213</v>
      </c>
      <c r="D43" s="161">
        <v>-209</v>
      </c>
      <c r="E43" s="161">
        <v>-254</v>
      </c>
      <c r="F43" s="161">
        <v>-256</v>
      </c>
      <c r="G43" s="161">
        <v>-305</v>
      </c>
      <c r="H43" s="161">
        <v>-265</v>
      </c>
      <c r="I43" s="161">
        <v>-355</v>
      </c>
      <c r="J43" s="161">
        <v>-146</v>
      </c>
      <c r="K43" s="161">
        <v>-224</v>
      </c>
      <c r="L43" s="161">
        <v>-432</v>
      </c>
      <c r="M43" s="161">
        <v>-691</v>
      </c>
      <c r="N43" s="161">
        <v>-494</v>
      </c>
    </row>
    <row r="44" spans="2:14">
      <c r="B44" s="160" t="s">
        <v>220</v>
      </c>
      <c r="C44" s="161">
        <v>2</v>
      </c>
      <c r="D44" s="161">
        <v>2</v>
      </c>
      <c r="E44" s="161">
        <v>2</v>
      </c>
      <c r="F44" s="161">
        <v>5</v>
      </c>
      <c r="G44" s="161">
        <v>6</v>
      </c>
      <c r="H44" s="161">
        <v>1</v>
      </c>
      <c r="I44" s="161">
        <v>10</v>
      </c>
      <c r="J44" s="161">
        <v>7</v>
      </c>
      <c r="K44" s="161">
        <v>8</v>
      </c>
      <c r="L44" s="161">
        <v>12</v>
      </c>
      <c r="M44" s="161">
        <v>20</v>
      </c>
      <c r="N44" s="161">
        <v>24</v>
      </c>
    </row>
    <row r="45" spans="2:14">
      <c r="B45" s="96"/>
      <c r="C45" s="95"/>
      <c r="D45" s="95"/>
      <c r="E45" s="95"/>
      <c r="F45" s="95"/>
      <c r="G45" s="95"/>
      <c r="H45" s="95"/>
      <c r="I45" s="95"/>
      <c r="J45" s="95"/>
      <c r="K45" s="95"/>
    </row>
    <row r="46" spans="2:14">
      <c r="B46" s="97"/>
      <c r="C46" s="98"/>
      <c r="D46" s="98"/>
      <c r="E46" s="98"/>
      <c r="F46" s="98"/>
      <c r="G46" s="98"/>
      <c r="H46" s="98"/>
      <c r="I46" s="98"/>
      <c r="J46" s="98"/>
      <c r="K46" s="99"/>
    </row>
    <row r="47" spans="2:14">
      <c r="B47" s="97"/>
      <c r="C47" s="98"/>
      <c r="D47" s="98"/>
      <c r="E47" s="98"/>
      <c r="F47" s="98"/>
      <c r="G47" s="98"/>
      <c r="H47" s="98"/>
      <c r="I47" s="98"/>
      <c r="J47" s="98"/>
      <c r="K47" s="99"/>
    </row>
    <row r="48" spans="2:14">
      <c r="B48" s="97"/>
      <c r="C48" s="98"/>
      <c r="D48" s="98"/>
      <c r="E48" s="98"/>
      <c r="F48" s="98"/>
      <c r="G48" s="98"/>
      <c r="H48" s="98"/>
      <c r="I48" s="98"/>
      <c r="J48" s="99"/>
      <c r="K48" s="98"/>
    </row>
    <row r="49" spans="2:11">
      <c r="B49" s="97"/>
      <c r="C49" s="98"/>
      <c r="D49" s="98"/>
      <c r="E49" s="98"/>
      <c r="F49" s="98"/>
      <c r="G49" s="98"/>
      <c r="H49" s="98"/>
      <c r="I49" s="98"/>
      <c r="J49" s="98"/>
      <c r="K49" s="98"/>
    </row>
    <row r="50" spans="2:11">
      <c r="B50" s="96"/>
      <c r="C50" s="94"/>
      <c r="D50" s="94"/>
      <c r="E50" s="94"/>
      <c r="F50" s="94"/>
      <c r="G50" s="94"/>
      <c r="H50" s="94"/>
      <c r="I50" s="94"/>
      <c r="J50" s="94"/>
      <c r="K50" s="95"/>
    </row>
    <row r="51" spans="2:11">
      <c r="B51" s="97"/>
      <c r="C51" s="98"/>
      <c r="D51" s="98"/>
      <c r="E51" s="98"/>
      <c r="F51" s="98"/>
      <c r="G51" s="99"/>
      <c r="H51" s="98"/>
      <c r="I51" s="99"/>
      <c r="J51" s="99"/>
      <c r="K51" s="99"/>
    </row>
    <row r="52" spans="2:11">
      <c r="B52" s="97"/>
      <c r="C52" s="98"/>
      <c r="D52" s="98"/>
      <c r="E52" s="98"/>
      <c r="F52" s="98"/>
      <c r="G52" s="98"/>
      <c r="H52" s="98"/>
      <c r="I52" s="98"/>
      <c r="J52" s="98"/>
      <c r="K52" s="98"/>
    </row>
    <row r="53" spans="2:11">
      <c r="B53" s="93"/>
      <c r="C53" s="94"/>
      <c r="D53" s="94"/>
      <c r="E53" s="94"/>
      <c r="F53" s="94"/>
      <c r="G53" s="95"/>
      <c r="H53" s="94"/>
      <c r="I53" s="94"/>
      <c r="J53" s="94"/>
      <c r="K53" s="94"/>
    </row>
    <row r="54" spans="2:11">
      <c r="B54" s="97"/>
      <c r="C54" s="98"/>
      <c r="D54" s="98"/>
      <c r="E54" s="98"/>
      <c r="F54" s="98"/>
      <c r="G54" s="99"/>
      <c r="H54" s="99"/>
      <c r="I54" s="98"/>
      <c r="J54" s="98"/>
      <c r="K54" s="98"/>
    </row>
    <row r="55" spans="2:11">
      <c r="B55" s="97"/>
      <c r="C55" s="98"/>
      <c r="D55" s="98"/>
      <c r="E55" s="98"/>
      <c r="F55" s="98"/>
      <c r="G55" s="98"/>
      <c r="H55" s="98"/>
      <c r="I55" s="98"/>
      <c r="J55" s="98"/>
      <c r="K55" s="98"/>
    </row>
    <row r="56" spans="2:11">
      <c r="B56" s="97"/>
      <c r="C56" s="98"/>
      <c r="D56" s="98"/>
      <c r="E56" s="98"/>
      <c r="F56" s="98"/>
      <c r="G56" s="98"/>
      <c r="H56" s="98"/>
      <c r="I56" s="98"/>
      <c r="J56" s="98"/>
      <c r="K56" s="98"/>
    </row>
    <row r="57" spans="2:11">
      <c r="B57" s="97"/>
      <c r="C57" s="98"/>
      <c r="D57" s="98"/>
      <c r="E57" s="98"/>
      <c r="F57" s="98"/>
      <c r="G57" s="98"/>
      <c r="H57" s="98"/>
      <c r="I57" s="98"/>
      <c r="J57" s="98"/>
      <c r="K57" s="98"/>
    </row>
    <row r="58" spans="2:11">
      <c r="B58" s="97"/>
      <c r="C58" s="98"/>
      <c r="D58" s="98"/>
      <c r="E58" s="98"/>
      <c r="F58" s="98"/>
      <c r="G58" s="98"/>
      <c r="H58" s="98"/>
      <c r="I58" s="98"/>
      <c r="J58" s="98"/>
      <c r="K58" s="98"/>
    </row>
    <row r="59" spans="2:11">
      <c r="B59" s="97"/>
      <c r="C59" s="98"/>
      <c r="D59" s="98"/>
      <c r="E59" s="98"/>
      <c r="F59" s="98"/>
      <c r="G59" s="98"/>
      <c r="H59" s="98"/>
      <c r="I59" s="98"/>
      <c r="J59" s="98"/>
      <c r="K59" s="98"/>
    </row>
    <row r="60" spans="2:11">
      <c r="B60" s="97"/>
      <c r="C60" s="98"/>
      <c r="D60" s="98"/>
      <c r="E60" s="98"/>
      <c r="F60" s="98"/>
      <c r="G60" s="98"/>
      <c r="H60" s="98"/>
      <c r="I60" s="98"/>
      <c r="J60" s="98"/>
      <c r="K60" s="98"/>
    </row>
    <row r="61" spans="2:11">
      <c r="B61" s="97"/>
      <c r="C61" s="98"/>
      <c r="D61" s="98"/>
      <c r="E61" s="98"/>
      <c r="F61" s="98"/>
      <c r="G61" s="98"/>
      <c r="H61" s="98"/>
      <c r="I61" s="98"/>
      <c r="J61" s="98"/>
      <c r="K61" s="98"/>
    </row>
    <row r="62" spans="2:11">
      <c r="B62" s="97"/>
      <c r="C62" s="98"/>
      <c r="D62" s="98"/>
      <c r="E62" s="98"/>
      <c r="F62" s="98"/>
      <c r="G62" s="98"/>
      <c r="H62" s="98"/>
      <c r="I62" s="98"/>
      <c r="J62" s="98"/>
      <c r="K62" s="98"/>
    </row>
    <row r="63" spans="2:11">
      <c r="B63" s="93"/>
      <c r="C63" s="94"/>
      <c r="D63" s="94"/>
      <c r="E63" s="94"/>
      <c r="F63" s="94"/>
      <c r="G63" s="95"/>
      <c r="H63" s="95"/>
      <c r="I63" s="95"/>
      <c r="J63" s="94"/>
      <c r="K63" s="95"/>
    </row>
    <row r="64" spans="2:11">
      <c r="B64" s="97"/>
      <c r="C64" s="98"/>
      <c r="D64" s="98"/>
      <c r="E64" s="98"/>
      <c r="F64" s="98"/>
      <c r="G64" s="98"/>
      <c r="H64" s="98"/>
      <c r="I64" s="98"/>
      <c r="J64" s="98"/>
      <c r="K64" s="98"/>
    </row>
    <row r="65" spans="2:11">
      <c r="B65" s="97"/>
      <c r="C65" s="98"/>
      <c r="D65" s="98"/>
      <c r="E65" s="98"/>
      <c r="F65" s="98"/>
      <c r="G65" s="98"/>
      <c r="H65" s="98"/>
      <c r="I65" s="98"/>
      <c r="J65" s="98"/>
      <c r="K65" s="98"/>
    </row>
    <row r="66" spans="2:11">
      <c r="B66" s="97"/>
      <c r="C66" s="98"/>
      <c r="D66" s="98"/>
      <c r="E66" s="98"/>
      <c r="F66" s="98"/>
      <c r="G66" s="98"/>
      <c r="H66" s="98"/>
      <c r="I66" s="98"/>
      <c r="J66" s="98"/>
      <c r="K66" s="98"/>
    </row>
    <row r="67" spans="2:11">
      <c r="B67" s="97"/>
      <c r="C67" s="98"/>
      <c r="D67" s="98"/>
      <c r="E67" s="98"/>
      <c r="F67" s="98"/>
      <c r="G67" s="99"/>
      <c r="H67" s="99"/>
      <c r="I67" s="99"/>
      <c r="J67" s="98"/>
      <c r="K67" s="99"/>
    </row>
    <row r="68" spans="2:11">
      <c r="B68" s="97"/>
      <c r="C68" s="98"/>
      <c r="D68" s="98"/>
      <c r="E68" s="98"/>
      <c r="F68" s="98"/>
      <c r="G68" s="98"/>
      <c r="H68" s="98"/>
      <c r="I68" s="98"/>
      <c r="J68" s="98"/>
      <c r="K68" s="98"/>
    </row>
    <row r="69" spans="2:11">
      <c r="B69" s="97"/>
      <c r="C69" s="98"/>
      <c r="D69" s="98"/>
      <c r="E69" s="98"/>
      <c r="F69" s="98"/>
      <c r="G69" s="98"/>
      <c r="H69" s="98"/>
      <c r="I69" s="98"/>
      <c r="J69" s="98"/>
      <c r="K69" s="98"/>
    </row>
    <row r="70" spans="2:11">
      <c r="B70" s="93"/>
      <c r="C70" s="94"/>
      <c r="D70" s="94"/>
      <c r="E70" s="94"/>
      <c r="F70" s="94"/>
      <c r="G70" s="94"/>
      <c r="H70" s="94"/>
      <c r="I70" s="94"/>
      <c r="J70" s="95"/>
      <c r="K70" s="95"/>
    </row>
  </sheetData>
  <pageMargins left="0.7" right="0.7" top="0.75" bottom="0.75" header="0.3" footer="0.3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05F2-0584-4EEC-B339-A8CF1A4E7470}">
  <sheetPr>
    <tabColor rgb="FF002060"/>
  </sheetPr>
  <dimension ref="B2:O19"/>
  <sheetViews>
    <sheetView showGridLines="0" zoomScaleNormal="100" workbookViewId="0">
      <selection activeCell="M10" sqref="M10"/>
    </sheetView>
  </sheetViews>
  <sheetFormatPr defaultRowHeight="14.4"/>
  <cols>
    <col min="1" max="1" width="1.88671875" customWidth="1"/>
    <col min="2" max="2" width="13.5546875" customWidth="1"/>
    <col min="5" max="5" width="12.33203125" customWidth="1"/>
    <col min="6" max="6" width="1.88671875" style="162" customWidth="1"/>
    <col min="7" max="7" width="11.88671875" customWidth="1"/>
    <col min="10" max="10" width="14" customWidth="1"/>
    <col min="11" max="11" width="1.88671875" customWidth="1"/>
    <col min="12" max="12" width="12.33203125" customWidth="1"/>
    <col min="15" max="15" width="13" customWidth="1"/>
  </cols>
  <sheetData>
    <row r="2" spans="2:15">
      <c r="B2" s="146" t="str">
        <f>"Sales Forecasting - "&amp;'Data Sheet'!B1</f>
        <v>Sales Forecasting - TITAN COMPANY LTD</v>
      </c>
      <c r="C2" s="146"/>
      <c r="D2" s="146"/>
      <c r="E2" s="146"/>
      <c r="G2" s="146" t="str">
        <f>"EBITDA Forecasting - "&amp;'Data Sheet'!B1</f>
        <v>EBITDA Forecasting - TITAN COMPANY LTD</v>
      </c>
      <c r="H2" s="146"/>
      <c r="I2" s="146"/>
      <c r="J2" s="146"/>
      <c r="L2" s="146" t="str">
        <f>"EPS  Forecasting - "&amp;'Data Sheet'!B1</f>
        <v>EPS  Forecasting - TITAN COMPANY LTD</v>
      </c>
      <c r="M2" s="146"/>
      <c r="N2" s="146"/>
      <c r="O2" s="146"/>
    </row>
    <row r="3" spans="2:15">
      <c r="B3" s="45" t="s">
        <v>299</v>
      </c>
      <c r="C3" s="45" t="s">
        <v>300</v>
      </c>
      <c r="D3" s="45" t="s">
        <v>92</v>
      </c>
      <c r="E3" s="45" t="s">
        <v>263</v>
      </c>
      <c r="G3" s="45" t="s">
        <v>299</v>
      </c>
      <c r="H3" s="45" t="s">
        <v>300</v>
      </c>
      <c r="I3" s="45" t="s">
        <v>101</v>
      </c>
      <c r="J3" s="45" t="s">
        <v>264</v>
      </c>
      <c r="L3" s="45" t="s">
        <v>299</v>
      </c>
      <c r="M3" s="45" t="s">
        <v>300</v>
      </c>
      <c r="N3" s="45" t="s">
        <v>301</v>
      </c>
      <c r="O3" s="45" t="s">
        <v>302</v>
      </c>
    </row>
    <row r="4" spans="2:15">
      <c r="B4" s="38">
        <f>1</f>
        <v>1</v>
      </c>
      <c r="C4" s="168">
        <f>2016</f>
        <v>2016</v>
      </c>
      <c r="D4" s="165">
        <v>11275.89</v>
      </c>
      <c r="E4" s="163"/>
      <c r="G4" s="38">
        <f>1</f>
        <v>1</v>
      </c>
      <c r="H4" s="168">
        <f>2016</f>
        <v>2016</v>
      </c>
      <c r="I4" s="165">
        <v>939.32999999999765</v>
      </c>
      <c r="J4" s="163"/>
      <c r="L4" s="38">
        <f>1</f>
        <v>1</v>
      </c>
      <c r="M4" s="168">
        <f>2016</f>
        <v>2016</v>
      </c>
      <c r="N4" s="167">
        <v>7.6201847262896774</v>
      </c>
      <c r="O4" s="166"/>
    </row>
    <row r="5" spans="2:15">
      <c r="B5" s="38">
        <f>B4+1</f>
        <v>2</v>
      </c>
      <c r="C5" s="168">
        <f>C4+1</f>
        <v>2017</v>
      </c>
      <c r="D5" s="165">
        <v>13260.83</v>
      </c>
      <c r="E5" s="166">
        <f>D5/D4-1</f>
        <v>0.17603399820324617</v>
      </c>
      <c r="G5" s="38">
        <f>G4+1</f>
        <v>2</v>
      </c>
      <c r="H5" s="168">
        <f>H4+1</f>
        <v>2017</v>
      </c>
      <c r="I5" s="165">
        <v>1163.8999999999996</v>
      </c>
      <c r="J5" s="166">
        <f>I5/I4-1</f>
        <v>0.23907465959780105</v>
      </c>
      <c r="L5" s="38">
        <f>L4+1</f>
        <v>2</v>
      </c>
      <c r="M5" s="168">
        <f>M4+1</f>
        <v>2017</v>
      </c>
      <c r="N5" s="167">
        <v>7.8540211759405212</v>
      </c>
      <c r="O5" s="166">
        <f>N5/N4-1</f>
        <v>3.0686454206826141E-2</v>
      </c>
    </row>
    <row r="6" spans="2:15">
      <c r="B6" s="38">
        <f t="shared" ref="B6:B18" si="0">B5+1</f>
        <v>3</v>
      </c>
      <c r="C6" s="168">
        <f t="shared" ref="C6:C18" si="1">C5+1</f>
        <v>2018</v>
      </c>
      <c r="D6" s="165">
        <v>16119.77</v>
      </c>
      <c r="E6" s="166">
        <f t="shared" ref="E6:E18" si="2">D6/D5-1</f>
        <v>0.21559283996552248</v>
      </c>
      <c r="G6" s="38">
        <f t="shared" ref="G6:G18" si="3">G5+1</f>
        <v>3</v>
      </c>
      <c r="H6" s="168">
        <f t="shared" ref="H6:H18" si="4">H5+1</f>
        <v>2018</v>
      </c>
      <c r="I6" s="165">
        <v>1644.2000000000012</v>
      </c>
      <c r="J6" s="166">
        <f t="shared" ref="J6:J18" si="5">I6/I5-1</f>
        <v>0.41266431824040017</v>
      </c>
      <c r="L6" s="38">
        <f t="shared" ref="L6:L18" si="6">L5+1</f>
        <v>3</v>
      </c>
      <c r="M6" s="168">
        <f t="shared" ref="M6:M18" si="7">M5+1</f>
        <v>2018</v>
      </c>
      <c r="N6" s="167">
        <v>12.411691822482554</v>
      </c>
      <c r="O6" s="166">
        <f>N6/N5-1</f>
        <v>0.580297728315744</v>
      </c>
    </row>
    <row r="7" spans="2:15">
      <c r="B7" s="38">
        <f t="shared" si="0"/>
        <v>4</v>
      </c>
      <c r="C7" s="168">
        <f t="shared" si="1"/>
        <v>2019</v>
      </c>
      <c r="D7" s="165">
        <v>19778.52</v>
      </c>
      <c r="E7" s="166">
        <f t="shared" si="2"/>
        <v>0.22697284142391605</v>
      </c>
      <c r="G7" s="38">
        <f t="shared" si="3"/>
        <v>4</v>
      </c>
      <c r="H7" s="168">
        <f t="shared" si="4"/>
        <v>2019</v>
      </c>
      <c r="I7" s="165">
        <v>1993.7900000000009</v>
      </c>
      <c r="J7" s="166">
        <f t="shared" si="5"/>
        <v>0.21262011920690882</v>
      </c>
      <c r="L7" s="38">
        <f t="shared" si="6"/>
        <v>4</v>
      </c>
      <c r="M7" s="168">
        <f t="shared" si="7"/>
        <v>2019</v>
      </c>
      <c r="N7" s="167">
        <v>15.641473304798387</v>
      </c>
      <c r="O7" s="166">
        <f t="shared" ref="O6:O18" si="8">N7/N6-1</f>
        <v>0.26022088918332642</v>
      </c>
    </row>
    <row r="8" spans="2:15">
      <c r="B8" s="38">
        <f t="shared" si="0"/>
        <v>5</v>
      </c>
      <c r="C8" s="168">
        <f t="shared" si="1"/>
        <v>2020</v>
      </c>
      <c r="D8" s="165">
        <v>21052</v>
      </c>
      <c r="E8" s="166">
        <f t="shared" si="2"/>
        <v>6.4387021880302431E-2</v>
      </c>
      <c r="G8" s="38">
        <f t="shared" si="3"/>
        <v>5</v>
      </c>
      <c r="H8" s="168">
        <f t="shared" si="4"/>
        <v>2020</v>
      </c>
      <c r="I8" s="165">
        <v>2463</v>
      </c>
      <c r="J8" s="166">
        <f t="shared" si="5"/>
        <v>0.23533571740253434</v>
      </c>
      <c r="L8" s="38">
        <f t="shared" si="6"/>
        <v>5</v>
      </c>
      <c r="M8" s="168">
        <f t="shared" si="7"/>
        <v>2020</v>
      </c>
      <c r="N8" s="167">
        <v>16.816850642036496</v>
      </c>
      <c r="O8" s="166">
        <f t="shared" si="8"/>
        <v>7.5144924927086798E-2</v>
      </c>
    </row>
    <row r="9" spans="2:15">
      <c r="B9" s="38">
        <f t="shared" si="0"/>
        <v>6</v>
      </c>
      <c r="C9" s="168">
        <f t="shared" si="1"/>
        <v>2021</v>
      </c>
      <c r="D9" s="165">
        <v>21644</v>
      </c>
      <c r="E9" s="166">
        <f t="shared" si="2"/>
        <v>2.8120843625308867E-2</v>
      </c>
      <c r="G9" s="38">
        <f t="shared" si="3"/>
        <v>6</v>
      </c>
      <c r="H9" s="168">
        <f t="shared" si="4"/>
        <v>2021</v>
      </c>
      <c r="I9" s="165">
        <v>1725</v>
      </c>
      <c r="J9" s="166">
        <f t="shared" si="5"/>
        <v>-0.29963459196102316</v>
      </c>
      <c r="L9" s="38">
        <f t="shared" si="6"/>
        <v>6</v>
      </c>
      <c r="M9" s="168">
        <f t="shared" si="7"/>
        <v>2021</v>
      </c>
      <c r="N9" s="167">
        <v>10.970939400765937</v>
      </c>
      <c r="O9" s="166">
        <f t="shared" si="8"/>
        <v>-0.34762223710649709</v>
      </c>
    </row>
    <row r="10" spans="2:15">
      <c r="B10" s="38">
        <f t="shared" si="0"/>
        <v>7</v>
      </c>
      <c r="C10" s="168">
        <f t="shared" si="1"/>
        <v>2022</v>
      </c>
      <c r="D10" s="165">
        <v>28799</v>
      </c>
      <c r="E10" s="166">
        <f t="shared" si="2"/>
        <v>0.33057660321567184</v>
      </c>
      <c r="G10" s="38">
        <f t="shared" si="3"/>
        <v>7</v>
      </c>
      <c r="H10" s="168">
        <f t="shared" si="4"/>
        <v>2022</v>
      </c>
      <c r="I10" s="165">
        <v>3344</v>
      </c>
      <c r="J10" s="166">
        <f t="shared" si="5"/>
        <v>0.93855072463768119</v>
      </c>
      <c r="L10" s="38">
        <f t="shared" si="6"/>
        <v>7</v>
      </c>
      <c r="M10" s="168">
        <f>M9+1</f>
        <v>2022</v>
      </c>
      <c r="N10" s="167">
        <v>24.757828339716152</v>
      </c>
      <c r="O10" s="166">
        <f t="shared" si="8"/>
        <v>1.2566735112936347</v>
      </c>
    </row>
    <row r="11" spans="2:15">
      <c r="B11" s="38">
        <f t="shared" si="0"/>
        <v>8</v>
      </c>
      <c r="C11" s="168">
        <f t="shared" si="1"/>
        <v>2023</v>
      </c>
      <c r="D11" s="165">
        <v>40575</v>
      </c>
      <c r="E11" s="166">
        <f t="shared" si="2"/>
        <v>0.40890308691274013</v>
      </c>
      <c r="G11" s="38">
        <f t="shared" si="3"/>
        <v>8</v>
      </c>
      <c r="H11" s="168">
        <f t="shared" si="4"/>
        <v>2023</v>
      </c>
      <c r="I11" s="165">
        <v>4882</v>
      </c>
      <c r="J11" s="166">
        <f t="shared" si="5"/>
        <v>0.45992822966507174</v>
      </c>
      <c r="L11" s="38">
        <f t="shared" si="6"/>
        <v>8</v>
      </c>
      <c r="M11" s="168">
        <f t="shared" si="7"/>
        <v>2023</v>
      </c>
      <c r="N11" s="167">
        <v>36.877675152061272</v>
      </c>
      <c r="O11" s="166">
        <f t="shared" si="8"/>
        <v>0.48953594176524096</v>
      </c>
    </row>
    <row r="12" spans="2:15">
      <c r="B12" s="38">
        <f t="shared" si="0"/>
        <v>9</v>
      </c>
      <c r="C12" s="168">
        <f t="shared" si="1"/>
        <v>2024</v>
      </c>
      <c r="D12" s="165">
        <v>51084</v>
      </c>
      <c r="E12" s="166">
        <f t="shared" si="2"/>
        <v>0.25900184842883545</v>
      </c>
      <c r="G12" s="38">
        <f t="shared" si="3"/>
        <v>9</v>
      </c>
      <c r="H12" s="168">
        <f t="shared" si="4"/>
        <v>2024</v>
      </c>
      <c r="I12" s="165">
        <v>5292</v>
      </c>
      <c r="J12" s="166">
        <f t="shared" si="5"/>
        <v>8.3981974600573439E-2</v>
      </c>
      <c r="L12" s="38">
        <f t="shared" si="6"/>
        <v>9</v>
      </c>
      <c r="M12" s="168">
        <f t="shared" si="7"/>
        <v>2024</v>
      </c>
      <c r="N12" s="167">
        <v>39.37823834196891</v>
      </c>
      <c r="O12" s="166">
        <f t="shared" si="8"/>
        <v>6.7806963958460642E-2</v>
      </c>
    </row>
    <row r="13" spans="2:15">
      <c r="B13" s="38">
        <f t="shared" si="0"/>
        <v>10</v>
      </c>
      <c r="C13" s="168">
        <f t="shared" si="1"/>
        <v>2025</v>
      </c>
      <c r="D13" s="165">
        <v>60456</v>
      </c>
      <c r="E13" s="166">
        <f t="shared" si="2"/>
        <v>0.18346253229974163</v>
      </c>
      <c r="G13" s="38">
        <f t="shared" si="3"/>
        <v>10</v>
      </c>
      <c r="H13" s="168">
        <f t="shared" si="4"/>
        <v>2025</v>
      </c>
      <c r="I13" s="165">
        <v>5694</v>
      </c>
      <c r="J13" s="166">
        <f t="shared" si="5"/>
        <v>7.5963718820861725E-2</v>
      </c>
      <c r="L13" s="38">
        <f t="shared" si="6"/>
        <v>10</v>
      </c>
      <c r="M13" s="168">
        <f t="shared" si="7"/>
        <v>2025</v>
      </c>
      <c r="N13" s="167">
        <v>37.58729443568371</v>
      </c>
      <c r="O13" s="166">
        <f t="shared" si="8"/>
        <v>-4.548054919908473E-2</v>
      </c>
    </row>
    <row r="14" spans="2:15">
      <c r="B14" s="38">
        <f t="shared" si="0"/>
        <v>11</v>
      </c>
      <c r="C14" s="169">
        <f t="shared" si="1"/>
        <v>2026</v>
      </c>
      <c r="D14" s="165">
        <f>FORECAST(B14,$D$4:$D$13,$B$4:$B$13)</f>
        <v>56981.593333333338</v>
      </c>
      <c r="E14" s="166">
        <f t="shared" si="2"/>
        <v>-5.7470005734197804E-2</v>
      </c>
      <c r="G14" s="38">
        <f t="shared" si="3"/>
        <v>11</v>
      </c>
      <c r="H14" s="169">
        <f t="shared" si="4"/>
        <v>2026</v>
      </c>
      <c r="I14" s="163">
        <f>FORECAST(G14,$I$4:$I$13,$G$4:$G$13)</f>
        <v>5953.8006666666679</v>
      </c>
      <c r="J14" s="166">
        <f t="shared" si="5"/>
        <v>4.56270928462712E-2</v>
      </c>
      <c r="L14" s="38">
        <f t="shared" si="6"/>
        <v>11</v>
      </c>
      <c r="M14" s="169">
        <f t="shared" si="7"/>
        <v>2026</v>
      </c>
      <c r="N14" s="167">
        <f>FORECAST(L14,$N$4:$N$13,$L$4:$L$13)</f>
        <v>42.131839002778406</v>
      </c>
      <c r="O14" s="166">
        <f t="shared" si="8"/>
        <v>0.1209064029567477</v>
      </c>
    </row>
    <row r="15" spans="2:15">
      <c r="B15" s="38">
        <f t="shared" si="0"/>
        <v>12</v>
      </c>
      <c r="C15" s="169">
        <f t="shared" si="1"/>
        <v>2027</v>
      </c>
      <c r="D15" s="165">
        <f t="shared" ref="D15:D18" si="9">FORECAST(B15,$D$4:$D$13,$B$4:$B$13)</f>
        <v>62177.428303030305</v>
      </c>
      <c r="E15" s="166">
        <f t="shared" si="2"/>
        <v>9.118444511198831E-2</v>
      </c>
      <c r="G15" s="38">
        <f t="shared" si="3"/>
        <v>12</v>
      </c>
      <c r="H15" s="169">
        <f t="shared" si="4"/>
        <v>2027</v>
      </c>
      <c r="I15" s="163">
        <f t="shared" ref="I15:I17" si="10">FORECAST(G15,$I$4:$I$13,$G$4:$G$13)</f>
        <v>6506.4695151515152</v>
      </c>
      <c r="J15" s="166">
        <f t="shared" si="5"/>
        <v>9.2826226376548915E-2</v>
      </c>
      <c r="L15" s="38">
        <f t="shared" si="6"/>
        <v>12</v>
      </c>
      <c r="M15" s="169">
        <f t="shared" si="7"/>
        <v>2027</v>
      </c>
      <c r="N15" s="167">
        <f t="shared" ref="N15:N18" si="11">FORECAST(L15,$N$4:$N$13,$L$4:$L$13)</f>
        <v>45.97551523343369</v>
      </c>
      <c r="O15" s="166">
        <f t="shared" si="8"/>
        <v>9.1229728434161439E-2</v>
      </c>
    </row>
    <row r="16" spans="2:15">
      <c r="B16" s="38">
        <f t="shared" si="0"/>
        <v>13</v>
      </c>
      <c r="C16" s="169">
        <f t="shared" si="1"/>
        <v>2028</v>
      </c>
      <c r="D16" s="165">
        <f t="shared" si="9"/>
        <v>67373.263272727272</v>
      </c>
      <c r="E16" s="166">
        <f t="shared" si="2"/>
        <v>8.3564648965125166E-2</v>
      </c>
      <c r="G16" s="38">
        <f t="shared" si="3"/>
        <v>13</v>
      </c>
      <c r="H16" s="169">
        <f t="shared" si="4"/>
        <v>2028</v>
      </c>
      <c r="I16" s="163">
        <f t="shared" si="10"/>
        <v>7059.1383636363644</v>
      </c>
      <c r="J16" s="166">
        <f t="shared" si="5"/>
        <v>8.4941433629690755E-2</v>
      </c>
      <c r="L16" s="38">
        <f t="shared" si="6"/>
        <v>13</v>
      </c>
      <c r="M16" s="169">
        <f t="shared" si="7"/>
        <v>2028</v>
      </c>
      <c r="N16" s="167">
        <f t="shared" si="11"/>
        <v>49.819191464088966</v>
      </c>
      <c r="O16" s="166">
        <f t="shared" si="8"/>
        <v>8.3602678754976401E-2</v>
      </c>
    </row>
    <row r="17" spans="2:15">
      <c r="B17" s="38">
        <f t="shared" si="0"/>
        <v>14</v>
      </c>
      <c r="C17" s="169">
        <f t="shared" si="1"/>
        <v>2029</v>
      </c>
      <c r="D17" s="165">
        <f t="shared" si="9"/>
        <v>72569.098242424254</v>
      </c>
      <c r="E17" s="166">
        <f t="shared" si="2"/>
        <v>7.7120132190483526E-2</v>
      </c>
      <c r="G17" s="38">
        <f t="shared" si="3"/>
        <v>14</v>
      </c>
      <c r="H17" s="169">
        <f t="shared" si="4"/>
        <v>2029</v>
      </c>
      <c r="I17" s="163">
        <f t="shared" si="10"/>
        <v>7611.8072121212135</v>
      </c>
      <c r="J17" s="166">
        <f t="shared" si="5"/>
        <v>7.8291261626461939E-2</v>
      </c>
      <c r="L17" s="38">
        <f t="shared" si="6"/>
        <v>14</v>
      </c>
      <c r="M17" s="169">
        <f t="shared" si="7"/>
        <v>2029</v>
      </c>
      <c r="N17" s="167">
        <f t="shared" si="11"/>
        <v>53.66286769474425</v>
      </c>
      <c r="O17" s="166">
        <f t="shared" si="8"/>
        <v>7.7152521301472987E-2</v>
      </c>
    </row>
    <row r="18" spans="2:15">
      <c r="B18" s="38">
        <f t="shared" si="0"/>
        <v>15</v>
      </c>
      <c r="C18" s="169">
        <f t="shared" si="1"/>
        <v>2030</v>
      </c>
      <c r="D18" s="165">
        <f t="shared" si="9"/>
        <v>77764.933212121221</v>
      </c>
      <c r="E18" s="166">
        <f t="shared" si="2"/>
        <v>7.1598450243101741E-2</v>
      </c>
      <c r="G18" s="38">
        <f t="shared" si="3"/>
        <v>15</v>
      </c>
      <c r="H18" s="169">
        <f t="shared" si="4"/>
        <v>2030</v>
      </c>
      <c r="I18" s="163">
        <f>FORECAST(G18,$I$4:$I$13,$G$4:$G$13)</f>
        <v>8164.4760606060609</v>
      </c>
      <c r="J18" s="166">
        <f t="shared" si="5"/>
        <v>7.2606784838791683E-2</v>
      </c>
      <c r="L18" s="38">
        <f t="shared" si="6"/>
        <v>15</v>
      </c>
      <c r="M18" s="169">
        <f t="shared" si="7"/>
        <v>2030</v>
      </c>
      <c r="N18" s="167">
        <f t="shared" si="11"/>
        <v>57.506543925399527</v>
      </c>
      <c r="O18" s="166">
        <f t="shared" si="8"/>
        <v>7.1626366531875263E-2</v>
      </c>
    </row>
    <row r="19" spans="2:15">
      <c r="D19" s="164"/>
    </row>
  </sheetData>
  <mergeCells count="3">
    <mergeCell ref="B2:E2"/>
    <mergeCell ref="G2:J2"/>
    <mergeCell ref="L2:O2"/>
  </mergeCells>
  <pageMargins left="0.7" right="0.7" top="0.75" bottom="0.75" header="0.3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1D04-130C-4EB5-94D1-E96A482944C5}">
  <dimension ref="B1:U115"/>
  <sheetViews>
    <sheetView showGridLines="0" topLeftCell="D18" workbookViewId="0">
      <selection activeCell="I1" sqref="I1:N41"/>
    </sheetView>
  </sheetViews>
  <sheetFormatPr defaultRowHeight="14.4"/>
  <cols>
    <col min="1" max="1" width="1.88671875" customWidth="1"/>
    <col min="2" max="2" width="12.33203125" customWidth="1"/>
    <col min="3" max="3" width="12.33203125" bestFit="1" customWidth="1"/>
    <col min="4" max="4" width="11.33203125" customWidth="1"/>
    <col min="6" max="6" width="13.5546875" bestFit="1" customWidth="1"/>
    <col min="9" max="9" width="18.109375" customWidth="1"/>
    <col min="10" max="10" width="12" bestFit="1" customWidth="1"/>
    <col min="12" max="12" width="14.44140625" customWidth="1"/>
    <col min="13" max="13" width="14.5546875" customWidth="1"/>
    <col min="14" max="14" width="11.88671875" customWidth="1"/>
    <col min="15" max="15" width="10.88671875" customWidth="1"/>
    <col min="16" max="16" width="11.6640625" customWidth="1"/>
    <col min="17" max="17" width="11.33203125" customWidth="1"/>
    <col min="18" max="18" width="12.88671875" customWidth="1"/>
  </cols>
  <sheetData>
    <row r="1" spans="2:2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2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2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6" spans="2:21">
      <c r="B6" s="2" t="s">
        <v>78</v>
      </c>
    </row>
    <row r="8" spans="2:21">
      <c r="B8" s="123" t="s">
        <v>255</v>
      </c>
      <c r="C8" s="123"/>
      <c r="D8" s="123"/>
      <c r="F8" s="123" t="s">
        <v>44</v>
      </c>
      <c r="G8" s="123"/>
      <c r="I8" s="123" t="s">
        <v>72</v>
      </c>
      <c r="J8" s="123"/>
      <c r="L8" t="s">
        <v>45</v>
      </c>
      <c r="M8" s="9">
        <f>SLOPE(D12:D115,G12:G115)</f>
        <v>0.97564092538105207</v>
      </c>
    </row>
    <row r="9" spans="2:21">
      <c r="B9" s="2"/>
      <c r="L9" t="s">
        <v>46</v>
      </c>
      <c r="M9" s="9">
        <f>_xlfn.COVARIANCE.S(D11:D115,G11:G115)/_xlfn.VAR.S(G11:G115)</f>
        <v>0.97564092538105218</v>
      </c>
    </row>
    <row r="10" spans="2:21">
      <c r="B10" s="40" t="s">
        <v>41</v>
      </c>
      <c r="C10" s="41" t="s">
        <v>42</v>
      </c>
      <c r="D10" s="41" t="s">
        <v>43</v>
      </c>
      <c r="F10" s="41" t="s">
        <v>42</v>
      </c>
      <c r="G10" s="41" t="s">
        <v>43</v>
      </c>
      <c r="I10" s="38" t="s">
        <v>73</v>
      </c>
      <c r="J10" s="147">
        <f>M11</f>
        <v>0.97899689790704103</v>
      </c>
    </row>
    <row r="11" spans="2:21" ht="16.8">
      <c r="B11" s="127">
        <v>45228</v>
      </c>
      <c r="C11" s="128">
        <v>3274.5</v>
      </c>
      <c r="E11" s="126"/>
      <c r="F11" s="128">
        <v>19230.599999999999</v>
      </c>
      <c r="I11" t="s">
        <v>74</v>
      </c>
      <c r="J11" s="14">
        <v>0.75</v>
      </c>
      <c r="L11" t="s">
        <v>47</v>
      </c>
      <c r="M11" s="9">
        <f>J35</f>
        <v>0.97899689790704103</v>
      </c>
    </row>
    <row r="12" spans="2:21" ht="16.8">
      <c r="B12" s="127">
        <v>45235</v>
      </c>
      <c r="C12" s="128">
        <v>3256.35</v>
      </c>
      <c r="D12" s="14">
        <f>C12/C11-1</f>
        <v>-5.5428309665598308E-3</v>
      </c>
      <c r="E12" s="126"/>
      <c r="F12" s="128">
        <v>19425.349999999999</v>
      </c>
      <c r="G12" s="14">
        <f>F12/F11-1</f>
        <v>1.0127089118384225E-2</v>
      </c>
      <c r="J12" s="9"/>
    </row>
    <row r="13" spans="2:21" ht="16.8">
      <c r="B13" s="127">
        <v>45242</v>
      </c>
      <c r="C13" s="128">
        <v>3338.85</v>
      </c>
      <c r="D13" s="14">
        <f t="shared" ref="D13:D76" si="0">C13/C12-1</f>
        <v>2.5335114468653552E-2</v>
      </c>
      <c r="E13" s="126"/>
      <c r="F13" s="128">
        <v>19731.8</v>
      </c>
      <c r="G13" s="14">
        <f t="shared" ref="G13:G76" si="1">F13/F12-1</f>
        <v>1.5775777527818002E-2</v>
      </c>
      <c r="I13" t="s">
        <v>76</v>
      </c>
      <c r="J13" s="9">
        <v>1</v>
      </c>
    </row>
    <row r="14" spans="2:21" ht="16.8">
      <c r="B14" s="127">
        <v>45249</v>
      </c>
      <c r="C14" s="128">
        <v>3396.95</v>
      </c>
      <c r="D14" s="14">
        <f t="shared" si="0"/>
        <v>1.7401201012324563E-2</v>
      </c>
      <c r="E14" s="126"/>
      <c r="F14" s="128">
        <v>19794.7</v>
      </c>
      <c r="G14" s="14">
        <f t="shared" si="1"/>
        <v>3.1877476966115648E-3</v>
      </c>
      <c r="I14" t="s">
        <v>75</v>
      </c>
      <c r="J14" s="14">
        <v>0.25</v>
      </c>
      <c r="U14" s="131"/>
    </row>
    <row r="15" spans="2:21" ht="16.8">
      <c r="B15" s="127">
        <v>45256</v>
      </c>
      <c r="C15" s="128">
        <v>3489.5</v>
      </c>
      <c r="D15" s="14">
        <f t="shared" si="0"/>
        <v>2.7245028628622769E-2</v>
      </c>
      <c r="E15" s="126"/>
      <c r="F15" s="128">
        <v>20267.900000000001</v>
      </c>
      <c r="G15" s="14">
        <f t="shared" si="1"/>
        <v>2.3905388816198414E-2</v>
      </c>
      <c r="U15" s="131"/>
    </row>
    <row r="16" spans="2:21" ht="16.8">
      <c r="B16" s="127">
        <v>45263</v>
      </c>
      <c r="C16" s="128">
        <v>3634.65</v>
      </c>
      <c r="D16" s="14">
        <f t="shared" si="0"/>
        <v>4.159621722309792E-2</v>
      </c>
      <c r="E16" s="126"/>
      <c r="F16" s="128">
        <v>20969.400000000001</v>
      </c>
      <c r="G16" s="14">
        <f t="shared" si="1"/>
        <v>3.4611380557433069E-2</v>
      </c>
      <c r="I16" s="42" t="s">
        <v>77</v>
      </c>
      <c r="J16" s="174">
        <f>(J10*J11)+(J13*J14)</f>
        <v>0.98424767343028075</v>
      </c>
      <c r="U16" s="131"/>
    </row>
    <row r="17" spans="2:21" ht="16.8">
      <c r="B17" s="127">
        <v>45270</v>
      </c>
      <c r="C17" s="128">
        <v>3600.55</v>
      </c>
      <c r="D17" s="14">
        <f t="shared" si="0"/>
        <v>-9.3819212303798416E-3</v>
      </c>
      <c r="E17" s="126"/>
      <c r="F17" s="128">
        <v>21456.65</v>
      </c>
      <c r="G17" s="14">
        <f t="shared" si="1"/>
        <v>2.3236239472755438E-2</v>
      </c>
      <c r="U17" s="131"/>
    </row>
    <row r="18" spans="2:21" ht="16.8">
      <c r="B18" s="127">
        <v>45277</v>
      </c>
      <c r="C18" s="128">
        <v>3627.35</v>
      </c>
      <c r="D18" s="14">
        <f t="shared" si="0"/>
        <v>7.4433072724999771E-3</v>
      </c>
      <c r="E18" s="126"/>
      <c r="F18" s="128">
        <v>21349.4</v>
      </c>
      <c r="G18" s="14">
        <f t="shared" si="1"/>
        <v>-4.9984503638732525E-3</v>
      </c>
      <c r="I18" t="s">
        <v>48</v>
      </c>
      <c r="U18" s="131"/>
    </row>
    <row r="19" spans="2:21" ht="17.399999999999999" thickBot="1">
      <c r="B19" s="127">
        <v>45284</v>
      </c>
      <c r="C19" s="128">
        <v>3675.45</v>
      </c>
      <c r="D19" s="14">
        <f t="shared" si="0"/>
        <v>1.3260369140005723E-2</v>
      </c>
      <c r="E19" s="126"/>
      <c r="F19" s="128">
        <v>21731.4</v>
      </c>
      <c r="G19" s="14">
        <f t="shared" si="1"/>
        <v>1.7892774504201459E-2</v>
      </c>
      <c r="U19" s="131"/>
    </row>
    <row r="20" spans="2:21" ht="16.8">
      <c r="B20" s="127">
        <v>45291</v>
      </c>
      <c r="C20" s="128">
        <v>3712.55</v>
      </c>
      <c r="D20" s="14">
        <f t="shared" si="0"/>
        <v>1.0094002094981569E-2</v>
      </c>
      <c r="E20" s="126"/>
      <c r="F20" s="128">
        <v>21710.799999999999</v>
      </c>
      <c r="G20" s="14">
        <f t="shared" si="1"/>
        <v>-9.479370864280412E-4</v>
      </c>
      <c r="I20" s="173" t="s">
        <v>49</v>
      </c>
      <c r="J20" s="173"/>
      <c r="U20" s="131"/>
    </row>
    <row r="21" spans="2:21" ht="16.8">
      <c r="B21" s="127">
        <v>45298</v>
      </c>
      <c r="C21" s="128">
        <v>3726</v>
      </c>
      <c r="D21" s="14">
        <f t="shared" si="0"/>
        <v>3.6228468303456385E-3</v>
      </c>
      <c r="E21" s="126"/>
      <c r="F21" s="128">
        <v>21894.55</v>
      </c>
      <c r="G21" s="14">
        <f t="shared" si="1"/>
        <v>8.4635296718684749E-3</v>
      </c>
      <c r="I21" s="170" t="s">
        <v>50</v>
      </c>
      <c r="J21" s="170">
        <v>0.54006910096467586</v>
      </c>
      <c r="U21" s="131"/>
    </row>
    <row r="22" spans="2:21" ht="16.8">
      <c r="B22" s="127">
        <v>45305</v>
      </c>
      <c r="C22" s="128">
        <v>3810.6</v>
      </c>
      <c r="D22" s="14">
        <f t="shared" si="0"/>
        <v>2.2705314009661803E-2</v>
      </c>
      <c r="E22" s="126"/>
      <c r="F22" s="128">
        <v>21622.400000000001</v>
      </c>
      <c r="G22" s="14">
        <f t="shared" si="1"/>
        <v>-1.2430033958222397E-2</v>
      </c>
      <c r="I22" s="170" t="s">
        <v>51</v>
      </c>
      <c r="J22" s="170">
        <v>0.29167463381679321</v>
      </c>
      <c r="U22" s="131"/>
    </row>
    <row r="23" spans="2:21" ht="16.8">
      <c r="B23" s="127">
        <v>45312</v>
      </c>
      <c r="C23" s="128">
        <v>3770.2</v>
      </c>
      <c r="D23" s="14">
        <f t="shared" si="0"/>
        <v>-1.0602004933606302E-2</v>
      </c>
      <c r="E23" s="126"/>
      <c r="F23" s="128">
        <v>21352.6</v>
      </c>
      <c r="G23" s="14">
        <f t="shared" si="1"/>
        <v>-1.2477800799171379E-2</v>
      </c>
      <c r="I23" s="170" t="s">
        <v>52</v>
      </c>
      <c r="J23" s="170">
        <v>0.28466151137933571</v>
      </c>
      <c r="U23" s="131"/>
    </row>
    <row r="24" spans="2:21" ht="16.8">
      <c r="B24" s="127">
        <v>45319</v>
      </c>
      <c r="C24" s="128">
        <v>3612.4</v>
      </c>
      <c r="D24" s="14">
        <f t="shared" si="0"/>
        <v>-4.1854543525542298E-2</v>
      </c>
      <c r="E24" s="126"/>
      <c r="F24" s="128">
        <v>21853.8</v>
      </c>
      <c r="G24" s="14">
        <f t="shared" si="1"/>
        <v>2.3472551352060167E-2</v>
      </c>
      <c r="I24" s="170" t="s">
        <v>53</v>
      </c>
      <c r="J24" s="170">
        <v>2.6352106846046774E-2</v>
      </c>
      <c r="U24" s="131"/>
    </row>
    <row r="25" spans="2:21" ht="17.399999999999999" thickBot="1">
      <c r="B25" s="127">
        <v>45326</v>
      </c>
      <c r="C25" s="128">
        <v>3591.6</v>
      </c>
      <c r="D25" s="14">
        <f t="shared" si="0"/>
        <v>-5.7579448566050795E-3</v>
      </c>
      <c r="E25" s="126"/>
      <c r="F25" s="128">
        <v>21782.5</v>
      </c>
      <c r="G25" s="14">
        <f t="shared" si="1"/>
        <v>-3.2625904876955047E-3</v>
      </c>
      <c r="I25" s="171" t="s">
        <v>54</v>
      </c>
      <c r="J25" s="171">
        <v>103</v>
      </c>
      <c r="U25" s="131"/>
    </row>
    <row r="26" spans="2:21" ht="16.8">
      <c r="B26" s="127">
        <v>45333</v>
      </c>
      <c r="C26" s="128">
        <v>3655.4</v>
      </c>
      <c r="D26" s="14">
        <f t="shared" si="0"/>
        <v>1.7763670787392938E-2</v>
      </c>
      <c r="E26" s="126"/>
      <c r="F26" s="128">
        <v>22040.7</v>
      </c>
      <c r="G26" s="14">
        <f t="shared" si="1"/>
        <v>1.1853552163433978E-2</v>
      </c>
      <c r="U26" s="131"/>
    </row>
    <row r="27" spans="2:21" ht="17.399999999999999" thickBot="1">
      <c r="B27" s="127">
        <v>45340</v>
      </c>
      <c r="C27" s="128">
        <v>3691.95</v>
      </c>
      <c r="D27" s="14">
        <f t="shared" si="0"/>
        <v>9.9989057285112537E-3</v>
      </c>
      <c r="E27" s="126"/>
      <c r="F27" s="128">
        <v>22212.7</v>
      </c>
      <c r="G27" s="14">
        <f t="shared" si="1"/>
        <v>7.8037448901351336E-3</v>
      </c>
      <c r="I27" t="s">
        <v>55</v>
      </c>
      <c r="U27" s="131"/>
    </row>
    <row r="28" spans="2:21" ht="16.8">
      <c r="B28" s="127">
        <v>45347</v>
      </c>
      <c r="C28" s="128">
        <v>3765.9</v>
      </c>
      <c r="D28" s="14">
        <f t="shared" si="0"/>
        <v>2.0030065412586895E-2</v>
      </c>
      <c r="E28" s="126"/>
      <c r="F28" s="128">
        <v>22338.75</v>
      </c>
      <c r="G28" s="14">
        <f t="shared" si="1"/>
        <v>5.6746816010659895E-3</v>
      </c>
      <c r="I28" s="172"/>
      <c r="J28" s="172" t="s">
        <v>60</v>
      </c>
      <c r="K28" s="172" t="s">
        <v>61</v>
      </c>
      <c r="L28" s="172" t="s">
        <v>62</v>
      </c>
      <c r="M28" s="172" t="s">
        <v>63</v>
      </c>
      <c r="N28" s="172" t="s">
        <v>64</v>
      </c>
      <c r="U28" s="131"/>
    </row>
    <row r="29" spans="2:21" ht="16.8">
      <c r="B29" s="127">
        <v>45354</v>
      </c>
      <c r="C29" s="128">
        <v>3786.9</v>
      </c>
      <c r="D29" s="14">
        <f t="shared" si="0"/>
        <v>5.5763562495021457E-3</v>
      </c>
      <c r="E29" s="126"/>
      <c r="F29" s="128">
        <v>22493.55</v>
      </c>
      <c r="G29" s="14">
        <f t="shared" si="1"/>
        <v>6.929662581836471E-3</v>
      </c>
      <c r="I29" s="170" t="s">
        <v>56</v>
      </c>
      <c r="J29" s="170">
        <v>1</v>
      </c>
      <c r="K29" s="170">
        <v>2.8881379001051616E-2</v>
      </c>
      <c r="L29" s="170">
        <v>2.8881379001051616E-2</v>
      </c>
      <c r="M29" s="170">
        <v>41.5898391077478</v>
      </c>
      <c r="N29" s="170">
        <v>3.9201653789640587E-9</v>
      </c>
      <c r="U29" s="131"/>
    </row>
    <row r="30" spans="2:21" ht="16.8">
      <c r="B30" s="127">
        <v>45361</v>
      </c>
      <c r="C30" s="128">
        <v>3633.2</v>
      </c>
      <c r="D30" s="14">
        <f t="shared" si="0"/>
        <v>-4.0587287755155965E-2</v>
      </c>
      <c r="E30" s="126"/>
      <c r="F30" s="128">
        <v>22023.35</v>
      </c>
      <c r="G30" s="14">
        <f t="shared" si="1"/>
        <v>-2.0903770191899484E-2</v>
      </c>
      <c r="I30" s="170" t="s">
        <v>57</v>
      </c>
      <c r="J30" s="170">
        <v>101</v>
      </c>
      <c r="K30" s="170">
        <v>7.0137787057772003E-2</v>
      </c>
      <c r="L30" s="170">
        <v>6.9443353522546534E-4</v>
      </c>
      <c r="M30" s="170"/>
      <c r="N30" s="170"/>
      <c r="U30" s="131"/>
    </row>
    <row r="31" spans="2:21" ht="17.399999999999999" thickBot="1">
      <c r="B31" s="127">
        <v>45368</v>
      </c>
      <c r="C31" s="128">
        <v>3706.7</v>
      </c>
      <c r="D31" s="14">
        <f t="shared" si="0"/>
        <v>2.0230100187162758E-2</v>
      </c>
      <c r="E31" s="126"/>
      <c r="F31" s="128">
        <v>22096.75</v>
      </c>
      <c r="G31" s="14">
        <f t="shared" si="1"/>
        <v>3.3328262957270649E-3</v>
      </c>
      <c r="I31" s="171" t="s">
        <v>58</v>
      </c>
      <c r="J31" s="171">
        <v>102</v>
      </c>
      <c r="K31" s="171">
        <v>9.9019166058823618E-2</v>
      </c>
      <c r="L31" s="171"/>
      <c r="M31" s="171"/>
      <c r="N31" s="171"/>
      <c r="U31" s="131"/>
    </row>
    <row r="32" spans="2:21" ht="17.399999999999999" thickBot="1">
      <c r="B32" s="127">
        <v>45375</v>
      </c>
      <c r="C32" s="128">
        <v>3801.8</v>
      </c>
      <c r="D32" s="14">
        <f t="shared" si="0"/>
        <v>2.5656244098524406E-2</v>
      </c>
      <c r="E32" s="126"/>
      <c r="F32" s="128">
        <v>22326.9</v>
      </c>
      <c r="G32" s="14">
        <f t="shared" si="1"/>
        <v>1.0415558849152129E-2</v>
      </c>
      <c r="U32" s="131"/>
    </row>
    <row r="33" spans="2:13" ht="16.8">
      <c r="B33" s="127">
        <v>45382</v>
      </c>
      <c r="C33" s="128">
        <v>3754.45</v>
      </c>
      <c r="D33" s="14">
        <f t="shared" si="0"/>
        <v>-1.2454626755747378E-2</v>
      </c>
      <c r="E33" s="126"/>
      <c r="F33" s="128">
        <v>22513.7</v>
      </c>
      <c r="G33" s="14">
        <f t="shared" si="1"/>
        <v>8.3665891816597782E-3</v>
      </c>
      <c r="I33" s="172"/>
      <c r="J33" s="172" t="s">
        <v>65</v>
      </c>
      <c r="K33" s="172" t="s">
        <v>53</v>
      </c>
      <c r="L33" s="172" t="s">
        <v>66</v>
      </c>
      <c r="M33" s="172" t="s">
        <v>67</v>
      </c>
    </row>
    <row r="34" spans="2:13" ht="16.8">
      <c r="B34" s="127">
        <v>45389</v>
      </c>
      <c r="C34" s="128">
        <v>3619.3</v>
      </c>
      <c r="D34" s="14">
        <f t="shared" si="0"/>
        <v>-3.5997283223907495E-2</v>
      </c>
      <c r="E34" s="126"/>
      <c r="F34" s="128">
        <v>22519.4</v>
      </c>
      <c r="G34" s="14">
        <f t="shared" si="1"/>
        <v>2.5317917534661838E-4</v>
      </c>
      <c r="I34" s="170" t="s">
        <v>59</v>
      </c>
      <c r="J34" s="170">
        <v>-1.1045243191910477E-3</v>
      </c>
      <c r="K34" s="170">
        <v>2.6362083791756927E-3</v>
      </c>
      <c r="L34" s="170">
        <v>-0.41898217451854763</v>
      </c>
      <c r="M34" s="170">
        <v>0.67611886670386134</v>
      </c>
    </row>
    <row r="35" spans="2:13" ht="17.399999999999999" thickBot="1">
      <c r="B35" s="127">
        <v>45396</v>
      </c>
      <c r="C35" s="128">
        <v>3563.05</v>
      </c>
      <c r="D35" s="14">
        <f t="shared" si="0"/>
        <v>-1.5541679330257185E-2</v>
      </c>
      <c r="E35" s="126"/>
      <c r="F35" s="128">
        <v>22147</v>
      </c>
      <c r="G35" s="14">
        <f t="shared" si="1"/>
        <v>-1.6536852669254087E-2</v>
      </c>
      <c r="I35" s="171">
        <v>1.0127089118384225E-2</v>
      </c>
      <c r="J35" s="171">
        <v>0.97899689790704103</v>
      </c>
      <c r="K35" s="171">
        <v>0.15180556604973575</v>
      </c>
      <c r="L35" s="171">
        <v>6.4490184608006684</v>
      </c>
      <c r="M35" s="171">
        <v>3.9201653789640314E-9</v>
      </c>
    </row>
    <row r="36" spans="2:13" ht="17.399999999999999" thickBot="1">
      <c r="B36" s="127">
        <v>45403</v>
      </c>
      <c r="C36" s="128">
        <v>3584.8</v>
      </c>
      <c r="D36" s="14">
        <f t="shared" si="0"/>
        <v>6.1043207364477325E-3</v>
      </c>
      <c r="E36" s="126"/>
      <c r="F36" s="128">
        <v>22419.95</v>
      </c>
      <c r="G36" s="14">
        <f t="shared" si="1"/>
        <v>1.2324468325281002E-2</v>
      </c>
    </row>
    <row r="37" spans="2:13" ht="16.8">
      <c r="B37" s="127">
        <v>45410</v>
      </c>
      <c r="C37" s="128">
        <v>3533.9</v>
      </c>
      <c r="D37" s="14">
        <f t="shared" si="0"/>
        <v>-1.4198839544744546E-2</v>
      </c>
      <c r="E37" s="126"/>
      <c r="F37" s="128">
        <v>22475.85</v>
      </c>
      <c r="G37" s="14">
        <f t="shared" si="1"/>
        <v>2.4933151055197555E-3</v>
      </c>
      <c r="I37" s="172" t="s">
        <v>68</v>
      </c>
      <c r="J37" s="172" t="s">
        <v>69</v>
      </c>
      <c r="K37" s="172" t="s">
        <v>70</v>
      </c>
      <c r="L37" s="172" t="s">
        <v>71</v>
      </c>
    </row>
    <row r="38" spans="2:13" ht="16.8">
      <c r="B38" s="127">
        <v>45417</v>
      </c>
      <c r="C38" s="128">
        <v>3289.85</v>
      </c>
      <c r="D38" s="14">
        <f t="shared" si="0"/>
        <v>-6.9059679108067651E-2</v>
      </c>
      <c r="E38" s="126"/>
      <c r="F38" s="128">
        <v>22055.200000000001</v>
      </c>
      <c r="G38" s="14">
        <f t="shared" si="1"/>
        <v>-1.8715643679771743E-2</v>
      </c>
      <c r="I38" s="170">
        <v>-6.3340526112132135E-3</v>
      </c>
      <c r="J38" s="170">
        <v>4.1250039728311181E-3</v>
      </c>
      <c r="K38" s="170">
        <v>-6.3340526112132135E-3</v>
      </c>
      <c r="L38" s="170">
        <v>4.1250039728311181E-3</v>
      </c>
    </row>
    <row r="39" spans="2:13" ht="17.399999999999999" thickBot="1">
      <c r="B39" s="127">
        <v>45424</v>
      </c>
      <c r="C39" s="128">
        <v>3361.15</v>
      </c>
      <c r="D39" s="14">
        <f t="shared" si="0"/>
        <v>2.1672720640758758E-2</v>
      </c>
      <c r="E39" s="126"/>
      <c r="F39" s="128">
        <v>22466.1</v>
      </c>
      <c r="G39" s="14">
        <f t="shared" si="1"/>
        <v>1.8630527041241907E-2</v>
      </c>
      <c r="I39" s="171">
        <v>0.67785549011295543</v>
      </c>
      <c r="J39" s="171">
        <v>1.2801383057011266</v>
      </c>
      <c r="K39" s="171">
        <v>0.67785549011295543</v>
      </c>
      <c r="L39" s="171">
        <v>1.2801383057011266</v>
      </c>
    </row>
    <row r="40" spans="2:13" ht="16.8">
      <c r="B40" s="127">
        <v>45431</v>
      </c>
      <c r="C40" s="128">
        <v>3412.4</v>
      </c>
      <c r="D40" s="14">
        <f t="shared" si="0"/>
        <v>1.5247757463963119E-2</v>
      </c>
      <c r="E40" s="126"/>
      <c r="F40" s="128">
        <v>22957.1</v>
      </c>
      <c r="G40" s="14">
        <f t="shared" si="1"/>
        <v>2.1855150649200406E-2</v>
      </c>
    </row>
    <row r="41" spans="2:13" ht="16.8">
      <c r="B41" s="127">
        <v>45438</v>
      </c>
      <c r="C41" s="128">
        <v>3241.9</v>
      </c>
      <c r="D41" s="14">
        <f t="shared" si="0"/>
        <v>-4.9964834134333613E-2</v>
      </c>
      <c r="E41" s="126"/>
      <c r="F41" s="128">
        <v>22530.7</v>
      </c>
      <c r="G41" s="14">
        <f t="shared" si="1"/>
        <v>-1.8573774562117951E-2</v>
      </c>
    </row>
    <row r="42" spans="2:13" ht="16.8">
      <c r="B42" s="127">
        <v>45445</v>
      </c>
      <c r="C42" s="128">
        <v>3444.05</v>
      </c>
      <c r="D42" s="14">
        <f t="shared" si="0"/>
        <v>6.2355408865171658E-2</v>
      </c>
      <c r="E42" s="126"/>
      <c r="F42" s="128">
        <v>23290.15</v>
      </c>
      <c r="G42" s="14">
        <f t="shared" si="1"/>
        <v>3.3707341538434354E-2</v>
      </c>
    </row>
    <row r="43" spans="2:13" ht="16.8">
      <c r="B43" s="127">
        <v>45452</v>
      </c>
      <c r="C43" s="128">
        <v>3530.05</v>
      </c>
      <c r="D43" s="14">
        <f t="shared" si="0"/>
        <v>2.4970601472104059E-2</v>
      </c>
      <c r="E43" s="126"/>
      <c r="F43" s="128">
        <v>23465.599999999999</v>
      </c>
      <c r="G43" s="14">
        <f t="shared" si="1"/>
        <v>7.5332275661599279E-3</v>
      </c>
    </row>
    <row r="44" spans="2:13" ht="16.8">
      <c r="B44" s="127">
        <v>45459</v>
      </c>
      <c r="C44" s="128">
        <v>3399.75</v>
      </c>
      <c r="D44" s="14">
        <f t="shared" si="0"/>
        <v>-3.6911658475092479E-2</v>
      </c>
      <c r="E44" s="126"/>
      <c r="F44" s="128">
        <v>23501.1</v>
      </c>
      <c r="G44" s="14">
        <f t="shared" si="1"/>
        <v>1.5128528569481325E-3</v>
      </c>
    </row>
    <row r="45" spans="2:13" ht="16.8">
      <c r="B45" s="127">
        <v>45466</v>
      </c>
      <c r="C45" s="128">
        <v>3404.2</v>
      </c>
      <c r="D45" s="14">
        <f t="shared" si="0"/>
        <v>1.3089197735127733E-3</v>
      </c>
      <c r="E45" s="126"/>
      <c r="F45" s="128">
        <v>24010.6</v>
      </c>
      <c r="G45" s="14">
        <f t="shared" si="1"/>
        <v>2.1679836262983532E-2</v>
      </c>
    </row>
    <row r="46" spans="2:13" ht="16.8">
      <c r="B46" s="127">
        <v>45473</v>
      </c>
      <c r="C46" s="128">
        <v>3269.35</v>
      </c>
      <c r="D46" s="14">
        <f t="shared" si="0"/>
        <v>-3.9612831208507115E-2</v>
      </c>
      <c r="E46" s="126"/>
      <c r="F46" s="128">
        <v>24323.85</v>
      </c>
      <c r="G46" s="14">
        <f t="shared" si="1"/>
        <v>1.3046321208133094E-2</v>
      </c>
    </row>
    <row r="47" spans="2:13" ht="16.8">
      <c r="B47" s="127">
        <v>45480</v>
      </c>
      <c r="C47" s="128">
        <v>3229.85</v>
      </c>
      <c r="D47" s="14">
        <f t="shared" si="0"/>
        <v>-1.2081912306727616E-2</v>
      </c>
      <c r="E47" s="126"/>
      <c r="F47" s="128">
        <v>24502.15</v>
      </c>
      <c r="G47" s="14">
        <f t="shared" si="1"/>
        <v>7.3302540510651326E-3</v>
      </c>
    </row>
    <row r="48" spans="2:13" ht="16.8">
      <c r="B48" s="127">
        <v>45487</v>
      </c>
      <c r="C48" s="128">
        <v>3259</v>
      </c>
      <c r="D48" s="14">
        <f t="shared" si="0"/>
        <v>9.0251869281856578E-3</v>
      </c>
      <c r="E48" s="126"/>
      <c r="F48" s="128">
        <v>24530.9</v>
      </c>
      <c r="G48" s="14">
        <f t="shared" si="1"/>
        <v>1.1733664188653403E-3</v>
      </c>
    </row>
    <row r="49" spans="2:7" ht="16.8">
      <c r="B49" s="127">
        <v>45494</v>
      </c>
      <c r="C49" s="128">
        <v>3494.15</v>
      </c>
      <c r="D49" s="14">
        <f t="shared" si="0"/>
        <v>7.2154034980055348E-2</v>
      </c>
      <c r="E49" s="126"/>
      <c r="F49" s="128">
        <v>24834.85</v>
      </c>
      <c r="G49" s="14">
        <f t="shared" si="1"/>
        <v>1.2390495252925682E-2</v>
      </c>
    </row>
    <row r="50" spans="2:7" ht="16.8">
      <c r="B50" s="127">
        <v>45501</v>
      </c>
      <c r="C50" s="128">
        <v>3462.35</v>
      </c>
      <c r="D50" s="14">
        <f t="shared" si="0"/>
        <v>-9.1009258331783416E-3</v>
      </c>
      <c r="E50" s="126"/>
      <c r="F50" s="128">
        <v>24717.7</v>
      </c>
      <c r="G50" s="14">
        <f t="shared" si="1"/>
        <v>-4.7171615693268887E-3</v>
      </c>
    </row>
    <row r="51" spans="2:7" ht="16.8">
      <c r="B51" s="127">
        <v>45508</v>
      </c>
      <c r="C51" s="128">
        <v>3331.7</v>
      </c>
      <c r="D51" s="14">
        <f t="shared" si="0"/>
        <v>-3.7734486692564295E-2</v>
      </c>
      <c r="E51" s="126"/>
      <c r="F51" s="128">
        <v>24367.5</v>
      </c>
      <c r="G51" s="14">
        <f t="shared" si="1"/>
        <v>-1.4167984885325113E-2</v>
      </c>
    </row>
    <row r="52" spans="2:7" ht="16.8">
      <c r="B52" s="127">
        <v>45515</v>
      </c>
      <c r="C52" s="128">
        <v>3444.75</v>
      </c>
      <c r="D52" s="14">
        <f t="shared" si="0"/>
        <v>3.3931626496983558E-2</v>
      </c>
      <c r="E52" s="126"/>
      <c r="F52" s="128">
        <v>24541.15</v>
      </c>
      <c r="G52" s="14">
        <f t="shared" si="1"/>
        <v>7.1262952703396998E-3</v>
      </c>
    </row>
    <row r="53" spans="2:7" ht="16.8">
      <c r="B53" s="127">
        <v>45522</v>
      </c>
      <c r="C53" s="128">
        <v>3570</v>
      </c>
      <c r="D53" s="14">
        <f t="shared" si="0"/>
        <v>3.6359677770520404E-2</v>
      </c>
      <c r="E53" s="126"/>
      <c r="F53" s="128">
        <v>24823.15</v>
      </c>
      <c r="G53" s="14">
        <f t="shared" si="1"/>
        <v>1.1490904052988471E-2</v>
      </c>
    </row>
    <row r="54" spans="2:7" ht="16.8">
      <c r="B54" s="127">
        <v>45529</v>
      </c>
      <c r="C54" s="128">
        <v>3565.15</v>
      </c>
      <c r="D54" s="14">
        <f t="shared" si="0"/>
        <v>-1.3585434173669642E-3</v>
      </c>
      <c r="E54" s="126"/>
      <c r="F54" s="128">
        <v>25235.9</v>
      </c>
      <c r="G54" s="14">
        <f t="shared" si="1"/>
        <v>1.6627623810837822E-2</v>
      </c>
    </row>
    <row r="55" spans="2:7" ht="16.8">
      <c r="B55" s="127">
        <v>45536</v>
      </c>
      <c r="C55" s="128">
        <v>3695.5</v>
      </c>
      <c r="D55" s="14">
        <f t="shared" si="0"/>
        <v>3.6562276482055456E-2</v>
      </c>
      <c r="E55" s="126"/>
      <c r="F55" s="128">
        <v>24852.15</v>
      </c>
      <c r="G55" s="14">
        <f t="shared" si="1"/>
        <v>-1.5206511358818231E-2</v>
      </c>
    </row>
    <row r="56" spans="2:7" ht="16.8">
      <c r="B56" s="127">
        <v>45543</v>
      </c>
      <c r="C56" s="128">
        <v>3767</v>
      </c>
      <c r="D56" s="14">
        <f t="shared" si="0"/>
        <v>1.9347855499932454E-2</v>
      </c>
      <c r="E56" s="126"/>
      <c r="F56" s="128">
        <v>25356.5</v>
      </c>
      <c r="G56" s="14">
        <f t="shared" si="1"/>
        <v>2.0294018827344829E-2</v>
      </c>
    </row>
    <row r="57" spans="2:7" ht="16.8">
      <c r="B57" s="127">
        <v>45550</v>
      </c>
      <c r="C57" s="128">
        <v>3797.2</v>
      </c>
      <c r="D57" s="14">
        <f t="shared" si="0"/>
        <v>8.0169896469337587E-3</v>
      </c>
      <c r="E57" s="126"/>
      <c r="F57" s="128">
        <v>25790.95</v>
      </c>
      <c r="G57" s="14">
        <f t="shared" si="1"/>
        <v>1.7133673811448702E-2</v>
      </c>
    </row>
    <row r="58" spans="2:7" ht="16.8">
      <c r="B58" s="127">
        <v>45557</v>
      </c>
      <c r="C58" s="128">
        <v>3816.7</v>
      </c>
      <c r="D58" s="14">
        <f t="shared" si="0"/>
        <v>5.1353628989780908E-3</v>
      </c>
      <c r="E58" s="126"/>
      <c r="F58" s="128">
        <v>26178.95</v>
      </c>
      <c r="G58" s="14">
        <f t="shared" si="1"/>
        <v>1.5044036764834123E-2</v>
      </c>
    </row>
    <row r="59" spans="2:7" ht="16.8">
      <c r="B59" s="127">
        <v>45564</v>
      </c>
      <c r="C59" s="128">
        <v>3670.1</v>
      </c>
      <c r="D59" s="14">
        <f t="shared" si="0"/>
        <v>-3.8410144889564291E-2</v>
      </c>
      <c r="E59" s="126"/>
      <c r="F59" s="128">
        <v>25014.6</v>
      </c>
      <c r="G59" s="14">
        <f t="shared" si="1"/>
        <v>-4.4476573735768743E-2</v>
      </c>
    </row>
    <row r="60" spans="2:7" ht="16.8">
      <c r="B60" s="127">
        <v>45571</v>
      </c>
      <c r="C60" s="128">
        <v>3474.4</v>
      </c>
      <c r="D60" s="14">
        <f t="shared" si="0"/>
        <v>-5.3322797743930672E-2</v>
      </c>
      <c r="E60" s="126"/>
      <c r="F60" s="128">
        <v>24964.25</v>
      </c>
      <c r="G60" s="14">
        <f t="shared" si="1"/>
        <v>-2.0128245104857889E-3</v>
      </c>
    </row>
    <row r="61" spans="2:7" ht="16.8">
      <c r="B61" s="127">
        <v>45578</v>
      </c>
      <c r="C61" s="128">
        <v>3381.45</v>
      </c>
      <c r="D61" s="14">
        <f t="shared" si="0"/>
        <v>-2.6752820630900342E-2</v>
      </c>
      <c r="E61" s="126"/>
      <c r="F61" s="128">
        <v>24854.05</v>
      </c>
      <c r="G61" s="14">
        <f t="shared" si="1"/>
        <v>-4.4143124668275524E-3</v>
      </c>
    </row>
    <row r="62" spans="2:7" ht="16.8">
      <c r="B62" s="127">
        <v>45585</v>
      </c>
      <c r="C62" s="128">
        <v>3266.55</v>
      </c>
      <c r="D62" s="14">
        <f t="shared" si="0"/>
        <v>-3.3979505833296231E-2</v>
      </c>
      <c r="E62" s="126"/>
      <c r="F62" s="128">
        <v>24180.799999999999</v>
      </c>
      <c r="G62" s="14">
        <f t="shared" si="1"/>
        <v>-2.7088140564616281E-2</v>
      </c>
    </row>
    <row r="63" spans="2:7" ht="16.8">
      <c r="B63" s="127">
        <v>45592</v>
      </c>
      <c r="C63" s="128">
        <v>3293.7</v>
      </c>
      <c r="D63" s="14">
        <f t="shared" si="0"/>
        <v>8.3115213298432522E-3</v>
      </c>
      <c r="E63" s="126"/>
      <c r="F63" s="128">
        <v>24304.35</v>
      </c>
      <c r="G63" s="14">
        <f t="shared" si="1"/>
        <v>5.1094256600276999E-3</v>
      </c>
    </row>
    <row r="64" spans="2:7" ht="16.8">
      <c r="B64" s="127">
        <v>45599</v>
      </c>
      <c r="C64" s="128">
        <v>3186.25</v>
      </c>
      <c r="D64" s="14">
        <f t="shared" si="0"/>
        <v>-3.2622886115918237E-2</v>
      </c>
      <c r="E64" s="126"/>
      <c r="F64" s="128">
        <v>24148.2</v>
      </c>
      <c r="G64" s="14">
        <f t="shared" si="1"/>
        <v>-6.4247758117372822E-3</v>
      </c>
    </row>
    <row r="65" spans="2:7" ht="16.8">
      <c r="B65" s="127">
        <v>45606</v>
      </c>
      <c r="C65" s="128">
        <v>3183.7</v>
      </c>
      <c r="D65" s="14">
        <f t="shared" si="0"/>
        <v>-8.0031384856815713E-4</v>
      </c>
      <c r="E65" s="126"/>
      <c r="F65" s="128">
        <v>23532.7</v>
      </c>
      <c r="G65" s="14">
        <f t="shared" si="1"/>
        <v>-2.5488442202731498E-2</v>
      </c>
    </row>
    <row r="66" spans="2:7" ht="16.8">
      <c r="B66" s="127">
        <v>45613</v>
      </c>
      <c r="C66" s="128">
        <v>3308.7</v>
      </c>
      <c r="D66" s="14">
        <f t="shared" si="0"/>
        <v>3.9262493325376235E-2</v>
      </c>
      <c r="E66" s="126"/>
      <c r="F66" s="128">
        <v>23907.25</v>
      </c>
      <c r="G66" s="14">
        <f t="shared" si="1"/>
        <v>1.5916150717937061E-2</v>
      </c>
    </row>
    <row r="67" spans="2:7" ht="16.8">
      <c r="B67" s="127">
        <v>45620</v>
      </c>
      <c r="C67" s="128">
        <v>3249</v>
      </c>
      <c r="D67" s="14">
        <f t="shared" si="0"/>
        <v>-1.804334028470389E-2</v>
      </c>
      <c r="E67" s="126"/>
      <c r="F67" s="128">
        <v>24131.1</v>
      </c>
      <c r="G67" s="14">
        <f t="shared" si="1"/>
        <v>9.3632684645870157E-3</v>
      </c>
    </row>
    <row r="68" spans="2:7" ht="16.8">
      <c r="B68" s="127">
        <v>45627</v>
      </c>
      <c r="C68" s="128">
        <v>3470.1</v>
      </c>
      <c r="D68" s="14">
        <f t="shared" si="0"/>
        <v>6.8051708217913287E-2</v>
      </c>
      <c r="E68" s="126"/>
      <c r="F68" s="128">
        <v>24677.8</v>
      </c>
      <c r="G68" s="14">
        <f t="shared" si="1"/>
        <v>2.2655411481449228E-2</v>
      </c>
    </row>
    <row r="69" spans="2:7" ht="16.8">
      <c r="B69" s="127">
        <v>45634</v>
      </c>
      <c r="C69" s="128">
        <v>3508.85</v>
      </c>
      <c r="D69" s="14">
        <f t="shared" si="0"/>
        <v>1.1166825163539951E-2</v>
      </c>
      <c r="E69" s="126"/>
      <c r="F69" s="128">
        <v>24768.3</v>
      </c>
      <c r="G69" s="14">
        <f t="shared" si="1"/>
        <v>3.6672636944945491E-3</v>
      </c>
    </row>
    <row r="70" spans="2:7" ht="16.8">
      <c r="B70" s="127">
        <v>45641</v>
      </c>
      <c r="C70" s="128">
        <v>3356.25</v>
      </c>
      <c r="D70" s="14">
        <f t="shared" si="0"/>
        <v>-4.3490032346780283E-2</v>
      </c>
      <c r="E70" s="126"/>
      <c r="F70" s="128">
        <v>23587.5</v>
      </c>
      <c r="G70" s="14">
        <f t="shared" si="1"/>
        <v>-4.7673841159869612E-2</v>
      </c>
    </row>
    <row r="71" spans="2:7" ht="16.8">
      <c r="B71" s="127">
        <v>45648</v>
      </c>
      <c r="C71" s="128">
        <v>3309.2</v>
      </c>
      <c r="D71" s="14">
        <f t="shared" si="0"/>
        <v>-1.4018621973929335E-2</v>
      </c>
      <c r="E71" s="126"/>
      <c r="F71" s="128">
        <v>23813.4</v>
      </c>
      <c r="G71" s="14">
        <f t="shared" si="1"/>
        <v>9.5771065182830295E-3</v>
      </c>
    </row>
    <row r="72" spans="2:7" ht="16.8">
      <c r="B72" s="127">
        <v>45655</v>
      </c>
      <c r="C72" s="128">
        <v>3451.65</v>
      </c>
      <c r="D72" s="14">
        <f t="shared" si="0"/>
        <v>4.3046657802490174E-2</v>
      </c>
      <c r="E72" s="126"/>
      <c r="F72" s="128">
        <v>24004.75</v>
      </c>
      <c r="G72" s="14">
        <f t="shared" si="1"/>
        <v>8.035391838208783E-3</v>
      </c>
    </row>
    <row r="73" spans="2:7" ht="16.8">
      <c r="B73" s="127">
        <v>45662</v>
      </c>
      <c r="C73" s="128">
        <v>3440.25</v>
      </c>
      <c r="D73" s="14">
        <f t="shared" si="0"/>
        <v>-3.3027682412759551E-3</v>
      </c>
      <c r="E73" s="126"/>
      <c r="F73" s="128">
        <v>23431.5</v>
      </c>
      <c r="G73" s="14">
        <f t="shared" si="1"/>
        <v>-2.3880690280048689E-2</v>
      </c>
    </row>
    <row r="74" spans="2:7" ht="16.8">
      <c r="B74" s="127">
        <v>45669</v>
      </c>
      <c r="C74" s="128">
        <v>3357.4</v>
      </c>
      <c r="D74" s="14">
        <f t="shared" si="0"/>
        <v>-2.4082552140106017E-2</v>
      </c>
      <c r="E74" s="126"/>
      <c r="F74" s="128">
        <v>23203.200000000001</v>
      </c>
      <c r="G74" s="14">
        <f t="shared" si="1"/>
        <v>-9.7432942833365344E-3</v>
      </c>
    </row>
    <row r="75" spans="2:7" ht="16.8">
      <c r="B75" s="127">
        <v>45676</v>
      </c>
      <c r="C75" s="128">
        <v>3402.15</v>
      </c>
      <c r="D75" s="14">
        <f t="shared" si="0"/>
        <v>1.3328766307261652E-2</v>
      </c>
      <c r="E75" s="126"/>
      <c r="F75" s="128">
        <v>23092.2</v>
      </c>
      <c r="G75" s="14">
        <f t="shared" si="1"/>
        <v>-4.7838229209764549E-3</v>
      </c>
    </row>
    <row r="76" spans="2:7" ht="16.8">
      <c r="B76" s="127">
        <v>45683</v>
      </c>
      <c r="C76" s="128">
        <v>3490.25</v>
      </c>
      <c r="D76" s="14">
        <f t="shared" si="0"/>
        <v>2.5895389680055336E-2</v>
      </c>
      <c r="E76" s="126"/>
      <c r="F76" s="128">
        <v>23508.400000000001</v>
      </c>
      <c r="G76" s="14">
        <f t="shared" si="1"/>
        <v>1.8023401841314346E-2</v>
      </c>
    </row>
    <row r="77" spans="2:7" ht="16.8">
      <c r="B77" s="127">
        <v>45690</v>
      </c>
      <c r="C77" s="128">
        <v>3424.8</v>
      </c>
      <c r="D77" s="14">
        <f t="shared" ref="D77:D115" si="2">C77/C76-1</f>
        <v>-1.8752238378339614E-2</v>
      </c>
      <c r="E77" s="126"/>
      <c r="F77" s="128">
        <v>23559.95</v>
      </c>
      <c r="G77" s="14">
        <f t="shared" ref="G77:G115" si="3">F77/F76-1</f>
        <v>2.1928332000475947E-3</v>
      </c>
    </row>
    <row r="78" spans="2:7" ht="16.8">
      <c r="B78" s="127">
        <v>45697</v>
      </c>
      <c r="C78" s="128">
        <v>3213.25</v>
      </c>
      <c r="D78" s="14">
        <f t="shared" si="2"/>
        <v>-6.1770030366736783E-2</v>
      </c>
      <c r="E78" s="126"/>
      <c r="F78" s="128">
        <v>22929.25</v>
      </c>
      <c r="G78" s="14">
        <f t="shared" si="3"/>
        <v>-2.6770005878620329E-2</v>
      </c>
    </row>
    <row r="79" spans="2:7" ht="16.8">
      <c r="B79" s="127">
        <v>45704</v>
      </c>
      <c r="C79" s="128">
        <v>3179.9</v>
      </c>
      <c r="D79" s="14">
        <f t="shared" si="2"/>
        <v>-1.0378899867735103E-2</v>
      </c>
      <c r="E79" s="126"/>
      <c r="F79" s="128">
        <v>22795.9</v>
      </c>
      <c r="G79" s="14">
        <f t="shared" si="3"/>
        <v>-5.8157157342695331E-3</v>
      </c>
    </row>
    <row r="80" spans="2:7" ht="16.8">
      <c r="B80" s="127">
        <v>45711</v>
      </c>
      <c r="C80" s="128">
        <v>3077.25</v>
      </c>
      <c r="D80" s="14">
        <f t="shared" si="2"/>
        <v>-3.2280889336142704E-2</v>
      </c>
      <c r="E80" s="126"/>
      <c r="F80" s="128">
        <v>22124.7</v>
      </c>
      <c r="G80" s="14">
        <f t="shared" si="3"/>
        <v>-2.9443891226053842E-2</v>
      </c>
    </row>
    <row r="81" spans="2:7" ht="16.8">
      <c r="B81" s="127">
        <v>45718</v>
      </c>
      <c r="C81" s="128">
        <v>3079.35</v>
      </c>
      <c r="D81" s="14">
        <f t="shared" si="2"/>
        <v>6.8242749207891862E-4</v>
      </c>
      <c r="E81" s="126"/>
      <c r="F81" s="128">
        <v>22552.5</v>
      </c>
      <c r="G81" s="14">
        <f t="shared" si="3"/>
        <v>1.9335855401429125E-2</v>
      </c>
    </row>
    <row r="82" spans="2:7" ht="16.8">
      <c r="B82" s="127">
        <v>45725</v>
      </c>
      <c r="C82" s="128">
        <v>3010.15</v>
      </c>
      <c r="D82" s="14">
        <f t="shared" si="2"/>
        <v>-2.2472274993099117E-2</v>
      </c>
      <c r="E82" s="126"/>
      <c r="F82" s="128">
        <v>22397.200000000001</v>
      </c>
      <c r="G82" s="14">
        <f t="shared" si="3"/>
        <v>-6.8861545283227521E-3</v>
      </c>
    </row>
    <row r="83" spans="2:7" ht="16.8">
      <c r="B83" s="127">
        <v>45732</v>
      </c>
      <c r="C83" s="128">
        <v>3162.7</v>
      </c>
      <c r="D83" s="14">
        <f t="shared" si="2"/>
        <v>5.0678537614404551E-2</v>
      </c>
      <c r="E83" s="126"/>
      <c r="F83" s="128">
        <v>23350.400000000001</v>
      </c>
      <c r="G83" s="14">
        <f t="shared" si="3"/>
        <v>4.2558891289982803E-2</v>
      </c>
    </row>
    <row r="84" spans="2:7" ht="16.8">
      <c r="B84" s="127">
        <v>45739</v>
      </c>
      <c r="C84" s="128">
        <v>3063.35</v>
      </c>
      <c r="D84" s="14">
        <f t="shared" si="2"/>
        <v>-3.1413033167862925E-2</v>
      </c>
      <c r="E84" s="126"/>
      <c r="F84" s="128">
        <v>23519.35</v>
      </c>
      <c r="G84" s="14">
        <f t="shared" si="3"/>
        <v>7.2354220912702605E-3</v>
      </c>
    </row>
    <row r="85" spans="2:7" ht="16.8">
      <c r="B85" s="127">
        <v>45746</v>
      </c>
      <c r="C85" s="128">
        <v>3076.2</v>
      </c>
      <c r="D85" s="14">
        <f t="shared" si="2"/>
        <v>4.1947541090636697E-3</v>
      </c>
      <c r="E85" s="126"/>
      <c r="F85" s="128">
        <v>22904.45</v>
      </c>
      <c r="G85" s="14">
        <f t="shared" si="3"/>
        <v>-2.6144430011883713E-2</v>
      </c>
    </row>
    <row r="86" spans="2:7" ht="16.8">
      <c r="B86" s="127">
        <v>45753</v>
      </c>
      <c r="C86" s="128">
        <v>3234.9</v>
      </c>
      <c r="D86" s="14">
        <f t="shared" si="2"/>
        <v>5.1589623561536957E-2</v>
      </c>
      <c r="E86" s="126"/>
      <c r="F86" s="128">
        <v>22828.55</v>
      </c>
      <c r="G86" s="14">
        <f t="shared" si="3"/>
        <v>-3.3137665388167648E-3</v>
      </c>
    </row>
    <row r="87" spans="2:7" ht="16.8">
      <c r="B87" s="127">
        <v>45760</v>
      </c>
      <c r="C87" s="128">
        <v>3327.5</v>
      </c>
      <c r="D87" s="14">
        <f t="shared" si="2"/>
        <v>2.8625305264459389E-2</v>
      </c>
      <c r="E87" s="126"/>
      <c r="F87" s="128">
        <v>23851.65</v>
      </c>
      <c r="G87" s="14">
        <f t="shared" si="3"/>
        <v>4.4816687875489425E-2</v>
      </c>
    </row>
    <row r="88" spans="2:7" ht="16.8">
      <c r="B88" s="127">
        <v>45767</v>
      </c>
      <c r="C88" s="128">
        <v>3365.2</v>
      </c>
      <c r="D88" s="14">
        <f t="shared" si="2"/>
        <v>1.1329827197595677E-2</v>
      </c>
      <c r="E88" s="126"/>
      <c r="F88" s="128">
        <v>24039.35</v>
      </c>
      <c r="G88" s="14">
        <f t="shared" si="3"/>
        <v>7.86947653516612E-3</v>
      </c>
    </row>
    <row r="89" spans="2:7" ht="16.8">
      <c r="B89" s="127">
        <v>45774</v>
      </c>
      <c r="C89" s="128">
        <v>3341</v>
      </c>
      <c r="D89" s="14">
        <f t="shared" si="2"/>
        <v>-7.1912516343752841E-3</v>
      </c>
      <c r="E89" s="126"/>
      <c r="F89" s="128">
        <v>24346.7</v>
      </c>
      <c r="G89" s="14">
        <f t="shared" si="3"/>
        <v>1.2785287455775673E-2</v>
      </c>
    </row>
    <row r="90" spans="2:7" ht="16.8">
      <c r="B90" s="127">
        <v>45781</v>
      </c>
      <c r="C90" s="128">
        <v>3510.3</v>
      </c>
      <c r="D90" s="14">
        <f t="shared" si="2"/>
        <v>5.0673451062556163E-2</v>
      </c>
      <c r="E90" s="126"/>
      <c r="F90" s="128">
        <v>24008</v>
      </c>
      <c r="G90" s="14">
        <f t="shared" si="3"/>
        <v>-1.391153626569519E-2</v>
      </c>
    </row>
    <row r="91" spans="2:7" ht="16.8">
      <c r="B91" s="127">
        <v>45788</v>
      </c>
      <c r="C91" s="128">
        <v>3633.7</v>
      </c>
      <c r="D91" s="14">
        <f t="shared" si="2"/>
        <v>3.5153690567757634E-2</v>
      </c>
      <c r="E91" s="126"/>
      <c r="F91" s="128">
        <v>25019.8</v>
      </c>
      <c r="G91" s="14">
        <f t="shared" si="3"/>
        <v>4.2144285238253865E-2</v>
      </c>
    </row>
    <row r="92" spans="2:7" ht="16.8">
      <c r="B92" s="127">
        <v>45795</v>
      </c>
      <c r="C92" s="128">
        <v>3579.7</v>
      </c>
      <c r="D92" s="14">
        <f t="shared" si="2"/>
        <v>-1.4860885598701024E-2</v>
      </c>
      <c r="E92" s="126"/>
      <c r="F92" s="128">
        <v>24853.15</v>
      </c>
      <c r="G92" s="14">
        <f t="shared" si="3"/>
        <v>-6.660724706032739E-3</v>
      </c>
    </row>
    <row r="93" spans="2:7" ht="16.8">
      <c r="B93" s="127">
        <v>45802</v>
      </c>
      <c r="C93" s="128">
        <v>3555</v>
      </c>
      <c r="D93" s="14">
        <f t="shared" si="2"/>
        <v>-6.9000195547112009E-3</v>
      </c>
      <c r="E93" s="126"/>
      <c r="F93" s="128">
        <v>24750.7</v>
      </c>
      <c r="G93" s="14">
        <f t="shared" si="3"/>
        <v>-4.1222138843567402E-3</v>
      </c>
    </row>
    <row r="94" spans="2:7" ht="16.8">
      <c r="B94" s="127">
        <v>45809</v>
      </c>
      <c r="C94" s="128">
        <v>3559.9</v>
      </c>
      <c r="D94" s="14">
        <f t="shared" si="2"/>
        <v>1.3783403656821847E-3</v>
      </c>
      <c r="E94" s="126"/>
      <c r="F94" s="128">
        <v>25003.05</v>
      </c>
      <c r="G94" s="14">
        <f t="shared" si="3"/>
        <v>1.0195671233540704E-2</v>
      </c>
    </row>
    <row r="95" spans="2:7" ht="16.8">
      <c r="B95" s="127">
        <v>45816</v>
      </c>
      <c r="C95" s="128">
        <v>3421.9</v>
      </c>
      <c r="D95" s="14">
        <f t="shared" si="2"/>
        <v>-3.8765133852074474E-2</v>
      </c>
      <c r="E95" s="126"/>
      <c r="F95" s="128">
        <v>24718.6</v>
      </c>
      <c r="G95" s="14">
        <f t="shared" si="3"/>
        <v>-1.1376612053329516E-2</v>
      </c>
    </row>
    <row r="96" spans="2:7" ht="16.8">
      <c r="B96" s="127">
        <v>45823</v>
      </c>
      <c r="C96" s="128">
        <v>3519</v>
      </c>
      <c r="D96" s="14">
        <f t="shared" si="2"/>
        <v>2.8376048394166853E-2</v>
      </c>
      <c r="E96" s="126"/>
      <c r="F96" s="128">
        <v>25112.400000000001</v>
      </c>
      <c r="G96" s="14">
        <f t="shared" si="3"/>
        <v>1.5931322971365791E-2</v>
      </c>
    </row>
    <row r="97" spans="2:7" ht="16.8">
      <c r="B97" s="127">
        <v>45830</v>
      </c>
      <c r="C97" s="128">
        <v>3666.2</v>
      </c>
      <c r="D97" s="14">
        <f t="shared" si="2"/>
        <v>4.1830065359476976E-2</v>
      </c>
      <c r="E97" s="126"/>
      <c r="F97" s="128">
        <v>25637.8</v>
      </c>
      <c r="G97" s="14">
        <f t="shared" si="3"/>
        <v>2.092193498032846E-2</v>
      </c>
    </row>
    <row r="98" spans="2:7" ht="16.8">
      <c r="B98" s="127">
        <v>45837</v>
      </c>
      <c r="C98" s="128">
        <v>3686.9</v>
      </c>
      <c r="D98" s="14">
        <f t="shared" si="2"/>
        <v>5.6461731493100409E-3</v>
      </c>
      <c r="E98" s="126"/>
      <c r="F98" s="128">
        <v>25461</v>
      </c>
      <c r="G98" s="14">
        <f t="shared" si="3"/>
        <v>-6.8960675252947023E-3</v>
      </c>
    </row>
    <row r="99" spans="2:7" ht="16.8">
      <c r="B99" s="127">
        <v>45844</v>
      </c>
      <c r="C99" s="128">
        <v>3361.6</v>
      </c>
      <c r="D99" s="14">
        <f t="shared" si="2"/>
        <v>-8.8231305432748375E-2</v>
      </c>
      <c r="E99" s="126"/>
      <c r="F99" s="128">
        <v>25149.85</v>
      </c>
      <c r="G99" s="14">
        <f t="shared" si="3"/>
        <v>-1.2220651192019205E-2</v>
      </c>
    </row>
    <row r="100" spans="2:7" ht="16.8">
      <c r="B100" s="127">
        <v>45851</v>
      </c>
      <c r="C100" s="128">
        <v>3402.9</v>
      </c>
      <c r="D100" s="14">
        <f t="shared" si="2"/>
        <v>1.228581627796288E-2</v>
      </c>
      <c r="E100" s="126"/>
      <c r="F100" s="128">
        <v>24968.400000000001</v>
      </c>
      <c r="G100" s="14">
        <f t="shared" si="3"/>
        <v>-7.214754759968578E-3</v>
      </c>
    </row>
    <row r="101" spans="2:7" ht="16.8">
      <c r="B101" s="127">
        <v>45858</v>
      </c>
      <c r="C101" s="128">
        <v>3462.8</v>
      </c>
      <c r="D101" s="14">
        <f t="shared" si="2"/>
        <v>1.7602633048282357E-2</v>
      </c>
      <c r="E101" s="126"/>
      <c r="F101" s="128">
        <v>24837</v>
      </c>
      <c r="G101" s="14">
        <f t="shared" si="3"/>
        <v>-5.2626519921180615E-3</v>
      </c>
    </row>
    <row r="102" spans="2:7" ht="16.8">
      <c r="B102" s="127">
        <v>45865</v>
      </c>
      <c r="C102" s="128">
        <v>3316</v>
      </c>
      <c r="D102" s="14">
        <f t="shared" si="2"/>
        <v>-4.2393438835624409E-2</v>
      </c>
      <c r="E102" s="126"/>
      <c r="F102" s="128">
        <v>24565.35</v>
      </c>
      <c r="G102" s="14">
        <f t="shared" si="3"/>
        <v>-1.0937311269477057E-2</v>
      </c>
    </row>
    <row r="103" spans="2:7" ht="16.8">
      <c r="B103" s="127">
        <v>45872</v>
      </c>
      <c r="C103" s="128">
        <v>3460.2</v>
      </c>
      <c r="D103" s="14">
        <f t="shared" si="2"/>
        <v>4.3486127864897473E-2</v>
      </c>
      <c r="E103" s="126"/>
      <c r="F103" s="128">
        <v>24363.3</v>
      </c>
      <c r="G103" s="14">
        <f t="shared" si="3"/>
        <v>-8.2249998473459263E-3</v>
      </c>
    </row>
    <row r="104" spans="2:7" ht="16.8">
      <c r="B104" s="127">
        <v>45879</v>
      </c>
      <c r="C104" s="128">
        <v>3489.4</v>
      </c>
      <c r="D104" s="14">
        <f t="shared" si="2"/>
        <v>8.4388185654009629E-3</v>
      </c>
      <c r="E104" s="126"/>
      <c r="F104" s="128">
        <v>24631.3</v>
      </c>
      <c r="G104" s="14">
        <f t="shared" si="3"/>
        <v>1.100015186776826E-2</v>
      </c>
    </row>
    <row r="105" spans="2:7" ht="16.8">
      <c r="B105" s="127">
        <v>45886</v>
      </c>
      <c r="C105" s="128">
        <v>3621</v>
      </c>
      <c r="D105" s="14">
        <f t="shared" si="2"/>
        <v>3.7714220209778215E-2</v>
      </c>
      <c r="E105" s="126"/>
      <c r="F105" s="128">
        <v>24870.1</v>
      </c>
      <c r="G105" s="14">
        <f t="shared" si="3"/>
        <v>9.6949815884666002E-3</v>
      </c>
    </row>
    <row r="106" spans="2:7" ht="16.8">
      <c r="B106" s="127">
        <v>45893</v>
      </c>
      <c r="C106" s="128">
        <v>3628.8</v>
      </c>
      <c r="D106" s="14">
        <f t="shared" si="2"/>
        <v>2.1541010770504965E-3</v>
      </c>
      <c r="E106" s="126"/>
      <c r="F106" s="128">
        <v>24426.85</v>
      </c>
      <c r="G106" s="14">
        <f t="shared" si="3"/>
        <v>-1.7822606262138052E-2</v>
      </c>
    </row>
    <row r="107" spans="2:7" ht="16.8">
      <c r="B107" s="127">
        <v>45900</v>
      </c>
      <c r="C107" s="128">
        <v>3665.3</v>
      </c>
      <c r="D107" s="14">
        <f t="shared" si="2"/>
        <v>1.0058421516754956E-2</v>
      </c>
      <c r="E107" s="126"/>
      <c r="F107" s="128">
        <v>24741</v>
      </c>
      <c r="G107" s="14">
        <f t="shared" si="3"/>
        <v>1.2860847796584585E-2</v>
      </c>
    </row>
    <row r="108" spans="2:7" ht="16.8">
      <c r="B108" s="127">
        <v>45907</v>
      </c>
      <c r="C108" s="128">
        <v>3571.9</v>
      </c>
      <c r="D108" s="14">
        <f t="shared" si="2"/>
        <v>-2.5482225193026564E-2</v>
      </c>
      <c r="E108" s="126"/>
      <c r="F108" s="128">
        <v>25114</v>
      </c>
      <c r="G108" s="14">
        <f t="shared" si="3"/>
        <v>1.5076189321369338E-2</v>
      </c>
    </row>
    <row r="109" spans="2:7" ht="16.8">
      <c r="B109" s="127">
        <v>45914</v>
      </c>
      <c r="C109" s="128">
        <v>3467.2</v>
      </c>
      <c r="D109" s="14">
        <f t="shared" si="2"/>
        <v>-2.9312130798734626E-2</v>
      </c>
      <c r="E109" s="126"/>
      <c r="F109" s="128">
        <v>25327.05</v>
      </c>
      <c r="G109" s="14">
        <f t="shared" si="3"/>
        <v>8.4833160786812467E-3</v>
      </c>
    </row>
    <row r="110" spans="2:7" ht="16.8">
      <c r="B110" s="127">
        <v>45921</v>
      </c>
      <c r="C110" s="128">
        <v>3327.3</v>
      </c>
      <c r="D110" s="14">
        <f t="shared" si="2"/>
        <v>-4.0349561605906636E-2</v>
      </c>
      <c r="E110" s="126"/>
      <c r="F110" s="128">
        <v>24654.7</v>
      </c>
      <c r="G110" s="14">
        <f t="shared" si="3"/>
        <v>-2.6546715863079107E-2</v>
      </c>
    </row>
    <row r="111" spans="2:7" ht="16.8">
      <c r="B111" s="127">
        <v>45928</v>
      </c>
      <c r="C111" s="128">
        <v>3453.3</v>
      </c>
      <c r="D111" s="14">
        <f t="shared" si="2"/>
        <v>3.7868542061130661E-2</v>
      </c>
      <c r="E111" s="126"/>
      <c r="F111" s="128">
        <v>24894.25</v>
      </c>
      <c r="G111" s="14">
        <f t="shared" si="3"/>
        <v>9.7162001565624934E-3</v>
      </c>
    </row>
    <row r="112" spans="2:7" ht="16.8">
      <c r="B112" s="127">
        <v>45935</v>
      </c>
      <c r="C112" s="128">
        <v>3531.9</v>
      </c>
      <c r="D112" s="14">
        <f t="shared" si="2"/>
        <v>2.2760837459820937E-2</v>
      </c>
      <c r="E112" s="126"/>
      <c r="F112" s="128">
        <v>25285.35</v>
      </c>
      <c r="G112" s="14">
        <f t="shared" si="3"/>
        <v>1.5710455225604214E-2</v>
      </c>
    </row>
    <row r="113" spans="2:7" ht="16.8">
      <c r="B113" s="127">
        <v>45942</v>
      </c>
      <c r="C113" s="128">
        <v>3674.8</v>
      </c>
      <c r="D113" s="14">
        <f t="shared" si="2"/>
        <v>4.0459809167870064E-2</v>
      </c>
      <c r="E113" s="126"/>
      <c r="F113" s="128">
        <v>25709.85</v>
      </c>
      <c r="G113" s="14">
        <f t="shared" si="3"/>
        <v>1.6788377459675319E-2</v>
      </c>
    </row>
    <row r="114" spans="2:7" ht="16.8">
      <c r="B114" s="127">
        <v>45949</v>
      </c>
      <c r="C114" s="128">
        <v>3714.9</v>
      </c>
      <c r="D114" s="14">
        <f t="shared" si="2"/>
        <v>1.0912158484815526E-2</v>
      </c>
      <c r="E114" s="126"/>
      <c r="F114" s="128">
        <v>25795.15</v>
      </c>
      <c r="G114" s="14">
        <f t="shared" si="3"/>
        <v>3.3177945417808274E-3</v>
      </c>
    </row>
    <row r="115" spans="2:7" ht="16.8">
      <c r="B115" s="127">
        <v>45956</v>
      </c>
      <c r="C115" s="128">
        <v>3742</v>
      </c>
      <c r="D115" s="14">
        <f t="shared" si="2"/>
        <v>7.2949473740882009E-3</v>
      </c>
      <c r="E115" s="129"/>
      <c r="F115" s="128">
        <v>26053.9</v>
      </c>
      <c r="G115" s="14">
        <f t="shared" si="3"/>
        <v>1.0030955431544308E-2</v>
      </c>
    </row>
  </sheetData>
  <mergeCells count="3">
    <mergeCell ref="B8:D8"/>
    <mergeCell ref="F8:G8"/>
    <mergeCell ref="I8:J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4559-1980-4DE8-B7BA-36E443FC802F}">
  <dimension ref="B1:K34"/>
  <sheetViews>
    <sheetView showGridLines="0" topLeftCell="A7" workbookViewId="0">
      <selection sqref="A1:J34"/>
    </sheetView>
  </sheetViews>
  <sheetFormatPr defaultRowHeight="14.4"/>
  <cols>
    <col min="1" max="1" width="1.88671875" customWidth="1"/>
    <col min="6" max="6" width="9.88671875" customWidth="1"/>
  </cols>
  <sheetData>
    <row r="1" spans="2:11">
      <c r="B1" s="1"/>
      <c r="C1" s="1"/>
      <c r="D1" s="1"/>
      <c r="E1" s="1"/>
      <c r="F1" s="1"/>
      <c r="G1" s="1"/>
      <c r="H1" s="1"/>
      <c r="I1" s="1"/>
      <c r="J1" s="1"/>
      <c r="K1" s="175"/>
    </row>
    <row r="2" spans="2:11">
      <c r="B2" s="1"/>
      <c r="C2" s="1"/>
      <c r="D2" s="1"/>
      <c r="E2" s="1"/>
      <c r="F2" s="1"/>
      <c r="G2" s="1"/>
      <c r="H2" s="1"/>
      <c r="I2" s="1"/>
      <c r="J2" s="1"/>
      <c r="K2" s="175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75"/>
    </row>
    <row r="4" spans="2:11">
      <c r="B4" s="1"/>
      <c r="C4" s="1"/>
      <c r="D4" s="1"/>
      <c r="E4" s="1"/>
      <c r="F4" s="1"/>
      <c r="G4" s="1"/>
      <c r="H4" s="1"/>
      <c r="I4" s="1"/>
      <c r="J4" s="1"/>
      <c r="K4" s="175"/>
    </row>
    <row r="6" spans="2:11">
      <c r="B6" s="45" t="s">
        <v>80</v>
      </c>
      <c r="C6" s="46"/>
      <c r="D6" s="46"/>
      <c r="E6" s="46"/>
      <c r="F6" s="46"/>
      <c r="G6" s="46"/>
    </row>
    <row r="8" spans="2:11">
      <c r="B8" s="39" t="s">
        <v>79</v>
      </c>
      <c r="C8" s="39" t="s">
        <v>303</v>
      </c>
    </row>
    <row r="9" spans="2:11">
      <c r="B9" s="38">
        <v>2000</v>
      </c>
      <c r="C9" s="44">
        <v>-0.14649999999999999</v>
      </c>
      <c r="E9" t="s">
        <v>81</v>
      </c>
      <c r="G9" s="16">
        <f>AVERAGE(C9:C34)</f>
        <v>0.14734923076923076</v>
      </c>
    </row>
    <row r="10" spans="2:11" ht="16.2">
      <c r="B10" s="38">
        <v>2001</v>
      </c>
      <c r="C10" s="44">
        <v>-0.1618</v>
      </c>
      <c r="E10" t="s">
        <v>82</v>
      </c>
      <c r="G10" s="47" t="s">
        <v>83</v>
      </c>
    </row>
    <row r="11" spans="2:11">
      <c r="B11" s="38">
        <v>2002</v>
      </c>
      <c r="C11" s="44">
        <v>3.2500000000000001E-2</v>
      </c>
      <c r="E11" s="48" t="s">
        <v>84</v>
      </c>
      <c r="F11" s="48"/>
      <c r="G11" s="49">
        <f>SUM(G9:G10)</f>
        <v>0.14734923076923076</v>
      </c>
    </row>
    <row r="12" spans="2:11">
      <c r="B12" s="38">
        <v>2003</v>
      </c>
      <c r="C12" s="44">
        <v>0.71900000000000008</v>
      </c>
    </row>
    <row r="13" spans="2:11">
      <c r="B13" s="38">
        <v>2004</v>
      </c>
      <c r="C13" s="44">
        <v>0.10679999999999999</v>
      </c>
    </row>
    <row r="14" spans="2:11">
      <c r="B14" s="38">
        <v>2005</v>
      </c>
      <c r="C14" s="44">
        <v>0.36340000000000006</v>
      </c>
    </row>
    <row r="15" spans="2:11">
      <c r="B15" s="38">
        <v>2006</v>
      </c>
      <c r="C15" s="44">
        <v>0.39829999999999999</v>
      </c>
    </row>
    <row r="16" spans="2:11">
      <c r="B16" s="38">
        <v>2007</v>
      </c>
      <c r="C16" s="44">
        <v>0.54770000000000008</v>
      </c>
    </row>
    <row r="17" spans="2:3">
      <c r="B17" s="38">
        <v>2008</v>
      </c>
      <c r="C17" s="44">
        <v>-0.51790000000000003</v>
      </c>
    </row>
    <row r="18" spans="2:3">
      <c r="B18" s="38">
        <v>2009</v>
      </c>
      <c r="C18" s="44">
        <v>0.75760000000000005</v>
      </c>
    </row>
    <row r="19" spans="2:3">
      <c r="B19" s="38">
        <v>2010</v>
      </c>
      <c r="C19" s="44">
        <v>0.17949999999999999</v>
      </c>
    </row>
    <row r="20" spans="2:3">
      <c r="B20" s="38">
        <v>2011</v>
      </c>
      <c r="C20" s="44">
        <v>-0.2462</v>
      </c>
    </row>
    <row r="21" spans="2:3">
      <c r="B21" s="38">
        <v>2012</v>
      </c>
      <c r="C21" s="44">
        <v>0.27699999999999997</v>
      </c>
    </row>
    <row r="22" spans="2:3">
      <c r="B22" s="38">
        <v>2013</v>
      </c>
      <c r="C22" s="44">
        <v>6.7599999999999993E-2</v>
      </c>
    </row>
    <row r="23" spans="2:3">
      <c r="B23" s="38">
        <v>2014</v>
      </c>
      <c r="C23" s="44">
        <v>0.31390000000000001</v>
      </c>
    </row>
    <row r="24" spans="2:3">
      <c r="B24" s="38">
        <v>2015</v>
      </c>
      <c r="C24" s="44">
        <v>-4.0599999999999997E-2</v>
      </c>
    </row>
    <row r="25" spans="2:3">
      <c r="B25" s="38">
        <v>2016</v>
      </c>
      <c r="C25" s="44">
        <v>3.0099999999999998E-2</v>
      </c>
    </row>
    <row r="26" spans="2:3">
      <c r="B26" s="38">
        <v>2017</v>
      </c>
      <c r="C26" s="44">
        <v>0.28649999999999998</v>
      </c>
    </row>
    <row r="27" spans="2:3">
      <c r="B27" s="38">
        <v>2018</v>
      </c>
      <c r="C27" s="44">
        <v>3.15E-2</v>
      </c>
    </row>
    <row r="28" spans="2:3">
      <c r="B28" s="38">
        <v>2019</v>
      </c>
      <c r="C28" s="44">
        <v>0.1202</v>
      </c>
    </row>
    <row r="29" spans="2:3">
      <c r="B29" s="38">
        <v>2020</v>
      </c>
      <c r="C29" s="44">
        <v>0.14169999999999999</v>
      </c>
    </row>
    <row r="30" spans="2:3">
      <c r="B30" s="38">
        <v>2021</v>
      </c>
      <c r="C30" s="44">
        <v>0.2412</v>
      </c>
    </row>
    <row r="31" spans="2:3">
      <c r="B31" s="38">
        <v>2022</v>
      </c>
      <c r="C31" s="44">
        <v>4.3200000000000002E-2</v>
      </c>
    </row>
    <row r="32" spans="2:3">
      <c r="B32" s="38">
        <v>2023</v>
      </c>
      <c r="C32" s="16">
        <v>0.19420000000000001</v>
      </c>
    </row>
    <row r="33" spans="2:3">
      <c r="B33" s="38">
        <v>2024</v>
      </c>
      <c r="C33" s="16">
        <v>8.7499999999999994E-2</v>
      </c>
    </row>
    <row r="34" spans="2:3">
      <c r="B34" s="38">
        <v>2025</v>
      </c>
      <c r="C34" s="16">
        <v>4.6800000000000001E-3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E036-95A2-49CD-911E-0470A328F88B}">
  <dimension ref="A1:M68"/>
  <sheetViews>
    <sheetView showGridLines="0" zoomScaleNormal="100" workbookViewId="0">
      <selection activeCell="M4" sqref="M4"/>
    </sheetView>
  </sheetViews>
  <sheetFormatPr defaultRowHeight="14.4"/>
  <cols>
    <col min="1" max="1" width="1.88671875" customWidth="1"/>
    <col min="7" max="7" width="11.5546875" bestFit="1" customWidth="1"/>
    <col min="8" max="8" width="8.5546875" bestFit="1" customWidth="1"/>
    <col min="9" max="9" width="12.109375" bestFit="1" customWidth="1"/>
    <col min="10" max="10" width="14.33203125" bestFit="1" customWidth="1"/>
    <col min="11" max="11" width="10.109375" customWidth="1"/>
    <col min="12" max="12" width="15.33203125" customWidth="1"/>
    <col min="13" max="13" width="21" bestFit="1" customWidth="1"/>
  </cols>
  <sheetData>
    <row r="1" spans="2:12">
      <c r="B1" s="1"/>
      <c r="C1" s="1"/>
      <c r="D1" s="1"/>
      <c r="E1" s="1"/>
      <c r="F1" s="1"/>
      <c r="G1" s="1"/>
      <c r="H1" s="1"/>
      <c r="I1" s="1"/>
      <c r="J1" s="1"/>
      <c r="K1" s="1"/>
    </row>
    <row r="2" spans="2:12">
      <c r="B2" s="1"/>
      <c r="C2" s="1"/>
      <c r="D2" s="1"/>
      <c r="E2" s="1"/>
      <c r="F2" s="1"/>
      <c r="G2" s="1"/>
      <c r="H2" s="1"/>
      <c r="I2" s="1"/>
      <c r="J2" s="1"/>
      <c r="K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</row>
    <row r="4" spans="2:12">
      <c r="B4" s="1"/>
      <c r="C4" s="1"/>
      <c r="D4" s="1"/>
      <c r="E4" s="1"/>
      <c r="F4" s="1"/>
      <c r="G4" s="1"/>
      <c r="H4" s="1"/>
      <c r="I4" s="1"/>
      <c r="J4" s="1"/>
      <c r="K4" s="1"/>
    </row>
    <row r="6" spans="2:12">
      <c r="B6" s="45" t="s">
        <v>208</v>
      </c>
      <c r="C6" s="46"/>
      <c r="D6" s="46"/>
      <c r="E6" s="46"/>
      <c r="F6" s="46"/>
      <c r="G6" s="82">
        <f>'Raw FS'!J2</f>
        <v>44256</v>
      </c>
      <c r="H6" s="82">
        <f>'Raw FS'!K2</f>
        <v>44621</v>
      </c>
      <c r="I6" s="82">
        <f>'Raw FS'!L2</f>
        <v>44986</v>
      </c>
      <c r="J6" s="82">
        <f>'Raw FS'!M2</f>
        <v>45352</v>
      </c>
      <c r="K6" s="82">
        <f>'Raw FS'!N2</f>
        <v>45717</v>
      </c>
    </row>
    <row r="8" spans="2:12">
      <c r="B8" s="2" t="s">
        <v>209</v>
      </c>
    </row>
    <row r="9" spans="2:12">
      <c r="B9" s="84" t="str">
        <f>'Raw FS'!B39</f>
        <v>Loans n Advances</v>
      </c>
      <c r="C9" s="84"/>
      <c r="D9" s="84"/>
      <c r="E9" s="84"/>
      <c r="F9" s="84"/>
      <c r="G9" s="85">
        <f>'Raw FS'!J39</f>
        <v>109</v>
      </c>
      <c r="H9" s="85">
        <f>'Raw FS'!K39</f>
        <v>29</v>
      </c>
      <c r="I9" s="85">
        <f>'Raw FS'!L39</f>
        <v>167</v>
      </c>
      <c r="J9" s="85">
        <f>'Raw FS'!M39</f>
        <v>151</v>
      </c>
      <c r="K9" s="85">
        <f>'Raw FS'!N39</f>
        <v>324</v>
      </c>
      <c r="L9" s="131"/>
    </row>
    <row r="10" spans="2:12">
      <c r="B10" s="84" t="str">
        <f>'Raw FS'!B40</f>
        <v>Other asset items</v>
      </c>
      <c r="C10" s="84"/>
      <c r="D10" s="84"/>
      <c r="E10" s="84"/>
      <c r="F10" s="84"/>
      <c r="G10" s="85">
        <f>'Raw FS'!J40</f>
        <v>1622</v>
      </c>
      <c r="H10" s="85">
        <f>'Raw FS'!K40</f>
        <v>2489</v>
      </c>
      <c r="I10" s="85">
        <f>'Raw FS'!L40</f>
        <v>2595</v>
      </c>
      <c r="J10" s="85">
        <f>'Raw FS'!M40</f>
        <v>3650</v>
      </c>
      <c r="K10" s="85">
        <f>'Raw FS'!N40</f>
        <v>3330</v>
      </c>
      <c r="L10" s="131"/>
    </row>
    <row r="11" spans="2:12">
      <c r="B11" s="84" t="s">
        <v>202</v>
      </c>
      <c r="C11" s="84"/>
      <c r="D11" s="84"/>
      <c r="E11" s="84"/>
      <c r="F11" s="84"/>
      <c r="G11" s="85">
        <f>'Raw FS'!J36</f>
        <v>8408</v>
      </c>
      <c r="H11" s="85">
        <f>'Raw FS'!K36</f>
        <v>13609</v>
      </c>
      <c r="I11" s="85">
        <f>'Raw FS'!L36</f>
        <v>16584</v>
      </c>
      <c r="J11" s="85">
        <f>'Raw FS'!M36</f>
        <v>19051</v>
      </c>
      <c r="K11" s="85">
        <f>'Raw FS'!N36</f>
        <v>28184</v>
      </c>
      <c r="L11" s="132"/>
    </row>
    <row r="12" spans="2:12">
      <c r="B12" t="s">
        <v>259</v>
      </c>
      <c r="G12" s="86">
        <f>'Raw FS'!J37</f>
        <v>366</v>
      </c>
      <c r="H12" s="86">
        <f>'Raw FS'!K37</f>
        <v>565</v>
      </c>
      <c r="I12" s="86">
        <f>'Raw FS'!L37</f>
        <v>674</v>
      </c>
      <c r="J12" s="86">
        <f>'Raw FS'!M37</f>
        <v>1018</v>
      </c>
      <c r="K12" s="86">
        <f>'Raw FS'!N37</f>
        <v>1068</v>
      </c>
      <c r="L12" s="132"/>
    </row>
    <row r="13" spans="2:12">
      <c r="B13" s="88" t="s">
        <v>133</v>
      </c>
      <c r="C13" s="3"/>
      <c r="D13" s="3"/>
      <c r="E13" s="3"/>
      <c r="F13" s="3"/>
      <c r="G13" s="101">
        <f>SUM(G9:G12)</f>
        <v>10505</v>
      </c>
      <c r="H13" s="101">
        <f t="shared" ref="H13:K13" si="0">SUM(H9:H12)</f>
        <v>16692</v>
      </c>
      <c r="I13" s="101">
        <f t="shared" si="0"/>
        <v>20020</v>
      </c>
      <c r="J13" s="101">
        <f t="shared" si="0"/>
        <v>23870</v>
      </c>
      <c r="K13" s="101">
        <f t="shared" si="0"/>
        <v>32906</v>
      </c>
      <c r="L13" s="131"/>
    </row>
    <row r="14" spans="2:12">
      <c r="G14" s="86"/>
      <c r="H14" s="86"/>
      <c r="I14" s="86"/>
      <c r="J14" s="86"/>
      <c r="K14" s="86"/>
      <c r="L14" s="131"/>
    </row>
    <row r="15" spans="2:12">
      <c r="B15" s="2" t="s">
        <v>210</v>
      </c>
      <c r="G15" s="86"/>
      <c r="H15" s="86"/>
      <c r="I15" s="86"/>
      <c r="J15" s="86"/>
      <c r="K15" s="86"/>
      <c r="L15" s="131"/>
    </row>
    <row r="16" spans="2:12">
      <c r="B16" s="84" t="str">
        <f>'Raw FS'!B13</f>
        <v>Trade Payables</v>
      </c>
      <c r="C16" s="84"/>
      <c r="D16" s="84"/>
      <c r="E16" s="84"/>
      <c r="F16" s="84"/>
      <c r="G16" s="85">
        <f>'Raw FS'!J13</f>
        <v>789</v>
      </c>
      <c r="H16" s="85">
        <f>'Raw FS'!K13</f>
        <v>1294</v>
      </c>
      <c r="I16" s="85">
        <f>'Raw FS'!L13</f>
        <v>1214</v>
      </c>
      <c r="J16" s="85">
        <f>'Raw FS'!M13</f>
        <v>1410</v>
      </c>
      <c r="K16" s="85">
        <f>'Raw FS'!N13</f>
        <v>1963</v>
      </c>
    </row>
    <row r="17" spans="1:11">
      <c r="B17" s="84" t="str">
        <f>'Raw FS'!B14</f>
        <v>Advance from Customers</v>
      </c>
      <c r="C17" s="84"/>
      <c r="D17" s="84"/>
      <c r="E17" s="84"/>
      <c r="F17" s="84"/>
      <c r="G17" s="85">
        <f>'Raw FS'!J14</f>
        <v>479</v>
      </c>
      <c r="H17" s="85">
        <f>'Raw FS'!K14</f>
        <v>532</v>
      </c>
      <c r="I17" s="85">
        <f>'Raw FS'!L14</f>
        <v>718</v>
      </c>
      <c r="J17" s="85">
        <f>'Raw FS'!M14</f>
        <v>1085</v>
      </c>
      <c r="K17" s="85">
        <f>'Raw FS'!N14</f>
        <v>2140</v>
      </c>
    </row>
    <row r="18" spans="1:11">
      <c r="B18" s="84" t="str">
        <f>'Raw FS'!B15</f>
        <v>Other liability items</v>
      </c>
      <c r="C18" s="84"/>
      <c r="D18" s="84"/>
      <c r="E18" s="84"/>
      <c r="F18" s="84"/>
      <c r="G18" s="85">
        <f>'Raw FS'!J15</f>
        <v>2036</v>
      </c>
      <c r="H18" s="85">
        <f>'Raw FS'!K15</f>
        <v>2754</v>
      </c>
      <c r="I18" s="85">
        <f>'Raw FS'!L15</f>
        <v>3817</v>
      </c>
      <c r="J18" s="85">
        <f>'Raw FS'!M15</f>
        <v>4131</v>
      </c>
      <c r="K18" s="85">
        <f>'Raw FS'!N15</f>
        <v>4141</v>
      </c>
    </row>
    <row r="19" spans="1:11">
      <c r="B19" s="88" t="s">
        <v>211</v>
      </c>
      <c r="C19" s="3"/>
      <c r="D19" s="3"/>
      <c r="E19" s="3"/>
      <c r="F19" s="3"/>
      <c r="G19" s="101">
        <f>SUM(G16:G18)</f>
        <v>3304</v>
      </c>
      <c r="H19" s="101">
        <f>SUM(H16:H18)</f>
        <v>4580</v>
      </c>
      <c r="I19" s="101">
        <f>SUM(I16:I18)</f>
        <v>5749</v>
      </c>
      <c r="J19" s="101">
        <f>SUM(J16:J18)</f>
        <v>6626</v>
      </c>
      <c r="K19" s="101">
        <f>SUM(K16:K18)</f>
        <v>8244</v>
      </c>
    </row>
    <row r="20" spans="1:11">
      <c r="G20" s="86"/>
      <c r="H20" s="86"/>
      <c r="I20" s="86"/>
      <c r="J20" s="86"/>
      <c r="K20" s="86"/>
    </row>
    <row r="21" spans="1:11" ht="15" thickBot="1">
      <c r="A21" t="s">
        <v>90</v>
      </c>
      <c r="B21" s="90" t="s">
        <v>212</v>
      </c>
      <c r="C21" s="90"/>
      <c r="D21" s="90"/>
      <c r="E21" s="90"/>
      <c r="F21" s="90"/>
      <c r="G21" s="102">
        <f>G13-G19</f>
        <v>7201</v>
      </c>
      <c r="H21" s="102">
        <f t="shared" ref="H21:K21" si="1">H13-H19</f>
        <v>12112</v>
      </c>
      <c r="I21" s="102">
        <f t="shared" si="1"/>
        <v>14271</v>
      </c>
      <c r="J21" s="102">
        <f t="shared" si="1"/>
        <v>17244</v>
      </c>
      <c r="K21" s="102">
        <f t="shared" si="1"/>
        <v>24662</v>
      </c>
    </row>
    <row r="22" spans="1:11">
      <c r="B22" s="133"/>
      <c r="C22" s="133"/>
      <c r="D22" s="133"/>
      <c r="E22" s="133"/>
      <c r="F22" s="133"/>
      <c r="G22" s="134"/>
      <c r="H22" s="134"/>
      <c r="I22" s="134"/>
      <c r="J22" s="134"/>
      <c r="K22" s="134"/>
    </row>
    <row r="23" spans="1:11">
      <c r="B23" s="2" t="s">
        <v>213</v>
      </c>
      <c r="G23" s="86"/>
      <c r="H23" s="86"/>
      <c r="I23" s="86"/>
      <c r="J23" s="86"/>
      <c r="K23" s="86"/>
    </row>
    <row r="24" spans="1:11">
      <c r="B24" s="144" t="s">
        <v>260</v>
      </c>
      <c r="C24" s="84"/>
      <c r="D24" s="84"/>
      <c r="E24" s="84"/>
      <c r="F24" s="84"/>
      <c r="G24" s="85">
        <f>'Raw FS'!J19</f>
        <v>108</v>
      </c>
      <c r="H24" s="85">
        <f>'Raw FS'!K19</f>
        <v>136</v>
      </c>
      <c r="I24" s="85">
        <f>'Raw FS'!L19</f>
        <v>144</v>
      </c>
      <c r="J24" s="85">
        <f>'Raw FS'!M19</f>
        <v>163</v>
      </c>
      <c r="K24" s="85">
        <f>'Raw FS'!N19</f>
        <v>163</v>
      </c>
    </row>
    <row r="25" spans="1:11">
      <c r="B25" s="143" t="str">
        <f>'Raw FS'!B20</f>
        <v>Building</v>
      </c>
      <c r="C25" s="143"/>
      <c r="D25" s="143"/>
      <c r="E25" s="143"/>
      <c r="F25" s="143"/>
      <c r="G25" s="85">
        <f>'Raw FS'!J20</f>
        <v>1617</v>
      </c>
      <c r="H25" s="85">
        <f>'Raw FS'!K20</f>
        <v>1853</v>
      </c>
      <c r="I25" s="85">
        <f>'Raw FS'!L20</f>
        <v>2403</v>
      </c>
      <c r="J25" s="85">
        <f>'Raw FS'!M20</f>
        <v>3546</v>
      </c>
      <c r="K25" s="85">
        <f>'Raw FS'!N20</f>
        <v>4177</v>
      </c>
    </row>
    <row r="26" spans="1:11">
      <c r="B26" s="84" t="str">
        <f>'Raw FS'!B21</f>
        <v>Plant Machinery</v>
      </c>
      <c r="C26" s="84"/>
      <c r="D26" s="84"/>
      <c r="E26" s="84"/>
      <c r="F26" s="84"/>
      <c r="G26" s="85">
        <f>'Raw FS'!J21</f>
        <v>739</v>
      </c>
      <c r="H26" s="85">
        <f>'Raw FS'!K21</f>
        <v>768</v>
      </c>
      <c r="I26" s="85">
        <f>'Raw FS'!L21</f>
        <v>838</v>
      </c>
      <c r="J26" s="85">
        <f>'Raw FS'!M21</f>
        <v>899</v>
      </c>
      <c r="K26" s="85">
        <f>'Raw FS'!N21</f>
        <v>1012</v>
      </c>
    </row>
    <row r="27" spans="1:11">
      <c r="B27" s="84" t="str">
        <f>'Raw FS'!B22</f>
        <v>Equipments</v>
      </c>
      <c r="C27" s="84"/>
      <c r="D27" s="84"/>
      <c r="E27" s="84"/>
      <c r="F27" s="84"/>
      <c r="G27" s="85">
        <f>'Raw FS'!J22</f>
        <v>76</v>
      </c>
      <c r="H27" s="85">
        <f>'Raw FS'!K22</f>
        <v>96</v>
      </c>
      <c r="I27" s="85">
        <f>'Raw FS'!L22</f>
        <v>130</v>
      </c>
      <c r="J27" s="85">
        <f>'Raw FS'!M22</f>
        <v>110</v>
      </c>
      <c r="K27" s="85">
        <f>'Raw FS'!N22</f>
        <v>127</v>
      </c>
    </row>
    <row r="28" spans="1:11">
      <c r="B28" s="84" t="str">
        <f>'Raw FS'!B23</f>
        <v>Computers</v>
      </c>
      <c r="C28" s="84"/>
      <c r="D28" s="84"/>
      <c r="E28" s="84"/>
      <c r="F28" s="84"/>
      <c r="G28" s="85">
        <f>'Raw FS'!J23</f>
        <v>142</v>
      </c>
      <c r="H28" s="85">
        <f>'Raw FS'!K23</f>
        <v>159</v>
      </c>
      <c r="I28" s="85">
        <f>'Raw FS'!L23</f>
        <v>204</v>
      </c>
      <c r="J28" s="85">
        <f>'Raw FS'!M23</f>
        <v>212</v>
      </c>
      <c r="K28" s="85">
        <f>'Raw FS'!N23</f>
        <v>228</v>
      </c>
    </row>
    <row r="29" spans="1:11">
      <c r="B29" s="84" t="str">
        <f>'Raw FS'!B24</f>
        <v>Furniture n fittings</v>
      </c>
      <c r="C29" s="84"/>
      <c r="D29" s="84"/>
      <c r="E29" s="84"/>
      <c r="F29" s="84"/>
      <c r="G29" s="85">
        <f>'Raw FS'!J24</f>
        <v>309</v>
      </c>
      <c r="H29" s="85">
        <f>'Raw FS'!K24</f>
        <v>321</v>
      </c>
      <c r="I29" s="85">
        <f>'Raw FS'!L24</f>
        <v>376</v>
      </c>
      <c r="J29" s="85">
        <f>'Raw FS'!M24</f>
        <v>173</v>
      </c>
      <c r="K29" s="85">
        <f>'Raw FS'!N24</f>
        <v>193</v>
      </c>
    </row>
    <row r="30" spans="1:11">
      <c r="B30" s="84" t="str">
        <f>'Raw FS'!B25</f>
        <v>Vehicles</v>
      </c>
      <c r="C30" s="84"/>
      <c r="D30" s="84"/>
      <c r="E30" s="84"/>
      <c r="F30" s="84"/>
      <c r="G30" s="85">
        <f>'Raw FS'!J25</f>
        <v>30</v>
      </c>
      <c r="H30" s="85">
        <f>'Raw FS'!K25</f>
        <v>38</v>
      </c>
      <c r="I30" s="85">
        <f>'Raw FS'!L25</f>
        <v>40</v>
      </c>
      <c r="J30" s="85">
        <f>'Raw FS'!M25</f>
        <v>50</v>
      </c>
      <c r="K30" s="85">
        <f>'Raw FS'!N25</f>
        <v>57</v>
      </c>
    </row>
    <row r="31" spans="1:11">
      <c r="B31" s="84" t="str">
        <f>'Raw FS'!B26</f>
        <v>Intangible Assets</v>
      </c>
      <c r="C31" s="84"/>
      <c r="D31" s="84"/>
      <c r="E31" s="84"/>
      <c r="F31" s="84"/>
      <c r="G31" s="85">
        <f>'Raw FS'!J26</f>
        <v>320</v>
      </c>
      <c r="H31" s="85">
        <f>'Raw FS'!K26</f>
        <v>320</v>
      </c>
      <c r="I31" s="85">
        <f>'Raw FS'!L26</f>
        <v>320</v>
      </c>
      <c r="J31" s="85">
        <f>'Raw FS'!M26</f>
        <v>320</v>
      </c>
      <c r="K31" s="85">
        <f>'Raw FS'!N26</f>
        <v>320</v>
      </c>
    </row>
    <row r="32" spans="1:11">
      <c r="B32" s="84" t="str">
        <f>'Raw FS'!B27</f>
        <v>Other fixed assets</v>
      </c>
      <c r="C32" s="84"/>
      <c r="D32" s="84"/>
      <c r="E32" s="84"/>
      <c r="F32" s="84"/>
      <c r="G32" s="85">
        <f>'Raw FS'!J27</f>
        <v>158</v>
      </c>
      <c r="H32" s="85">
        <f>'Raw FS'!K27</f>
        <v>157</v>
      </c>
      <c r="I32" s="85">
        <f>'Raw FS'!L27</f>
        <v>205</v>
      </c>
      <c r="J32" s="85">
        <f>'Raw FS'!M27</f>
        <v>305</v>
      </c>
      <c r="K32" s="85">
        <f>'Raw FS'!N27</f>
        <v>369</v>
      </c>
    </row>
    <row r="33" spans="1:11" ht="5.25" customHeight="1">
      <c r="B33" s="84"/>
      <c r="C33" s="84"/>
      <c r="D33" s="84"/>
      <c r="E33" s="84"/>
      <c r="F33" s="84"/>
      <c r="G33" s="85"/>
      <c r="H33" s="85"/>
      <c r="I33" s="85"/>
      <c r="J33" s="85"/>
      <c r="K33" s="85"/>
    </row>
    <row r="34" spans="1:11">
      <c r="B34" s="88" t="s">
        <v>198</v>
      </c>
      <c r="C34" s="3"/>
      <c r="D34" s="3"/>
      <c r="E34" s="3"/>
      <c r="F34" s="3"/>
      <c r="G34" s="101">
        <f>SUM(G24:G33)</f>
        <v>3499</v>
      </c>
      <c r="H34" s="101">
        <f t="shared" ref="H34:K34" si="2">SUM(H24:H33)</f>
        <v>3848</v>
      </c>
      <c r="I34" s="101">
        <f t="shared" si="2"/>
        <v>4660</v>
      </c>
      <c r="J34" s="101">
        <f t="shared" si="2"/>
        <v>5778</v>
      </c>
      <c r="K34" s="101">
        <f t="shared" si="2"/>
        <v>6646</v>
      </c>
    </row>
    <row r="35" spans="1:11">
      <c r="B35" t="s">
        <v>199</v>
      </c>
      <c r="G35" s="86">
        <f>-'Raw FS'!J29</f>
        <v>-976</v>
      </c>
      <c r="H35" s="86">
        <f>-'Raw FS'!K29</f>
        <v>-1304</v>
      </c>
      <c r="I35" s="86">
        <f>-'Raw FS'!L29</f>
        <v>-1662</v>
      </c>
      <c r="J35" s="86">
        <f>-'Raw FS'!M29</f>
        <v>-2069</v>
      </c>
      <c r="K35" s="86">
        <f>-'Raw FS'!N29</f>
        <v>-2584</v>
      </c>
    </row>
    <row r="36" spans="1:11" ht="15" thickBot="1">
      <c r="A36" t="s">
        <v>90</v>
      </c>
      <c r="B36" s="90" t="s">
        <v>214</v>
      </c>
      <c r="C36" s="90"/>
      <c r="D36" s="90"/>
      <c r="E36" s="90"/>
      <c r="F36" s="90"/>
      <c r="G36" s="102">
        <f>SUM(G34:G35)</f>
        <v>2523</v>
      </c>
      <c r="H36" s="102">
        <f t="shared" ref="H36:K36" si="3">SUM(H34:H35)</f>
        <v>2544</v>
      </c>
      <c r="I36" s="102">
        <f t="shared" si="3"/>
        <v>2998</v>
      </c>
      <c r="J36" s="102">
        <f t="shared" si="3"/>
        <v>3709</v>
      </c>
      <c r="K36" s="102">
        <f t="shared" si="3"/>
        <v>4062</v>
      </c>
    </row>
    <row r="37" spans="1:11">
      <c r="G37" s="86"/>
      <c r="H37" s="86"/>
      <c r="I37" s="86"/>
      <c r="J37" s="86"/>
      <c r="K37" s="86"/>
    </row>
    <row r="38" spans="1:11">
      <c r="A38" t="s">
        <v>90</v>
      </c>
      <c r="B38" s="2" t="s">
        <v>215</v>
      </c>
      <c r="C38" s="2"/>
      <c r="D38" s="2"/>
      <c r="E38" s="2"/>
      <c r="F38" s="2"/>
      <c r="G38" s="87">
        <f>G36+G21</f>
        <v>9724</v>
      </c>
      <c r="H38" s="87">
        <f>H36+H21</f>
        <v>14656</v>
      </c>
      <c r="I38" s="87">
        <f>I36+I21</f>
        <v>17269</v>
      </c>
      <c r="J38" s="87">
        <f>J36+J21</f>
        <v>20953</v>
      </c>
      <c r="K38" s="87">
        <f>K36+K21</f>
        <v>28724</v>
      </c>
    </row>
    <row r="39" spans="1:11">
      <c r="B39" s="2" t="s">
        <v>216</v>
      </c>
      <c r="C39" s="2"/>
      <c r="D39" s="2"/>
      <c r="E39" s="2"/>
      <c r="F39" s="2"/>
      <c r="G39" s="87">
        <f>(HistoricalFS!H30+HistoricalFS!H24)</f>
        <v>1530</v>
      </c>
      <c r="H39" s="87">
        <f>(HistoricalFS!I30+HistoricalFS!I24)</f>
        <v>3122</v>
      </c>
      <c r="I39" s="87">
        <f>(HistoricalFS!J30+HistoricalFS!J24)</f>
        <v>4747</v>
      </c>
      <c r="J39" s="87">
        <f>(HistoricalFS!K30+HistoricalFS!K24)</f>
        <v>5242</v>
      </c>
      <c r="K39" s="87">
        <f>(HistoricalFS!L30+HistoricalFS!L24)</f>
        <v>5488</v>
      </c>
    </row>
    <row r="41" spans="1:11" ht="15" thickBot="1">
      <c r="A41" t="s">
        <v>90</v>
      </c>
      <c r="B41" s="90" t="s">
        <v>207</v>
      </c>
      <c r="C41" s="91"/>
      <c r="D41" s="91"/>
      <c r="E41" s="91"/>
      <c r="F41" s="91"/>
      <c r="G41" s="92">
        <f>G39/G38</f>
        <v>0.15734265734265734</v>
      </c>
      <c r="H41" s="92">
        <f t="shared" ref="H41:K41" si="4">H39/H38</f>
        <v>0.21301855895196506</v>
      </c>
      <c r="I41" s="92">
        <f t="shared" si="4"/>
        <v>0.27488563321558862</v>
      </c>
      <c r="J41" s="92">
        <f t="shared" si="4"/>
        <v>0.25017897198491862</v>
      </c>
      <c r="K41" s="92">
        <f t="shared" si="4"/>
        <v>0.19105974098314998</v>
      </c>
    </row>
    <row r="44" spans="1:11">
      <c r="A44" t="s">
        <v>90</v>
      </c>
      <c r="B44" s="45" t="s">
        <v>217</v>
      </c>
      <c r="C44" s="46"/>
      <c r="D44" s="46"/>
      <c r="E44" s="46"/>
      <c r="F44" s="46"/>
      <c r="G44" s="82">
        <f>G6</f>
        <v>44256</v>
      </c>
      <c r="H44" s="82">
        <f t="shared" ref="H44:K44" si="5">H6</f>
        <v>44621</v>
      </c>
      <c r="I44" s="82">
        <f t="shared" si="5"/>
        <v>44986</v>
      </c>
      <c r="J44" s="82">
        <f t="shared" si="5"/>
        <v>45352</v>
      </c>
      <c r="K44" s="82">
        <f t="shared" si="5"/>
        <v>45717</v>
      </c>
    </row>
    <row r="46" spans="1:11">
      <c r="B46" s="84" t="s">
        <v>218</v>
      </c>
      <c r="C46" s="84"/>
      <c r="D46" s="84"/>
      <c r="E46" s="84"/>
      <c r="F46" s="84"/>
      <c r="G46" s="85">
        <f>-SUM('Raw FS'!J43:J44)</f>
        <v>139</v>
      </c>
      <c r="H46" s="85">
        <f>-SUM('Raw FS'!K43:K44)</f>
        <v>216</v>
      </c>
      <c r="I46" s="85">
        <f>-SUM('Raw FS'!L43:L44)</f>
        <v>420</v>
      </c>
      <c r="J46" s="85">
        <f>-SUM('Raw FS'!M43:M44)</f>
        <v>671</v>
      </c>
      <c r="K46" s="85">
        <f>-SUM('Raw FS'!N43:N44)</f>
        <v>470</v>
      </c>
    </row>
    <row r="47" spans="1:11">
      <c r="B47" s="84" t="s">
        <v>221</v>
      </c>
      <c r="C47" s="84"/>
      <c r="D47" s="84"/>
      <c r="E47" s="84"/>
      <c r="F47" s="84"/>
      <c r="G47" s="85"/>
      <c r="H47" s="85">
        <f>H21-G21</f>
        <v>4911</v>
      </c>
      <c r="I47" s="85">
        <f t="shared" ref="I47:K47" si="6">I21-H21</f>
        <v>2159</v>
      </c>
      <c r="J47" s="85">
        <f t="shared" si="6"/>
        <v>2973</v>
      </c>
      <c r="K47" s="85">
        <f>K21-J21</f>
        <v>7418</v>
      </c>
    </row>
    <row r="48" spans="1:11">
      <c r="B48" s="84"/>
      <c r="C48" s="84"/>
      <c r="D48" s="84"/>
      <c r="E48" s="84"/>
      <c r="F48" s="84"/>
      <c r="G48" s="85"/>
      <c r="H48" s="85"/>
      <c r="I48" s="85"/>
      <c r="J48" s="85"/>
      <c r="K48" s="85"/>
    </row>
    <row r="49" spans="1:11">
      <c r="B49" s="84" t="s">
        <v>216</v>
      </c>
      <c r="C49" s="84"/>
      <c r="D49" s="84"/>
      <c r="E49" s="84"/>
      <c r="F49" s="84"/>
      <c r="G49" s="85">
        <f>G39</f>
        <v>1530</v>
      </c>
      <c r="H49" s="85">
        <f>H39</f>
        <v>3122</v>
      </c>
      <c r="I49" s="85">
        <f>I39</f>
        <v>4747</v>
      </c>
      <c r="J49" s="85">
        <f>J39</f>
        <v>5242</v>
      </c>
      <c r="K49" s="85">
        <f>K39</f>
        <v>5488</v>
      </c>
    </row>
    <row r="50" spans="1:11">
      <c r="B50" s="84" t="s">
        <v>222</v>
      </c>
      <c r="C50" s="84"/>
      <c r="D50" s="84"/>
      <c r="E50" s="84"/>
      <c r="F50" s="84"/>
      <c r="G50" s="103">
        <v>0.25</v>
      </c>
      <c r="H50" s="103">
        <v>0.25</v>
      </c>
      <c r="I50" s="103">
        <v>0.25</v>
      </c>
      <c r="J50" s="103">
        <v>0.25</v>
      </c>
      <c r="K50" s="103">
        <v>0.25</v>
      </c>
    </row>
    <row r="51" spans="1:11">
      <c r="B51" s="84" t="s">
        <v>224</v>
      </c>
      <c r="C51" s="84"/>
      <c r="D51" s="84"/>
      <c r="E51" s="84"/>
      <c r="F51" s="84"/>
      <c r="G51" s="104">
        <f>G49*(1-G50)</f>
        <v>1147.5</v>
      </c>
      <c r="H51" s="104">
        <f t="shared" ref="H51:K51" si="7">H49*(1-H50)</f>
        <v>2341.5</v>
      </c>
      <c r="I51" s="104">
        <f t="shared" si="7"/>
        <v>3560.25</v>
      </c>
      <c r="J51" s="104">
        <f t="shared" si="7"/>
        <v>3931.5</v>
      </c>
      <c r="K51" s="104">
        <f t="shared" si="7"/>
        <v>4116</v>
      </c>
    </row>
    <row r="52" spans="1:11">
      <c r="B52" s="84"/>
      <c r="C52" s="84"/>
      <c r="D52" s="84"/>
      <c r="E52" s="84"/>
      <c r="F52" s="84"/>
      <c r="G52" s="85"/>
      <c r="H52" s="85"/>
      <c r="I52" s="85"/>
      <c r="J52" s="85"/>
      <c r="K52" s="85"/>
    </row>
    <row r="53" spans="1:11">
      <c r="B53" s="84" t="s">
        <v>223</v>
      </c>
      <c r="C53" s="84"/>
      <c r="D53" s="84"/>
      <c r="E53" s="84"/>
      <c r="F53" s="84"/>
      <c r="G53" s="85"/>
      <c r="H53" s="85"/>
      <c r="I53" s="85">
        <f t="shared" ref="I53:K53" si="8">SUM(I46:I47)</f>
        <v>2579</v>
      </c>
      <c r="J53" s="85">
        <f t="shared" si="8"/>
        <v>3644</v>
      </c>
      <c r="K53" s="85">
        <f t="shared" si="8"/>
        <v>7888</v>
      </c>
    </row>
    <row r="54" spans="1:11" ht="3.75" customHeight="1">
      <c r="H54" s="81"/>
      <c r="I54" s="81"/>
      <c r="J54" s="81"/>
      <c r="K54" s="81"/>
    </row>
    <row r="55" spans="1:11" ht="15" thickBot="1">
      <c r="B55" s="90" t="s">
        <v>225</v>
      </c>
      <c r="C55" s="90"/>
      <c r="D55" s="90"/>
      <c r="E55" s="90"/>
      <c r="F55" s="90"/>
      <c r="G55" s="90"/>
      <c r="H55" s="92"/>
      <c r="I55" s="92">
        <f t="shared" ref="I55:K55" si="9">I53/I51</f>
        <v>0.72438733235025632</v>
      </c>
      <c r="J55" s="92">
        <f t="shared" si="9"/>
        <v>0.92687269490016533</v>
      </c>
      <c r="K55" s="92">
        <f t="shared" si="9"/>
        <v>1.9164237123420798</v>
      </c>
    </row>
    <row r="56" spans="1:11">
      <c r="H56" s="14"/>
      <c r="I56" s="14"/>
      <c r="J56" s="14"/>
      <c r="K56" s="14"/>
    </row>
    <row r="57" spans="1:11">
      <c r="J57" s="54" t="s">
        <v>296</v>
      </c>
      <c r="K57" s="55">
        <f>AVERAGE(I54:K55)</f>
        <v>1.1892279131975005</v>
      </c>
    </row>
    <row r="58" spans="1:11">
      <c r="J58" s="54" t="s">
        <v>297</v>
      </c>
      <c r="K58" s="55">
        <f>MEDIAN(I55:K55)</f>
        <v>0.92687269490016533</v>
      </c>
    </row>
    <row r="60" spans="1:11">
      <c r="A60" t="s">
        <v>90</v>
      </c>
      <c r="B60" s="45" t="s">
        <v>226</v>
      </c>
      <c r="C60" s="46"/>
      <c r="D60" s="46"/>
      <c r="E60" s="46"/>
      <c r="F60" s="46"/>
      <c r="G60" s="82">
        <f>G44</f>
        <v>44256</v>
      </c>
      <c r="H60" s="82">
        <f t="shared" ref="H60:K60" si="10">H44</f>
        <v>44621</v>
      </c>
      <c r="I60" s="82">
        <f t="shared" si="10"/>
        <v>44986</v>
      </c>
      <c r="J60" s="82">
        <f t="shared" si="10"/>
        <v>45352</v>
      </c>
      <c r="K60" s="82">
        <f t="shared" si="10"/>
        <v>45717</v>
      </c>
    </row>
    <row r="62" spans="1:11">
      <c r="B62" s="84" t="s">
        <v>225</v>
      </c>
      <c r="C62" s="84"/>
      <c r="D62" s="84"/>
      <c r="E62" s="84"/>
      <c r="F62" s="84"/>
      <c r="G62" s="84"/>
      <c r="H62" s="105"/>
      <c r="I62" s="105">
        <f t="shared" ref="I62:K62" si="11">I55</f>
        <v>0.72438733235025632</v>
      </c>
      <c r="J62" s="105">
        <f t="shared" si="11"/>
        <v>0.92687269490016533</v>
      </c>
      <c r="K62" s="105">
        <f t="shared" si="11"/>
        <v>1.9164237123420798</v>
      </c>
    </row>
    <row r="63" spans="1:11">
      <c r="B63" s="84" t="s">
        <v>207</v>
      </c>
      <c r="C63" s="84"/>
      <c r="D63" s="84"/>
      <c r="E63" s="84"/>
      <c r="F63" s="84"/>
      <c r="G63" s="84"/>
      <c r="H63" s="105"/>
      <c r="I63" s="105">
        <f>I41</f>
        <v>0.27488563321558862</v>
      </c>
      <c r="J63" s="105">
        <f>J41</f>
        <v>0.25017897198491862</v>
      </c>
      <c r="K63" s="105">
        <f>K41</f>
        <v>0.19105974098314998</v>
      </c>
    </row>
    <row r="64" spans="1:11" ht="4.5" customHeight="1"/>
    <row r="65" spans="2:13" ht="15" thickBot="1">
      <c r="B65" s="90" t="s">
        <v>227</v>
      </c>
      <c r="C65" s="90"/>
      <c r="D65" s="90"/>
      <c r="E65" s="90"/>
      <c r="F65" s="90"/>
      <c r="G65" s="90"/>
      <c r="H65" s="106"/>
      <c r="I65" s="106">
        <f t="shared" ref="I65:K65" si="12">I62*I63</f>
        <v>0.19912367054645125</v>
      </c>
      <c r="J65" s="106">
        <f>J62*J63</f>
        <v>0.2318840579710145</v>
      </c>
      <c r="K65" s="106">
        <f t="shared" si="12"/>
        <v>0.3661514180940445</v>
      </c>
      <c r="M65" s="100"/>
    </row>
    <row r="67" spans="2:13">
      <c r="J67" s="54" t="s">
        <v>296</v>
      </c>
      <c r="K67" s="55">
        <f>AVERAGE(I65:K65)</f>
        <v>0.26571971553717005</v>
      </c>
    </row>
    <row r="68" spans="2:13">
      <c r="J68" s="54" t="s">
        <v>297</v>
      </c>
      <c r="K68" s="55">
        <f>MEDIAN(I65:K65)</f>
        <v>0.2318840579710145</v>
      </c>
    </row>
  </sheetData>
  <pageMargins left="0.7" right="0.7" top="0.75" bottom="0.75" header="0.3" footer="0.3"/>
  <pageSetup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A8FA-361B-479D-97F8-15023F88244B}">
  <dimension ref="B1:J47"/>
  <sheetViews>
    <sheetView showGridLines="0" zoomScale="90" zoomScaleNormal="90" workbookViewId="0">
      <pane ySplit="4" topLeftCell="A5" activePane="bottomLeft" state="frozen"/>
      <selection pane="bottomLeft" activeCell="J41" sqref="J41"/>
    </sheetView>
  </sheetViews>
  <sheetFormatPr defaultRowHeight="14.4" outlineLevelRow="1"/>
  <cols>
    <col min="1" max="1" width="1.88671875" customWidth="1"/>
    <col min="3" max="3" width="16" customWidth="1"/>
    <col min="4" max="4" width="18.5546875" customWidth="1"/>
    <col min="5" max="5" width="10.5546875" bestFit="1" customWidth="1"/>
    <col min="6" max="6" width="11.5546875" customWidth="1"/>
    <col min="7" max="7" width="12.109375" bestFit="1" customWidth="1"/>
    <col min="8" max="10" width="11" bestFit="1" customWidth="1"/>
  </cols>
  <sheetData>
    <row r="1" spans="2:10">
      <c r="B1" s="1"/>
      <c r="C1" s="1"/>
      <c r="D1" s="1"/>
      <c r="E1" s="1"/>
      <c r="F1" s="1"/>
      <c r="G1" s="1"/>
      <c r="H1" s="1"/>
      <c r="I1" s="1"/>
      <c r="J1" s="1"/>
    </row>
    <row r="2" spans="2:10">
      <c r="B2" s="1"/>
      <c r="C2" s="1"/>
      <c r="D2" s="1"/>
      <c r="E2" s="1"/>
      <c r="F2" s="1"/>
      <c r="G2" s="1"/>
      <c r="H2" s="1"/>
      <c r="I2" s="1"/>
      <c r="J2" s="1"/>
    </row>
    <row r="3" spans="2:10">
      <c r="B3" s="1"/>
      <c r="C3" s="1"/>
      <c r="D3" s="1"/>
      <c r="E3" s="1"/>
      <c r="F3" s="1"/>
      <c r="G3" s="1"/>
      <c r="H3" s="1"/>
      <c r="I3" s="1"/>
      <c r="J3" s="1"/>
    </row>
    <row r="4" spans="2:10">
      <c r="B4" s="1"/>
      <c r="C4" s="1"/>
      <c r="D4" s="1"/>
      <c r="E4" s="1"/>
      <c r="F4" s="1"/>
      <c r="G4" s="1"/>
      <c r="H4" s="1"/>
      <c r="I4" s="1"/>
      <c r="J4" s="1"/>
    </row>
    <row r="6" spans="2:10">
      <c r="B6" s="45" t="s">
        <v>235</v>
      </c>
      <c r="C6" s="1"/>
      <c r="D6" s="1"/>
      <c r="E6" s="112">
        <f>'Intrisic Growth'!K6</f>
        <v>45717</v>
      </c>
      <c r="F6" s="113">
        <f>E6+365</f>
        <v>46082</v>
      </c>
      <c r="G6" s="113">
        <f>F6+366</f>
        <v>46448</v>
      </c>
      <c r="H6" s="113">
        <f t="shared" ref="H6:J6" si="0">G6+365</f>
        <v>46813</v>
      </c>
      <c r="I6" s="113">
        <f t="shared" si="0"/>
        <v>47178</v>
      </c>
      <c r="J6" s="113">
        <f t="shared" si="0"/>
        <v>47543</v>
      </c>
    </row>
    <row r="8" spans="2:10">
      <c r="B8" s="84" t="s">
        <v>216</v>
      </c>
      <c r="C8" s="84"/>
      <c r="D8" s="84"/>
      <c r="E8" s="116">
        <f>'Data Sheet'!K34-'Data Sheet'!K26</f>
        <v>5488</v>
      </c>
      <c r="F8" s="114">
        <f>E8*(1+$D$19)</f>
        <v>6760.579710144927</v>
      </c>
      <c r="G8" s="114">
        <f>F8*(1+$D$19)</f>
        <v>8328.2503675698372</v>
      </c>
      <c r="H8" s="114">
        <f>G8*(1+$D$19)</f>
        <v>10259.438858600523</v>
      </c>
      <c r="I8" s="114">
        <f>H8*(1+$D$19)</f>
        <v>12638.439173638324</v>
      </c>
      <c r="J8" s="114">
        <f>I8*(1+$D$19)</f>
        <v>15569.091735641412</v>
      </c>
    </row>
    <row r="9" spans="2:10">
      <c r="B9" s="84" t="s">
        <v>31</v>
      </c>
      <c r="C9" s="84"/>
      <c r="D9" s="84"/>
      <c r="E9" s="117">
        <v>0.25</v>
      </c>
      <c r="F9" s="105">
        <f>E9</f>
        <v>0.25</v>
      </c>
      <c r="G9" s="105">
        <f t="shared" ref="G9:J9" si="1">F9</f>
        <v>0.25</v>
      </c>
      <c r="H9" s="105">
        <f t="shared" si="1"/>
        <v>0.25</v>
      </c>
      <c r="I9" s="105">
        <f t="shared" si="1"/>
        <v>0.25</v>
      </c>
      <c r="J9" s="105">
        <f t="shared" si="1"/>
        <v>0.25</v>
      </c>
    </row>
    <row r="10" spans="2:10">
      <c r="B10" s="84" t="s">
        <v>224</v>
      </c>
      <c r="C10" s="84"/>
      <c r="D10" s="84"/>
      <c r="E10" s="116">
        <f t="shared" ref="E10:J10" si="2">E8*(1-E9)</f>
        <v>4116</v>
      </c>
      <c r="F10" s="114">
        <f t="shared" si="2"/>
        <v>5070.4347826086951</v>
      </c>
      <c r="G10" s="114">
        <f t="shared" si="2"/>
        <v>6246.1877756773774</v>
      </c>
      <c r="H10" s="114">
        <f t="shared" si="2"/>
        <v>7694.5791439503919</v>
      </c>
      <c r="I10" s="114">
        <f t="shared" si="2"/>
        <v>9478.8293802287426</v>
      </c>
      <c r="J10" s="114">
        <f t="shared" si="2"/>
        <v>11676.818801731059</v>
      </c>
    </row>
    <row r="11" spans="2:10">
      <c r="B11" s="84" t="s">
        <v>228</v>
      </c>
      <c r="C11" s="84"/>
      <c r="D11" s="84"/>
      <c r="E11" s="118">
        <f>$D$18</f>
        <v>0.28000000000000003</v>
      </c>
      <c r="F11" s="118">
        <f t="shared" ref="F11:J11" si="3">$D$18</f>
        <v>0.28000000000000003</v>
      </c>
      <c r="G11" s="118">
        <f t="shared" si="3"/>
        <v>0.28000000000000003</v>
      </c>
      <c r="H11" s="118">
        <f t="shared" si="3"/>
        <v>0.28000000000000003</v>
      </c>
      <c r="I11" s="118">
        <f t="shared" si="3"/>
        <v>0.28000000000000003</v>
      </c>
      <c r="J11" s="118">
        <f t="shared" si="3"/>
        <v>0.28000000000000003</v>
      </c>
    </row>
    <row r="12" spans="2:10">
      <c r="B12" s="84" t="s">
        <v>242</v>
      </c>
      <c r="C12" s="84"/>
      <c r="D12" s="84"/>
      <c r="E12" s="116">
        <f t="shared" ref="E12:J12" si="4">E10*(1-E11)</f>
        <v>2963.52</v>
      </c>
      <c r="F12" s="114">
        <f t="shared" si="4"/>
        <v>3650.7130434782603</v>
      </c>
      <c r="G12" s="114">
        <f t="shared" si="4"/>
        <v>4497.2551984877118</v>
      </c>
      <c r="H12" s="114">
        <f t="shared" si="4"/>
        <v>5540.0969836442819</v>
      </c>
      <c r="I12" s="114">
        <f t="shared" si="4"/>
        <v>6824.7571537646945</v>
      </c>
      <c r="J12" s="114">
        <f t="shared" si="4"/>
        <v>8407.3095372463613</v>
      </c>
    </row>
    <row r="13" spans="2:10">
      <c r="B13" s="84" t="s">
        <v>243</v>
      </c>
      <c r="C13" s="84"/>
      <c r="D13" s="84"/>
      <c r="E13" s="119"/>
      <c r="F13" s="115">
        <v>0.5</v>
      </c>
      <c r="G13" s="84">
        <f>+F13+1</f>
        <v>1.5</v>
      </c>
      <c r="H13" s="84">
        <f t="shared" ref="H13:J13" si="5">+G13+1</f>
        <v>2.5</v>
      </c>
      <c r="I13" s="84">
        <f t="shared" si="5"/>
        <v>3.5</v>
      </c>
      <c r="J13" s="84">
        <f t="shared" si="5"/>
        <v>4.5</v>
      </c>
    </row>
    <row r="14" spans="2:10">
      <c r="B14" s="84" t="s">
        <v>236</v>
      </c>
      <c r="C14" s="84"/>
      <c r="D14" s="84"/>
      <c r="E14" s="119"/>
      <c r="F14" s="121">
        <f>1/(1+$D$21)^F13</f>
        <v>0.92562893122966905</v>
      </c>
      <c r="G14" s="121">
        <f>1/(1+$D$21)^G13</f>
        <v>0.79306861076264779</v>
      </c>
      <c r="H14" s="121">
        <f>1/(1+$D$21)^H13</f>
        <v>0.6794923971763126</v>
      </c>
      <c r="I14" s="121">
        <f>1/(1+$D$21)^I13</f>
        <v>0.58218155598972998</v>
      </c>
      <c r="J14" s="121">
        <f>1/(1+$D$21)^J13</f>
        <v>0.49880670562775586</v>
      </c>
    </row>
    <row r="15" spans="2:10" ht="4.5" customHeight="1">
      <c r="E15" s="120"/>
    </row>
    <row r="16" spans="2:10" ht="15" thickBot="1">
      <c r="B16" s="90" t="s">
        <v>237</v>
      </c>
      <c r="C16" s="90"/>
      <c r="D16" s="90"/>
      <c r="E16" s="122"/>
      <c r="F16" s="110">
        <f>F12*F14</f>
        <v>3379.2056126609946</v>
      </c>
      <c r="G16" s="110">
        <f t="shared" ref="G16:J16" si="6">G12*G14</f>
        <v>3566.6319325097456</v>
      </c>
      <c r="H16" s="110">
        <f t="shared" si="6"/>
        <v>3764.4537800057119</v>
      </c>
      <c r="I16" s="110">
        <f t="shared" si="6"/>
        <v>3973.2477390307708</v>
      </c>
      <c r="J16" s="110">
        <f t="shared" si="6"/>
        <v>4193.6223734666701</v>
      </c>
    </row>
    <row r="18" spans="2:4" outlineLevel="1">
      <c r="B18" s="42" t="s">
        <v>298</v>
      </c>
      <c r="C18" s="42"/>
      <c r="D18" s="111">
        <f>28%</f>
        <v>0.28000000000000003</v>
      </c>
    </row>
    <row r="19" spans="2:4" outlineLevel="1">
      <c r="B19" s="42" t="s">
        <v>229</v>
      </c>
      <c r="C19" s="42"/>
      <c r="D19" s="111">
        <f>IFERROR('Intrisic Growth'!K68,0)</f>
        <v>0.2318840579710145</v>
      </c>
    </row>
    <row r="20" spans="2:4" outlineLevel="1">
      <c r="B20" s="42" t="s">
        <v>230</v>
      </c>
      <c r="C20" s="42"/>
      <c r="D20" s="111">
        <v>5.3800000000000001E-2</v>
      </c>
    </row>
    <row r="21" spans="2:4">
      <c r="B21" s="42" t="s">
        <v>87</v>
      </c>
      <c r="C21" s="42"/>
      <c r="D21" s="111">
        <f>WACC!J47</f>
        <v>0.16714861572890363</v>
      </c>
    </row>
    <row r="23" spans="2:4">
      <c r="B23" s="45" t="s">
        <v>231</v>
      </c>
      <c r="C23" s="1"/>
      <c r="D23" s="1"/>
    </row>
    <row r="25" spans="2:4">
      <c r="B25" t="s">
        <v>232</v>
      </c>
      <c r="D25" s="108">
        <f>J12*(1+D19)</f>
        <v>10356.83058936146</v>
      </c>
    </row>
    <row r="26" spans="2:4">
      <c r="B26" t="s">
        <v>87</v>
      </c>
      <c r="D26" s="16">
        <f>D21</f>
        <v>0.16714861572890363</v>
      </c>
    </row>
    <row r="27" spans="2:4" ht="15" customHeight="1">
      <c r="B27" t="s">
        <v>233</v>
      </c>
      <c r="D27" s="16">
        <f>D20</f>
        <v>5.3800000000000001E-2</v>
      </c>
    </row>
    <row r="28" spans="2:4" ht="7.2" customHeight="1"/>
    <row r="29" spans="2:4" ht="15" thickBot="1">
      <c r="B29" s="90" t="s">
        <v>234</v>
      </c>
      <c r="C29" s="90"/>
      <c r="D29" s="110">
        <f>D25/(D26-D27)</f>
        <v>91371.478361340865</v>
      </c>
    </row>
    <row r="32" spans="2:4">
      <c r="B32" s="45" t="s">
        <v>245</v>
      </c>
      <c r="C32" s="1"/>
      <c r="D32" s="1"/>
    </row>
    <row r="34" spans="2:4">
      <c r="B34" t="s">
        <v>237</v>
      </c>
      <c r="D34" s="108">
        <f>SUM(F16:J16)</f>
        <v>18877.161437673891</v>
      </c>
    </row>
    <row r="35" spans="2:4">
      <c r="B35" t="s">
        <v>238</v>
      </c>
      <c r="D35" s="108">
        <f>D29*J14</f>
        <v>45576.706109758219</v>
      </c>
    </row>
    <row r="36" spans="2:4">
      <c r="B36" s="2" t="s">
        <v>244</v>
      </c>
      <c r="C36" s="2"/>
      <c r="D36" s="109">
        <f>SUM(D34:D35)</f>
        <v>64453.867547432106</v>
      </c>
    </row>
    <row r="37" spans="2:4">
      <c r="D37" s="108"/>
    </row>
    <row r="38" spans="2:4">
      <c r="B38" t="s">
        <v>239</v>
      </c>
      <c r="D38" s="108">
        <f>'Data Sheet'!K69</f>
        <v>1584</v>
      </c>
    </row>
    <row r="39" spans="2:4">
      <c r="B39" t="s">
        <v>240</v>
      </c>
      <c r="D39" s="108">
        <f>SUM('Raw FS'!N7:N8)</f>
        <v>18096</v>
      </c>
    </row>
    <row r="40" spans="2:4">
      <c r="B40" s="2" t="s">
        <v>241</v>
      </c>
      <c r="C40" s="2"/>
      <c r="D40" s="109">
        <f>D36+D38-D39</f>
        <v>47941.867547432106</v>
      </c>
    </row>
    <row r="41" spans="2:4" ht="14.4" customHeight="1">
      <c r="B41" t="s">
        <v>246</v>
      </c>
      <c r="C41" s="2"/>
      <c r="D41" s="108">
        <f>'Data Sheet'!B6</f>
        <v>88.778617164379881</v>
      </c>
    </row>
    <row r="42" spans="2:4" ht="4.2" customHeight="1"/>
    <row r="43" spans="2:4" ht="15" thickBot="1">
      <c r="B43" s="90" t="s">
        <v>247</v>
      </c>
      <c r="C43" s="90"/>
      <c r="D43" s="110">
        <f>D40/D41</f>
        <v>540.01593039756801</v>
      </c>
    </row>
    <row r="45" spans="2:4">
      <c r="B45" s="176" t="s">
        <v>248</v>
      </c>
      <c r="C45" s="176"/>
      <c r="D45" s="176">
        <v>2839</v>
      </c>
    </row>
    <row r="46" spans="2:4" ht="15" thickBot="1">
      <c r="B46" s="135" t="s">
        <v>249</v>
      </c>
      <c r="C46" s="135"/>
      <c r="D46" s="177">
        <f>D45/D43</f>
        <v>5.2572523145935426</v>
      </c>
    </row>
    <row r="47" spans="2:4" ht="15" thickTop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2D65-2D62-450B-970A-1BD22569223E}">
  <dimension ref="B1:O40"/>
  <sheetViews>
    <sheetView showGridLines="0" zoomScaleNormal="100" workbookViewId="0">
      <selection activeCell="Q4" sqref="Q4"/>
    </sheetView>
  </sheetViews>
  <sheetFormatPr defaultRowHeight="14.4"/>
  <cols>
    <col min="1" max="1" width="1.88671875" customWidth="1"/>
    <col min="2" max="2" width="24.44140625" customWidth="1"/>
    <col min="3" max="3" width="12.109375" bestFit="1" customWidth="1"/>
    <col min="4" max="7" width="10.5546875" bestFit="1" customWidth="1"/>
    <col min="8" max="8" width="9.5546875" bestFit="1" customWidth="1"/>
    <col min="9" max="10" width="10.5546875" bestFit="1" customWidth="1"/>
    <col min="11" max="12" width="9.5546875" bestFit="1" customWidth="1"/>
    <col min="13" max="13" width="15.21875" customWidth="1"/>
  </cols>
  <sheetData>
    <row r="1" spans="2:15">
      <c r="B1" s="123" t="str">
        <f>"Ratio Analysis  - "&amp;'Data Sheet'!B1</f>
        <v>Ratio Analysis  - TITAN COMPANY LTD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</row>
    <row r="2" spans="2:15">
      <c r="B2" s="45" t="s">
        <v>88</v>
      </c>
      <c r="C2" s="82">
        <f>'Data Sheet'!B16</f>
        <v>42460</v>
      </c>
      <c r="D2" s="82">
        <f>'Data Sheet'!C16</f>
        <v>42825</v>
      </c>
      <c r="E2" s="82">
        <f>'Data Sheet'!D16</f>
        <v>43190</v>
      </c>
      <c r="F2" s="82">
        <f>'Data Sheet'!E16</f>
        <v>43555</v>
      </c>
      <c r="G2" s="82">
        <f>'Data Sheet'!F16</f>
        <v>43921</v>
      </c>
      <c r="H2" s="82">
        <f>'Data Sheet'!G16</f>
        <v>44286</v>
      </c>
      <c r="I2" s="82">
        <f>'Data Sheet'!H16</f>
        <v>44651</v>
      </c>
      <c r="J2" s="82">
        <f>'Data Sheet'!I16</f>
        <v>45016</v>
      </c>
      <c r="K2" s="82">
        <f>'Data Sheet'!J16</f>
        <v>45382</v>
      </c>
      <c r="L2" s="82">
        <f>'Data Sheet'!K16</f>
        <v>45747</v>
      </c>
      <c r="M2" s="159" t="s">
        <v>295</v>
      </c>
      <c r="N2" s="82" t="s">
        <v>294</v>
      </c>
      <c r="O2" s="82" t="s">
        <v>17</v>
      </c>
    </row>
    <row r="4" spans="2:15">
      <c r="B4" s="27" t="s">
        <v>263</v>
      </c>
      <c r="C4" s="27"/>
      <c r="D4" s="151">
        <f>IFERROR(HistoricalFS!D7,0)</f>
        <v>0.17603399820324617</v>
      </c>
      <c r="E4" s="151">
        <f>IFERROR(HistoricalFS!E7,0)</f>
        <v>0.21559283996552248</v>
      </c>
      <c r="F4" s="151">
        <f>IFERROR(HistoricalFS!F7,0)</f>
        <v>0.22697284142391605</v>
      </c>
      <c r="G4" s="151">
        <f>IFERROR(HistoricalFS!G7,0)</f>
        <v>6.4387021880302431E-2</v>
      </c>
      <c r="H4" s="151">
        <f>IFERROR(HistoricalFS!H7,0)</f>
        <v>2.8120843625308867E-2</v>
      </c>
      <c r="I4" s="151">
        <f>IFERROR(HistoricalFS!I7,0)</f>
        <v>0.33057660321567184</v>
      </c>
      <c r="J4" s="151">
        <f>IFERROR(HistoricalFS!J7,0)</f>
        <v>0.40890308691274013</v>
      </c>
      <c r="K4" s="151">
        <f>IFERROR(HistoricalFS!K7,0)</f>
        <v>0.25900184842883545</v>
      </c>
      <c r="L4" s="151">
        <f>IFERROR(HistoricalFS!L7,0)</f>
        <v>0.18346253229974163</v>
      </c>
      <c r="M4" s="27"/>
      <c r="N4" s="28">
        <f>IFERROR(AVERAGE(D4:L4),0)</f>
        <v>0.21033906843947611</v>
      </c>
      <c r="O4" s="28">
        <f>IFERROR(MEDIAN(C4:L4),0)</f>
        <v>0.21559283996552248</v>
      </c>
    </row>
    <row r="5" spans="2:15">
      <c r="B5" s="131" t="s">
        <v>264</v>
      </c>
      <c r="C5" s="131"/>
      <c r="D5" s="152">
        <f>IFERROR(HistoricalFS!D18/HistoricalFS!C18-1,0)</f>
        <v>0.23907465959780105</v>
      </c>
      <c r="E5" s="152">
        <f>IFERROR(HistoricalFS!E18/HistoricalFS!D18-1,0)</f>
        <v>0.41266431824040017</v>
      </c>
      <c r="F5" s="152">
        <f>IFERROR(HistoricalFS!F18/HistoricalFS!E18-1,0)</f>
        <v>0.21262011920690882</v>
      </c>
      <c r="G5" s="152">
        <f>IFERROR(HistoricalFS!G18/HistoricalFS!F18-1,0)</f>
        <v>0.23533571740253434</v>
      </c>
      <c r="H5" s="152">
        <f>IFERROR(HistoricalFS!H18/HistoricalFS!G18-1,0)</f>
        <v>-0.29963459196102316</v>
      </c>
      <c r="I5" s="152">
        <f>IFERROR(HistoricalFS!I18/HistoricalFS!H18-1,0)</f>
        <v>0.93855072463768119</v>
      </c>
      <c r="J5" s="152">
        <f>IFERROR(HistoricalFS!J18/HistoricalFS!I18-1,0)</f>
        <v>0.45992822966507174</v>
      </c>
      <c r="K5" s="152">
        <f>IFERROR(HistoricalFS!K18/HistoricalFS!J18-1,0)</f>
        <v>8.3981974600573439E-2</v>
      </c>
      <c r="L5" s="152">
        <f>IFERROR(HistoricalFS!L18/HistoricalFS!K18-1,0)</f>
        <v>7.5963718820861725E-2</v>
      </c>
      <c r="M5" s="131"/>
      <c r="N5" s="33">
        <f t="shared" ref="N5:N40" si="0">IFERROR(AVERAGE(D5:L5),0)</f>
        <v>0.26205387446786771</v>
      </c>
      <c r="O5" s="33">
        <f t="shared" ref="O5:O40" si="1">IFERROR(MEDIAN(C5:L5),0)</f>
        <v>0.23533571740253434</v>
      </c>
    </row>
    <row r="6" spans="2:15">
      <c r="B6" s="131" t="s">
        <v>265</v>
      </c>
      <c r="C6" s="131"/>
      <c r="D6" s="33">
        <f>IFERROR(SUM(HistoricalFS!D30,HistoricalFS!D24)/SUM(HistoricalFS!C30,HistoricalFS!C24)-1,0)</f>
        <v>0.11040451634870152</v>
      </c>
      <c r="E6" s="33">
        <f>IFERROR(SUM(HistoricalFS!E30,HistoricalFS!E24)/SUM(HistoricalFS!D30,HistoricalFS!D24)-1,0)</f>
        <v>0.56549520766773353</v>
      </c>
      <c r="F6" s="33">
        <f>IFERROR(SUM(HistoricalFS!F30,HistoricalFS!F24)/SUM(HistoricalFS!E30,HistoricalFS!E24)-1,0)</f>
        <v>0.26962153282365531</v>
      </c>
      <c r="G6" s="33">
        <f>IFERROR(SUM(HistoricalFS!G30,HistoricalFS!G24)/SUM(HistoricalFS!F30,HistoricalFS!F24)-1,0)</f>
        <v>0.12867828190083719</v>
      </c>
      <c r="H6" s="33">
        <f>IFERROR(SUM(HistoricalFS!H30,HistoricalFS!H24)/SUM(HistoricalFS!G30,HistoricalFS!G24)-1,0)</f>
        <v>-0.32539682539682535</v>
      </c>
      <c r="I6" s="33">
        <f>IFERROR(SUM(HistoricalFS!I30,HistoricalFS!I24)/SUM(HistoricalFS!H30,HistoricalFS!H24)-1,0)</f>
        <v>1.0405228758169933</v>
      </c>
      <c r="J6" s="33">
        <f>IFERROR(SUM(HistoricalFS!J30,HistoricalFS!J24)/SUM(HistoricalFS!I30,HistoricalFS!I24)-1,0)</f>
        <v>0.52049967969250477</v>
      </c>
      <c r="K6" s="33">
        <f>IFERROR(SUM(HistoricalFS!K30,HistoricalFS!K24)/SUM(HistoricalFS!J30,HistoricalFS!J24)-1,0)</f>
        <v>0.104276385085317</v>
      </c>
      <c r="L6" s="33">
        <f>IFERROR(SUM(HistoricalFS!L30,HistoricalFS!L24)/SUM(HistoricalFS!K30,HistoricalFS!K24)-1,0)</f>
        <v>4.6928653185806857E-2</v>
      </c>
      <c r="M6" s="131"/>
      <c r="N6" s="33">
        <f t="shared" si="0"/>
        <v>0.27344781190274708</v>
      </c>
      <c r="O6" s="33">
        <f t="shared" si="1"/>
        <v>0.12867828190083719</v>
      </c>
    </row>
    <row r="7" spans="2:15">
      <c r="B7" s="131" t="s">
        <v>266</v>
      </c>
      <c r="C7" s="131"/>
      <c r="D7" s="33">
        <f>IFERROR(HistoricalFS!D36/HistoricalFS!C36-1,0)</f>
        <v>3.0686454206826141E-2</v>
      </c>
      <c r="E7" s="33">
        <f>IFERROR(HistoricalFS!E36/HistoricalFS!D36-1,0)</f>
        <v>0.580297728315744</v>
      </c>
      <c r="F7" s="33">
        <f>IFERROR(HistoricalFS!F36/HistoricalFS!E36-1,0)</f>
        <v>0.26022088918332642</v>
      </c>
      <c r="G7" s="33">
        <f>IFERROR(HistoricalFS!G36/HistoricalFS!F36-1,0)</f>
        <v>7.5144924927086798E-2</v>
      </c>
      <c r="H7" s="33">
        <f>IFERROR(HistoricalFS!H36/HistoricalFS!G36-1,0)</f>
        <v>-0.34762223710649698</v>
      </c>
      <c r="I7" s="33">
        <f>IFERROR(HistoricalFS!I36/HistoricalFS!H36-1,0)</f>
        <v>1.2566735112936347</v>
      </c>
      <c r="J7" s="33">
        <f>IFERROR(HistoricalFS!J36/HistoricalFS!I36-1,0)</f>
        <v>0.48953594176524118</v>
      </c>
      <c r="K7" s="33">
        <f>IFERROR(HistoricalFS!K36/HistoricalFS!J36-1,0)</f>
        <v>6.7806963958460642E-2</v>
      </c>
      <c r="L7" s="33">
        <f>IFERROR(HistoricalFS!L36/HistoricalFS!K36-1,0)</f>
        <v>-4.5480549199084619E-2</v>
      </c>
      <c r="M7" s="131"/>
      <c r="N7" s="33">
        <f t="shared" si="0"/>
        <v>0.26302929192719315</v>
      </c>
      <c r="O7" s="33">
        <f t="shared" si="1"/>
        <v>7.5144924927086798E-2</v>
      </c>
    </row>
    <row r="8" spans="2:15">
      <c r="B8" s="149" t="s">
        <v>267</v>
      </c>
      <c r="C8" s="149"/>
      <c r="D8" s="150">
        <f>IFERROR(HistoricalFS!D44/HistoricalFS!C44-1,0)</f>
        <v>0.18180421871800134</v>
      </c>
      <c r="E8" s="150">
        <f>IFERROR(HistoricalFS!E44/HistoricalFS!D44-1,0)</f>
        <v>0.44227353463587948</v>
      </c>
      <c r="F8" s="150">
        <f>IFERROR(HistoricalFS!F44/HistoricalFS!E44-1,0)</f>
        <v>0.33335335816412348</v>
      </c>
      <c r="G8" s="150">
        <f>IFERROR(HistoricalFS!G44/HistoricalFS!F44-1,0)</f>
        <v>-0.19801757152511834</v>
      </c>
      <c r="H8" s="150">
        <f>IFERROR(HistoricalFS!H44/HistoricalFS!G44-1,0)</f>
        <v>0</v>
      </c>
      <c r="I8" s="150">
        <f>IFERROR(HistoricalFS!I44/HistoricalFS!H44-1,0)</f>
        <v>0.87500000000000022</v>
      </c>
      <c r="J8" s="150">
        <f>IFERROR(HistoricalFS!J44/HistoricalFS!I44-1,0)</f>
        <v>0.33333333333333348</v>
      </c>
      <c r="K8" s="150">
        <f>IFERROR(HistoricalFS!K44/HistoricalFS!J44-1,0)</f>
        <v>0.10000000000000009</v>
      </c>
      <c r="L8" s="150">
        <f>IFERROR(HistoricalFS!L44/HistoricalFS!K44-1,0)</f>
        <v>0</v>
      </c>
      <c r="M8" s="149"/>
      <c r="N8" s="150">
        <f t="shared" si="0"/>
        <v>0.22974965259180222</v>
      </c>
      <c r="O8" s="150">
        <f t="shared" si="1"/>
        <v>0.18180421871800134</v>
      </c>
    </row>
    <row r="10" spans="2:15">
      <c r="B10" s="27" t="s">
        <v>275</v>
      </c>
      <c r="C10" s="28">
        <f>IFERROR(HistoricalFS!C13,0)</f>
        <v>0.18557825590707233</v>
      </c>
      <c r="D10" s="28">
        <f>IFERROR(HistoricalFS!D13,0)</f>
        <v>0.20020013830205197</v>
      </c>
      <c r="E10" s="28">
        <f>IFERROR(HistoricalFS!E13,0)</f>
        <v>0.20826227669501496</v>
      </c>
      <c r="F10" s="28">
        <f>IFERROR(HistoricalFS!F13,0)</f>
        <v>0.20820769198099762</v>
      </c>
      <c r="G10" s="28">
        <f>IFERROR(HistoricalFS!G13,0)</f>
        <v>0.21024130723921719</v>
      </c>
      <c r="H10" s="28">
        <f>IFERROR(HistoricalFS!H13,0)</f>
        <v>0.18402328589909445</v>
      </c>
      <c r="I10" s="28">
        <f>IFERROR(HistoricalFS!I13,0)</f>
        <v>0.19354838709677419</v>
      </c>
      <c r="J10" s="28">
        <f>IFERROR(HistoricalFS!J13,0)</f>
        <v>0.20406654343807765</v>
      </c>
      <c r="K10" s="28">
        <f>IFERROR(HistoricalFS!K13,0)</f>
        <v>0.18440216114634719</v>
      </c>
      <c r="L10" s="28">
        <f>IFERROR(HistoricalFS!L13,0)</f>
        <v>0.17255524679105466</v>
      </c>
      <c r="M10" s="27"/>
      <c r="N10" s="28">
        <f>IFERROR(AVERAGE(C10:L10),0)</f>
        <v>0.19510852944957024</v>
      </c>
      <c r="O10" s="28">
        <f t="shared" si="1"/>
        <v>0.19687426269941308</v>
      </c>
    </row>
    <row r="11" spans="2:15">
      <c r="B11" s="131" t="s">
        <v>268</v>
      </c>
      <c r="C11" s="33">
        <f>IFERROR(HistoricalFS!C19,0)</f>
        <v>8.3304289062770001E-2</v>
      </c>
      <c r="D11" s="33">
        <f>IFERROR(HistoricalFS!D19,0)</f>
        <v>8.7769770067182798E-2</v>
      </c>
      <c r="E11" s="33">
        <f>IFERROR(HistoricalFS!E19,0)</f>
        <v>0.10199897393076955</v>
      </c>
      <c r="F11" s="33">
        <f>IFERROR(HistoricalFS!F19,0)</f>
        <v>0.10080582369156038</v>
      </c>
      <c r="G11" s="33">
        <f>IFERROR(HistoricalFS!G19,0)</f>
        <v>0.1169960098802964</v>
      </c>
      <c r="H11" s="33">
        <f>IFERROR(HistoricalFS!H19,0)</f>
        <v>7.9698761781556091E-2</v>
      </c>
      <c r="I11" s="33">
        <f>IFERROR(HistoricalFS!I19,0)</f>
        <v>0.11611514288690579</v>
      </c>
      <c r="J11" s="33">
        <f>IFERROR(HistoricalFS!J19,0)</f>
        <v>0.12032039433148491</v>
      </c>
      <c r="K11" s="33">
        <f>IFERROR(HistoricalFS!K19,0)</f>
        <v>0.10359408033826638</v>
      </c>
      <c r="L11" s="33">
        <f>IFERROR(HistoricalFS!L19,0)</f>
        <v>9.4184200079396582E-2</v>
      </c>
      <c r="M11" s="131"/>
      <c r="N11" s="33">
        <f t="shared" ref="N11:N40" si="2">IFERROR(AVERAGE(C11:L11),0)</f>
        <v>0.10047874460501889</v>
      </c>
      <c r="O11" s="33">
        <f t="shared" si="1"/>
        <v>0.10140239881116497</v>
      </c>
    </row>
    <row r="12" spans="2:15">
      <c r="B12" s="131" t="s">
        <v>269</v>
      </c>
      <c r="C12" s="33">
        <f>IFERROR(SUM(HistoricalFS!C30,HistoricalFS!C24)/HistoricalFS!C6,0)</f>
        <v>8.0744845861390774E-2</v>
      </c>
      <c r="D12" s="33">
        <f>IFERROR(SUM(HistoricalFS!D30,HistoricalFS!D24)/HistoricalFS!D6,0)</f>
        <v>7.6238817630570596E-2</v>
      </c>
      <c r="E12" s="33">
        <f>IFERROR(SUM(HistoricalFS!E30,HistoricalFS!E24)/HistoricalFS!E6,0)</f>
        <v>9.8183783019236692E-2</v>
      </c>
      <c r="F12" s="33">
        <f>IFERROR(SUM(HistoricalFS!F30,HistoricalFS!F24)/HistoricalFS!F6,0)</f>
        <v>0.10159658053282049</v>
      </c>
      <c r="G12" s="33">
        <f>IFERROR(SUM(HistoricalFS!G30,HistoricalFS!G24)/HistoricalFS!G6,0)</f>
        <v>0.1077332319969599</v>
      </c>
      <c r="H12" s="33">
        <f>IFERROR(SUM(HistoricalFS!H30,HistoricalFS!H24)/HistoricalFS!H6,0)</f>
        <v>7.0689336536684536E-2</v>
      </c>
      <c r="I12" s="33">
        <f>IFERROR(SUM(HistoricalFS!I30,HistoricalFS!I24)/HistoricalFS!I6,0)</f>
        <v>0.10840654189381575</v>
      </c>
      <c r="J12" s="33">
        <f>IFERROR(SUM(HistoricalFS!J30,HistoricalFS!J24)/HistoricalFS!J6,0)</f>
        <v>0.11699322242760321</v>
      </c>
      <c r="K12" s="33">
        <f>IFERROR(SUM(HistoricalFS!K30,HistoricalFS!K24)/HistoricalFS!K6,0)</f>
        <v>0.10261530028971889</v>
      </c>
      <c r="L12" s="33">
        <f>IFERROR(SUM(HistoricalFS!L30,HistoricalFS!L24)/HistoricalFS!L6,0)</f>
        <v>9.077676326584623E-2</v>
      </c>
      <c r="M12" s="131"/>
      <c r="N12" s="33">
        <f t="shared" si="2"/>
        <v>9.5397842345464709E-2</v>
      </c>
      <c r="O12" s="33">
        <f t="shared" si="1"/>
        <v>9.9890181776028597E-2</v>
      </c>
    </row>
    <row r="13" spans="2:15">
      <c r="B13" s="131" t="s">
        <v>270</v>
      </c>
      <c r="C13" s="33">
        <f>IFERROR(HistoricalFS!C31,0)</f>
        <v>7.6988157919241643E-2</v>
      </c>
      <c r="D13" s="33">
        <f>IFERROR(HistoricalFS!D31,0)</f>
        <v>7.3392841926184074E-2</v>
      </c>
      <c r="E13" s="33">
        <f>IFERROR(HistoricalFS!E31,0)</f>
        <v>9.4900857766581109E-2</v>
      </c>
      <c r="F13" s="33">
        <f>IFERROR(HistoricalFS!F31,0)</f>
        <v>9.894016336915E-2</v>
      </c>
      <c r="G13" s="33">
        <f>IFERROR(HistoricalFS!G31,0)</f>
        <v>9.9847995439863196E-2</v>
      </c>
      <c r="H13" s="33">
        <f>IFERROR(HistoricalFS!H31,0)</f>
        <v>6.1310293845869522E-2</v>
      </c>
      <c r="I13" s="33">
        <f>IFERROR(HistoricalFS!I31,0)</f>
        <v>0.10083683461231292</v>
      </c>
      <c r="J13" s="33">
        <f>IFERROR(HistoricalFS!J31,0)</f>
        <v>0.10959950708564387</v>
      </c>
      <c r="K13" s="33">
        <f>IFERROR(HistoricalFS!K31,0)</f>
        <v>9.0498003288700959E-2</v>
      </c>
      <c r="L13" s="33">
        <f>IFERROR(HistoricalFS!L31,0)</f>
        <v>7.5013232764324464E-2</v>
      </c>
      <c r="M13" s="131"/>
      <c r="N13" s="33">
        <f t="shared" si="2"/>
        <v>8.8132788801787182E-2</v>
      </c>
      <c r="O13" s="33">
        <f t="shared" si="1"/>
        <v>9.2699430527641041E-2</v>
      </c>
    </row>
    <row r="14" spans="2:15">
      <c r="B14" s="149" t="s">
        <v>271</v>
      </c>
      <c r="C14" s="150">
        <f>IFERROR(HistoricalFS!C37,0)</f>
        <v>5.9997037927826333E-2</v>
      </c>
      <c r="D14" s="150">
        <f>IFERROR(HistoricalFS!D37,0)</f>
        <v>5.2581927375586562E-2</v>
      </c>
      <c r="E14" s="150">
        <f>IFERROR(HistoricalFS!E37,0)</f>
        <v>6.8357675078490651E-2</v>
      </c>
      <c r="F14" s="150">
        <f>IFERROR(HistoricalFS!F37,0)</f>
        <v>7.0210005602036996E-2</v>
      </c>
      <c r="G14" s="150">
        <f>IFERROR(HistoricalFS!G37,0)</f>
        <v>7.0919627588827666E-2</v>
      </c>
      <c r="H14" s="150">
        <f>IFERROR(HistoricalFS!H37,0)</f>
        <v>4.5000924043614859E-2</v>
      </c>
      <c r="I14" s="150">
        <f>IFERROR(HistoricalFS!I37,0)</f>
        <v>7.632209451717073E-2</v>
      </c>
      <c r="J14" s="150">
        <f>IFERROR(HistoricalFS!J37,0)</f>
        <v>8.0690080098582875E-2</v>
      </c>
      <c r="K14" s="150">
        <f>IFERROR(HistoricalFS!K37,0)</f>
        <v>6.8436300994440535E-2</v>
      </c>
      <c r="L14" s="150">
        <f>IFERROR(HistoricalFS!L37,0)</f>
        <v>5.5197168188434564E-2</v>
      </c>
      <c r="M14" s="149"/>
      <c r="N14" s="150">
        <f t="shared" si="2"/>
        <v>6.4771284141501184E-2</v>
      </c>
      <c r="O14" s="150">
        <f t="shared" si="1"/>
        <v>6.83969880364656E-2</v>
      </c>
    </row>
    <row r="16" spans="2:15">
      <c r="B16" s="27" t="s">
        <v>272</v>
      </c>
      <c r="C16" s="28">
        <f>IFERROR(HistoricalFS!C16,0)</f>
        <v>0.10227396684430232</v>
      </c>
      <c r="D16" s="28">
        <f>IFERROR(HistoricalFS!D16,0)</f>
        <v>0.11243036823486917</v>
      </c>
      <c r="E16" s="28">
        <f>IFERROR(HistoricalFS!E16,0)</f>
        <v>0.10626330276424539</v>
      </c>
      <c r="F16" s="28">
        <f>IFERROR(HistoricalFS!F16,0)</f>
        <v>0.10740186828943722</v>
      </c>
      <c r="G16" s="28">
        <f>IFERROR(HistoricalFS!G16,0)</f>
        <v>9.3245297358920773E-2</v>
      </c>
      <c r="H16" s="28">
        <f>IFERROR(HistoricalFS!H16,0)</f>
        <v>0.10432452411753834</v>
      </c>
      <c r="I16" s="28">
        <f>IFERROR(HistoricalFS!I16,0)</f>
        <v>7.7433244209868399E-2</v>
      </c>
      <c r="J16" s="28">
        <f>IFERROR(HistoricalFS!J16,0)</f>
        <v>8.3746149106592727E-2</v>
      </c>
      <c r="K16" s="28">
        <f>IFERROR(HistoricalFS!K16,0)</f>
        <v>8.0808080808080815E-2</v>
      </c>
      <c r="L16" s="28">
        <f>IFERROR(HistoricalFS!L16,0)</f>
        <v>7.8371046711658066E-2</v>
      </c>
      <c r="M16" s="27"/>
      <c r="N16" s="28">
        <f t="shared" si="2"/>
        <v>9.4629784844551312E-2</v>
      </c>
      <c r="O16" s="28">
        <f t="shared" si="1"/>
        <v>9.7759632101611538E-2</v>
      </c>
    </row>
    <row r="17" spans="2:15">
      <c r="B17" s="131" t="s">
        <v>273</v>
      </c>
      <c r="C17" s="33">
        <f>IFERROR(HistoricalFS!C28,0)</f>
        <v>8.7079600811997993E-3</v>
      </c>
      <c r="D17" s="33">
        <f>IFERROR(HistoricalFS!D28,0)</f>
        <v>8.3350740489094577E-3</v>
      </c>
      <c r="E17" s="33">
        <f>IFERROR(HistoricalFS!E28,0)</f>
        <v>8.1533421382563153E-3</v>
      </c>
      <c r="F17" s="33">
        <f>IFERROR(HistoricalFS!F28,0)</f>
        <v>8.2331741707670752E-3</v>
      </c>
      <c r="G17" s="33">
        <f>IFERROR(HistoricalFS!G28,0)</f>
        <v>1.6530495914877447E-2</v>
      </c>
      <c r="H17" s="33">
        <f>IFERROR(HistoricalFS!H28,0)</f>
        <v>1.7325817778599151E-2</v>
      </c>
      <c r="I17" s="33">
        <f>IFERROR(HistoricalFS!I28,0)</f>
        <v>1.3854647730823988E-2</v>
      </c>
      <c r="J17" s="33">
        <f>IFERROR(HistoricalFS!J28,0)</f>
        <v>1.0868761552680222E-2</v>
      </c>
      <c r="K17" s="33">
        <f>IFERROR(HistoricalFS!K28,0)</f>
        <v>1.1432150967034689E-2</v>
      </c>
      <c r="L17" s="33">
        <f>IFERROR(HistoricalFS!L28,0)</f>
        <v>1.146288209606987E-2</v>
      </c>
      <c r="M17" s="131"/>
      <c r="N17" s="33">
        <f t="shared" si="2"/>
        <v>1.1490430647921801E-2</v>
      </c>
      <c r="O17" s="33">
        <f t="shared" si="1"/>
        <v>1.1150456259857455E-2</v>
      </c>
    </row>
    <row r="18" spans="2:15">
      <c r="B18" s="149" t="s">
        <v>274</v>
      </c>
      <c r="C18" s="150">
        <f>IFERROR(C12,0)</f>
        <v>8.0744845861390774E-2</v>
      </c>
      <c r="D18" s="150">
        <f>IFERROR(D12,0)</f>
        <v>7.6238817630570596E-2</v>
      </c>
      <c r="E18" s="150">
        <f>IFERROR(E12,0)</f>
        <v>9.8183783019236692E-2</v>
      </c>
      <c r="F18" s="150">
        <f>IFERROR(F12,0)</f>
        <v>0.10159658053282049</v>
      </c>
      <c r="G18" s="150">
        <f>IFERROR(G12,0)</f>
        <v>0.1077332319969599</v>
      </c>
      <c r="H18" s="150">
        <f>IFERROR(H12,0)</f>
        <v>7.0689336536684536E-2</v>
      </c>
      <c r="I18" s="150">
        <f>IFERROR(I12,0)</f>
        <v>0.10840654189381575</v>
      </c>
      <c r="J18" s="150">
        <f>IFERROR(J12,0)</f>
        <v>0.11699322242760321</v>
      </c>
      <c r="K18" s="150">
        <f>IFERROR(K12,0)</f>
        <v>0.10261530028971889</v>
      </c>
      <c r="L18" s="150">
        <f>IFERROR(L12,0)</f>
        <v>9.077676326584623E-2</v>
      </c>
      <c r="M18" s="149"/>
      <c r="N18" s="150">
        <f t="shared" si="2"/>
        <v>9.5397842345464709E-2</v>
      </c>
      <c r="O18" s="150">
        <f t="shared" si="1"/>
        <v>9.9890181776028597E-2</v>
      </c>
    </row>
    <row r="20" spans="2:15">
      <c r="B20" s="27" t="s">
        <v>276</v>
      </c>
      <c r="C20" s="28">
        <f>IFERROR(SUM(HistoricalFS!C30,HistoricalFS!C24)/SUM(HistoricalFS!C50:C52),0)</f>
        <v>0.25155760872868665</v>
      </c>
      <c r="D20" s="28">
        <f>IFERROR(SUM(HistoricalFS!D30,HistoricalFS!D24)/SUM(HistoricalFS!D50:D52),0)</f>
        <v>0.16533465471535494</v>
      </c>
      <c r="E20" s="28">
        <f>IFERROR(SUM(HistoricalFS!E30,HistoricalFS!E24)/SUM(HistoricalFS!E50:E52),0)</f>
        <v>0.23340593933834661</v>
      </c>
      <c r="F20" s="28">
        <f>IFERROR(SUM(HistoricalFS!F30,HistoricalFS!F24)/SUM(HistoricalFS!F50:F52),0)</f>
        <v>0.23743343183904783</v>
      </c>
      <c r="G20" s="28">
        <f>IFERROR(SUM(HistoricalFS!G30,HistoricalFS!G24)/SUM(HistoricalFS!G50:G52),0)</f>
        <v>0.22167921024337797</v>
      </c>
      <c r="H20" s="28">
        <f>IFERROR(SUM(HistoricalFS!H30,HistoricalFS!H24)/SUM(HistoricalFS!H50:H52),0)</f>
        <v>0.11648267986296156</v>
      </c>
      <c r="I20" s="28">
        <f>IFERROR(SUM(HistoricalFS!I30,HistoricalFS!I24)/SUM(HistoricalFS!I50:I52),0)</f>
        <v>0.18832187236096032</v>
      </c>
      <c r="J20" s="28">
        <f>IFERROR(SUM(HistoricalFS!J30,HistoricalFS!J24)/SUM(HistoricalFS!J50:J52),0)</f>
        <v>0.22372513903289659</v>
      </c>
      <c r="K20" s="28">
        <f>IFERROR(SUM(HistoricalFS!K30,HistoricalFS!K24)/SUM(HistoricalFS!K50:K52),0)</f>
        <v>0.21034468921792865</v>
      </c>
      <c r="L20" s="28">
        <f>IFERROR(SUM(HistoricalFS!L30,HistoricalFS!L24)/SUM(HistoricalFS!L50:L52),0)</f>
        <v>0.16937748834912503</v>
      </c>
      <c r="M20" s="27"/>
      <c r="N20" s="28">
        <f t="shared" si="2"/>
        <v>0.2017662713688686</v>
      </c>
      <c r="O20" s="28">
        <f t="shared" si="1"/>
        <v>0.2160119497306533</v>
      </c>
    </row>
    <row r="21" spans="2:15">
      <c r="B21" s="131" t="s">
        <v>277</v>
      </c>
      <c r="C21" s="33">
        <f>IFERROR(HistoricalFS!C47,0)</f>
        <v>0.71128717554543741</v>
      </c>
      <c r="D21" s="33">
        <f>IFERROR(HistoricalFS!D47,0)</f>
        <v>0.66895651675080292</v>
      </c>
      <c r="E21" s="33">
        <f>IFERROR(HistoricalFS!E47,0)</f>
        <v>0.69787006198328383</v>
      </c>
      <c r="F21" s="33">
        <f>IFERROR(HistoricalFS!F47,0)</f>
        <v>0.68033701796709045</v>
      </c>
      <c r="G21" s="33">
        <f>IFERROR(HistoricalFS!G47,0)</f>
        <v>0.76155391828533159</v>
      </c>
      <c r="H21" s="33">
        <f>IFERROR(HistoricalFS!H47,0)</f>
        <v>0.6344969199178645</v>
      </c>
      <c r="I21" s="33">
        <f>IFERROR(HistoricalFS!I47,0)</f>
        <v>0.69631483166515018</v>
      </c>
      <c r="J21" s="33">
        <f>IFERROR(HistoricalFS!J47,0)</f>
        <v>0.72816127061698221</v>
      </c>
      <c r="K21" s="33">
        <f>IFERROR(HistoricalFS!K47,0)</f>
        <v>0.71996567505720821</v>
      </c>
      <c r="L21" s="33">
        <f>IFERROR(HistoricalFS!L47,0)</f>
        <v>0.70662271501348517</v>
      </c>
      <c r="M21" s="131"/>
      <c r="N21" s="33">
        <f t="shared" si="2"/>
        <v>0.70055661028026373</v>
      </c>
      <c r="O21" s="33">
        <f t="shared" si="1"/>
        <v>0.7022463884983845</v>
      </c>
    </row>
    <row r="22" spans="2:15">
      <c r="B22" s="131" t="s">
        <v>278</v>
      </c>
      <c r="C22" s="33">
        <f>IFERROR(HistoricalFS!C36/SUM(HistoricalFS!C50:C51),0)</f>
        <v>0.19294522970213376</v>
      </c>
      <c r="D22" s="33">
        <f>IFERROR(HistoricalFS!D36/SUM(HistoricalFS!D50:D51),0)</f>
        <v>0.16474891195970104</v>
      </c>
      <c r="E22" s="33">
        <f>IFERROR(HistoricalFS!E36/SUM(HistoricalFS!E50:E51),0)</f>
        <v>0.21649036912461614</v>
      </c>
      <c r="F22" s="33">
        <f>IFERROR(HistoricalFS!F36/SUM(HistoricalFS!F50:F51),0)</f>
        <v>0.22876699916806023</v>
      </c>
      <c r="G22" s="33">
        <f>IFERROR(HistoricalFS!G36/SUM(HistoricalFS!G50:G51),0)</f>
        <v>0.2238716449242765</v>
      </c>
      <c r="H22" s="33">
        <f>IFERROR(HistoricalFS!H36/SUM(HistoricalFS!H50:H51),0)</f>
        <v>0.12991863412031479</v>
      </c>
      <c r="I22" s="33">
        <f>IFERROR(HistoricalFS!I36/SUM(HistoricalFS!I50:I51),0)</f>
        <v>0.236267870579383</v>
      </c>
      <c r="J22" s="33">
        <f>IFERROR(HistoricalFS!J36/SUM(HistoricalFS!J50:J51),0)</f>
        <v>0.27626360644671338</v>
      </c>
      <c r="K22" s="33">
        <f>IFERROR(HistoricalFS!K36/SUM(HistoricalFS!K50:K51),0)</f>
        <v>0.37219205791546894</v>
      </c>
      <c r="L22" s="33">
        <f>IFERROR(HistoricalFS!L36/SUM(HistoricalFS!L50:L51),0)</f>
        <v>0.28707845836200963</v>
      </c>
      <c r="M22" s="131"/>
      <c r="N22" s="33">
        <f t="shared" si="2"/>
        <v>0.23285437823026775</v>
      </c>
      <c r="O22" s="33">
        <f t="shared" si="1"/>
        <v>0.22631932204616836</v>
      </c>
    </row>
    <row r="23" spans="2:15">
      <c r="B23" s="131" t="s">
        <v>279</v>
      </c>
      <c r="C23" s="33">
        <f>C22*C21</f>
        <v>0.13723946746979637</v>
      </c>
      <c r="D23" s="33">
        <f t="shared" ref="D23:L23" si="3">D22*D21</f>
        <v>0.1102098582830463</v>
      </c>
      <c r="E23" s="33">
        <f t="shared" si="3"/>
        <v>0.15108214731977987</v>
      </c>
      <c r="F23" s="33">
        <f t="shared" si="3"/>
        <v>0.15563865802327795</v>
      </c>
      <c r="G23" s="33">
        <f t="shared" si="3"/>
        <v>0.17049032838506523</v>
      </c>
      <c r="H23" s="33">
        <f t="shared" si="3"/>
        <v>8.2432973189275713E-2</v>
      </c>
      <c r="I23" s="33">
        <f t="shared" si="3"/>
        <v>0.16451682253036656</v>
      </c>
      <c r="J23" s="33">
        <f t="shared" si="3"/>
        <v>0.20116445869546873</v>
      </c>
      <c r="K23" s="33">
        <f t="shared" si="3"/>
        <v>0.26796550622804211</v>
      </c>
      <c r="L23" s="33">
        <f t="shared" si="3"/>
        <v>0.20285615966964898</v>
      </c>
      <c r="M23" s="131"/>
      <c r="N23" s="33">
        <f t="shared" si="2"/>
        <v>0.1643596379793768</v>
      </c>
      <c r="O23" s="33">
        <f t="shared" si="1"/>
        <v>0.16007774027682226</v>
      </c>
    </row>
    <row r="24" spans="2:15">
      <c r="B24" s="149" t="s">
        <v>280</v>
      </c>
      <c r="C24" s="153">
        <f>IFERROR(SUM(HistoricalFS!C30,HistoricalFS!C24)/HistoricalFS!C24,0)</f>
        <v>21.493626062322893</v>
      </c>
      <c r="D24" s="153">
        <f>IFERROR(SUM(HistoricalFS!D30,HistoricalFS!D24)/HistoricalFS!D24,0)</f>
        <v>26.788288288288275</v>
      </c>
      <c r="E24" s="153">
        <f>IFERROR(SUM(HistoricalFS!E30,HistoricalFS!E24)/HistoricalFS!E24,0)</f>
        <v>29.90740740740743</v>
      </c>
      <c r="F24" s="153">
        <f>IFERROR(SUM(HistoricalFS!F30,HistoricalFS!F24)/HistoricalFS!F24,0)</f>
        <v>38.245717548534465</v>
      </c>
      <c r="G24" s="153">
        <f>IFERROR(SUM(HistoricalFS!G30,HistoricalFS!G24)/HistoricalFS!G24,0)</f>
        <v>13.662650602409638</v>
      </c>
      <c r="H24" s="153">
        <f>IFERROR(SUM(HistoricalFS!H30,HistoricalFS!H24)/HistoricalFS!H24,0)</f>
        <v>7.5369458128078817</v>
      </c>
      <c r="I24" s="153">
        <f>IFERROR(SUM(HistoricalFS!I30,HistoricalFS!I24)/HistoricalFS!I24,0)</f>
        <v>14.321100917431192</v>
      </c>
      <c r="J24" s="153">
        <f>IFERROR(SUM(HistoricalFS!J30,HistoricalFS!J24)/HistoricalFS!J24,0)</f>
        <v>15.823333333333334</v>
      </c>
      <c r="K24" s="153">
        <f>IFERROR(SUM(HistoricalFS!K30,HistoricalFS!K24)/HistoricalFS!K24,0)</f>
        <v>8.4684975767366719</v>
      </c>
      <c r="L24" s="153">
        <f>IFERROR(SUM(HistoricalFS!L30,HistoricalFS!L24)/HistoricalFS!L24,0)</f>
        <v>5.7586568730325292</v>
      </c>
      <c r="M24" s="149"/>
      <c r="N24" s="153">
        <f t="shared" si="2"/>
        <v>18.200622442230426</v>
      </c>
      <c r="O24" s="153">
        <f t="shared" si="1"/>
        <v>15.072217125382263</v>
      </c>
    </row>
    <row r="26" spans="2:15">
      <c r="B26" s="27" t="s">
        <v>281</v>
      </c>
      <c r="C26" s="154">
        <f>IFERROR(HistoricalFS!C6/HistoricalFS!C50,0)</f>
        <v>127.00934895246677</v>
      </c>
      <c r="D26" s="154">
        <f>IFERROR(HistoricalFS!D6/HistoricalFS!D50,0)</f>
        <v>149.36731245776076</v>
      </c>
      <c r="E26" s="154">
        <f>IFERROR(HistoricalFS!E6/HistoricalFS!E50,0)</f>
        <v>181.56983554854696</v>
      </c>
      <c r="F26" s="154">
        <f>IFERROR(HistoricalFS!F6/HistoricalFS!F50,0)</f>
        <v>222.78125703987385</v>
      </c>
      <c r="G26" s="154">
        <f>IFERROR(HistoricalFS!G6/HistoricalFS!G50,0)</f>
        <v>236.53932584269663</v>
      </c>
      <c r="H26" s="154">
        <f>IFERROR(HistoricalFS!H6/HistoricalFS!H50,0)</f>
        <v>243.19101123595505</v>
      </c>
      <c r="I26" s="154">
        <f>IFERROR(HistoricalFS!I6/HistoricalFS!I50,0)</f>
        <v>323.58426966292137</v>
      </c>
      <c r="J26" s="154">
        <f>IFERROR(HistoricalFS!J6/HistoricalFS!J50,0)</f>
        <v>455.89887640449439</v>
      </c>
      <c r="K26" s="154">
        <f>IFERROR(HistoricalFS!K6/HistoricalFS!K50,0)</f>
        <v>573.97752808988764</v>
      </c>
      <c r="L26" s="154">
        <f>IFERROR(HistoricalFS!L6/HistoricalFS!L50,0)</f>
        <v>679.28089887640454</v>
      </c>
      <c r="M26" s="27"/>
      <c r="N26" s="154">
        <f t="shared" si="2"/>
        <v>319.31996641110078</v>
      </c>
      <c r="O26" s="154">
        <f t="shared" si="1"/>
        <v>239.86516853932585</v>
      </c>
    </row>
    <row r="27" spans="2:15">
      <c r="B27" s="131" t="s">
        <v>282</v>
      </c>
      <c r="C27" s="155">
        <f>IFERROR(HistoricalFS!C6/HistoricalFS!C53,0)</f>
        <v>4.1416193463552951</v>
      </c>
      <c r="D27" s="155">
        <f>IFERROR(HistoricalFS!D6/HistoricalFS!D53,0)</f>
        <v>5.7837846089429332</v>
      </c>
      <c r="E27" s="155">
        <f>IFERROR(HistoricalFS!E6/HistoricalFS!E53,0)</f>
        <v>5.8828056858201192</v>
      </c>
      <c r="F27" s="155">
        <f>IFERROR(HistoricalFS!F6/HistoricalFS!F53,0)</f>
        <v>6.0918653036458448</v>
      </c>
      <c r="G27" s="155">
        <f>IFERROR(HistoricalFS!G6/HistoricalFS!G53,0)</f>
        <v>6.3543616057953516</v>
      </c>
      <c r="H27" s="155">
        <f>IFERROR(HistoricalFS!H6/HistoricalFS!H53,0)</f>
        <v>6.540948927168329</v>
      </c>
      <c r="I27" s="155">
        <f>IFERROR(HistoricalFS!I6/HistoricalFS!I53,0)</f>
        <v>6.2470715835141002</v>
      </c>
      <c r="J27" s="155">
        <f>IFERROR(HistoricalFS!J6/HistoricalFS!J53,0)</f>
        <v>6.9932781799379526</v>
      </c>
      <c r="K27" s="155">
        <f>IFERROR(HistoricalFS!K6/HistoricalFS!K53,0)</f>
        <v>7.7096287352852402</v>
      </c>
      <c r="L27" s="155">
        <f>IFERROR(HistoricalFS!L6/HistoricalFS!L53,0)</f>
        <v>7.333333333333333</v>
      </c>
      <c r="M27" s="131"/>
      <c r="N27" s="155">
        <f t="shared" si="2"/>
        <v>6.3078697309798502</v>
      </c>
      <c r="O27" s="155">
        <f t="shared" si="1"/>
        <v>6.3007165946547259</v>
      </c>
    </row>
    <row r="28" spans="2:15">
      <c r="B28" s="131" t="s">
        <v>283</v>
      </c>
      <c r="C28" s="155">
        <f>IFERROR(HistoricalFS!C6/HistoricalFS!C63,0)</f>
        <v>2.5355317450502008</v>
      </c>
      <c r="D28" s="155">
        <f>IFERROR(HistoricalFS!D6/HistoricalFS!D63,0)</f>
        <v>2.6921498089627143</v>
      </c>
      <c r="E28" s="155">
        <f>IFERROR(HistoricalFS!E6/HistoricalFS!E63,0)</f>
        <v>2.7207097575630734</v>
      </c>
      <c r="F28" s="155">
        <f>IFERROR(HistoricalFS!F6/HistoricalFS!F63,0)</f>
        <v>2.8099198445193942</v>
      </c>
      <c r="G28" s="155">
        <f>IFERROR(HistoricalFS!G6/HistoricalFS!G63,0)</f>
        <v>2.59805010489942</v>
      </c>
      <c r="H28" s="155">
        <f>IFERROR(HistoricalFS!H6/HistoricalFS!H63,0)</f>
        <v>2.5742150333016176</v>
      </c>
      <c r="I28" s="155">
        <f>IFERROR(HistoricalFS!I6/HistoricalFS!I63,0)</f>
        <v>2.1161731207289294</v>
      </c>
      <c r="J28" s="155">
        <f>IFERROR(HistoricalFS!J6/HistoricalFS!J63,0)</f>
        <v>2.4466353111432708</v>
      </c>
      <c r="K28" s="155">
        <f>IFERROR(HistoricalFS!K6/HistoricalFS!K63,0)</f>
        <v>2.6814340454569314</v>
      </c>
      <c r="L28" s="155">
        <f>IFERROR(HistoricalFS!L6/HistoricalFS!L63,0)</f>
        <v>2.1450468350837353</v>
      </c>
      <c r="M28" s="131"/>
      <c r="N28" s="155">
        <f t="shared" si="2"/>
        <v>2.5319865606709291</v>
      </c>
      <c r="O28" s="155">
        <f t="shared" si="1"/>
        <v>2.5861325691005188</v>
      </c>
    </row>
    <row r="29" spans="2:15">
      <c r="B29" s="131" t="s">
        <v>284</v>
      </c>
      <c r="C29" s="155">
        <f>IFERROR(HistoricalFS!C6/HistoricalFS!C56,0)</f>
        <v>14.633750356892568</v>
      </c>
      <c r="D29" s="155">
        <f>IFERROR(HistoricalFS!D6/HistoricalFS!D56,0)</f>
        <v>11.155553873073558</v>
      </c>
      <c r="E29" s="155">
        <f>IFERROR(HistoricalFS!E6/HistoricalFS!E56,0)</f>
        <v>10.93748176494935</v>
      </c>
      <c r="F29" s="155">
        <f>IFERROR(HistoricalFS!F6/HistoricalFS!F56,0)</f>
        <v>12.624882710020872</v>
      </c>
      <c r="G29" s="155">
        <f>IFERROR(HistoricalFS!G6/HistoricalFS!G56,0)</f>
        <v>7.995442461071022</v>
      </c>
      <c r="H29" s="155">
        <f>IFERROR(HistoricalFS!H6/HistoricalFS!H56,0)</f>
        <v>8.5786761791518042</v>
      </c>
      <c r="I29" s="155">
        <f>IFERROR(HistoricalFS!I6/HistoricalFS!I56,0)</f>
        <v>11.320361635220126</v>
      </c>
      <c r="J29" s="155">
        <f>IFERROR(HistoricalFS!J6/HistoricalFS!J56,0)</f>
        <v>13.534022681787858</v>
      </c>
      <c r="K29" s="155">
        <f>IFERROR(HistoricalFS!K6/HistoricalFS!K56,0)</f>
        <v>13.772984631976273</v>
      </c>
      <c r="L29" s="155">
        <f>IFERROR(HistoricalFS!L6/HistoricalFS!L56,0)</f>
        <v>14.883308714918758</v>
      </c>
      <c r="M29" s="131"/>
      <c r="N29" s="155">
        <f t="shared" si="2"/>
        <v>11.943646500906217</v>
      </c>
      <c r="O29" s="155">
        <f t="shared" si="1"/>
        <v>11.972622172620499</v>
      </c>
    </row>
    <row r="30" spans="2:15">
      <c r="B30" s="149" t="s">
        <v>285</v>
      </c>
      <c r="C30" s="153">
        <f>IFERROR(HistoricalFS!C6/SUM(HistoricalFS!C50:C51),0)</f>
        <v>3.2159125911222146</v>
      </c>
      <c r="D30" s="153">
        <f>IFERROR(HistoricalFS!D6/SUM(HistoricalFS!D50:D51),0)</f>
        <v>3.1331851109777475</v>
      </c>
      <c r="E30" s="153">
        <f>IFERROR(HistoricalFS!E6/SUM(HistoricalFS!E50:E51),0)</f>
        <v>3.1670235840530623</v>
      </c>
      <c r="F30" s="153">
        <f>IFERROR(HistoricalFS!F6/SUM(HistoricalFS!F50:F51),0)</f>
        <v>3.2583247530950636</v>
      </c>
      <c r="G30" s="153">
        <f>IFERROR(HistoricalFS!G6/SUM(HistoricalFS!G50:G51),0)</f>
        <v>3.1566951566951569</v>
      </c>
      <c r="H30" s="153">
        <f>IFERROR(HistoricalFS!H6/SUM(HistoricalFS!H50:H51),0)</f>
        <v>2.8870214752567693</v>
      </c>
      <c r="I30" s="153">
        <f>IFERROR(HistoricalFS!I6/SUM(HistoricalFS!I50:I51),0)</f>
        <v>3.0956680640653551</v>
      </c>
      <c r="J30" s="153">
        <f>IFERROR(HistoricalFS!J6/SUM(HistoricalFS!J50:J51),0)</f>
        <v>3.4237617078727531</v>
      </c>
      <c r="K30" s="153">
        <f>IFERROR(HistoricalFS!K6/SUM(HistoricalFS!K50:K51),0)</f>
        <v>5.4385180453529225</v>
      </c>
      <c r="L30" s="153">
        <f>IFERROR(HistoricalFS!L6/SUM(HistoricalFS!L50:L51),0)</f>
        <v>5.2009635237439777</v>
      </c>
      <c r="M30" s="149"/>
      <c r="N30" s="153">
        <f t="shared" si="2"/>
        <v>3.5977074012235022</v>
      </c>
      <c r="O30" s="153">
        <f t="shared" si="1"/>
        <v>3.1914680875876384</v>
      </c>
    </row>
    <row r="31" spans="2:15">
      <c r="N31" s="131"/>
      <c r="O31" s="131"/>
    </row>
    <row r="32" spans="2:15">
      <c r="B32" s="148" t="s">
        <v>290</v>
      </c>
      <c r="N32" s="131"/>
      <c r="O32" s="131"/>
    </row>
    <row r="33" spans="2:15">
      <c r="B33" s="27" t="s">
        <v>286</v>
      </c>
      <c r="C33" s="156">
        <v>6</v>
      </c>
      <c r="D33" s="156">
        <v>6</v>
      </c>
      <c r="E33" s="156">
        <v>7</v>
      </c>
      <c r="F33" s="156">
        <v>8</v>
      </c>
      <c r="G33" s="156">
        <v>5</v>
      </c>
      <c r="H33" s="156">
        <v>6</v>
      </c>
      <c r="I33" s="156">
        <v>7</v>
      </c>
      <c r="J33" s="156">
        <v>6</v>
      </c>
      <c r="K33" s="156">
        <v>7</v>
      </c>
      <c r="L33" s="156">
        <v>6</v>
      </c>
      <c r="M33" s="27"/>
      <c r="N33" s="156">
        <f t="shared" si="2"/>
        <v>6.4</v>
      </c>
      <c r="O33" s="156">
        <f t="shared" si="1"/>
        <v>6</v>
      </c>
    </row>
    <row r="34" spans="2:15">
      <c r="B34" s="131" t="s">
        <v>288</v>
      </c>
      <c r="C34" s="157">
        <v>198</v>
      </c>
      <c r="D34" s="157">
        <v>189</v>
      </c>
      <c r="E34" s="157">
        <v>185</v>
      </c>
      <c r="F34" s="157">
        <v>178</v>
      </c>
      <c r="G34" s="157">
        <v>195</v>
      </c>
      <c r="H34" s="157">
        <v>187</v>
      </c>
      <c r="I34" s="157">
        <v>230</v>
      </c>
      <c r="J34" s="157">
        <v>199</v>
      </c>
      <c r="K34" s="157">
        <v>176</v>
      </c>
      <c r="L34" s="157">
        <v>217</v>
      </c>
      <c r="M34" s="131"/>
      <c r="N34" s="157">
        <f t="shared" si="2"/>
        <v>195.4</v>
      </c>
      <c r="O34" s="157">
        <f t="shared" si="1"/>
        <v>192</v>
      </c>
    </row>
    <row r="35" spans="2:15">
      <c r="B35" s="131" t="s">
        <v>287</v>
      </c>
      <c r="C35" s="157">
        <v>74</v>
      </c>
      <c r="D35" s="157">
        <v>30</v>
      </c>
      <c r="E35" s="157">
        <v>27</v>
      </c>
      <c r="F35" s="157">
        <v>23</v>
      </c>
      <c r="G35" s="157">
        <v>14</v>
      </c>
      <c r="H35" s="157">
        <v>18</v>
      </c>
      <c r="I35" s="157">
        <v>22</v>
      </c>
      <c r="J35" s="157">
        <v>15</v>
      </c>
      <c r="K35" s="157">
        <v>13</v>
      </c>
      <c r="L35" s="157">
        <v>15</v>
      </c>
      <c r="M35" s="131"/>
      <c r="N35" s="157">
        <f t="shared" si="2"/>
        <v>25.1</v>
      </c>
      <c r="O35" s="157">
        <f t="shared" si="1"/>
        <v>20</v>
      </c>
    </row>
    <row r="36" spans="2:15">
      <c r="B36" s="149" t="s">
        <v>289</v>
      </c>
      <c r="C36" s="158">
        <v>131</v>
      </c>
      <c r="D36" s="158">
        <v>165</v>
      </c>
      <c r="E36" s="158">
        <v>164</v>
      </c>
      <c r="F36" s="158">
        <v>163</v>
      </c>
      <c r="G36" s="158">
        <v>186</v>
      </c>
      <c r="H36" s="158">
        <v>176</v>
      </c>
      <c r="I36" s="158">
        <v>215</v>
      </c>
      <c r="J36" s="158">
        <v>191</v>
      </c>
      <c r="K36" s="158">
        <v>171</v>
      </c>
      <c r="L36" s="158">
        <v>208</v>
      </c>
      <c r="M36" s="149"/>
      <c r="N36" s="158">
        <f t="shared" si="2"/>
        <v>177</v>
      </c>
      <c r="O36" s="158">
        <f t="shared" si="1"/>
        <v>173.5</v>
      </c>
    </row>
    <row r="37" spans="2:15">
      <c r="N37" s="131"/>
      <c r="O37" s="131"/>
    </row>
    <row r="38" spans="2:15">
      <c r="B38" s="27" t="s">
        <v>291</v>
      </c>
      <c r="C38" s="28">
        <f>IFERROR(HistoricalFS!C73/HistoricalFS!C6,0)</f>
        <v>5.1090423904454556E-2</v>
      </c>
      <c r="D38" s="28">
        <f>IFERROR(HistoricalFS!D73/HistoricalFS!D6,0)</f>
        <v>0.12912464755222713</v>
      </c>
      <c r="E38" s="28">
        <f>IFERROR(HistoricalFS!E73/HistoricalFS!E6,0)</f>
        <v>-3.1712611284156035E-3</v>
      </c>
      <c r="F38" s="28">
        <f>IFERROR(HistoricalFS!F73/HistoricalFS!F6,0)</f>
        <v>6.2841911326024402E-2</v>
      </c>
      <c r="G38" s="28">
        <f>IFERROR(HistoricalFS!G73/HistoricalFS!G6,0)</f>
        <v>-1.6530495914877447E-2</v>
      </c>
      <c r="H38" s="28">
        <f>IFERROR(HistoricalFS!H73/HistoricalFS!H6,0)</f>
        <v>0.19123082609499167</v>
      </c>
      <c r="I38" s="28">
        <f>IFERROR(HistoricalFS!I73/HistoricalFS!I6,0)</f>
        <v>-2.5139761797284627E-2</v>
      </c>
      <c r="J38" s="28">
        <f>IFERROR(HistoricalFS!J73/HistoricalFS!J6,0)</f>
        <v>3.3764633394947625E-2</v>
      </c>
      <c r="K38" s="28">
        <f>IFERROR(HistoricalFS!K73/HistoricalFS!K6,0)</f>
        <v>3.3180643645759927E-2</v>
      </c>
      <c r="L38" s="28">
        <f>IFERROR(HistoricalFS!L73/HistoricalFS!L6,0)</f>
        <v>-8.9486568744210661E-3</v>
      </c>
      <c r="M38" s="27"/>
      <c r="N38" s="28">
        <f t="shared" si="2"/>
        <v>4.4744291020340658E-2</v>
      </c>
      <c r="O38" s="28">
        <f t="shared" si="1"/>
        <v>3.3472638520353773E-2</v>
      </c>
    </row>
    <row r="39" spans="2:15">
      <c r="B39" s="131" t="s">
        <v>292</v>
      </c>
      <c r="C39" s="33">
        <f>IFERROR(HistoricalFS!C73/HistoricalFS!C67,0)</f>
        <v>9.0838564407252714E-2</v>
      </c>
      <c r="D39" s="33">
        <f>IFERROR(HistoricalFS!D73/HistoricalFS!D67,0)</f>
        <v>0.20366170011073353</v>
      </c>
      <c r="E39" s="33">
        <f>IFERROR(HistoricalFS!E73/HistoricalFS!E67,0)</f>
        <v>-5.3691613521211958E-3</v>
      </c>
      <c r="F39" s="33">
        <f>IFERROR(HistoricalFS!F73/HistoricalFS!F67,0)</f>
        <v>0.10614320947169219</v>
      </c>
      <c r="G39" s="33">
        <f>IFERROR(HistoricalFS!G73/HistoricalFS!G67,0)</f>
        <v>-2.5694034258712344E-2</v>
      </c>
      <c r="H39" s="33">
        <f>IFERROR(HistoricalFS!H73/HistoricalFS!H67,0)</f>
        <v>0.25170274872293846</v>
      </c>
      <c r="I39" s="33">
        <f>IFERROR(HistoricalFS!I73/HistoricalFS!I67,0)</f>
        <v>-3.4170285067019066E-2</v>
      </c>
      <c r="J39" s="33">
        <f>IFERROR(HistoricalFS!J73/HistoricalFS!J67,0)</f>
        <v>5.0703182827535158E-2</v>
      </c>
      <c r="K39" s="33">
        <f>IFERROR(HistoricalFS!K73/HistoricalFS!K67,0)</f>
        <v>5.3729356198687669E-2</v>
      </c>
      <c r="L39" s="33">
        <f>IFERROR(HistoricalFS!L73/HistoricalFS!L67,0)</f>
        <v>-1.3310370279247139E-2</v>
      </c>
      <c r="M39" s="131"/>
      <c r="N39" s="33">
        <f t="shared" si="2"/>
        <v>6.7823491078174009E-2</v>
      </c>
      <c r="O39" s="33">
        <f t="shared" si="1"/>
        <v>5.221626951311141E-2</v>
      </c>
    </row>
    <row r="40" spans="2:15">
      <c r="B40" s="149" t="s">
        <v>293</v>
      </c>
      <c r="C40" s="150">
        <f>IFERROR(HistoricalFS!C73/HistoricalFS!C52,0)</f>
        <v>5.0958867757629376</v>
      </c>
      <c r="D40" s="150">
        <f>IFERROR(HistoricalFS!D73/HistoricalFS!D52,0)</f>
        <v>0.90962213734375241</v>
      </c>
      <c r="E40" s="150">
        <f>IFERROR(HistoricalFS!E73/HistoricalFS!E52,0)</f>
        <v>-3.0230453989036135E-2</v>
      </c>
      <c r="F40" s="150">
        <f>IFERROR(HistoricalFS!F73/HistoricalFS!F52,0)</f>
        <v>0.51940258589708233</v>
      </c>
      <c r="G40" s="150">
        <f>IFERROR(HistoricalFS!G73/HistoricalFS!G52,0)</f>
        <v>-9.7697922515440766E-2</v>
      </c>
      <c r="H40" s="150">
        <f>IFERROR(HistoricalFS!H73/HistoricalFS!H52,0)</f>
        <v>0.7341255764455481</v>
      </c>
      <c r="I40" s="150">
        <f>IFERROR(HistoricalFS!I73/HistoricalFS!I52,0)</f>
        <v>-9.9518900343642608E-2</v>
      </c>
      <c r="J40" s="150">
        <f>IFERROR(HistoricalFS!J73/HistoricalFS!J52,0)</f>
        <v>0.14625814027970535</v>
      </c>
      <c r="K40" s="150">
        <f>IFERROR(HistoricalFS!K73/HistoricalFS!K52,0)</f>
        <v>0.10915765069551778</v>
      </c>
      <c r="L40" s="150">
        <f>IFERROR(HistoricalFS!L73/HistoricalFS!L52,0)</f>
        <v>-2.6038407854839487E-2</v>
      </c>
      <c r="M40" s="149"/>
      <c r="N40" s="150">
        <f t="shared" si="2"/>
        <v>0.72609671817215837</v>
      </c>
      <c r="O40" s="150">
        <f t="shared" si="1"/>
        <v>0.12770789548761158</v>
      </c>
    </row>
  </sheetData>
  <mergeCells count="1">
    <mergeCell ref="B1:O1"/>
  </mergeCells>
  <pageMargins left="0.7" right="0.7" top="0.75" bottom="0.75" header="0.3" footer="0.3"/>
  <pageSetup scale="55"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41297A3-6E68-41B1-BCC3-61D9D77F2A9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 '!C10:L10</xm:f>
              <xm:sqref>M10</xm:sqref>
            </x14:sparkline>
            <x14:sparkline>
              <xm:f>'Ratio Analysis '!C11:L11</xm:f>
              <xm:sqref>M11</xm:sqref>
            </x14:sparkline>
            <x14:sparkline>
              <xm:f>'Ratio Analysis '!C12:L12</xm:f>
              <xm:sqref>M12</xm:sqref>
            </x14:sparkline>
            <x14:sparkline>
              <xm:f>'Ratio Analysis '!C13:L13</xm:f>
              <xm:sqref>M13</xm:sqref>
            </x14:sparkline>
            <x14:sparkline>
              <xm:f>'Ratio Analysis '!C14:L14</xm:f>
              <xm:sqref>M14</xm:sqref>
            </x14:sparkline>
            <x14:sparkline>
              <xm:f>'Ratio Analysis '!C15:L15</xm:f>
              <xm:sqref>M15</xm:sqref>
            </x14:sparkline>
            <x14:sparkline>
              <xm:f>'Ratio Analysis '!C16:L16</xm:f>
              <xm:sqref>M16</xm:sqref>
            </x14:sparkline>
            <x14:sparkline>
              <xm:f>'Ratio Analysis '!C17:L17</xm:f>
              <xm:sqref>M17</xm:sqref>
            </x14:sparkline>
            <x14:sparkline>
              <xm:f>'Ratio Analysis '!C18:L18</xm:f>
              <xm:sqref>M18</xm:sqref>
            </x14:sparkline>
            <x14:sparkline>
              <xm:f>'Ratio Analysis '!C19:L19</xm:f>
              <xm:sqref>M19</xm:sqref>
            </x14:sparkline>
            <x14:sparkline>
              <xm:f>'Ratio Analysis '!C20:L20</xm:f>
              <xm:sqref>M20</xm:sqref>
            </x14:sparkline>
            <x14:sparkline>
              <xm:f>'Ratio Analysis '!C21:L21</xm:f>
              <xm:sqref>M21</xm:sqref>
            </x14:sparkline>
            <x14:sparkline>
              <xm:f>'Ratio Analysis '!C22:L22</xm:f>
              <xm:sqref>M22</xm:sqref>
            </x14:sparkline>
            <x14:sparkline>
              <xm:f>'Ratio Analysis '!C23:L23</xm:f>
              <xm:sqref>M23</xm:sqref>
            </x14:sparkline>
            <x14:sparkline>
              <xm:f>'Ratio Analysis '!C24:L24</xm:f>
              <xm:sqref>M24</xm:sqref>
            </x14:sparkline>
            <x14:sparkline>
              <xm:f>'Ratio Analysis '!C25:L25</xm:f>
              <xm:sqref>M25</xm:sqref>
            </x14:sparkline>
            <x14:sparkline>
              <xm:f>'Ratio Analysis '!C26:L26</xm:f>
              <xm:sqref>M26</xm:sqref>
            </x14:sparkline>
            <x14:sparkline>
              <xm:f>'Ratio Analysis '!C27:L27</xm:f>
              <xm:sqref>M27</xm:sqref>
            </x14:sparkline>
            <x14:sparkline>
              <xm:f>'Ratio Analysis '!C28:L28</xm:f>
              <xm:sqref>M28</xm:sqref>
            </x14:sparkline>
            <x14:sparkline>
              <xm:f>'Ratio Analysis '!C29:L29</xm:f>
              <xm:sqref>M29</xm:sqref>
            </x14:sparkline>
            <x14:sparkline>
              <xm:f>'Ratio Analysis '!C30:L30</xm:f>
              <xm:sqref>M30</xm:sqref>
            </x14:sparkline>
            <x14:sparkline>
              <xm:f>'Ratio Analysis '!C31:L31</xm:f>
              <xm:sqref>M31</xm:sqref>
            </x14:sparkline>
            <x14:sparkline>
              <xm:f>'Ratio Analysis '!C32:L32</xm:f>
              <xm:sqref>M32</xm:sqref>
            </x14:sparkline>
            <x14:sparkline>
              <xm:f>'Ratio Analysis '!C33:L33</xm:f>
              <xm:sqref>M33</xm:sqref>
            </x14:sparkline>
            <x14:sparkline>
              <xm:f>'Ratio Analysis '!C34:L34</xm:f>
              <xm:sqref>M34</xm:sqref>
            </x14:sparkline>
            <x14:sparkline>
              <xm:f>'Ratio Analysis '!C35:L35</xm:f>
              <xm:sqref>M35</xm:sqref>
            </x14:sparkline>
            <x14:sparkline>
              <xm:f>'Ratio Analysis '!C36:L36</xm:f>
              <xm:sqref>M36</xm:sqref>
            </x14:sparkline>
            <x14:sparkline>
              <xm:f>'Ratio Analysis '!C37:L37</xm:f>
              <xm:sqref>M37</xm:sqref>
            </x14:sparkline>
            <x14:sparkline>
              <xm:f>'Ratio Analysis '!C38:L38</xm:f>
              <xm:sqref>M38</xm:sqref>
            </x14:sparkline>
            <x14:sparkline>
              <xm:f>'Ratio Analysis '!C39:L39</xm:f>
              <xm:sqref>M39</xm:sqref>
            </x14:sparkline>
            <x14:sparkline>
              <xm:f>'Ratio Analysis '!C40:L40</xm:f>
              <xm:sqref>M40</xm:sqref>
            </x14:sparkline>
          </x14:sparklines>
        </x14:sparklineGroup>
        <x14:sparklineGroup displayEmptyCellsAs="gap" xr2:uid="{71980A93-994D-47BD-B7BE-3380BCA1B6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 '!D4:L4</xm:f>
              <xm:sqref>M4</xm:sqref>
            </x14:sparkline>
            <x14:sparkline>
              <xm:f>'Ratio Analysis '!D5:L5</xm:f>
              <xm:sqref>M5</xm:sqref>
            </x14:sparkline>
            <x14:sparkline>
              <xm:f>'Ratio Analysis '!D6:L6</xm:f>
              <xm:sqref>M6</xm:sqref>
            </x14:sparkline>
            <x14:sparkline>
              <xm:f>'Ratio Analysis '!D7:L7</xm:f>
              <xm:sqref>M7</xm:sqref>
            </x14:sparkline>
            <x14:sparkline>
              <xm:f>'Ratio Analysis '!D8:L8</xm:f>
              <xm:sqref>M8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5D2E-251C-4D87-A92D-05E59C632417}">
  <dimension ref="A2:O79"/>
  <sheetViews>
    <sheetView showGridLines="0" zoomScale="90" zoomScaleNormal="90" workbookViewId="0">
      <pane ySplit="3" topLeftCell="A52" activePane="bottomLeft" state="frozen"/>
      <selection activeCell="C4" sqref="C4"/>
      <selection pane="bottomLeft" sqref="A1:M80"/>
    </sheetView>
  </sheetViews>
  <sheetFormatPr defaultRowHeight="14.4"/>
  <cols>
    <col min="1" max="1" width="1.88671875" customWidth="1"/>
    <col min="2" max="2" width="28.44140625" bestFit="1" customWidth="1"/>
    <col min="3" max="13" width="13" customWidth="1"/>
  </cols>
  <sheetData>
    <row r="2" spans="1:13">
      <c r="B2" s="123" t="str">
        <f>"Historical Financial Statement - "&amp;'Data Sheet'!B1</f>
        <v>Historical Financial Statement - TITAN COMPANY LTD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</row>
    <row r="3" spans="1:13">
      <c r="B3" s="45" t="s">
        <v>88</v>
      </c>
      <c r="C3" s="82">
        <f>'Data Sheet'!B16</f>
        <v>42460</v>
      </c>
      <c r="D3" s="82">
        <f>'Data Sheet'!C16</f>
        <v>42825</v>
      </c>
      <c r="E3" s="82">
        <f>'Data Sheet'!D16</f>
        <v>43190</v>
      </c>
      <c r="F3" s="82">
        <f>'Data Sheet'!E16</f>
        <v>43555</v>
      </c>
      <c r="G3" s="82">
        <f>'Data Sheet'!F16</f>
        <v>43921</v>
      </c>
      <c r="H3" s="82">
        <f>'Data Sheet'!G16</f>
        <v>44286</v>
      </c>
      <c r="I3" s="82">
        <f>'Data Sheet'!H16</f>
        <v>44651</v>
      </c>
      <c r="J3" s="82">
        <f>'Data Sheet'!I16</f>
        <v>45016</v>
      </c>
      <c r="K3" s="82">
        <f>'Data Sheet'!J16</f>
        <v>45382</v>
      </c>
      <c r="L3" s="82">
        <f>'Data Sheet'!K16</f>
        <v>45747</v>
      </c>
      <c r="M3" s="107" t="s">
        <v>89</v>
      </c>
    </row>
    <row r="4" spans="1:13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8"/>
    </row>
    <row r="5" spans="1:13">
      <c r="A5" t="s">
        <v>90</v>
      </c>
      <c r="B5" s="59" t="s">
        <v>91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B6" t="s">
        <v>92</v>
      </c>
      <c r="C6" s="60">
        <f>IFERROR('Data Sheet'!B17,0)</f>
        <v>11275.89</v>
      </c>
      <c r="D6" s="60">
        <f>IFERROR('Data Sheet'!C17,0)</f>
        <v>13260.83</v>
      </c>
      <c r="E6" s="60">
        <f>IFERROR('Data Sheet'!D17,0)</f>
        <v>16119.77</v>
      </c>
      <c r="F6" s="60">
        <f>IFERROR('Data Sheet'!E17,0)</f>
        <v>19778.52</v>
      </c>
      <c r="G6" s="60">
        <f>IFERROR('Data Sheet'!F17,0)</f>
        <v>21052</v>
      </c>
      <c r="H6" s="60">
        <f>IFERROR('Data Sheet'!G17,0)</f>
        <v>21644</v>
      </c>
      <c r="I6" s="60">
        <f>IFERROR('Data Sheet'!H17,0)</f>
        <v>28799</v>
      </c>
      <c r="J6" s="60">
        <f>IFERROR('Data Sheet'!I17,0)</f>
        <v>40575</v>
      </c>
      <c r="K6" s="60">
        <f>IFERROR('Data Sheet'!J17,0)</f>
        <v>51084</v>
      </c>
      <c r="L6" s="60">
        <f>IFERROR('Data Sheet'!K17,0)</f>
        <v>60456</v>
      </c>
      <c r="M6" s="60">
        <f>IFERROR(SUM('Data Sheet'!H42:K42),0)</f>
        <v>63713</v>
      </c>
    </row>
    <row r="7" spans="1:13">
      <c r="B7" s="61" t="s">
        <v>93</v>
      </c>
      <c r="C7" s="62" t="s">
        <v>94</v>
      </c>
      <c r="D7" s="63">
        <f>D6/C6-1</f>
        <v>0.17603399820324617</v>
      </c>
      <c r="E7" s="63">
        <f t="shared" ref="E7:M7" si="0">E6/D6-1</f>
        <v>0.21559283996552248</v>
      </c>
      <c r="F7" s="63">
        <f t="shared" si="0"/>
        <v>0.22697284142391605</v>
      </c>
      <c r="G7" s="63">
        <f t="shared" si="0"/>
        <v>6.4387021880302431E-2</v>
      </c>
      <c r="H7" s="63">
        <f t="shared" si="0"/>
        <v>2.8120843625308867E-2</v>
      </c>
      <c r="I7" s="63">
        <f t="shared" si="0"/>
        <v>0.33057660321567184</v>
      </c>
      <c r="J7" s="63">
        <f t="shared" si="0"/>
        <v>0.40890308691274013</v>
      </c>
      <c r="K7" s="63">
        <f t="shared" si="0"/>
        <v>0.25900184842883545</v>
      </c>
      <c r="L7" s="63">
        <f t="shared" si="0"/>
        <v>0.18346253229974163</v>
      </c>
      <c r="M7" s="63">
        <f t="shared" si="0"/>
        <v>5.3873891755987779E-2</v>
      </c>
    </row>
    <row r="9" spans="1:13">
      <c r="B9" t="s">
        <v>95</v>
      </c>
      <c r="C9" s="60">
        <f>IFERROR(SUM('Data Sheet'!B18,'Data Sheet'!B20:B22)-1*'Data Sheet'!B19,0)</f>
        <v>9183.3300000000017</v>
      </c>
      <c r="D9" s="60">
        <f>IFERROR(SUM('Data Sheet'!C18,'Data Sheet'!C20:C22)-1*'Data Sheet'!C19,0)</f>
        <v>10606.01</v>
      </c>
      <c r="E9" s="60">
        <f>IFERROR(SUM('Data Sheet'!D18,'Data Sheet'!D20:D22)-1*'Data Sheet'!D19,0)</f>
        <v>12762.63</v>
      </c>
      <c r="F9" s="60">
        <f>IFERROR(SUM('Data Sheet'!E18,'Data Sheet'!E20:E22)-1*'Data Sheet'!E19,0)</f>
        <v>15660.48</v>
      </c>
      <c r="G9" s="60">
        <f>IFERROR(SUM('Data Sheet'!F18,'Data Sheet'!F20:F22)-1*'Data Sheet'!F19,0)</f>
        <v>16626</v>
      </c>
      <c r="H9" s="60">
        <f>IFERROR(SUM('Data Sheet'!G18,'Data Sheet'!G20:G22)-1*'Data Sheet'!G19,0)</f>
        <v>17661</v>
      </c>
      <c r="I9" s="60">
        <f>IFERROR(SUM('Data Sheet'!H18,'Data Sheet'!H20:H22)-1*'Data Sheet'!H19,0)</f>
        <v>23225</v>
      </c>
      <c r="J9" s="60">
        <f>IFERROR(SUM('Data Sheet'!I18,'Data Sheet'!I20:I22)-1*'Data Sheet'!I19,0)</f>
        <v>32295</v>
      </c>
      <c r="K9" s="60">
        <f>IFERROR(SUM('Data Sheet'!J18,'Data Sheet'!J20:J22)-1*'Data Sheet'!J19,0)</f>
        <v>41664</v>
      </c>
      <c r="L9" s="60">
        <f>IFERROR(SUM('Data Sheet'!K18,'Data Sheet'!K20:K22)-1*'Data Sheet'!K19,0)</f>
        <v>50024</v>
      </c>
      <c r="M9" s="60">
        <f>IFERROR(SUM('Data Sheet'!H43:K43),0)</f>
        <v>57436</v>
      </c>
    </row>
    <row r="10" spans="1:13">
      <c r="B10" s="61" t="s">
        <v>96</v>
      </c>
      <c r="C10" s="63">
        <f>C9/C6</f>
        <v>0.81442174409292767</v>
      </c>
      <c r="D10" s="63">
        <f t="shared" ref="D10:M10" si="1">D9/D6</f>
        <v>0.79979986169794803</v>
      </c>
      <c r="E10" s="63">
        <f t="shared" si="1"/>
        <v>0.79173772330498504</v>
      </c>
      <c r="F10" s="63">
        <f t="shared" si="1"/>
        <v>0.79179230801900236</v>
      </c>
      <c r="G10" s="63">
        <f t="shared" si="1"/>
        <v>0.78975869276078281</v>
      </c>
      <c r="H10" s="63">
        <f t="shared" si="1"/>
        <v>0.81597671410090555</v>
      </c>
      <c r="I10" s="63">
        <f t="shared" si="1"/>
        <v>0.80645161290322576</v>
      </c>
      <c r="J10" s="63">
        <f t="shared" si="1"/>
        <v>0.79593345656192238</v>
      </c>
      <c r="K10" s="63">
        <f t="shared" si="1"/>
        <v>0.81559783885365278</v>
      </c>
      <c r="L10" s="63">
        <f t="shared" si="1"/>
        <v>0.82744475320894539</v>
      </c>
      <c r="M10" s="63">
        <f t="shared" si="1"/>
        <v>0.90148007471002778</v>
      </c>
    </row>
    <row r="12" spans="1:13">
      <c r="B12" s="64" t="s">
        <v>97</v>
      </c>
      <c r="C12" s="65">
        <f>C6-C9</f>
        <v>2092.5599999999977</v>
      </c>
      <c r="D12" s="65">
        <f t="shared" ref="D12:M12" si="2">D6-D9</f>
        <v>2654.8199999999997</v>
      </c>
      <c r="E12" s="65">
        <f t="shared" si="2"/>
        <v>3357.1400000000012</v>
      </c>
      <c r="F12" s="65">
        <f t="shared" si="2"/>
        <v>4118.0400000000009</v>
      </c>
      <c r="G12" s="65">
        <f t="shared" si="2"/>
        <v>4426</v>
      </c>
      <c r="H12" s="65">
        <f t="shared" si="2"/>
        <v>3983</v>
      </c>
      <c r="I12" s="65">
        <f t="shared" si="2"/>
        <v>5574</v>
      </c>
      <c r="J12" s="65">
        <f t="shared" si="2"/>
        <v>8280</v>
      </c>
      <c r="K12" s="65">
        <f t="shared" si="2"/>
        <v>9420</v>
      </c>
      <c r="L12" s="65">
        <f t="shared" si="2"/>
        <v>10432</v>
      </c>
      <c r="M12" s="65">
        <f t="shared" si="2"/>
        <v>6277</v>
      </c>
    </row>
    <row r="13" spans="1:13">
      <c r="B13" s="61" t="s">
        <v>98</v>
      </c>
      <c r="C13" s="63">
        <f>C12/C6</f>
        <v>0.18557825590707233</v>
      </c>
      <c r="D13" s="63">
        <f t="shared" ref="D13:M13" si="3">D12/D6</f>
        <v>0.20020013830205197</v>
      </c>
      <c r="E13" s="63">
        <f t="shared" si="3"/>
        <v>0.20826227669501496</v>
      </c>
      <c r="F13" s="63">
        <f t="shared" si="3"/>
        <v>0.20820769198099762</v>
      </c>
      <c r="G13" s="63">
        <f t="shared" si="3"/>
        <v>0.21024130723921719</v>
      </c>
      <c r="H13" s="63">
        <f t="shared" si="3"/>
        <v>0.18402328589909445</v>
      </c>
      <c r="I13" s="63">
        <f t="shared" si="3"/>
        <v>0.19354838709677419</v>
      </c>
      <c r="J13" s="63">
        <f t="shared" si="3"/>
        <v>0.20406654343807765</v>
      </c>
      <c r="K13" s="63">
        <f t="shared" si="3"/>
        <v>0.18440216114634719</v>
      </c>
      <c r="L13" s="63">
        <f t="shared" si="3"/>
        <v>0.17255524679105466</v>
      </c>
      <c r="M13" s="63">
        <f t="shared" si="3"/>
        <v>9.8519925289972221E-2</v>
      </c>
    </row>
    <row r="15" spans="1:13">
      <c r="B15" t="s">
        <v>99</v>
      </c>
      <c r="C15" s="66">
        <f>IFERROR(SUM('Data Sheet'!B23:B24),0)</f>
        <v>1153.23</v>
      </c>
      <c r="D15" s="66">
        <f>IFERROR(SUM('Data Sheet'!C23:C24),0)</f>
        <v>1490.92</v>
      </c>
      <c r="E15" s="66">
        <f>IFERROR(SUM('Data Sheet'!D23:D24),0)</f>
        <v>1712.94</v>
      </c>
      <c r="F15" s="66">
        <f>IFERROR(SUM('Data Sheet'!E23:E24),0)</f>
        <v>2124.25</v>
      </c>
      <c r="G15" s="66">
        <f>IFERROR(SUM('Data Sheet'!F23:F24),0)</f>
        <v>1963</v>
      </c>
      <c r="H15" s="66">
        <f>IFERROR(SUM('Data Sheet'!G23:G24),0)</f>
        <v>2258</v>
      </c>
      <c r="I15" s="66">
        <f>IFERROR(SUM('Data Sheet'!H23:H24),0)</f>
        <v>2230</v>
      </c>
      <c r="J15" s="66">
        <f>IFERROR(SUM('Data Sheet'!I23:I24),0)</f>
        <v>3398</v>
      </c>
      <c r="K15" s="66">
        <f>IFERROR(SUM('Data Sheet'!J23:J24),0)</f>
        <v>4128</v>
      </c>
      <c r="L15" s="66">
        <f>IFERROR(SUM('Data Sheet'!K23:K24),0)</f>
        <v>4738</v>
      </c>
      <c r="M15" s="66"/>
    </row>
    <row r="16" spans="1:13">
      <c r="B16" s="61" t="s">
        <v>100</v>
      </c>
      <c r="C16" s="63">
        <f>C15/C6</f>
        <v>0.10227396684430232</v>
      </c>
      <c r="D16" s="63">
        <f t="shared" ref="D16:M16" si="4">D15/D6</f>
        <v>0.11243036823486917</v>
      </c>
      <c r="E16" s="63">
        <f t="shared" si="4"/>
        <v>0.10626330276424539</v>
      </c>
      <c r="F16" s="63">
        <f t="shared" si="4"/>
        <v>0.10740186828943722</v>
      </c>
      <c r="G16" s="63">
        <f t="shared" si="4"/>
        <v>9.3245297358920773E-2</v>
      </c>
      <c r="H16" s="63">
        <f t="shared" si="4"/>
        <v>0.10432452411753834</v>
      </c>
      <c r="I16" s="63">
        <f t="shared" si="4"/>
        <v>7.7433244209868399E-2</v>
      </c>
      <c r="J16" s="63">
        <f t="shared" si="4"/>
        <v>8.3746149106592727E-2</v>
      </c>
      <c r="K16" s="63">
        <f t="shared" si="4"/>
        <v>8.0808080808080815E-2</v>
      </c>
      <c r="L16" s="63">
        <f t="shared" si="4"/>
        <v>7.8371046711658066E-2</v>
      </c>
      <c r="M16" s="63">
        <f t="shared" si="4"/>
        <v>0</v>
      </c>
    </row>
    <row r="18" spans="2:15">
      <c r="B18" s="64" t="s">
        <v>101</v>
      </c>
      <c r="C18" s="65">
        <f t="shared" ref="C18:L18" si="5">C12-C15</f>
        <v>939.32999999999765</v>
      </c>
      <c r="D18" s="65">
        <f t="shared" si="5"/>
        <v>1163.8999999999996</v>
      </c>
      <c r="E18" s="65">
        <f t="shared" si="5"/>
        <v>1644.2000000000012</v>
      </c>
      <c r="F18" s="65">
        <f t="shared" si="5"/>
        <v>1993.7900000000009</v>
      </c>
      <c r="G18" s="65">
        <f t="shared" si="5"/>
        <v>2463</v>
      </c>
      <c r="H18" s="65">
        <f t="shared" si="5"/>
        <v>1725</v>
      </c>
      <c r="I18" s="65">
        <f t="shared" si="5"/>
        <v>3344</v>
      </c>
      <c r="J18" s="65">
        <f t="shared" si="5"/>
        <v>4882</v>
      </c>
      <c r="K18" s="65">
        <f t="shared" si="5"/>
        <v>5292</v>
      </c>
      <c r="L18" s="65">
        <f t="shared" si="5"/>
        <v>5694</v>
      </c>
      <c r="M18" s="65">
        <f>IFERROR(SUM('Data Sheet'!H51:K51),0)</f>
        <v>6749</v>
      </c>
    </row>
    <row r="19" spans="2:15">
      <c r="B19" s="61" t="s">
        <v>102</v>
      </c>
      <c r="C19" s="63">
        <f>C18/C6</f>
        <v>8.3304289062770001E-2</v>
      </c>
      <c r="D19" s="63">
        <f t="shared" ref="D19:M19" si="6">D18/D6</f>
        <v>8.7769770067182798E-2</v>
      </c>
      <c r="E19" s="63">
        <f t="shared" si="6"/>
        <v>0.10199897393076955</v>
      </c>
      <c r="F19" s="63">
        <f t="shared" si="6"/>
        <v>0.10080582369156038</v>
      </c>
      <c r="G19" s="63">
        <f t="shared" si="6"/>
        <v>0.1169960098802964</v>
      </c>
      <c r="H19" s="63">
        <f t="shared" si="6"/>
        <v>7.9698761781556091E-2</v>
      </c>
      <c r="I19" s="63">
        <f t="shared" si="6"/>
        <v>0.11611514288690579</v>
      </c>
      <c r="J19" s="63">
        <f t="shared" si="6"/>
        <v>0.12032039433148491</v>
      </c>
      <c r="K19" s="63">
        <f t="shared" si="6"/>
        <v>0.10359408033826638</v>
      </c>
      <c r="L19" s="63">
        <f t="shared" si="6"/>
        <v>9.4184200079396582E-2</v>
      </c>
      <c r="M19" s="63">
        <f t="shared" si="6"/>
        <v>0.1059281465321049</v>
      </c>
    </row>
    <row r="20" spans="2:15">
      <c r="B20" s="61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</row>
    <row r="21" spans="2:15">
      <c r="B21" t="s">
        <v>261</v>
      </c>
      <c r="C21" s="66">
        <f>IFERROR('Data Sheet'!B25,0)</f>
        <v>69.33</v>
      </c>
      <c r="D21" s="66">
        <f>IFERROR('Data Sheet'!C25,0)</f>
        <v>-42.38</v>
      </c>
      <c r="E21" s="66">
        <f>IFERROR('Data Sheet'!D25,0)</f>
        <v>69.930000000000007</v>
      </c>
      <c r="F21" s="66">
        <f>IFERROR('Data Sheet'!E25,0)</f>
        <v>178.48</v>
      </c>
      <c r="G21" s="66">
        <f>IFERROR('Data Sheet'!F25,0)</f>
        <v>153</v>
      </c>
      <c r="H21" s="66">
        <f>IFERROR('Data Sheet'!G25,0)</f>
        <v>180</v>
      </c>
      <c r="I21" s="66">
        <f>IFERROR('Data Sheet'!H25,0)</f>
        <v>177</v>
      </c>
      <c r="J21" s="66">
        <f>IFERROR('Data Sheet'!I25,0)</f>
        <v>306</v>
      </c>
      <c r="K21" s="66">
        <f>IFERROR('Data Sheet'!J25,0)</f>
        <v>534</v>
      </c>
      <c r="L21" s="66">
        <f>IFERROR('Data Sheet'!K25,0)</f>
        <v>487</v>
      </c>
      <c r="M21" s="66">
        <f>SUM('Data Sheet'!H44:K44)</f>
        <v>472</v>
      </c>
    </row>
    <row r="22" spans="2:15">
      <c r="B22" s="61" t="s">
        <v>262</v>
      </c>
      <c r="C22" s="63">
        <f>C21/C6</f>
        <v>6.1485168798205729E-3</v>
      </c>
      <c r="D22" s="63">
        <f t="shared" ref="D22:M22" si="7">D21/D6</f>
        <v>-3.1958783877027307E-3</v>
      </c>
      <c r="E22" s="63">
        <f t="shared" si="7"/>
        <v>4.3381512267234587E-3</v>
      </c>
      <c r="F22" s="63">
        <f t="shared" si="7"/>
        <v>9.0239310120271889E-3</v>
      </c>
      <c r="G22" s="63">
        <f t="shared" si="7"/>
        <v>7.2677180315409463E-3</v>
      </c>
      <c r="H22" s="63">
        <f t="shared" si="7"/>
        <v>8.3163925337275922E-3</v>
      </c>
      <c r="I22" s="63">
        <f t="shared" si="7"/>
        <v>6.1460467377339491E-3</v>
      </c>
      <c r="J22" s="63">
        <f t="shared" si="7"/>
        <v>7.5415896487985214E-3</v>
      </c>
      <c r="K22" s="63">
        <f t="shared" si="7"/>
        <v>1.0453370918487198E-2</v>
      </c>
      <c r="L22" s="63">
        <f t="shared" si="7"/>
        <v>8.0554452825195178E-3</v>
      </c>
      <c r="M22" s="63">
        <f t="shared" si="7"/>
        <v>7.4082212421326885E-3</v>
      </c>
    </row>
    <row r="24" spans="2:15">
      <c r="B24" t="s">
        <v>103</v>
      </c>
      <c r="C24" s="66">
        <f>IFERROR('Data Sheet'!B27,0)</f>
        <v>42.36</v>
      </c>
      <c r="D24" s="66">
        <f>IFERROR('Data Sheet'!C27,0)</f>
        <v>37.74</v>
      </c>
      <c r="E24" s="66">
        <f>IFERROR('Data Sheet'!D27,0)</f>
        <v>52.92</v>
      </c>
      <c r="F24" s="66">
        <f>IFERROR('Data Sheet'!E27,0)</f>
        <v>52.54</v>
      </c>
      <c r="G24" s="66">
        <f>IFERROR('Data Sheet'!F27,0)</f>
        <v>166</v>
      </c>
      <c r="H24" s="66">
        <f>IFERROR('Data Sheet'!G27,0)</f>
        <v>203</v>
      </c>
      <c r="I24" s="66">
        <f>IFERROR('Data Sheet'!H27,0)</f>
        <v>218</v>
      </c>
      <c r="J24" s="66">
        <f>IFERROR('Data Sheet'!I27,0)</f>
        <v>300</v>
      </c>
      <c r="K24" s="66">
        <f>IFERROR('Data Sheet'!J27,0)</f>
        <v>619</v>
      </c>
      <c r="L24" s="66">
        <f>IFERROR('Data Sheet'!K27,0)</f>
        <v>953</v>
      </c>
      <c r="M24" s="66">
        <f>IFERROR(SUM('Data Sheet'!H46:K46),0)</f>
        <v>994</v>
      </c>
    </row>
    <row r="25" spans="2:15">
      <c r="B25" s="61" t="s">
        <v>104</v>
      </c>
      <c r="C25" s="63">
        <f>C24/C6</f>
        <v>3.7566879421491342E-3</v>
      </c>
      <c r="D25" s="63">
        <f t="shared" ref="D25:M25" si="8">D24/D6</f>
        <v>2.845975704386528E-3</v>
      </c>
      <c r="E25" s="63">
        <f t="shared" si="8"/>
        <v>3.2829252526555899E-3</v>
      </c>
      <c r="F25" s="63">
        <f t="shared" si="8"/>
        <v>2.6564171636704868E-3</v>
      </c>
      <c r="G25" s="63">
        <f t="shared" si="8"/>
        <v>7.8852365570967128E-3</v>
      </c>
      <c r="H25" s="63">
        <f t="shared" si="8"/>
        <v>9.3790426908150065E-3</v>
      </c>
      <c r="I25" s="63">
        <f t="shared" si="8"/>
        <v>7.5697072815028299E-3</v>
      </c>
      <c r="J25" s="63">
        <f t="shared" si="8"/>
        <v>7.3937153419593345E-3</v>
      </c>
      <c r="K25" s="63">
        <f t="shared" si="8"/>
        <v>1.2117297001017931E-2</v>
      </c>
      <c r="L25" s="63">
        <f t="shared" si="8"/>
        <v>1.5763530501521766E-2</v>
      </c>
      <c r="M25" s="63">
        <f t="shared" si="8"/>
        <v>1.560121168364384E-2</v>
      </c>
    </row>
    <row r="26" spans="2:15">
      <c r="O26" s="145"/>
    </row>
    <row r="27" spans="2:15">
      <c r="B27" t="s">
        <v>105</v>
      </c>
      <c r="C27" s="66">
        <f>IFERROR('Data Sheet'!B26,0)</f>
        <v>98.19</v>
      </c>
      <c r="D27" s="66">
        <f>IFERROR('Data Sheet'!C26,0)</f>
        <v>110.53</v>
      </c>
      <c r="E27" s="66">
        <f>IFERROR('Data Sheet'!D26,0)</f>
        <v>131.43</v>
      </c>
      <c r="F27" s="66">
        <f>IFERROR('Data Sheet'!E26,0)</f>
        <v>162.84</v>
      </c>
      <c r="G27" s="66">
        <f>IFERROR('Data Sheet'!F26,0)</f>
        <v>348</v>
      </c>
      <c r="H27" s="66">
        <f>IFERROR('Data Sheet'!G26,0)</f>
        <v>375</v>
      </c>
      <c r="I27" s="66">
        <f>IFERROR('Data Sheet'!H26,0)</f>
        <v>399</v>
      </c>
      <c r="J27" s="66">
        <f>IFERROR('Data Sheet'!I26,0)</f>
        <v>441</v>
      </c>
      <c r="K27" s="66">
        <f>IFERROR('Data Sheet'!J26,0)</f>
        <v>584</v>
      </c>
      <c r="L27" s="66">
        <f>IFERROR('Data Sheet'!K26,0)</f>
        <v>693</v>
      </c>
      <c r="M27" s="66">
        <f>IFERROR(SUM('Data Sheet'!H45:K45),0)</f>
        <v>713</v>
      </c>
    </row>
    <row r="28" spans="2:15">
      <c r="B28" s="61" t="s">
        <v>106</v>
      </c>
      <c r="C28" s="63">
        <f>C27/C6</f>
        <v>8.7079600811997993E-3</v>
      </c>
      <c r="D28" s="63">
        <f t="shared" ref="D28:M28" si="9">D27/D6</f>
        <v>8.3350740489094577E-3</v>
      </c>
      <c r="E28" s="63">
        <f t="shared" si="9"/>
        <v>8.1533421382563153E-3</v>
      </c>
      <c r="F28" s="63">
        <f t="shared" si="9"/>
        <v>8.2331741707670752E-3</v>
      </c>
      <c r="G28" s="63">
        <f t="shared" si="9"/>
        <v>1.6530495914877447E-2</v>
      </c>
      <c r="H28" s="63">
        <f t="shared" si="9"/>
        <v>1.7325817778599151E-2</v>
      </c>
      <c r="I28" s="63">
        <f t="shared" si="9"/>
        <v>1.3854647730823988E-2</v>
      </c>
      <c r="J28" s="63">
        <f t="shared" si="9"/>
        <v>1.0868761552680222E-2</v>
      </c>
      <c r="K28" s="63">
        <f t="shared" si="9"/>
        <v>1.1432150967034689E-2</v>
      </c>
      <c r="L28" s="63">
        <f t="shared" si="9"/>
        <v>1.146288209606987E-2</v>
      </c>
      <c r="M28" s="63">
        <f t="shared" si="9"/>
        <v>1.119080878313688E-2</v>
      </c>
    </row>
    <row r="30" spans="2:15">
      <c r="B30" s="64" t="s">
        <v>107</v>
      </c>
      <c r="C30" s="65">
        <f>IFERROR(SUM(C18,C21)-SUM(C27,C24),0)</f>
        <v>868.10999999999763</v>
      </c>
      <c r="D30" s="65">
        <f t="shared" ref="D30:K30" si="10">IFERROR(SUM(D18,D21)-SUM(D27,D24),0)</f>
        <v>973.24999999999955</v>
      </c>
      <c r="E30" s="65">
        <f t="shared" si="10"/>
        <v>1529.7800000000011</v>
      </c>
      <c r="F30" s="65">
        <f t="shared" si="10"/>
        <v>1956.8900000000008</v>
      </c>
      <c r="G30" s="65">
        <f t="shared" si="10"/>
        <v>2102</v>
      </c>
      <c r="H30" s="65">
        <f t="shared" si="10"/>
        <v>1327</v>
      </c>
      <c r="I30" s="65">
        <f t="shared" si="10"/>
        <v>2904</v>
      </c>
      <c r="J30" s="65">
        <f t="shared" si="10"/>
        <v>4447</v>
      </c>
      <c r="K30" s="65">
        <f t="shared" si="10"/>
        <v>4623</v>
      </c>
      <c r="L30" s="67">
        <f>IFERROR(SUM(L18,L21)-SUM(L27,L24),0)</f>
        <v>4535</v>
      </c>
      <c r="M30" s="67">
        <f>IFERROR(SUM(M18,M21)-SUM(M27,M24),0)</f>
        <v>5514</v>
      </c>
    </row>
    <row r="31" spans="2:15">
      <c r="B31" s="61" t="s">
        <v>108</v>
      </c>
      <c r="C31" s="63">
        <f>C30/C6</f>
        <v>7.6988157919241643E-2</v>
      </c>
      <c r="D31" s="63">
        <f t="shared" ref="D31:M31" si="11">D30/D6</f>
        <v>7.3392841926184074E-2</v>
      </c>
      <c r="E31" s="63">
        <f t="shared" si="11"/>
        <v>9.4900857766581109E-2</v>
      </c>
      <c r="F31" s="63">
        <f t="shared" si="11"/>
        <v>9.894016336915E-2</v>
      </c>
      <c r="G31" s="63">
        <f t="shared" si="11"/>
        <v>9.9847995439863196E-2</v>
      </c>
      <c r="H31" s="63">
        <f t="shared" si="11"/>
        <v>6.1310293845869522E-2</v>
      </c>
      <c r="I31" s="63">
        <f t="shared" si="11"/>
        <v>0.10083683461231292</v>
      </c>
      <c r="J31" s="63">
        <f t="shared" si="11"/>
        <v>0.10959950708564387</v>
      </c>
      <c r="K31" s="63">
        <f t="shared" si="11"/>
        <v>9.0498003288700959E-2</v>
      </c>
      <c r="L31" s="63">
        <f t="shared" si="11"/>
        <v>7.5013232764324464E-2</v>
      </c>
      <c r="M31" s="63">
        <f t="shared" si="11"/>
        <v>8.6544347307456873E-2</v>
      </c>
    </row>
    <row r="33" spans="2:13">
      <c r="B33" t="s">
        <v>109</v>
      </c>
      <c r="C33" s="60">
        <f>IFERROR('Data Sheet'!B29,0)</f>
        <v>191.59</v>
      </c>
      <c r="D33" s="60">
        <f>IFERROR('Data Sheet'!C29,0)</f>
        <v>275.97000000000003</v>
      </c>
      <c r="E33" s="60">
        <f>IFERROR('Data Sheet'!D29,0)</f>
        <v>427.87</v>
      </c>
      <c r="F33" s="60">
        <f>IFERROR('Data Sheet'!E29,0)</f>
        <v>568.24</v>
      </c>
      <c r="G33" s="60">
        <f>IFERROR('Data Sheet'!F29,0)</f>
        <v>609</v>
      </c>
      <c r="H33" s="60">
        <f>IFERROR('Data Sheet'!G29,0)</f>
        <v>353</v>
      </c>
      <c r="I33" s="60">
        <f>IFERROR('Data Sheet'!H29,0)</f>
        <v>706</v>
      </c>
      <c r="J33" s="60">
        <f>IFERROR('Data Sheet'!I29,0)</f>
        <v>1173</v>
      </c>
      <c r="K33" s="60">
        <f>IFERROR('Data Sheet'!J29,0)</f>
        <v>1127</v>
      </c>
      <c r="L33" s="60">
        <f>IFERROR('Data Sheet'!K29,0)</f>
        <v>1198</v>
      </c>
      <c r="M33" s="60">
        <f>IFERROR(SUM('Data Sheet'!H48:K48),0)</f>
        <v>1329</v>
      </c>
    </row>
    <row r="34" spans="2:13">
      <c r="B34" s="61" t="s">
        <v>110</v>
      </c>
      <c r="C34" s="63">
        <f>C33/C30</f>
        <v>0.22069783783161182</v>
      </c>
      <c r="D34" s="63">
        <f t="shared" ref="D34:M34" si="12">D33/D30</f>
        <v>0.28355509889545355</v>
      </c>
      <c r="E34" s="63">
        <f t="shared" si="12"/>
        <v>0.27969381218214362</v>
      </c>
      <c r="F34" s="63">
        <f t="shared" si="12"/>
        <v>0.29037912197415278</v>
      </c>
      <c r="G34" s="63">
        <f t="shared" si="12"/>
        <v>0.28972407231208375</v>
      </c>
      <c r="H34" s="63">
        <f t="shared" si="12"/>
        <v>0.26601356443104746</v>
      </c>
      <c r="I34" s="63">
        <f t="shared" si="12"/>
        <v>0.24311294765840222</v>
      </c>
      <c r="J34" s="63">
        <f t="shared" si="12"/>
        <v>0.26377333033505734</v>
      </c>
      <c r="K34" s="63">
        <f t="shared" si="12"/>
        <v>0.24378109452736318</v>
      </c>
      <c r="L34" s="63">
        <f t="shared" si="12"/>
        <v>0.26416758544652702</v>
      </c>
      <c r="M34" s="63">
        <f t="shared" si="12"/>
        <v>0.2410228509249184</v>
      </c>
    </row>
    <row r="36" spans="2:13">
      <c r="B36" s="64" t="s">
        <v>111</v>
      </c>
      <c r="C36" s="67">
        <f>IFERROR(C30-C33,0)</f>
        <v>676.51999999999759</v>
      </c>
      <c r="D36" s="67">
        <f t="shared" ref="D36:M36" si="13">IFERROR(D30-D33,0)</f>
        <v>697.27999999999952</v>
      </c>
      <c r="E36" s="67">
        <f t="shared" si="13"/>
        <v>1101.9100000000012</v>
      </c>
      <c r="F36" s="67">
        <f t="shared" si="13"/>
        <v>1388.6500000000008</v>
      </c>
      <c r="G36" s="67">
        <f t="shared" si="13"/>
        <v>1493</v>
      </c>
      <c r="H36" s="67">
        <f t="shared" si="13"/>
        <v>974</v>
      </c>
      <c r="I36" s="67">
        <f t="shared" si="13"/>
        <v>2198</v>
      </c>
      <c r="J36" s="67">
        <f t="shared" si="13"/>
        <v>3274</v>
      </c>
      <c r="K36" s="67">
        <f t="shared" si="13"/>
        <v>3496</v>
      </c>
      <c r="L36" s="67">
        <f t="shared" si="13"/>
        <v>3337</v>
      </c>
      <c r="M36" s="67">
        <f t="shared" si="13"/>
        <v>4185</v>
      </c>
    </row>
    <row r="37" spans="2:13">
      <c r="B37" s="61" t="s">
        <v>112</v>
      </c>
      <c r="C37" s="63">
        <f>C36/C6</f>
        <v>5.9997037927826333E-2</v>
      </c>
      <c r="D37" s="63">
        <f t="shared" ref="D37:M37" si="14">D36/D6</f>
        <v>5.2581927375586562E-2</v>
      </c>
      <c r="E37" s="63">
        <f t="shared" si="14"/>
        <v>6.8357675078490651E-2</v>
      </c>
      <c r="F37" s="63">
        <f t="shared" si="14"/>
        <v>7.0210005602036996E-2</v>
      </c>
      <c r="G37" s="63">
        <f t="shared" si="14"/>
        <v>7.0919627588827666E-2</v>
      </c>
      <c r="H37" s="63">
        <f t="shared" si="14"/>
        <v>4.5000924043614859E-2</v>
      </c>
      <c r="I37" s="63">
        <f t="shared" si="14"/>
        <v>7.632209451717073E-2</v>
      </c>
      <c r="J37" s="63">
        <f t="shared" si="14"/>
        <v>8.0690080098582875E-2</v>
      </c>
      <c r="K37" s="63">
        <f t="shared" si="14"/>
        <v>6.8436300994440535E-2</v>
      </c>
      <c r="L37" s="63">
        <f t="shared" si="14"/>
        <v>5.5197168188434564E-2</v>
      </c>
      <c r="M37" s="63">
        <f t="shared" si="14"/>
        <v>6.5685181987977334E-2</v>
      </c>
    </row>
    <row r="39" spans="2:13">
      <c r="B39" t="s">
        <v>113</v>
      </c>
      <c r="C39">
        <f>IFERROR('Data Sheet'!B93,0)</f>
        <v>88.78</v>
      </c>
      <c r="D39">
        <f>IFERROR('Data Sheet'!C93,0)</f>
        <v>88.78</v>
      </c>
      <c r="E39">
        <f>IFERROR('Data Sheet'!D93,0)</f>
        <v>88.78</v>
      </c>
      <c r="F39">
        <f>IFERROR('Data Sheet'!E93,0)</f>
        <v>88.78</v>
      </c>
      <c r="G39">
        <f>IFERROR('Data Sheet'!F93,0)</f>
        <v>88.78</v>
      </c>
      <c r="H39">
        <f>IFERROR('Data Sheet'!G93,0)</f>
        <v>88.78</v>
      </c>
      <c r="I39">
        <f>IFERROR('Data Sheet'!H93,0)</f>
        <v>88.78</v>
      </c>
      <c r="J39">
        <f>IFERROR('Data Sheet'!I93,0)</f>
        <v>88.78</v>
      </c>
      <c r="K39">
        <f>IFERROR('Data Sheet'!J93,0)</f>
        <v>88.78</v>
      </c>
      <c r="L39">
        <f>IFERROR('Data Sheet'!K93,0)</f>
        <v>88.78</v>
      </c>
      <c r="M39">
        <f>L39</f>
        <v>88.78</v>
      </c>
    </row>
    <row r="40" spans="2:13"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</row>
    <row r="41" spans="2:13">
      <c r="B41" t="s">
        <v>114</v>
      </c>
      <c r="C41" s="66">
        <f>IFERROR(C36/C39,0)</f>
        <v>7.6201847262896774</v>
      </c>
      <c r="D41" s="66">
        <f t="shared" ref="D41:M41" si="15">IFERROR(D36/D39,0)</f>
        <v>7.8540211759405212</v>
      </c>
      <c r="E41" s="66">
        <f t="shared" si="15"/>
        <v>12.411691822482554</v>
      </c>
      <c r="F41" s="66">
        <f t="shared" si="15"/>
        <v>15.641473304798387</v>
      </c>
      <c r="G41" s="66">
        <f t="shared" si="15"/>
        <v>16.816850642036496</v>
      </c>
      <c r="H41" s="66">
        <f t="shared" si="15"/>
        <v>10.970939400765937</v>
      </c>
      <c r="I41" s="66">
        <f t="shared" si="15"/>
        <v>24.757828339716152</v>
      </c>
      <c r="J41" s="66">
        <f t="shared" si="15"/>
        <v>36.877675152061272</v>
      </c>
      <c r="K41" s="66">
        <f t="shared" si="15"/>
        <v>39.37823834196891</v>
      </c>
      <c r="L41" s="66">
        <f t="shared" si="15"/>
        <v>37.58729443568371</v>
      </c>
      <c r="M41" s="66">
        <f>IFERROR(M36/M39,0)</f>
        <v>47.138995269204777</v>
      </c>
    </row>
    <row r="42" spans="2:13">
      <c r="B42" s="61" t="s">
        <v>115</v>
      </c>
      <c r="C42" s="63"/>
      <c r="D42" s="63">
        <f>IFERROR(D41/C41-1,0)</f>
        <v>3.0686454206826141E-2</v>
      </c>
      <c r="E42" s="63">
        <f t="shared" ref="E42:M42" si="16">IFERROR(E41/D41-1,0)</f>
        <v>0.580297728315744</v>
      </c>
      <c r="F42" s="63">
        <f t="shared" si="16"/>
        <v>0.26022088918332642</v>
      </c>
      <c r="G42" s="63">
        <f t="shared" si="16"/>
        <v>7.5144924927086798E-2</v>
      </c>
      <c r="H42" s="63">
        <f t="shared" si="16"/>
        <v>-0.34762223710649709</v>
      </c>
      <c r="I42" s="63">
        <f t="shared" si="16"/>
        <v>1.2566735112936347</v>
      </c>
      <c r="J42" s="63">
        <f t="shared" si="16"/>
        <v>0.48953594176524096</v>
      </c>
      <c r="K42" s="63">
        <f t="shared" si="16"/>
        <v>6.7806963958460642E-2</v>
      </c>
      <c r="L42" s="63">
        <f t="shared" si="16"/>
        <v>-4.548054919908473E-2</v>
      </c>
      <c r="M42" s="63">
        <f t="shared" si="16"/>
        <v>0.25412046748576578</v>
      </c>
    </row>
    <row r="44" spans="2:13">
      <c r="B44" t="s">
        <v>116</v>
      </c>
      <c r="C44" s="68">
        <f>IFERROR('Data Sheet'!B31/HistoricalFS!C39,0)</f>
        <v>2.2000450551926107</v>
      </c>
      <c r="D44" s="68">
        <f>IFERROR('Data Sheet'!C31/HistoricalFS!D39,0)</f>
        <v>2.6000225275963054</v>
      </c>
      <c r="E44" s="60">
        <f>IFERROR('Data Sheet'!D31/HistoricalFS!E39,0)</f>
        <v>3.7499436810092366</v>
      </c>
      <c r="F44" s="60">
        <f>IFERROR('Data Sheet'!E31/HistoricalFS!F39,0)</f>
        <v>5</v>
      </c>
      <c r="G44" s="60">
        <f>IFERROR('Data Sheet'!F31/HistoricalFS!G39,0)</f>
        <v>4.0099121423744082</v>
      </c>
      <c r="H44" s="60">
        <f>IFERROR('Data Sheet'!G31/HistoricalFS!H39,0)</f>
        <v>4.0099121423744082</v>
      </c>
      <c r="I44" s="60">
        <f>IFERROR('Data Sheet'!H31/HistoricalFS!I39,0)</f>
        <v>7.5185852669520159</v>
      </c>
      <c r="J44" s="60">
        <f>IFERROR('Data Sheet'!I31/HistoricalFS!J39,0)</f>
        <v>10.024780355936022</v>
      </c>
      <c r="K44" s="60">
        <f>IFERROR('Data Sheet'!J31/HistoricalFS!K39,0)</f>
        <v>11.027258391529625</v>
      </c>
      <c r="L44" s="60">
        <f>IFERROR('Data Sheet'!K31/HistoricalFS!L39,0)</f>
        <v>11.027258391529625</v>
      </c>
      <c r="M44" s="60">
        <f>IFERROR('Data Sheet'!L31/HistoricalFS!M39,0)</f>
        <v>0</v>
      </c>
    </row>
    <row r="45" spans="2:13">
      <c r="B45" s="61" t="s">
        <v>117</v>
      </c>
      <c r="C45" s="63">
        <f>IFERROR(C44/C41,0)</f>
        <v>0.28871282445456259</v>
      </c>
      <c r="D45" s="63">
        <f t="shared" ref="D45:M45" si="17">IFERROR(D44/D41,0)</f>
        <v>0.33104348324919713</v>
      </c>
      <c r="E45" s="63">
        <f t="shared" si="17"/>
        <v>0.30212993801671612</v>
      </c>
      <c r="F45" s="63">
        <f t="shared" si="17"/>
        <v>0.31966298203290949</v>
      </c>
      <c r="G45" s="63">
        <f t="shared" si="17"/>
        <v>0.23844608171466841</v>
      </c>
      <c r="H45" s="63">
        <f t="shared" si="17"/>
        <v>0.3655030800821355</v>
      </c>
      <c r="I45" s="63">
        <f t="shared" si="17"/>
        <v>0.30368516833484988</v>
      </c>
      <c r="J45" s="63">
        <f t="shared" si="17"/>
        <v>0.27183872938301773</v>
      </c>
      <c r="K45" s="63">
        <f t="shared" si="17"/>
        <v>0.28003432494279179</v>
      </c>
      <c r="L45" s="63">
        <f t="shared" si="17"/>
        <v>0.29337728498651489</v>
      </c>
      <c r="M45" s="63">
        <f t="shared" si="17"/>
        <v>0</v>
      </c>
    </row>
    <row r="47" spans="2:13">
      <c r="B47" t="s">
        <v>118</v>
      </c>
      <c r="C47" s="14">
        <f>IFERROR(IF(C41&gt;C44,1-C45,0),0)</f>
        <v>0.71128717554543741</v>
      </c>
      <c r="D47" s="14">
        <f t="shared" ref="D47:M47" si="18">IFERROR(IF(D41&gt;D44,1-D45,0),0)</f>
        <v>0.66895651675080292</v>
      </c>
      <c r="E47" s="14">
        <f t="shared" si="18"/>
        <v>0.69787006198328383</v>
      </c>
      <c r="F47" s="14">
        <f t="shared" si="18"/>
        <v>0.68033701796709045</v>
      </c>
      <c r="G47" s="14">
        <f t="shared" si="18"/>
        <v>0.76155391828533159</v>
      </c>
      <c r="H47" s="14">
        <f t="shared" si="18"/>
        <v>0.6344969199178645</v>
      </c>
      <c r="I47" s="14">
        <f t="shared" si="18"/>
        <v>0.69631483166515018</v>
      </c>
      <c r="J47" s="14">
        <f t="shared" si="18"/>
        <v>0.72816127061698221</v>
      </c>
      <c r="K47" s="14">
        <f t="shared" si="18"/>
        <v>0.71996567505720821</v>
      </c>
      <c r="L47" s="14">
        <f t="shared" si="18"/>
        <v>0.70662271501348517</v>
      </c>
      <c r="M47" s="14">
        <f t="shared" si="18"/>
        <v>1</v>
      </c>
    </row>
    <row r="49" spans="1:13">
      <c r="A49" t="s">
        <v>90</v>
      </c>
      <c r="B49" s="59" t="s">
        <v>119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>
      <c r="B50" t="s">
        <v>120</v>
      </c>
      <c r="C50" s="60">
        <f>IFERROR('Data Sheet'!B57,0)</f>
        <v>88.78</v>
      </c>
      <c r="D50" s="60">
        <f>IFERROR('Data Sheet'!C57,0)</f>
        <v>88.78</v>
      </c>
      <c r="E50" s="60">
        <f>IFERROR('Data Sheet'!D57,0)</f>
        <v>88.78</v>
      </c>
      <c r="F50" s="60">
        <f>IFERROR('Data Sheet'!E57,0)</f>
        <v>88.78</v>
      </c>
      <c r="G50" s="60">
        <f>IFERROR('Data Sheet'!F57,0)</f>
        <v>89</v>
      </c>
      <c r="H50" s="60">
        <f>IFERROR('Data Sheet'!G57,0)</f>
        <v>89</v>
      </c>
      <c r="I50" s="60">
        <f>IFERROR('Data Sheet'!H57,0)</f>
        <v>89</v>
      </c>
      <c r="J50" s="60">
        <f>IFERROR('Data Sheet'!I57,0)</f>
        <v>89</v>
      </c>
      <c r="K50" s="60">
        <f>IFERROR('Data Sheet'!J57,0)</f>
        <v>89</v>
      </c>
      <c r="L50" s="60">
        <f>IFERROR('Data Sheet'!K57,0)</f>
        <v>89</v>
      </c>
    </row>
    <row r="51" spans="1:13">
      <c r="B51" t="s">
        <v>121</v>
      </c>
      <c r="C51" s="60">
        <f>IFERROR('Data Sheet'!B58,0)</f>
        <v>3417.5</v>
      </c>
      <c r="D51" s="60">
        <f>IFERROR('Data Sheet'!C58,0)</f>
        <v>4143.6000000000004</v>
      </c>
      <c r="E51" s="60">
        <f>IFERROR('Data Sheet'!D58,0)</f>
        <v>5001.1000000000004</v>
      </c>
      <c r="F51" s="60">
        <f>IFERROR('Data Sheet'!E58,0)</f>
        <v>5981.37</v>
      </c>
      <c r="G51" s="60">
        <f>IFERROR('Data Sheet'!F58,0)</f>
        <v>6580</v>
      </c>
      <c r="H51" s="60">
        <f>IFERROR('Data Sheet'!G58,0)</f>
        <v>7408</v>
      </c>
      <c r="I51" s="60">
        <f>IFERROR('Data Sheet'!H58,0)</f>
        <v>9214</v>
      </c>
      <c r="J51" s="60">
        <f>IFERROR('Data Sheet'!I58,0)</f>
        <v>11762</v>
      </c>
      <c r="K51" s="60">
        <f>IFERROR('Data Sheet'!J58,0)</f>
        <v>9304</v>
      </c>
      <c r="L51" s="60">
        <f>IFERROR('Data Sheet'!K58,0)</f>
        <v>11535</v>
      </c>
    </row>
    <row r="52" spans="1:13">
      <c r="B52" t="s">
        <v>122</v>
      </c>
      <c r="C52" s="60">
        <f>IFERROR('Data Sheet'!B59,0)</f>
        <v>113.05</v>
      </c>
      <c r="D52" s="60">
        <f>IFERROR('Data Sheet'!C59,0)</f>
        <v>1882.43</v>
      </c>
      <c r="E52" s="60">
        <f>IFERROR('Data Sheet'!D59,0)</f>
        <v>1691.01</v>
      </c>
      <c r="F52" s="60">
        <f>IFERROR('Data Sheet'!E59,0)</f>
        <v>2392.98</v>
      </c>
      <c r="G52" s="60">
        <f>IFERROR('Data Sheet'!F59,0)</f>
        <v>3562</v>
      </c>
      <c r="H52" s="60">
        <f>IFERROR('Data Sheet'!G59,0)</f>
        <v>5638</v>
      </c>
      <c r="I52" s="60">
        <f>IFERROR('Data Sheet'!H59,0)</f>
        <v>7275</v>
      </c>
      <c r="J52" s="60">
        <f>IFERROR('Data Sheet'!I59,0)</f>
        <v>9367</v>
      </c>
      <c r="K52" s="60">
        <f>IFERROR('Data Sheet'!J59,0)</f>
        <v>15528</v>
      </c>
      <c r="L52" s="60">
        <f>IFERROR('Data Sheet'!K59,0)</f>
        <v>20777</v>
      </c>
    </row>
    <row r="53" spans="1:13">
      <c r="B53" t="s">
        <v>123</v>
      </c>
      <c r="C53" s="60">
        <f>IFERROR('Data Sheet'!B60,0)</f>
        <v>2722.58</v>
      </c>
      <c r="D53" s="60">
        <f>IFERROR('Data Sheet'!C60,0)</f>
        <v>2292.7600000000002</v>
      </c>
      <c r="E53" s="60">
        <f>IFERROR('Data Sheet'!D60,0)</f>
        <v>2740.15</v>
      </c>
      <c r="F53" s="60">
        <f>IFERROR('Data Sheet'!E60,0)</f>
        <v>3246.71</v>
      </c>
      <c r="G53" s="60">
        <f>IFERROR('Data Sheet'!F60,0)</f>
        <v>3313</v>
      </c>
      <c r="H53" s="60">
        <f>IFERROR('Data Sheet'!G60,0)</f>
        <v>3309</v>
      </c>
      <c r="I53" s="60">
        <f>IFERROR('Data Sheet'!H60,0)</f>
        <v>4610</v>
      </c>
      <c r="J53" s="60">
        <f>IFERROR('Data Sheet'!I60,0)</f>
        <v>5802</v>
      </c>
      <c r="K53" s="60">
        <f>IFERROR('Data Sheet'!J60,0)</f>
        <v>6626</v>
      </c>
      <c r="L53" s="60">
        <f>IFERROR('Data Sheet'!K60,0)</f>
        <v>8244</v>
      </c>
    </row>
    <row r="54" spans="1:13">
      <c r="B54" s="64" t="s">
        <v>124</v>
      </c>
      <c r="C54" s="67">
        <f>IFERROR('Data Sheet'!B61,0)</f>
        <v>6341.91</v>
      </c>
      <c r="D54" s="67">
        <f>IFERROR('Data Sheet'!C61,0)</f>
        <v>8407.57</v>
      </c>
      <c r="E54" s="67">
        <f>IFERROR('Data Sheet'!D61,0)</f>
        <v>9521.0400000000009</v>
      </c>
      <c r="F54" s="67">
        <f>IFERROR('Data Sheet'!E61,0)</f>
        <v>11709.84</v>
      </c>
      <c r="G54" s="67">
        <f>IFERROR('Data Sheet'!F61,0)</f>
        <v>13544</v>
      </c>
      <c r="H54" s="67">
        <f>IFERROR('Data Sheet'!G61,0)</f>
        <v>16444</v>
      </c>
      <c r="I54" s="67">
        <f>IFERROR('Data Sheet'!H61,0)</f>
        <v>21188</v>
      </c>
      <c r="J54" s="67">
        <f>IFERROR('Data Sheet'!I61,0)</f>
        <v>27020</v>
      </c>
      <c r="K54" s="67">
        <f>IFERROR('Data Sheet'!J61,0)</f>
        <v>31547</v>
      </c>
      <c r="L54" s="67">
        <f>IFERROR('Data Sheet'!K61,0)</f>
        <v>40645</v>
      </c>
      <c r="M54" s="2"/>
    </row>
    <row r="56" spans="1:13">
      <c r="B56" t="s">
        <v>125</v>
      </c>
      <c r="C56" s="60">
        <f>IFERROR('Data Sheet'!B62,0)</f>
        <v>770.54</v>
      </c>
      <c r="D56" s="60">
        <f>IFERROR('Data Sheet'!C62,0)</f>
        <v>1188.72</v>
      </c>
      <c r="E56" s="60">
        <f>IFERROR('Data Sheet'!D62,0)</f>
        <v>1473.81</v>
      </c>
      <c r="F56" s="60">
        <f>IFERROR('Data Sheet'!E62,0)</f>
        <v>1566.63</v>
      </c>
      <c r="G56" s="60">
        <f>IFERROR('Data Sheet'!F62,0)</f>
        <v>2633</v>
      </c>
      <c r="H56" s="60">
        <f>IFERROR('Data Sheet'!G62,0)</f>
        <v>2523</v>
      </c>
      <c r="I56" s="60">
        <f>IFERROR('Data Sheet'!H62,0)</f>
        <v>2544</v>
      </c>
      <c r="J56" s="60">
        <f>IFERROR('Data Sheet'!I62,0)</f>
        <v>2998</v>
      </c>
      <c r="K56" s="60">
        <f>IFERROR('Data Sheet'!J62,0)</f>
        <v>3709</v>
      </c>
      <c r="L56" s="60">
        <f>IFERROR('Data Sheet'!K62,0)</f>
        <v>4062</v>
      </c>
    </row>
    <row r="57" spans="1:13">
      <c r="B57" t="s">
        <v>126</v>
      </c>
      <c r="C57" s="60">
        <f>IFERROR('Data Sheet'!B63,0)</f>
        <v>106.71</v>
      </c>
      <c r="D57" s="60">
        <f>IFERROR('Data Sheet'!C63,0)</f>
        <v>152.07</v>
      </c>
      <c r="E57" s="60">
        <f>IFERROR('Data Sheet'!D63,0)</f>
        <v>43.37</v>
      </c>
      <c r="F57" s="60">
        <f>IFERROR('Data Sheet'!E63,0)</f>
        <v>31.77</v>
      </c>
      <c r="G57" s="60">
        <f>IFERROR('Data Sheet'!F63,0)</f>
        <v>18</v>
      </c>
      <c r="H57" s="60">
        <f>IFERROR('Data Sheet'!G63,0)</f>
        <v>32</v>
      </c>
      <c r="I57" s="60">
        <f>IFERROR('Data Sheet'!H63,0)</f>
        <v>85</v>
      </c>
      <c r="J57" s="60">
        <f>IFERROR('Data Sheet'!I63,0)</f>
        <v>144</v>
      </c>
      <c r="K57" s="60">
        <f>IFERROR('Data Sheet'!J63,0)</f>
        <v>97</v>
      </c>
      <c r="L57" s="60">
        <f>IFERROR('Data Sheet'!K63,0)</f>
        <v>105</v>
      </c>
    </row>
    <row r="58" spans="1:13">
      <c r="B58" t="s">
        <v>127</v>
      </c>
      <c r="C58" s="60">
        <f>IFERROR('Data Sheet'!B64,0)</f>
        <v>30.41</v>
      </c>
      <c r="D58" s="60">
        <f>IFERROR('Data Sheet'!C64,0)</f>
        <v>430.73</v>
      </c>
      <c r="E58" s="60">
        <f>IFERROR('Data Sheet'!D64,0)</f>
        <v>35.99</v>
      </c>
      <c r="F58" s="60">
        <f>IFERROR('Data Sheet'!E64,0)</f>
        <v>108.42</v>
      </c>
      <c r="G58" s="60">
        <f>IFERROR('Data Sheet'!F64,0)</f>
        <v>158</v>
      </c>
      <c r="H58" s="60">
        <f>IFERROR('Data Sheet'!G64,0)</f>
        <v>2824</v>
      </c>
      <c r="I58" s="60">
        <f>IFERROR('Data Sheet'!H64,0)</f>
        <v>294</v>
      </c>
      <c r="J58" s="60">
        <f>IFERROR('Data Sheet'!I64,0)</f>
        <v>2515</v>
      </c>
      <c r="K58" s="60">
        <f>IFERROR('Data Sheet'!J64,0)</f>
        <v>2345</v>
      </c>
      <c r="L58" s="60">
        <f>IFERROR('Data Sheet'!K64,0)</f>
        <v>1988</v>
      </c>
    </row>
    <row r="59" spans="1:13">
      <c r="B59" t="s">
        <v>128</v>
      </c>
      <c r="C59" s="60">
        <f>IFERROR('Data Sheet'!B65-SUM('Data Sheet'!B67:B69),0)</f>
        <v>678.25</v>
      </c>
      <c r="D59" s="60">
        <f>IFERROR('Data Sheet'!C65-SUM('Data Sheet'!C67:C69),0)</f>
        <v>723.77999999999975</v>
      </c>
      <c r="E59" s="60">
        <f>IFERROR('Data Sheet'!D65-SUM('Data Sheet'!D67:D69),0)</f>
        <v>1129.4300000000003</v>
      </c>
      <c r="F59" s="60">
        <f>IFERROR('Data Sheet'!E65-SUM('Data Sheet'!E67:E69),0)</f>
        <v>1477.2700000000004</v>
      </c>
      <c r="G59" s="60">
        <f>IFERROR('Data Sheet'!F65-SUM('Data Sheet'!F67:F69),0)</f>
        <v>1939</v>
      </c>
      <c r="H59" s="60">
        <f>IFERROR('Data Sheet'!G65-SUM('Data Sheet'!G67:G69),0)</f>
        <v>1731</v>
      </c>
      <c r="I59" s="60">
        <f>IFERROR('Data Sheet'!H65-SUM('Data Sheet'!H67:H69),0)</f>
        <v>2518</v>
      </c>
      <c r="J59" s="60">
        <f>IFERROR('Data Sheet'!I65-SUM('Data Sheet'!I67:I69),0)</f>
        <v>2762</v>
      </c>
      <c r="K59" s="60">
        <f>IFERROR('Data Sheet'!J65-SUM('Data Sheet'!J67:J69),0)</f>
        <v>3801</v>
      </c>
      <c r="L59" s="60">
        <f>IFERROR('Data Sheet'!K65-SUM('Data Sheet'!K67:K69),0)</f>
        <v>3654</v>
      </c>
    </row>
    <row r="60" spans="1:13">
      <c r="B60" s="64" t="s">
        <v>129</v>
      </c>
      <c r="C60" s="67">
        <f>SUM(C56:C59)</f>
        <v>1585.9099999999999</v>
      </c>
      <c r="D60" s="67">
        <f t="shared" ref="D60:L60" si="19">SUM(D56:D59)</f>
        <v>2495.2999999999997</v>
      </c>
      <c r="E60" s="67">
        <f t="shared" si="19"/>
        <v>2682.6000000000004</v>
      </c>
      <c r="F60" s="67">
        <f t="shared" si="19"/>
        <v>3184.0900000000006</v>
      </c>
      <c r="G60" s="67">
        <f t="shared" si="19"/>
        <v>4748</v>
      </c>
      <c r="H60" s="67">
        <f t="shared" si="19"/>
        <v>7110</v>
      </c>
      <c r="I60" s="67">
        <f t="shared" si="19"/>
        <v>5441</v>
      </c>
      <c r="J60" s="67">
        <f t="shared" si="19"/>
        <v>8419</v>
      </c>
      <c r="K60" s="67">
        <f t="shared" si="19"/>
        <v>9952</v>
      </c>
      <c r="L60" s="67">
        <f t="shared" si="19"/>
        <v>9809</v>
      </c>
    </row>
    <row r="61" spans="1:13">
      <c r="B61" s="2"/>
    </row>
    <row r="62" spans="1:13">
      <c r="B62" t="s">
        <v>130</v>
      </c>
      <c r="C62" s="60">
        <f>IFERROR('Data Sheet'!B67,0)</f>
        <v>192.5</v>
      </c>
      <c r="D62" s="60">
        <f>IFERROR('Data Sheet'!C67,0)</f>
        <v>207.6</v>
      </c>
      <c r="E62" s="60">
        <f>IFERROR('Data Sheet'!D67,0)</f>
        <v>295.69</v>
      </c>
      <c r="F62" s="60">
        <f>IFERROR('Data Sheet'!E67,0)</f>
        <v>420.45</v>
      </c>
      <c r="G62" s="60">
        <f>IFERROR('Data Sheet'!F67,0)</f>
        <v>312</v>
      </c>
      <c r="H62" s="60">
        <f>IFERROR('Data Sheet'!G67,0)</f>
        <v>366</v>
      </c>
      <c r="I62" s="60">
        <f>IFERROR('Data Sheet'!H67,0)</f>
        <v>565</v>
      </c>
      <c r="J62" s="60">
        <f>IFERROR('Data Sheet'!I67,0)</f>
        <v>674</v>
      </c>
      <c r="K62" s="60">
        <f>IFERROR('Data Sheet'!J67,0)</f>
        <v>1018</v>
      </c>
      <c r="L62" s="60">
        <f>IFERROR('Data Sheet'!K67,0)</f>
        <v>1068</v>
      </c>
    </row>
    <row r="63" spans="1:13">
      <c r="B63" t="s">
        <v>131</v>
      </c>
      <c r="C63" s="60">
        <f>IFERROR('Data Sheet'!B68,0)</f>
        <v>4447.1499999999996</v>
      </c>
      <c r="D63" s="60">
        <f>IFERROR('Data Sheet'!C68,0)</f>
        <v>4925.74</v>
      </c>
      <c r="E63" s="60">
        <f>IFERROR('Data Sheet'!D68,0)</f>
        <v>5924.84</v>
      </c>
      <c r="F63" s="60">
        <f>IFERROR('Data Sheet'!E68,0)</f>
        <v>7038.82</v>
      </c>
      <c r="G63" s="60">
        <f>IFERROR('Data Sheet'!F68,0)</f>
        <v>8103</v>
      </c>
      <c r="H63" s="60">
        <f>IFERROR('Data Sheet'!G68,0)</f>
        <v>8408</v>
      </c>
      <c r="I63" s="60">
        <f>IFERROR('Data Sheet'!H68,0)</f>
        <v>13609</v>
      </c>
      <c r="J63" s="60">
        <f>IFERROR('Data Sheet'!I68,0)</f>
        <v>16584</v>
      </c>
      <c r="K63" s="60">
        <f>IFERROR('Data Sheet'!J68,0)</f>
        <v>19051</v>
      </c>
      <c r="L63" s="60">
        <f>IFERROR('Data Sheet'!K68,0)</f>
        <v>28184</v>
      </c>
    </row>
    <row r="64" spans="1:13">
      <c r="B64" t="s">
        <v>132</v>
      </c>
      <c r="C64" s="60">
        <f>IFERROR('Data Sheet'!B69,0)</f>
        <v>116.35</v>
      </c>
      <c r="D64" s="60">
        <f>IFERROR('Data Sheet'!C69,0)</f>
        <v>778.93</v>
      </c>
      <c r="E64" s="60">
        <f>IFERROR('Data Sheet'!D69,0)</f>
        <v>617.91</v>
      </c>
      <c r="F64" s="60">
        <f>IFERROR('Data Sheet'!E69,0)</f>
        <v>1066.48</v>
      </c>
      <c r="G64" s="60">
        <f>IFERROR('Data Sheet'!F69,0)</f>
        <v>381</v>
      </c>
      <c r="H64" s="60">
        <f>IFERROR('Data Sheet'!G69,0)</f>
        <v>560</v>
      </c>
      <c r="I64" s="60">
        <f>IFERROR('Data Sheet'!H69,0)</f>
        <v>1573</v>
      </c>
      <c r="J64" s="60">
        <f>IFERROR('Data Sheet'!I69,0)</f>
        <v>1343</v>
      </c>
      <c r="K64" s="60">
        <f>IFERROR('Data Sheet'!J69,0)</f>
        <v>1526</v>
      </c>
      <c r="L64" s="60">
        <f>IFERROR('Data Sheet'!K69,0)</f>
        <v>1584</v>
      </c>
    </row>
    <row r="65" spans="1:13">
      <c r="B65" s="64" t="s">
        <v>133</v>
      </c>
      <c r="C65" s="67">
        <f>IFERROR(SUM(C62:C64),0)</f>
        <v>4756</v>
      </c>
      <c r="D65" s="67">
        <f t="shared" ref="D65:L65" si="20">IFERROR(SUM(D62:D64),0)</f>
        <v>5912.27</v>
      </c>
      <c r="E65" s="67">
        <f t="shared" si="20"/>
        <v>6838.44</v>
      </c>
      <c r="F65" s="67">
        <f t="shared" si="20"/>
        <v>8525.75</v>
      </c>
      <c r="G65" s="67">
        <f t="shared" si="20"/>
        <v>8796</v>
      </c>
      <c r="H65" s="67">
        <f t="shared" si="20"/>
        <v>9334</v>
      </c>
      <c r="I65" s="67">
        <f t="shared" si="20"/>
        <v>15747</v>
      </c>
      <c r="J65" s="67">
        <f t="shared" si="20"/>
        <v>18601</v>
      </c>
      <c r="K65" s="67">
        <f t="shared" si="20"/>
        <v>21595</v>
      </c>
      <c r="L65" s="67">
        <f t="shared" si="20"/>
        <v>30836</v>
      </c>
    </row>
    <row r="67" spans="1:13">
      <c r="B67" s="64" t="s">
        <v>134</v>
      </c>
      <c r="C67" s="67">
        <f>IFERROR(C65+C60,0)</f>
        <v>6341.91</v>
      </c>
      <c r="D67" s="67">
        <f t="shared" ref="D67:L67" si="21">IFERROR(D65+D60,0)</f>
        <v>8407.57</v>
      </c>
      <c r="E67" s="67">
        <f t="shared" si="21"/>
        <v>9521.0400000000009</v>
      </c>
      <c r="F67" s="67">
        <f t="shared" si="21"/>
        <v>11709.84</v>
      </c>
      <c r="G67" s="67">
        <f t="shared" si="21"/>
        <v>13544</v>
      </c>
      <c r="H67" s="67">
        <f t="shared" si="21"/>
        <v>16444</v>
      </c>
      <c r="I67" s="67">
        <f t="shared" si="21"/>
        <v>21188</v>
      </c>
      <c r="J67" s="67">
        <f t="shared" si="21"/>
        <v>27020</v>
      </c>
      <c r="K67" s="67">
        <f t="shared" si="21"/>
        <v>31547</v>
      </c>
      <c r="L67" s="67">
        <f t="shared" si="21"/>
        <v>40645</v>
      </c>
    </row>
    <row r="69" spans="1:13">
      <c r="B69" s="69" t="s">
        <v>135</v>
      </c>
      <c r="C69" s="69" t="b">
        <f>C67=C54</f>
        <v>1</v>
      </c>
      <c r="D69" s="69" t="b">
        <f t="shared" ref="D69:L69" si="22">D67=D54</f>
        <v>1</v>
      </c>
      <c r="E69" s="69" t="b">
        <f t="shared" si="22"/>
        <v>1</v>
      </c>
      <c r="F69" s="69" t="b">
        <f t="shared" si="22"/>
        <v>1</v>
      </c>
      <c r="G69" s="69" t="b">
        <f t="shared" si="22"/>
        <v>1</v>
      </c>
      <c r="H69" s="69" t="b">
        <f t="shared" si="22"/>
        <v>1</v>
      </c>
      <c r="I69" s="69" t="b">
        <f t="shared" si="22"/>
        <v>1</v>
      </c>
      <c r="J69" s="69" t="b">
        <f t="shared" si="22"/>
        <v>1</v>
      </c>
      <c r="K69" s="69" t="b">
        <f t="shared" si="22"/>
        <v>1</v>
      </c>
      <c r="L69" s="69" t="b">
        <f t="shared" si="22"/>
        <v>1</v>
      </c>
    </row>
    <row r="71" spans="1:13">
      <c r="A71" t="s">
        <v>90</v>
      </c>
      <c r="B71" s="59" t="s">
        <v>136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>
      <c r="B72" s="2"/>
    </row>
    <row r="73" spans="1:13">
      <c r="B73" t="s">
        <v>137</v>
      </c>
      <c r="C73" s="60">
        <f>'Data Sheet'!B82</f>
        <v>576.09</v>
      </c>
      <c r="D73" s="60">
        <f>'Data Sheet'!C82</f>
        <v>1712.3</v>
      </c>
      <c r="E73" s="60">
        <f>'Data Sheet'!D82</f>
        <v>-51.12</v>
      </c>
      <c r="F73" s="60">
        <f>'Data Sheet'!E82</f>
        <v>1242.92</v>
      </c>
      <c r="G73" s="60">
        <f>'Data Sheet'!F82</f>
        <v>-348</v>
      </c>
      <c r="H73" s="60">
        <f>'Data Sheet'!G82</f>
        <v>4139</v>
      </c>
      <c r="I73" s="60">
        <f>'Data Sheet'!H82</f>
        <v>-724</v>
      </c>
      <c r="J73" s="60">
        <f>'Data Sheet'!I82</f>
        <v>1370</v>
      </c>
      <c r="K73" s="60">
        <f>'Data Sheet'!J82</f>
        <v>1695</v>
      </c>
      <c r="L73" s="60">
        <f>'Data Sheet'!K82</f>
        <v>-541</v>
      </c>
    </row>
    <row r="75" spans="1:13">
      <c r="B75" t="s">
        <v>138</v>
      </c>
      <c r="C75" s="60">
        <f>'Data Sheet'!B83</f>
        <v>-158.79</v>
      </c>
      <c r="D75" s="60">
        <f>'Data Sheet'!C83</f>
        <v>-953.15</v>
      </c>
      <c r="E75" s="60">
        <f>'Data Sheet'!D83</f>
        <v>97.62</v>
      </c>
      <c r="F75" s="60">
        <f>'Data Sheet'!E83</f>
        <v>-796.61</v>
      </c>
      <c r="G75" s="60">
        <f>'Data Sheet'!F83</f>
        <v>235</v>
      </c>
      <c r="H75" s="60">
        <f>'Data Sheet'!G83</f>
        <v>-2799</v>
      </c>
      <c r="I75" s="60">
        <f>'Data Sheet'!H83</f>
        <v>1165</v>
      </c>
      <c r="J75" s="60">
        <f>'Data Sheet'!I83</f>
        <v>-1814</v>
      </c>
      <c r="K75" s="60">
        <f>'Data Sheet'!J83</f>
        <v>-189</v>
      </c>
      <c r="L75" s="60">
        <f>'Data Sheet'!K83</f>
        <v>546</v>
      </c>
    </row>
    <row r="77" spans="1:13">
      <c r="B77" t="s">
        <v>139</v>
      </c>
      <c r="C77" s="60">
        <f>'Data Sheet'!B84</f>
        <v>-504.84</v>
      </c>
      <c r="D77" s="60">
        <f>'Data Sheet'!C84</f>
        <v>-165.6</v>
      </c>
      <c r="E77" s="60">
        <f>'Data Sheet'!D84</f>
        <v>-252.45</v>
      </c>
      <c r="F77" s="60">
        <f>'Data Sheet'!E84</f>
        <v>-488.83</v>
      </c>
      <c r="G77" s="60">
        <f>'Data Sheet'!F84</f>
        <v>-242</v>
      </c>
      <c r="H77" s="60">
        <f>'Data Sheet'!G84</f>
        <v>-1234</v>
      </c>
      <c r="I77" s="60">
        <f>'Data Sheet'!H84</f>
        <v>-403</v>
      </c>
      <c r="J77" s="60">
        <f>'Data Sheet'!I84</f>
        <v>457</v>
      </c>
      <c r="K77" s="60">
        <f>'Data Sheet'!J84</f>
        <v>-1329</v>
      </c>
      <c r="L77" s="60">
        <f>'Data Sheet'!K84</f>
        <v>-7</v>
      </c>
    </row>
    <row r="79" spans="1:13">
      <c r="B79" s="2" t="s">
        <v>140</v>
      </c>
      <c r="C79" s="70">
        <f t="shared" ref="C79:L79" si="23">IFERROR(C73+C75+C77,0)</f>
        <v>-87.539999999999907</v>
      </c>
      <c r="D79" s="70">
        <f t="shared" si="23"/>
        <v>593.54999999999995</v>
      </c>
      <c r="E79" s="70">
        <f t="shared" si="23"/>
        <v>-205.95</v>
      </c>
      <c r="F79" s="70">
        <f t="shared" si="23"/>
        <v>-42.519999999999925</v>
      </c>
      <c r="G79" s="70">
        <f t="shared" si="23"/>
        <v>-355</v>
      </c>
      <c r="H79" s="70">
        <f t="shared" si="23"/>
        <v>106</v>
      </c>
      <c r="I79" s="70">
        <f t="shared" si="23"/>
        <v>38</v>
      </c>
      <c r="J79" s="70">
        <f t="shared" si="23"/>
        <v>13</v>
      </c>
      <c r="K79" s="70">
        <f t="shared" si="23"/>
        <v>177</v>
      </c>
      <c r="L79" s="70">
        <f t="shared" si="23"/>
        <v>-2</v>
      </c>
    </row>
  </sheetData>
  <mergeCells count="1">
    <mergeCell ref="B2:M2"/>
  </mergeCells>
  <pageMargins left="0.7" right="0.7" top="0.75" bottom="0.75" header="0.3" footer="0.3"/>
  <pageSetup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6E45-0ED7-46FC-B495-FA76E0E81502}">
  <sheetPr>
    <tabColor rgb="FF002060"/>
  </sheetPr>
  <dimension ref="A1"/>
  <sheetViews>
    <sheetView workbookViewId="0">
      <selection activeCell="D2" sqref="C2:D2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WACC</vt:lpstr>
      <vt:lpstr>Forecasting</vt:lpstr>
      <vt:lpstr>Beta - Regression</vt:lpstr>
      <vt:lpstr>Rm</vt:lpstr>
      <vt:lpstr>Intrisic Growth</vt:lpstr>
      <vt:lpstr>DCF</vt:lpstr>
      <vt:lpstr>Ratio Analysis </vt:lpstr>
      <vt:lpstr>HistoricalFS</vt:lpstr>
      <vt:lpstr>Data Room&gt;</vt:lpstr>
      <vt:lpstr>Data Sheet</vt:lpstr>
      <vt:lpstr>Raw FS</vt:lpstr>
      <vt:lpstr>'Data Sheet'!Print_Area</vt:lpstr>
      <vt:lpstr>HistoricalFS!Print_Area</vt:lpstr>
      <vt:lpstr>'Raw FS'!Print_Area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Naman Jain</cp:lastModifiedBy>
  <cp:lastPrinted>2025-10-29T23:33:32Z</cp:lastPrinted>
  <dcterms:created xsi:type="dcterms:W3CDTF">2023-02-06T14:53:36Z</dcterms:created>
  <dcterms:modified xsi:type="dcterms:W3CDTF">2025-10-29T23:36:13Z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{1EE99B22-FCBF-4602-91E6-C0830BFCF47D}</vt:lpwstr>
  </property>
</Properties>
</file>