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db_balance\"/>
    </mc:Choice>
  </mc:AlternateContent>
  <bookViews>
    <workbookView xWindow="19530" yWindow="0" windowWidth="11850" windowHeight="8685" activeTab="1"/>
  </bookViews>
  <sheets>
    <sheet name="Misc Info" sheetId="8" r:id="rId1"/>
    <sheet name="TruckRequireInfo" sheetId="5" r:id="rId2"/>
    <sheet name="TruckLevel" sheetId="7" r:id="rId3"/>
    <sheet name="Reward_balance" sheetId="13" r:id="rId4"/>
    <sheet name="Plant" sheetId="14" r:id="rId5"/>
    <sheet name="Pest" sheetId="15" r:id="rId6"/>
    <sheet name="Mineral" sheetId="1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3" l="1"/>
  <c r="S2" i="13" l="1"/>
  <c r="B3" i="13"/>
  <c r="B4" i="13" s="1"/>
  <c r="B5" i="13" s="1"/>
  <c r="B6" i="13" s="1"/>
  <c r="B7" i="13" s="1"/>
  <c r="B8" i="13" l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E2" i="13" l="1"/>
  <c r="B4" i="7" l="1"/>
  <c r="B5" i="7"/>
  <c r="B6" i="7"/>
  <c r="B7" i="7"/>
  <c r="B8" i="7"/>
  <c r="B9" i="7"/>
  <c r="B10" i="7"/>
  <c r="B11" i="7"/>
  <c r="B3" i="7"/>
  <c r="E3" i="13" l="1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W2" i="5"/>
  <c r="I2" i="13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T2" i="13" l="1"/>
  <c r="S3" i="13"/>
  <c r="T3" i="13" s="1"/>
  <c r="S4" i="13"/>
  <c r="T4" i="13" s="1"/>
  <c r="S5" i="13"/>
  <c r="T5" i="13" s="1"/>
  <c r="S6" i="13"/>
  <c r="T6" i="13" s="1"/>
  <c r="S7" i="13"/>
  <c r="T7" i="13" s="1"/>
  <c r="S8" i="13"/>
  <c r="T8" i="13" s="1"/>
  <c r="S9" i="13"/>
  <c r="T9" i="13" s="1"/>
  <c r="S10" i="13"/>
  <c r="T10" i="13" s="1"/>
  <c r="S11" i="13"/>
  <c r="T11" i="13" s="1"/>
  <c r="S12" i="13"/>
  <c r="T12" i="13" s="1"/>
  <c r="S13" i="13"/>
  <c r="T13" i="13" s="1"/>
  <c r="S14" i="13"/>
  <c r="T14" i="13" s="1"/>
  <c r="S15" i="13"/>
  <c r="T15" i="13" s="1"/>
  <c r="S16" i="13"/>
  <c r="T16" i="13" s="1"/>
  <c r="S17" i="13"/>
  <c r="T17" i="13" s="1"/>
  <c r="S18" i="13"/>
  <c r="T18" i="13" s="1"/>
  <c r="I23" i="7" l="1"/>
  <c r="I22" i="7"/>
  <c r="I21" i="7"/>
  <c r="I20" i="7"/>
  <c r="I19" i="7"/>
  <c r="I18" i="7"/>
  <c r="I17" i="7"/>
  <c r="I16" i="7"/>
  <c r="I15" i="7"/>
  <c r="C23" i="7"/>
  <c r="C22" i="7"/>
  <c r="C21" i="7"/>
  <c r="C18" i="7"/>
  <c r="C19" i="7" s="1"/>
  <c r="C20" i="7" s="1"/>
  <c r="F4" i="7"/>
  <c r="F5" i="7"/>
  <c r="F6" i="7"/>
  <c r="F7" i="7"/>
  <c r="F8" i="7"/>
  <c r="F9" i="7"/>
  <c r="F10" i="7"/>
  <c r="F11" i="7"/>
  <c r="F3" i="7"/>
  <c r="D23" i="7" l="1"/>
  <c r="C4" i="8"/>
  <c r="C6" i="8"/>
  <c r="C5" i="8"/>
  <c r="C7" i="8"/>
  <c r="D16" i="7"/>
  <c r="E16" i="7" s="1"/>
  <c r="F15" i="7"/>
  <c r="F23" i="7"/>
  <c r="L22" i="7"/>
  <c r="F22" i="7" s="1"/>
  <c r="L21" i="7"/>
  <c r="L20" i="7"/>
  <c r="F20" i="7" s="1"/>
  <c r="L19" i="7"/>
  <c r="L18" i="7"/>
  <c r="L17" i="7"/>
  <c r="L16" i="7"/>
  <c r="F16" i="7" s="1"/>
  <c r="L15" i="7"/>
  <c r="E23" i="7"/>
  <c r="D22" i="7"/>
  <c r="E22" i="7" s="1"/>
  <c r="F21" i="7"/>
  <c r="D21" i="7"/>
  <c r="E21" i="7" s="1"/>
  <c r="D20" i="7"/>
  <c r="E20" i="7" s="1"/>
  <c r="F19" i="7"/>
  <c r="D19" i="7"/>
  <c r="E19" i="7" s="1"/>
  <c r="F18" i="7"/>
  <c r="D18" i="7"/>
  <c r="E18" i="7" s="1"/>
  <c r="K18" i="7" s="1"/>
  <c r="F17" i="7"/>
  <c r="D17" i="7"/>
  <c r="E17" i="7" s="1"/>
  <c r="D15" i="7"/>
  <c r="E15" i="7" s="1"/>
  <c r="K14" i="7"/>
  <c r="J2" i="13"/>
  <c r="K22" i="7" l="1"/>
  <c r="K16" i="7"/>
  <c r="K20" i="7"/>
  <c r="K15" i="7"/>
  <c r="K19" i="7"/>
  <c r="K23" i="7"/>
  <c r="K17" i="7"/>
  <c r="K21" i="7"/>
  <c r="C3" i="16" l="1"/>
  <c r="C4" i="16"/>
  <c r="C5" i="16"/>
  <c r="C2" i="16"/>
  <c r="S3" i="5" l="1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2" i="5"/>
  <c r="P2" i="13"/>
  <c r="P3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O3" i="13"/>
  <c r="O4" i="13"/>
  <c r="O5" i="13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2" i="13"/>
  <c r="L2" i="13"/>
  <c r="L3" i="13"/>
  <c r="M3" i="13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2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</calcChain>
</file>

<file path=xl/comments1.xml><?xml version="1.0" encoding="utf-8"?>
<comments xmlns="http://schemas.openxmlformats.org/spreadsheetml/2006/main">
  <authors>
    <author>Tuan. Nguyen Ngoc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Số loại item mỗi chuyến airship yêu cầu. Đây là số MIN. Công thức: Kết quả = Random(MIN, MAX)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Số loại item mỗi chuyến airship yêu cầu. Đây là số MAX. Công thức: Kết quả = Random(MIN, MAX)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Số lượng thùng hàng của mỗi loại item mà airship yêu cầu. Đây là số MIN. Công thức: Kết quả = Random(MIN, MAX)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Số lượng thùng hàng của mỗi loại item mà airship yêu cầu. Đây là số MAX. Công thức: Kết quả = Random(MIN, MAX)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List item loại DỄ, cấu trúc: tên_item:tỉ_lệ_phần_trăm:tên_item:tỉ_lệ_phần_trăm:…
Item yêu cầu là PLANT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List item loại MEDIUM, cấutrúc: tên_item:tỉ_lệ_phần_trăm:tên_item:tỉ_lệ_phần_trăm:…
product thuộc máy bọ 1,2,3: Sấy, nước ép, dệt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 xml:space="preserve">PRODUCT yêu cầu các máy bọ còn lại 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Số lượng item yêu cầu trên mỗi thùng hàng. Đây là số MIN. Công thức: kết quả = Random(MIN, MAX)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Số lượng item yêu cầu trên mỗi thùng hàng. Đây là số MAX. Công thức: kết quả = Random(MIN, MAX)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Số lượng item yêu cầu trên mỗi thùng hàng. Đây là số MIN. Công thức: kết quả = Random(MIN, MAX)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Số lượng item yêu cầu trên mỗi thùng hàng. Đây là số MAX. Công thức: kết quả = Random(MIN, MAX)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Số lượng item yêu cầu trên mỗi thùng hàng. Đây là số MIN. Công thức: kết quả = Random(MIN, MAX)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Số lượng item yêu cầu trên mỗi thùng hàng. Đây là số MAX. Công thức: kết quả = Random(MIN, MAX)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Số lượng item yêu cầu trên mỗi thùng hàng. Đây là số MAX. Công thức: kết quả = Random(MIN, MAX)</t>
        </r>
      </text>
    </comment>
  </commentList>
</comments>
</file>

<file path=xl/comments2.xml><?xml version="1.0" encoding="utf-8"?>
<comments xmlns="http://schemas.openxmlformats.org/spreadsheetml/2006/main">
  <authors>
    <author>Tuan. Nguyen Ngoc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Tên cây trồng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Số gold cơ bản dùng để tính toán khi trả đơn hàng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Số exp cơ bản dùng để tính toán khi trả đơn hàng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Tuan. Nguyen Ngoc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Tên bọ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Số gold cơ bản dùng để tính gold thưởng khi trả order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Số exp cơ bản dùng để tính exp thưởng khi trả order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Tuan. Nguyen Ngoc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Số gold cơ bản dùng để tính gold thưởng khi trả order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Số exp cơ bản dùng để tính exp thưởng khi trả order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<sst xmlns="http://schemas.openxmlformats.org/spreadsheetml/2006/main" count="196" uniqueCount="145">
  <si>
    <t>LEVEL</t>
  </si>
  <si>
    <t>TRUCK_STAY_RATIO</t>
  </si>
  <si>
    <t>TRUCK_MIN_ITEM_TYPE</t>
  </si>
  <si>
    <t>TRUCK_MAX_ITEM_TYPE</t>
  </si>
  <si>
    <t>TRUCK_MIN_BAG_NUM_PER_ITEM_TYPE</t>
  </si>
  <si>
    <t>TRUCK_MAX_BAG_NUM_PER_ITEM_TYPE</t>
  </si>
  <si>
    <t>Hồng:25</t>
  </si>
  <si>
    <t>Hồng:15:Táo:15:Bông:15:Tuyết:15:Oải Hương:15:Dừa:20:Chanh:20:Dưa Hấu:20</t>
  </si>
  <si>
    <t>TRUCK_EASY_REQUEST</t>
  </si>
  <si>
    <t>TRUCK_MEDIUM_REQUEST</t>
  </si>
  <si>
    <t>TRUCK_HARD_REQUEST</t>
  </si>
  <si>
    <t>TRUCK_MIN_NUM_REQUIRE_ITEM_EASY</t>
  </si>
  <si>
    <t>TRUCK_MAX_NUM_REQUIRE_ITEM_EASY</t>
  </si>
  <si>
    <t>TRUCK_MIN_NUM_REQUIRE_ITEM_MEDIUM</t>
  </si>
  <si>
    <t>TRUCK_MAX_NUM_REQUIRE_ITEM_MEDIUM</t>
  </si>
  <si>
    <t>TRUCK_GOLD_COEFFICIENT_RATIO</t>
  </si>
  <si>
    <t>TRUCK_REPUTATION</t>
  </si>
  <si>
    <t>DEFINE</t>
  </si>
  <si>
    <t>TYPE</t>
  </si>
  <si>
    <t>VALUE</t>
  </si>
  <si>
    <t>NOTE</t>
  </si>
  <si>
    <t>int</t>
  </si>
  <si>
    <t>level unlock</t>
  </si>
  <si>
    <t>map_item</t>
  </si>
  <si>
    <t>VÀNG:3500:Nước Thần:1:Keo Dán Mây:1</t>
  </si>
  <si>
    <t>Item cần để unlock tính năng</t>
  </si>
  <si>
    <t>Thời gian chờ để unlock tính năng</t>
  </si>
  <si>
    <t>TRUCK_UNLOCK_LEVEL</t>
  </si>
  <si>
    <t>TRUCK_UNLOCK_REQUIRE_ITEMS</t>
  </si>
  <si>
    <t>TRUCK_UNLOCK_TIME</t>
  </si>
  <si>
    <t>TRUCK_LEAVE_DURATION_MIN</t>
  </si>
  <si>
    <t>TRUCK_INCREASE_STEP</t>
  </si>
  <si>
    <t>TRUCK_LEAVE_DURATION_MAX</t>
  </si>
  <si>
    <t xml:space="preserve">Khoảng thời gian rời đi tối thiểu của xe </t>
  </si>
  <si>
    <t>Bước tăng thời gian rời đi của xe</t>
  </si>
  <si>
    <t>Khoảng thời gian rời đi tối đa của xe</t>
  </si>
  <si>
    <t>TRUCK_MIN_NUM_REQUIRE_ITEM_HARD</t>
  </si>
  <si>
    <t>TRUCK_MAX_NUM_REQUIRE_ITEM_HARD</t>
  </si>
  <si>
    <t>TRUCK_REWARD</t>
  </si>
  <si>
    <t>TRUCK_EXP_COEFFICIENT_RATIO</t>
  </si>
  <si>
    <t>DELIVERY REQ</t>
  </si>
  <si>
    <t>GOLD_UPGRADE</t>
  </si>
  <si>
    <t>ARRIVE_REDUCE_TIME</t>
  </si>
  <si>
    <t>EXP_BONUS</t>
  </si>
  <si>
    <t>GOLD_BONUS</t>
  </si>
  <si>
    <t>UPGRADE_RATIO</t>
  </si>
  <si>
    <t>TRUCK_MIN_EASY_ITEM_TYPE</t>
  </si>
  <si>
    <t>TRUCK_MAX_EASY_ITEM_TYPE</t>
  </si>
  <si>
    <t>TRUCK_MIN_MEDIUM_ITEM_TYPE</t>
  </si>
  <si>
    <t>TRUCK_MAX_MEDIUM_ITEM_TYPE</t>
  </si>
  <si>
    <t>Số loại item dễ yêu cầu tối thiểu</t>
  </si>
  <si>
    <t>Số loại item dễ yêu cầu tối đa</t>
  </si>
  <si>
    <t>Số loại item vừa yêu cầu tối thiểu</t>
  </si>
  <si>
    <t>Số loại item vừa yêu cầu tối đa</t>
  </si>
  <si>
    <t>NAME</t>
  </si>
  <si>
    <t>Event Tree 1</t>
  </si>
  <si>
    <t>HỒNG</t>
  </si>
  <si>
    <t>TÁO</t>
  </si>
  <si>
    <t>BÔNG</t>
  </si>
  <si>
    <t>TUYẾT</t>
  </si>
  <si>
    <t>OẢI HƯƠNG</t>
  </si>
  <si>
    <t>DỪA</t>
  </si>
  <si>
    <t>CHANH</t>
  </si>
  <si>
    <t>DƯA HẤU</t>
  </si>
  <si>
    <t>TRÀ</t>
  </si>
  <si>
    <t>MÍT</t>
  </si>
  <si>
    <t>DỨA</t>
  </si>
  <si>
    <t>XOÀI</t>
  </si>
  <si>
    <t>NHO</t>
  </si>
  <si>
    <t>LÀI</t>
  </si>
  <si>
    <t>CÚC</t>
  </si>
  <si>
    <t>BI</t>
  </si>
  <si>
    <t>SEN</t>
  </si>
  <si>
    <t>HƯỚNG DƯƠNG</t>
  </si>
  <si>
    <t>VIỆT QUẤT</t>
  </si>
  <si>
    <t>DÂU</t>
  </si>
  <si>
    <t>GOLD_BASIC</t>
  </si>
  <si>
    <t>EXP_BASIC</t>
  </si>
  <si>
    <t>BỌ RÙA</t>
  </si>
  <si>
    <t>ĐOM ĐÓM</t>
  </si>
  <si>
    <t>ỐC SÊN</t>
  </si>
  <si>
    <t>CHUỒN CHUỒN</t>
  </si>
  <si>
    <t>BƯỚM</t>
  </si>
  <si>
    <t>ONG</t>
  </si>
  <si>
    <t>SÂU XANH</t>
  </si>
  <si>
    <t>THỎI ĐỒNG</t>
  </si>
  <si>
    <t>THỎI BẠC</t>
  </si>
  <si>
    <t>THỎI VÀNG</t>
  </si>
  <si>
    <t>THỎI BẠCH KIM</t>
  </si>
  <si>
    <t>Vàng</t>
  </si>
  <si>
    <t>Kinh Nghiệm</t>
  </si>
  <si>
    <t>PLANT</t>
  </si>
  <si>
    <t>PEST</t>
  </si>
  <si>
    <t>MINERAL</t>
  </si>
  <si>
    <t>NUM</t>
  </si>
  <si>
    <t>num</t>
  </si>
  <si>
    <t>Day</t>
  </si>
  <si>
    <t>delivery REQ</t>
  </si>
  <si>
    <t>Gold upgrade</t>
  </si>
  <si>
    <t>Upgrade rate</t>
  </si>
  <si>
    <t>Arrive reduce time</t>
  </si>
  <si>
    <t>XP % bonus</t>
  </si>
  <si>
    <t>Gold % bonus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</si>
  <si>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</si>
  <si>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</si>
  <si>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</si>
  <si>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</si>
  <si>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</si>
  <si>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</si>
  <si>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</si>
  <si>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</si>
  <si>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</si>
  <si>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</si>
  <si>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Táo:25</t>
  </si>
  <si>
    <t>Hồng:25:Táo:25</t>
  </si>
  <si>
    <t>Bông:25:Tuyết:25</t>
  </si>
  <si>
    <t>Bông:25</t>
  </si>
  <si>
    <t>Oải Hương:25:Dừa:25</t>
  </si>
  <si>
    <t>Hồng:25:Táo:25:Bông:25:Tuyết:25</t>
  </si>
  <si>
    <t>Hồng:20:Táo:20:Bông:20:Tuyết:20:Oải Hương:20:Dừa:20</t>
  </si>
  <si>
    <t>Hồng:20:Táo:20:Bông:20:Tuyết:20:Oải Hương:20:Dừa:20:Chanh:20</t>
  </si>
  <si>
    <t>STAY</t>
  </si>
  <si>
    <t>BAG_NUM</t>
  </si>
  <si>
    <t>RANDOM</t>
  </si>
  <si>
    <t>HOURS</t>
  </si>
  <si>
    <t>Balancing</t>
  </si>
  <si>
    <t>Chanh:20:Dưa Hấu:25:Trà:25</t>
  </si>
  <si>
    <t>Trà:20:Mít:20:Dứa:20:Xoài:20</t>
  </si>
  <si>
    <t>Dưa Hấu:20:Trà:20:Mít:20:Dứa:20</t>
  </si>
  <si>
    <t>Hồng:10:Táo:10:Bông:10:Tuyết:10:Oải Hương:15:Dừa:20:Chanh:20:Dưa Hấu:20</t>
  </si>
  <si>
    <t>Trà:20:Mít:15:Dứa:15:Xoài:20:Nho:20:Lài:20:Cúc:20</t>
  </si>
  <si>
    <t>Trà:20:Mít:15:Dứa:15:Xoài:20:Nho:20:Lài:20:Cúc:20:Bi:20</t>
  </si>
  <si>
    <t>Trà:20:Mít:15:Dứa:15:Xoài:15:Nho:15:Lài:20:Cúc:20:Bi:20</t>
  </si>
  <si>
    <t>Hồng:5:Táo:5:Bông:5:Tuyết:5:Oải Hương:10:Dừa:15:Chanh:15:Dưa Hấu:20</t>
  </si>
  <si>
    <t>Trà:15:Mít:15:Dứa:15:Xoài:20:Nho:20</t>
  </si>
  <si>
    <t>Trà:20:Mít:15:Dứa:15:Xoài:20:Nho:20:Lài:20</t>
  </si>
  <si>
    <t>Chanh:25:Dưa Hấu:25:Bọ Rùa:7:Ốc Sên:7:Đom Đóm:7</t>
  </si>
  <si>
    <t>Mít:25:Dứa:25:Bọ Rùa:12:Ong:7:Ốc Sên:12:Chuồn Chuồn:7:Đom Đóm:12:Bướm:7:Thỏi Đồng:25</t>
  </si>
  <si>
    <t>Xoài:20:Nho:20:Lài:20:Bọ Rùa:12:Ong:7:Ốc Sên:12:Chuồn Chuồn:7:Đom Đóm:12:Bướm:7:Sâu Xanh:5:Thỏi Đồng:25:Thỏi Bạc:25</t>
  </si>
  <si>
    <t>Nho:20:Lài:20:Cúc:20:Bọ Rùa:12:Ong:7:Ốc Sên:12:Chuồn Chuồn:7:Đom Đóm:12:Bướm:7:Sâu Xanh:5:Thỏi Đồng:25:Thỏi Bạc:25</t>
  </si>
  <si>
    <t>Lài:20:Cúc:20:Bi:20:Bọ Rùa:12:Ong:7:Ốc Sên:12:Chuồn Chuồn:7:Đom Đóm:12:Bướm:7:Sâu Xanh:5:Thỏi Đồng:25:Thỏi Bạc:25</t>
  </si>
  <si>
    <t>Cúc:20:Bi:20:Sen:20:Bọ Rùa:12:Ong:12:Ốc Sên:12:Chuồn Chuồn:12:Đom Đóm:12:Bướm:12:Sâu Xanh:12:Thỏi Đồng:25:Thỏi Bạc:25</t>
  </si>
  <si>
    <t>Bi:20:Sen:20:Hướng Dương:20:Bọ Rùa:12:Ong:12:Ốc Sên:12:Chuồn Chuồn:12:Đom Đóm:12:Bướm:12:Sâu Xanh:12:Thỏi Đồng:25:Thỏi Bạc:25:Thỏi Vàng:25:Thỏi Bạch Kim:25</t>
  </si>
  <si>
    <t>Sen:20:Hướng Dương:20:Việt Quất:20:Bọ Rùa:12:Ong:12:Ốc Sên:12:Chuồn Chuồn:12:Đom Đóm:12:Bướm:12:Sâu Xanh:12:Thỏi Đồng:25:Thỏi Bạc:25:Thỏi Vàng:25:Thỏi Bạch Kim:25</t>
  </si>
  <si>
    <t>Sen:20:Hướng Dương:25:Việt Quất:25:Dâu:25:Bọ Rùa:12:Ong:12:Ốc Sên:12:Chuồn Chuồn:12:Đom Đóm:12:Bướm:12:Sâu Xanh:12:Thỏi Đồng:25:Thỏi Bạc:25:Thỏi Vàng:25:Thỏi Bạch Kim:25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</si>
</sst>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2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3" borderId="2" applyNumberFormat="0" applyFont="0" applyAlignment="0" applyProtection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1" xfId="0" applyFont="1" applyFill="1" applyBorder="1"/>
    <xf numFmtId="0" fontId="2" fillId="0" borderId="1" xfId="0" applyNumberFormat="1" applyFont="1" applyFill="1" applyBorder="1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/>
    <xf numFmtId="1" fontId="2" fillId="0" borderId="1" xfId="0" applyNumberFormat="1" applyFont="1" applyFill="1" applyBorder="1"/>
    <xf numFmtId="164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NumberFormat="1" applyFill="1" applyBorder="1" applyAlignment="1">
      <alignment horizontal="right"/>
    </xf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3" borderId="2" xfId="1" applyFont="1"/>
    <xf numFmtId="0" fontId="0" fillId="0" borderId="3" xfId="0" applyNumberFormat="1" applyFill="1" applyBorder="1" applyAlignment="1">
      <alignment horizontal="right"/>
    </xf>
    <xf numFmtId="49" fontId="9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/>
    <xf numFmtId="4" fontId="6" fillId="0" borderId="1" xfId="0" applyNumberFormat="1" applyFont="1" applyFill="1" applyBorder="1"/>
    <xf numFmtId="4" fontId="0" fillId="0" borderId="1" xfId="0" applyNumberFormat="1" applyFont="1" applyFill="1" applyBorder="1"/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8" fillId="6" borderId="0" xfId="0" applyFont="1" applyFill="1"/>
    <xf numFmtId="0" fontId="8" fillId="7" borderId="0" xfId="0" applyFont="1" applyFill="1"/>
    <xf numFmtId="49" fontId="10" fillId="5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0" fontId="2" fillId="4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5" fillId="6" borderId="0" xfId="0" applyFont="1" applyFill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1" fontId="2" fillId="0" borderId="4" xfId="0" applyNumberFormat="1" applyFont="1" applyFill="1" applyBorder="1"/>
    <xf numFmtId="2" fontId="2" fillId="0" borderId="0" xfId="0" applyNumberFormat="1" applyFont="1" applyFill="1"/>
    <xf numFmtId="0" fontId="11" fillId="0" borderId="0" xfId="0" applyFont="1"/>
    <xf numFmtId="0" fontId="11" fillId="0" borderId="0" xfId="0" applyFont="1" applyAlignment="1">
      <alignment horizontal="right"/>
    </xf>
    <xf numFmtId="166" fontId="11" fillId="0" borderId="0" xfId="2" applyNumberFormat="1" applyFont="1"/>
    <xf numFmtId="166" fontId="0" fillId="0" borderId="0" xfId="2" applyNumberFormat="1" applyFont="1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2" fontId="0" fillId="0" borderId="0" xfId="0" applyNumberFormat="1"/>
    <xf numFmtId="1" fontId="0" fillId="0" borderId="0" xfId="0" applyNumberFormat="1" applyFill="1"/>
  </cellXfs>
  <cellStyles count="3">
    <cellStyle name="Comma" xfId="2" builtinId="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12"/>
  <sheetViews>
    <sheetView workbookViewId="0">
      <selection activeCell="G25" sqref="G25"/>
    </sheetView>
  </sheetViews>
  <sheetFormatPr defaultRowHeight="15" x14ac:dyDescent="0.25"/>
  <cols>
    <col min="1" max="1" width="30.5703125" bestFit="1" customWidth="1"/>
    <col min="2" max="2" width="10" bestFit="1" customWidth="1"/>
    <col min="3" max="3" width="37" bestFit="1" customWidth="1"/>
    <col min="4" max="4" width="37.5703125" bestFit="1" customWidth="1"/>
  </cols>
  <sheetData>
    <row r="1" spans="1:4" x14ac:dyDescent="0.25">
      <c r="A1" s="12" t="s">
        <v>17</v>
      </c>
      <c r="B1" s="13" t="s">
        <v>18</v>
      </c>
      <c r="C1" s="13" t="s">
        <v>19</v>
      </c>
      <c r="D1" s="14" t="s">
        <v>20</v>
      </c>
    </row>
    <row r="2" spans="1:4" x14ac:dyDescent="0.25">
      <c r="A2" s="15" t="s">
        <v>27</v>
      </c>
      <c r="B2" s="16" t="s">
        <v>21</v>
      </c>
      <c r="C2" s="17">
        <v>9</v>
      </c>
      <c r="D2" s="11" t="s">
        <v>22</v>
      </c>
    </row>
    <row r="3" spans="1:4" x14ac:dyDescent="0.25">
      <c r="A3" s="15" t="s">
        <v>28</v>
      </c>
      <c r="B3" s="16" t="s">
        <v>23</v>
      </c>
      <c r="C3" s="18" t="s">
        <v>24</v>
      </c>
      <c r="D3" s="11" t="s">
        <v>25</v>
      </c>
    </row>
    <row r="4" spans="1:4" x14ac:dyDescent="0.25">
      <c r="A4" s="15" t="s">
        <v>29</v>
      </c>
      <c r="B4" s="16" t="s">
        <v>21</v>
      </c>
      <c r="C4" s="17">
        <f>24*60*60</f>
        <v>86400</v>
      </c>
      <c r="D4" s="11" t="s">
        <v>26</v>
      </c>
    </row>
    <row r="5" spans="1:4" x14ac:dyDescent="0.25">
      <c r="A5" s="15" t="s">
        <v>30</v>
      </c>
      <c r="B5" s="16" t="s">
        <v>21</v>
      </c>
      <c r="C5" s="16">
        <f>1*60*60</f>
        <v>3600</v>
      </c>
      <c r="D5" s="15" t="s">
        <v>33</v>
      </c>
    </row>
    <row r="6" spans="1:4" x14ac:dyDescent="0.25">
      <c r="A6" s="15" t="s">
        <v>31</v>
      </c>
      <c r="B6" s="16" t="s">
        <v>21</v>
      </c>
      <c r="C6" s="16">
        <f>15*60</f>
        <v>900</v>
      </c>
      <c r="D6" s="15" t="s">
        <v>34</v>
      </c>
    </row>
    <row r="7" spans="1:4" x14ac:dyDescent="0.25">
      <c r="A7" s="15" t="s">
        <v>32</v>
      </c>
      <c r="B7" s="16" t="s">
        <v>21</v>
      </c>
      <c r="C7" s="16">
        <f>2*60*60</f>
        <v>7200</v>
      </c>
      <c r="D7" s="15" t="s">
        <v>35</v>
      </c>
    </row>
    <row r="8" spans="1:4" x14ac:dyDescent="0.25">
      <c r="A8" s="15" t="s">
        <v>46</v>
      </c>
      <c r="B8" s="16" t="s">
        <v>21</v>
      </c>
      <c r="C8" s="16">
        <v>1</v>
      </c>
      <c r="D8" s="15" t="s">
        <v>50</v>
      </c>
    </row>
    <row r="9" spans="1:4" x14ac:dyDescent="0.25">
      <c r="A9" s="15" t="s">
        <v>47</v>
      </c>
      <c r="B9" s="16" t="s">
        <v>21</v>
      </c>
      <c r="C9" s="16">
        <v>1</v>
      </c>
      <c r="D9" s="15" t="s">
        <v>51</v>
      </c>
    </row>
    <row r="10" spans="1:4" x14ac:dyDescent="0.25">
      <c r="A10" s="15" t="s">
        <v>48</v>
      </c>
      <c r="B10" s="16" t="s">
        <v>21</v>
      </c>
      <c r="C10" s="16">
        <v>1</v>
      </c>
      <c r="D10" s="15" t="s">
        <v>52</v>
      </c>
    </row>
    <row r="11" spans="1:4" x14ac:dyDescent="0.25">
      <c r="A11" s="15" t="s">
        <v>49</v>
      </c>
      <c r="B11" s="16" t="s">
        <v>21</v>
      </c>
      <c r="C11" s="16">
        <v>1</v>
      </c>
      <c r="D11" s="15" t="s">
        <v>53</v>
      </c>
    </row>
    <row r="12" spans="1:4" x14ac:dyDescent="0.25">
      <c r="C12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W18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K17" sqref="K17"/>
    </sheetView>
  </sheetViews>
  <sheetFormatPr defaultRowHeight="15" x14ac:dyDescent="0.25"/>
  <cols>
    <col min="1" max="1" width="9.140625" style="4"/>
    <col min="2" max="2" width="24.140625" style="4" bestFit="1" customWidth="1"/>
    <col min="3" max="4" width="32" style="4" bestFit="1" customWidth="1"/>
    <col min="5" max="5" width="22.42578125" style="4" bestFit="1" customWidth="1"/>
    <col min="6" max="6" width="24" style="4" bestFit="1" customWidth="1"/>
    <col min="7" max="8" width="41.140625" style="4" bestFit="1" customWidth="1"/>
    <col min="9" max="9" width="76.5703125" style="10" customWidth="1"/>
    <col min="10" max="10" width="56.5703125" style="10" customWidth="1"/>
    <col min="11" max="11" width="166" style="10" bestFit="1" customWidth="1"/>
    <col min="12" max="12" width="38.28515625" style="4" bestFit="1" customWidth="1"/>
    <col min="13" max="13" width="38.7109375" style="4" bestFit="1" customWidth="1"/>
    <col min="14" max="14" width="41.5703125" style="4" bestFit="1" customWidth="1"/>
    <col min="15" max="15" width="42.140625" style="4" bestFit="1" customWidth="1"/>
    <col min="16" max="16" width="38.28515625" style="4" bestFit="1" customWidth="1"/>
    <col min="17" max="17" width="38.7109375" style="4" bestFit="1" customWidth="1"/>
    <col min="18" max="18" width="20.7109375" style="4" bestFit="1" customWidth="1"/>
    <col min="19" max="19" width="41.140625" customWidth="1"/>
    <col min="20" max="20" width="22.5703125" customWidth="1"/>
  </cols>
  <sheetData>
    <row r="1" spans="1:23" x14ac:dyDescent="0.25">
      <c r="A1" s="1" t="s">
        <v>0</v>
      </c>
      <c r="B1" s="5" t="s">
        <v>1</v>
      </c>
      <c r="C1" s="27" t="s">
        <v>15</v>
      </c>
      <c r="D1" s="27" t="s">
        <v>39</v>
      </c>
      <c r="E1" s="5" t="s">
        <v>2</v>
      </c>
      <c r="F1" s="5" t="s">
        <v>3</v>
      </c>
      <c r="G1" s="5" t="s">
        <v>4</v>
      </c>
      <c r="H1" s="5" t="s">
        <v>5</v>
      </c>
      <c r="I1" s="8" t="s">
        <v>8</v>
      </c>
      <c r="J1" s="8" t="s">
        <v>9</v>
      </c>
      <c r="K1" s="8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36</v>
      </c>
      <c r="Q1" s="5" t="s">
        <v>37</v>
      </c>
      <c r="R1" s="5" t="s">
        <v>16</v>
      </c>
      <c r="S1" s="5" t="s">
        <v>38</v>
      </c>
      <c r="T1" s="42" t="s">
        <v>90</v>
      </c>
      <c r="U1" s="42" t="s">
        <v>95</v>
      </c>
      <c r="V1" s="42" t="s">
        <v>89</v>
      </c>
      <c r="W1" s="42" t="s">
        <v>95</v>
      </c>
    </row>
    <row r="2" spans="1:23" s="24" customFormat="1" x14ac:dyDescent="0.25">
      <c r="A2" s="2">
        <v>0</v>
      </c>
      <c r="B2" s="6">
        <v>1.17</v>
      </c>
      <c r="C2" s="6">
        <v>2.4074074074074074</v>
      </c>
      <c r="D2" s="6">
        <v>3.6111111111111112</v>
      </c>
      <c r="E2" s="7">
        <v>2</v>
      </c>
      <c r="F2" s="7">
        <v>2</v>
      </c>
      <c r="G2" s="7">
        <v>2</v>
      </c>
      <c r="H2" s="7">
        <v>2</v>
      </c>
      <c r="I2" s="9" t="s">
        <v>6</v>
      </c>
      <c r="J2" s="9" t="s">
        <v>113</v>
      </c>
      <c r="K2" s="9" t="s">
        <v>116</v>
      </c>
      <c r="L2" s="7">
        <v>8</v>
      </c>
      <c r="M2" s="7">
        <v>10</v>
      </c>
      <c r="N2" s="7">
        <v>6</v>
      </c>
      <c r="O2" s="7">
        <v>8</v>
      </c>
      <c r="P2" s="7">
        <v>4</v>
      </c>
      <c r="Q2" s="7">
        <v>6</v>
      </c>
      <c r="R2" s="7">
        <v>2</v>
      </c>
      <c r="S2" s="23" t="str">
        <f>CONCATENATE($T$1&amp;":"&amp;U2)</f>
        <v>Kinh Nghiệm:200</v>
      </c>
      <c r="U2" s="43">
        <v>200</v>
      </c>
      <c r="W2" s="24">
        <f>ROUNDUP(U2/3,0)</f>
        <v>67</v>
      </c>
    </row>
    <row r="3" spans="1:23" s="24" customFormat="1" x14ac:dyDescent="0.25">
      <c r="A3" s="2">
        <v>10</v>
      </c>
      <c r="B3" s="6">
        <v>1.17</v>
      </c>
      <c r="C3" s="6">
        <v>2.2222222222222223</v>
      </c>
      <c r="D3" s="6">
        <v>3.3333333333333335</v>
      </c>
      <c r="E3" s="7">
        <v>2</v>
      </c>
      <c r="F3" s="7">
        <v>2</v>
      </c>
      <c r="G3" s="7">
        <v>2</v>
      </c>
      <c r="H3" s="7">
        <v>3</v>
      </c>
      <c r="I3" s="9" t="s">
        <v>114</v>
      </c>
      <c r="J3" s="9" t="s">
        <v>115</v>
      </c>
      <c r="K3" s="9" t="s">
        <v>117</v>
      </c>
      <c r="L3" s="7">
        <v>8</v>
      </c>
      <c r="M3" s="7">
        <v>10</v>
      </c>
      <c r="N3" s="7">
        <v>6</v>
      </c>
      <c r="O3" s="7">
        <v>8</v>
      </c>
      <c r="P3" s="7">
        <v>4</v>
      </c>
      <c r="Q3" s="7">
        <v>6</v>
      </c>
      <c r="R3" s="7">
        <v>2</v>
      </c>
      <c r="S3" s="23" t="str">
        <f t="shared" ref="S3:S18" si="0">CONCATENATE($T$1&amp;":"&amp;U3)</f>
        <v>Kinh Nghiệm:250</v>
      </c>
      <c r="U3" s="43">
        <v>250</v>
      </c>
      <c r="W3" s="24">
        <f t="shared" ref="W3:W18" si="1">ROUNDUP(U3/3,0)</f>
        <v>84</v>
      </c>
    </row>
    <row r="4" spans="1:23" s="24" customFormat="1" x14ac:dyDescent="0.25">
      <c r="A4" s="3">
        <v>20</v>
      </c>
      <c r="B4" s="6">
        <v>1.17</v>
      </c>
      <c r="C4" s="6">
        <v>2.0370370370370372</v>
      </c>
      <c r="D4" s="6">
        <v>3.0555555555555558</v>
      </c>
      <c r="E4" s="7">
        <v>3</v>
      </c>
      <c r="F4" s="7">
        <v>3</v>
      </c>
      <c r="G4" s="7">
        <v>2</v>
      </c>
      <c r="H4" s="7">
        <v>2</v>
      </c>
      <c r="I4" s="9" t="s">
        <v>118</v>
      </c>
      <c r="J4" s="9" t="s">
        <v>117</v>
      </c>
      <c r="K4" s="9" t="s">
        <v>136</v>
      </c>
      <c r="L4" s="7">
        <v>8</v>
      </c>
      <c r="M4" s="7">
        <v>10</v>
      </c>
      <c r="N4" s="7">
        <v>8</v>
      </c>
      <c r="O4" s="7">
        <v>10</v>
      </c>
      <c r="P4" s="7">
        <v>2</v>
      </c>
      <c r="Q4" s="7">
        <v>3</v>
      </c>
      <c r="R4" s="7">
        <v>2</v>
      </c>
      <c r="S4" s="23" t="str">
        <f t="shared" si="0"/>
        <v>Kinh Nghiệm:500</v>
      </c>
      <c r="U4" s="43">
        <v>500</v>
      </c>
      <c r="W4" s="24">
        <f t="shared" si="1"/>
        <v>167</v>
      </c>
    </row>
    <row r="5" spans="1:23" s="24" customFormat="1" x14ac:dyDescent="0.25">
      <c r="A5" s="3">
        <v>30</v>
      </c>
      <c r="B5" s="6">
        <v>1.17</v>
      </c>
      <c r="C5" s="6">
        <v>1.8518518518518521</v>
      </c>
      <c r="D5" s="6">
        <v>2.7777777777777781</v>
      </c>
      <c r="E5" s="7">
        <v>3</v>
      </c>
      <c r="F5" s="7">
        <v>3</v>
      </c>
      <c r="G5" s="7">
        <v>2</v>
      </c>
      <c r="H5" s="7">
        <v>2</v>
      </c>
      <c r="I5" s="9" t="s">
        <v>119</v>
      </c>
      <c r="J5" s="9" t="s">
        <v>126</v>
      </c>
      <c r="K5" s="9" t="s">
        <v>137</v>
      </c>
      <c r="L5" s="7">
        <v>10</v>
      </c>
      <c r="M5" s="7">
        <v>15</v>
      </c>
      <c r="N5" s="7">
        <v>8</v>
      </c>
      <c r="O5" s="7">
        <v>10</v>
      </c>
      <c r="P5" s="7">
        <v>2</v>
      </c>
      <c r="Q5" s="7">
        <v>3</v>
      </c>
      <c r="R5" s="7">
        <v>4</v>
      </c>
      <c r="S5" s="23" t="str">
        <f t="shared" si="0"/>
        <v>Kinh Nghiệm:1250</v>
      </c>
      <c r="U5" s="43">
        <v>1250</v>
      </c>
      <c r="V5" s="52"/>
      <c r="W5" s="24">
        <f t="shared" si="1"/>
        <v>417</v>
      </c>
    </row>
    <row r="6" spans="1:23" s="24" customFormat="1" x14ac:dyDescent="0.25">
      <c r="A6" s="3">
        <v>40</v>
      </c>
      <c r="B6" s="6">
        <v>1.17</v>
      </c>
      <c r="C6" s="6">
        <v>1.6666666666666667</v>
      </c>
      <c r="D6" s="6">
        <v>2.5</v>
      </c>
      <c r="E6" s="7">
        <v>3</v>
      </c>
      <c r="F6" s="7">
        <v>3</v>
      </c>
      <c r="G6" s="7">
        <v>2</v>
      </c>
      <c r="H6" s="7">
        <v>2</v>
      </c>
      <c r="I6" s="9" t="s">
        <v>120</v>
      </c>
      <c r="J6" s="9" t="s">
        <v>128</v>
      </c>
      <c r="K6" s="9" t="s">
        <v>138</v>
      </c>
      <c r="L6" s="7">
        <v>10</v>
      </c>
      <c r="M6" s="7">
        <v>15</v>
      </c>
      <c r="N6" s="7">
        <v>8</v>
      </c>
      <c r="O6" s="7">
        <v>10</v>
      </c>
      <c r="P6" s="7">
        <v>2</v>
      </c>
      <c r="Q6" s="7">
        <v>3</v>
      </c>
      <c r="R6" s="7">
        <v>4</v>
      </c>
      <c r="S6" s="23" t="str">
        <f t="shared" si="0"/>
        <v>Kinh Nghiệm:1500</v>
      </c>
      <c r="U6" s="43">
        <v>1500</v>
      </c>
      <c r="W6" s="24">
        <f t="shared" si="1"/>
        <v>500</v>
      </c>
    </row>
    <row r="7" spans="1:23" s="24" customFormat="1" x14ac:dyDescent="0.25">
      <c r="A7" s="2">
        <v>50</v>
      </c>
      <c r="B7" s="6">
        <v>1.17</v>
      </c>
      <c r="C7" s="6">
        <v>1.4814814814814816</v>
      </c>
      <c r="D7" s="6">
        <v>2.2222222222222223</v>
      </c>
      <c r="E7" s="7">
        <v>3</v>
      </c>
      <c r="F7" s="7">
        <v>3</v>
      </c>
      <c r="G7" s="7">
        <v>2</v>
      </c>
      <c r="H7" s="7">
        <v>2</v>
      </c>
      <c r="I7" s="9" t="s">
        <v>7</v>
      </c>
      <c r="J7" s="9" t="s">
        <v>127</v>
      </c>
      <c r="K7" s="9" t="s">
        <v>139</v>
      </c>
      <c r="L7" s="7">
        <v>10</v>
      </c>
      <c r="M7" s="7">
        <v>15</v>
      </c>
      <c r="N7" s="7">
        <v>10</v>
      </c>
      <c r="O7" s="7">
        <v>15</v>
      </c>
      <c r="P7" s="7">
        <v>2</v>
      </c>
      <c r="Q7" s="7">
        <v>3</v>
      </c>
      <c r="R7" s="7">
        <v>4</v>
      </c>
      <c r="S7" s="23" t="str">
        <f t="shared" si="0"/>
        <v>Kinh Nghiệm:1750</v>
      </c>
      <c r="U7" s="43">
        <v>1750</v>
      </c>
      <c r="W7" s="24">
        <f t="shared" si="1"/>
        <v>584</v>
      </c>
    </row>
    <row r="8" spans="1:23" s="24" customFormat="1" x14ac:dyDescent="0.25">
      <c r="A8" s="3">
        <v>60</v>
      </c>
      <c r="B8" s="6">
        <v>1.17</v>
      </c>
      <c r="C8" s="6">
        <v>1.2962962962962965</v>
      </c>
      <c r="D8" s="6">
        <v>1.9444444444444446</v>
      </c>
      <c r="E8" s="7">
        <v>3</v>
      </c>
      <c r="F8" s="7">
        <v>3</v>
      </c>
      <c r="G8" s="7">
        <v>2</v>
      </c>
      <c r="H8" s="7">
        <v>2</v>
      </c>
      <c r="I8" s="9" t="s">
        <v>129</v>
      </c>
      <c r="J8" s="9" t="s">
        <v>134</v>
      </c>
      <c r="K8" s="9" t="s">
        <v>140</v>
      </c>
      <c r="L8" s="7">
        <v>15</v>
      </c>
      <c r="M8" s="7">
        <v>20</v>
      </c>
      <c r="N8" s="7">
        <v>10</v>
      </c>
      <c r="O8" s="7">
        <v>15</v>
      </c>
      <c r="P8" s="7">
        <v>2</v>
      </c>
      <c r="Q8" s="7">
        <v>3</v>
      </c>
      <c r="R8" s="7">
        <v>6</v>
      </c>
      <c r="S8" s="23" t="str">
        <f t="shared" si="0"/>
        <v>Kinh Nghiệm:2000</v>
      </c>
      <c r="U8" s="43">
        <v>2000</v>
      </c>
      <c r="W8" s="24">
        <f t="shared" si="1"/>
        <v>667</v>
      </c>
    </row>
    <row r="9" spans="1:23" s="24" customFormat="1" x14ac:dyDescent="0.25">
      <c r="A9" s="2">
        <v>70</v>
      </c>
      <c r="B9" s="6">
        <v>1.17</v>
      </c>
      <c r="C9" s="6">
        <v>1.1111111111111112</v>
      </c>
      <c r="D9" s="6">
        <v>1.6666666666666667</v>
      </c>
      <c r="E9" s="7">
        <v>3</v>
      </c>
      <c r="F9" s="7">
        <v>3</v>
      </c>
      <c r="G9" s="7">
        <v>2</v>
      </c>
      <c r="H9" s="7">
        <v>2</v>
      </c>
      <c r="I9" s="9" t="s">
        <v>129</v>
      </c>
      <c r="J9" s="9" t="s">
        <v>135</v>
      </c>
      <c r="K9" s="9" t="s">
        <v>141</v>
      </c>
      <c r="L9" s="7">
        <v>15</v>
      </c>
      <c r="M9" s="7">
        <v>20</v>
      </c>
      <c r="N9" s="7">
        <v>10</v>
      </c>
      <c r="O9" s="7">
        <v>15</v>
      </c>
      <c r="P9" s="7">
        <v>3</v>
      </c>
      <c r="Q9" s="7">
        <v>4</v>
      </c>
      <c r="R9" s="7">
        <v>6</v>
      </c>
      <c r="S9" s="23" t="str">
        <f t="shared" si="0"/>
        <v>Kinh Nghiệm:2250</v>
      </c>
      <c r="U9" s="43">
        <v>2250</v>
      </c>
      <c r="W9" s="24">
        <f t="shared" si="1"/>
        <v>750</v>
      </c>
    </row>
    <row r="10" spans="1:23" s="24" customFormat="1" x14ac:dyDescent="0.25">
      <c r="A10" s="2">
        <v>80</v>
      </c>
      <c r="B10" s="6">
        <v>1.17</v>
      </c>
      <c r="C10" s="6">
        <v>0.92592592592592604</v>
      </c>
      <c r="D10" s="6">
        <v>1.3888888888888891</v>
      </c>
      <c r="E10" s="7">
        <v>3</v>
      </c>
      <c r="F10" s="7">
        <v>3</v>
      </c>
      <c r="G10" s="7">
        <v>2</v>
      </c>
      <c r="H10" s="7">
        <v>2</v>
      </c>
      <c r="I10" s="9" t="s">
        <v>129</v>
      </c>
      <c r="J10" s="9" t="s">
        <v>130</v>
      </c>
      <c r="K10" s="9" t="s">
        <v>142</v>
      </c>
      <c r="L10" s="7">
        <v>20</v>
      </c>
      <c r="M10" s="7">
        <v>25</v>
      </c>
      <c r="N10" s="7">
        <v>10</v>
      </c>
      <c r="O10" s="7">
        <v>15</v>
      </c>
      <c r="P10" s="7">
        <v>3</v>
      </c>
      <c r="Q10" s="7">
        <v>4</v>
      </c>
      <c r="R10" s="7">
        <v>6</v>
      </c>
      <c r="S10" s="23" t="str">
        <f t="shared" si="0"/>
        <v>Kinh Nghiệm:2500</v>
      </c>
      <c r="U10" s="43">
        <v>2500</v>
      </c>
      <c r="W10" s="24">
        <f t="shared" si="1"/>
        <v>834</v>
      </c>
    </row>
    <row r="11" spans="1:23" s="24" customFormat="1" x14ac:dyDescent="0.25">
      <c r="A11" s="2">
        <v>90</v>
      </c>
      <c r="B11" s="6">
        <v>1.17</v>
      </c>
      <c r="C11" s="6">
        <v>0.74074074074074081</v>
      </c>
      <c r="D11" s="6">
        <v>1.1111111111111112</v>
      </c>
      <c r="E11" s="7">
        <v>3</v>
      </c>
      <c r="F11" s="7">
        <v>3</v>
      </c>
      <c r="G11" s="7">
        <v>2</v>
      </c>
      <c r="H11" s="7">
        <v>2</v>
      </c>
      <c r="I11" s="9" t="s">
        <v>129</v>
      </c>
      <c r="J11" s="9" t="s">
        <v>131</v>
      </c>
      <c r="K11" s="9" t="s">
        <v>143</v>
      </c>
      <c r="L11" s="7">
        <v>20</v>
      </c>
      <c r="M11" s="7">
        <v>25</v>
      </c>
      <c r="N11" s="7">
        <v>10</v>
      </c>
      <c r="O11" s="7">
        <v>15</v>
      </c>
      <c r="P11" s="7">
        <v>3</v>
      </c>
      <c r="Q11" s="7">
        <v>4</v>
      </c>
      <c r="R11" s="7">
        <v>8</v>
      </c>
      <c r="S11" s="23" t="str">
        <f t="shared" si="0"/>
        <v>Kinh Nghiệm:2750</v>
      </c>
      <c r="U11" s="43">
        <v>2750</v>
      </c>
      <c r="W11" s="24">
        <f t="shared" si="1"/>
        <v>917</v>
      </c>
    </row>
    <row r="12" spans="1:23" s="24" customFormat="1" x14ac:dyDescent="0.25">
      <c r="A12" s="2">
        <v>100</v>
      </c>
      <c r="B12" s="6">
        <v>1.17</v>
      </c>
      <c r="C12" s="6">
        <v>0.55555555555555558</v>
      </c>
      <c r="D12" s="6">
        <v>0.83333333333333337</v>
      </c>
      <c r="E12" s="7">
        <v>3</v>
      </c>
      <c r="F12" s="7">
        <v>3</v>
      </c>
      <c r="G12" s="7">
        <v>2</v>
      </c>
      <c r="H12" s="7">
        <v>2</v>
      </c>
      <c r="I12" s="9" t="s">
        <v>133</v>
      </c>
      <c r="J12" s="9" t="s">
        <v>132</v>
      </c>
      <c r="K12" s="9" t="s">
        <v>144</v>
      </c>
      <c r="L12" s="7">
        <v>20</v>
      </c>
      <c r="M12" s="7">
        <v>25</v>
      </c>
      <c r="N12" s="7">
        <v>15</v>
      </c>
      <c r="O12" s="7">
        <v>20</v>
      </c>
      <c r="P12" s="7">
        <v>3</v>
      </c>
      <c r="Q12" s="7">
        <v>4</v>
      </c>
      <c r="R12" s="7">
        <v>8</v>
      </c>
      <c r="S12" s="23" t="str">
        <f t="shared" si="0"/>
        <v>Kinh Nghiệm:3000</v>
      </c>
      <c r="U12" s="43">
        <v>3000</v>
      </c>
      <c r="W12" s="24">
        <f t="shared" si="1"/>
        <v>1000</v>
      </c>
    </row>
    <row r="13" spans="1:23" s="24" customFormat="1" x14ac:dyDescent="0.25">
      <c r="A13" s="2">
        <v>120</v>
      </c>
      <c r="B13" s="6">
        <v>1.17</v>
      </c>
      <c r="C13" s="6">
        <v>0.51851851851851849</v>
      </c>
      <c r="D13" s="6">
        <v>0.77777777777777779</v>
      </c>
      <c r="E13" s="7">
        <v>3</v>
      </c>
      <c r="F13" s="7">
        <v>3</v>
      </c>
      <c r="G13" s="7">
        <v>2</v>
      </c>
      <c r="H13" s="7">
        <v>2</v>
      </c>
      <c r="I13" s="9" t="s">
        <v>133</v>
      </c>
      <c r="J13" s="9" t="s">
        <v>132</v>
      </c>
      <c r="K13" s="9" t="s">
        <v>144</v>
      </c>
      <c r="L13" s="7">
        <v>25</v>
      </c>
      <c r="M13" s="7">
        <v>30</v>
      </c>
      <c r="N13" s="7">
        <v>15</v>
      </c>
      <c r="O13" s="7">
        <v>20</v>
      </c>
      <c r="P13" s="7">
        <v>3</v>
      </c>
      <c r="Q13" s="7">
        <v>4</v>
      </c>
      <c r="R13" s="7">
        <v>8</v>
      </c>
      <c r="S13" s="23" t="str">
        <f t="shared" si="0"/>
        <v>Kinh Nghiệm:3250</v>
      </c>
      <c r="U13" s="43">
        <v>3250</v>
      </c>
      <c r="W13" s="24">
        <f t="shared" si="1"/>
        <v>1084</v>
      </c>
    </row>
    <row r="14" spans="1:23" s="24" customFormat="1" x14ac:dyDescent="0.25">
      <c r="A14" s="2">
        <v>150</v>
      </c>
      <c r="B14" s="6">
        <v>1.17</v>
      </c>
      <c r="C14" s="6">
        <v>0.48148148148148157</v>
      </c>
      <c r="D14" s="6">
        <v>0.72222222222222232</v>
      </c>
      <c r="E14" s="7">
        <v>3</v>
      </c>
      <c r="F14" s="7">
        <v>3</v>
      </c>
      <c r="G14" s="7">
        <v>2</v>
      </c>
      <c r="H14" s="7">
        <v>2</v>
      </c>
      <c r="I14" s="9" t="s">
        <v>133</v>
      </c>
      <c r="J14" s="9" t="s">
        <v>132</v>
      </c>
      <c r="K14" s="9" t="s">
        <v>144</v>
      </c>
      <c r="L14" s="7">
        <v>25</v>
      </c>
      <c r="M14" s="7">
        <v>30</v>
      </c>
      <c r="N14" s="7">
        <v>15</v>
      </c>
      <c r="O14" s="7">
        <v>20</v>
      </c>
      <c r="P14" s="7">
        <v>3</v>
      </c>
      <c r="Q14" s="7">
        <v>4</v>
      </c>
      <c r="R14" s="7">
        <v>8</v>
      </c>
      <c r="S14" s="23" t="str">
        <f t="shared" si="0"/>
        <v>Kinh Nghiệm:3500</v>
      </c>
      <c r="U14" s="43">
        <v>3500</v>
      </c>
      <c r="W14" s="24">
        <f t="shared" si="1"/>
        <v>1167</v>
      </c>
    </row>
    <row r="15" spans="1:23" s="24" customFormat="1" x14ac:dyDescent="0.25">
      <c r="A15" s="2">
        <v>180</v>
      </c>
      <c r="B15" s="6">
        <v>1.17</v>
      </c>
      <c r="C15" s="6">
        <v>0.46296296296296302</v>
      </c>
      <c r="D15" s="6">
        <v>0.69444444444444453</v>
      </c>
      <c r="E15" s="7">
        <v>3</v>
      </c>
      <c r="F15" s="7">
        <v>3</v>
      </c>
      <c r="G15" s="7">
        <v>2</v>
      </c>
      <c r="H15" s="7">
        <v>2</v>
      </c>
      <c r="I15" s="9" t="s">
        <v>133</v>
      </c>
      <c r="J15" s="9" t="s">
        <v>132</v>
      </c>
      <c r="K15" s="9" t="s">
        <v>144</v>
      </c>
      <c r="L15" s="7">
        <v>25</v>
      </c>
      <c r="M15" s="7">
        <v>30</v>
      </c>
      <c r="N15" s="7">
        <v>15</v>
      </c>
      <c r="O15" s="7">
        <v>20</v>
      </c>
      <c r="P15" s="7">
        <v>4</v>
      </c>
      <c r="Q15" s="7">
        <v>5</v>
      </c>
      <c r="R15" s="7">
        <v>10</v>
      </c>
      <c r="S15" s="23" t="str">
        <f t="shared" si="0"/>
        <v>Kinh Nghiệm:3750</v>
      </c>
      <c r="U15" s="43">
        <v>3750</v>
      </c>
      <c r="W15" s="24">
        <f t="shared" si="1"/>
        <v>1250</v>
      </c>
    </row>
    <row r="16" spans="1:23" s="24" customFormat="1" ht="15" customHeight="1" x14ac:dyDescent="0.25">
      <c r="A16" s="3">
        <v>200</v>
      </c>
      <c r="B16" s="6">
        <v>1.17</v>
      </c>
      <c r="C16" s="6">
        <v>0.44444444444444442</v>
      </c>
      <c r="D16" s="6">
        <v>0.66666666666666663</v>
      </c>
      <c r="E16" s="7">
        <v>3</v>
      </c>
      <c r="F16" s="7">
        <v>3</v>
      </c>
      <c r="G16" s="7">
        <v>2</v>
      </c>
      <c r="H16" s="7">
        <v>2</v>
      </c>
      <c r="I16" s="9" t="s">
        <v>133</v>
      </c>
      <c r="J16" s="9" t="s">
        <v>132</v>
      </c>
      <c r="K16" s="9" t="s">
        <v>144</v>
      </c>
      <c r="L16" s="7">
        <v>30</v>
      </c>
      <c r="M16" s="7">
        <v>40</v>
      </c>
      <c r="N16" s="7">
        <v>20</v>
      </c>
      <c r="O16" s="7">
        <v>25</v>
      </c>
      <c r="P16" s="7">
        <v>4</v>
      </c>
      <c r="Q16" s="7">
        <v>5</v>
      </c>
      <c r="R16" s="7">
        <v>10</v>
      </c>
      <c r="S16" s="23" t="str">
        <f t="shared" si="0"/>
        <v>Kinh Nghiệm:4000</v>
      </c>
      <c r="U16" s="43">
        <v>4000</v>
      </c>
      <c r="W16" s="24">
        <f t="shared" si="1"/>
        <v>1334</v>
      </c>
    </row>
    <row r="17" spans="1:23" x14ac:dyDescent="0.25">
      <c r="A17" s="2">
        <v>250</v>
      </c>
      <c r="B17" s="6">
        <v>1.17</v>
      </c>
      <c r="C17" s="6">
        <v>0.42592592592592587</v>
      </c>
      <c r="D17" s="6">
        <v>0.63888888888888884</v>
      </c>
      <c r="E17" s="7">
        <v>3</v>
      </c>
      <c r="F17" s="7">
        <v>3</v>
      </c>
      <c r="G17" s="7">
        <v>2</v>
      </c>
      <c r="H17" s="7">
        <v>2</v>
      </c>
      <c r="I17" s="9" t="s">
        <v>133</v>
      </c>
      <c r="J17" s="9" t="s">
        <v>132</v>
      </c>
      <c r="K17" s="9" t="s">
        <v>144</v>
      </c>
      <c r="L17" s="7">
        <v>30</v>
      </c>
      <c r="M17" s="7">
        <v>40</v>
      </c>
      <c r="N17" s="7">
        <v>20</v>
      </c>
      <c r="O17" s="7">
        <v>25</v>
      </c>
      <c r="P17" s="7">
        <v>4</v>
      </c>
      <c r="Q17" s="7">
        <v>5</v>
      </c>
      <c r="R17" s="7">
        <v>10</v>
      </c>
      <c r="S17" s="23" t="str">
        <f t="shared" si="0"/>
        <v>Kinh Nghiệm:4250</v>
      </c>
      <c r="U17" s="43">
        <v>4250</v>
      </c>
      <c r="V17" s="24"/>
      <c r="W17" s="24">
        <f t="shared" si="1"/>
        <v>1417</v>
      </c>
    </row>
    <row r="18" spans="1:23" x14ac:dyDescent="0.25">
      <c r="A18" s="2">
        <v>300</v>
      </c>
      <c r="B18" s="6">
        <v>1.17</v>
      </c>
      <c r="C18" s="6">
        <v>0.40740740740740744</v>
      </c>
      <c r="D18" s="6">
        <v>0.61111111111111116</v>
      </c>
      <c r="E18" s="7">
        <v>3</v>
      </c>
      <c r="F18" s="7">
        <v>3</v>
      </c>
      <c r="G18" s="7">
        <v>2</v>
      </c>
      <c r="H18" s="7">
        <v>2</v>
      </c>
      <c r="I18" s="9" t="s">
        <v>133</v>
      </c>
      <c r="J18" s="9" t="s">
        <v>132</v>
      </c>
      <c r="K18" s="9" t="s">
        <v>144</v>
      </c>
      <c r="L18" s="7">
        <v>30</v>
      </c>
      <c r="M18" s="7">
        <v>40</v>
      </c>
      <c r="N18" s="7">
        <v>20</v>
      </c>
      <c r="O18" s="7">
        <v>25</v>
      </c>
      <c r="P18" s="7">
        <v>4</v>
      </c>
      <c r="Q18" s="7">
        <v>5</v>
      </c>
      <c r="R18" s="7">
        <v>10</v>
      </c>
      <c r="S18" s="23" t="str">
        <f t="shared" si="0"/>
        <v>Kinh Nghiệm:4500</v>
      </c>
      <c r="U18" s="43">
        <v>4500</v>
      </c>
      <c r="V18" s="24"/>
      <c r="W18" s="24">
        <f t="shared" si="1"/>
        <v>1500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23"/>
  <sheetViews>
    <sheetView topLeftCell="A10" workbookViewId="0">
      <selection activeCell="D28" sqref="D28"/>
    </sheetView>
  </sheetViews>
  <sheetFormatPr defaultRowHeight="15" x14ac:dyDescent="0.25"/>
  <cols>
    <col min="1" max="1" width="17.85546875" bestFit="1" customWidth="1"/>
    <col min="2" max="2" width="26.140625" customWidth="1"/>
    <col min="3" max="3" width="18.7109375" bestFit="1" customWidth="1"/>
    <col min="4" max="4" width="20.7109375" bestFit="1" customWidth="1"/>
    <col min="5" max="5" width="24.85546875" bestFit="1" customWidth="1"/>
    <col min="6" max="6" width="26" bestFit="1" customWidth="1"/>
    <col min="7" max="7" width="23.5703125" customWidth="1"/>
    <col min="8" max="8" width="27" hidden="1" customWidth="1"/>
    <col min="9" max="9" width="13.85546875" customWidth="1"/>
    <col min="10" max="10" width="30.140625" customWidth="1"/>
    <col min="11" max="11" width="30.140625" bestFit="1" customWidth="1"/>
    <col min="12" max="12" width="13.42578125" customWidth="1"/>
  </cols>
  <sheetData>
    <row r="1" spans="1:12" s="19" customFormat="1" x14ac:dyDescent="0.25">
      <c r="A1" s="19" t="s">
        <v>0</v>
      </c>
      <c r="B1" s="19" t="s">
        <v>40</v>
      </c>
      <c r="C1" s="19" t="s">
        <v>41</v>
      </c>
      <c r="D1" s="19" t="s">
        <v>45</v>
      </c>
      <c r="E1" s="19" t="s">
        <v>42</v>
      </c>
      <c r="F1" s="19" t="s">
        <v>43</v>
      </c>
      <c r="G1" s="19" t="s">
        <v>44</v>
      </c>
    </row>
    <row r="2" spans="1:12" x14ac:dyDescent="0.25">
      <c r="A2">
        <v>1</v>
      </c>
      <c r="B2">
        <v>0</v>
      </c>
      <c r="C2" s="48">
        <v>0</v>
      </c>
      <c r="D2">
        <v>0</v>
      </c>
      <c r="E2">
        <v>0</v>
      </c>
      <c r="F2">
        <v>0</v>
      </c>
      <c r="G2">
        <v>0</v>
      </c>
    </row>
    <row r="3" spans="1:12" x14ac:dyDescent="0.25">
      <c r="A3" s="28">
        <v>2</v>
      </c>
      <c r="B3">
        <f>D15</f>
        <v>12</v>
      </c>
      <c r="C3" s="48">
        <v>1750</v>
      </c>
      <c r="D3">
        <v>100</v>
      </c>
      <c r="E3">
        <v>2</v>
      </c>
      <c r="F3">
        <f>ROUNDUP(G3/1.5,0)</f>
        <v>4</v>
      </c>
      <c r="G3">
        <v>5</v>
      </c>
    </row>
    <row r="4" spans="1:12" x14ac:dyDescent="0.25">
      <c r="A4" s="28">
        <v>3</v>
      </c>
      <c r="B4">
        <f t="shared" ref="B4:B11" si="0">D16</f>
        <v>60</v>
      </c>
      <c r="C4" s="48">
        <v>6350</v>
      </c>
      <c r="D4">
        <v>100</v>
      </c>
      <c r="E4">
        <v>5</v>
      </c>
      <c r="F4">
        <f t="shared" ref="F4:F11" si="1">ROUNDUP(G4/1.5,0)</f>
        <v>7</v>
      </c>
      <c r="G4">
        <v>10</v>
      </c>
    </row>
    <row r="5" spans="1:12" x14ac:dyDescent="0.25">
      <c r="A5" s="28">
        <v>4</v>
      </c>
      <c r="B5">
        <f t="shared" si="0"/>
        <v>180</v>
      </c>
      <c r="C5" s="48">
        <v>80000</v>
      </c>
      <c r="D5">
        <v>100</v>
      </c>
      <c r="E5">
        <v>10</v>
      </c>
      <c r="F5">
        <f t="shared" si="1"/>
        <v>10</v>
      </c>
      <c r="G5">
        <v>15</v>
      </c>
    </row>
    <row r="6" spans="1:12" x14ac:dyDescent="0.25">
      <c r="A6" s="29">
        <v>5</v>
      </c>
      <c r="B6">
        <f t="shared" si="0"/>
        <v>300</v>
      </c>
      <c r="C6" s="48">
        <v>448000</v>
      </c>
      <c r="D6">
        <v>100</v>
      </c>
      <c r="E6">
        <v>15</v>
      </c>
      <c r="F6">
        <f t="shared" si="1"/>
        <v>14</v>
      </c>
      <c r="G6">
        <v>20</v>
      </c>
    </row>
    <row r="7" spans="1:12" x14ac:dyDescent="0.25">
      <c r="A7" s="29">
        <v>6</v>
      </c>
      <c r="B7">
        <f t="shared" si="0"/>
        <v>540</v>
      </c>
      <c r="C7" s="48">
        <v>1375000</v>
      </c>
      <c r="D7">
        <v>100</v>
      </c>
      <c r="E7">
        <v>20</v>
      </c>
      <c r="F7">
        <f t="shared" si="1"/>
        <v>16</v>
      </c>
      <c r="G7">
        <v>24</v>
      </c>
    </row>
    <row r="8" spans="1:12" x14ac:dyDescent="0.25">
      <c r="A8" s="29">
        <v>7</v>
      </c>
      <c r="B8">
        <f t="shared" si="0"/>
        <v>900</v>
      </c>
      <c r="C8" s="48">
        <v>3230000</v>
      </c>
      <c r="D8">
        <v>100</v>
      </c>
      <c r="E8">
        <v>25</v>
      </c>
      <c r="F8">
        <f t="shared" si="1"/>
        <v>20</v>
      </c>
      <c r="G8">
        <v>29</v>
      </c>
    </row>
    <row r="9" spans="1:12" x14ac:dyDescent="0.25">
      <c r="A9" s="30">
        <v>8</v>
      </c>
      <c r="B9">
        <f t="shared" si="0"/>
        <v>1800</v>
      </c>
      <c r="C9" s="48">
        <v>39000000</v>
      </c>
      <c r="D9">
        <v>100</v>
      </c>
      <c r="E9">
        <v>30</v>
      </c>
      <c r="F9">
        <f t="shared" si="1"/>
        <v>23</v>
      </c>
      <c r="G9">
        <v>34</v>
      </c>
    </row>
    <row r="10" spans="1:12" x14ac:dyDescent="0.25">
      <c r="A10" s="30">
        <v>9</v>
      </c>
      <c r="B10">
        <f t="shared" si="0"/>
        <v>3600</v>
      </c>
      <c r="C10" s="48">
        <v>58500000</v>
      </c>
      <c r="D10">
        <v>100</v>
      </c>
      <c r="E10">
        <v>35</v>
      </c>
      <c r="F10">
        <f t="shared" si="1"/>
        <v>26</v>
      </c>
      <c r="G10">
        <v>39</v>
      </c>
    </row>
    <row r="11" spans="1:12" x14ac:dyDescent="0.25">
      <c r="A11" s="30">
        <v>10</v>
      </c>
      <c r="B11">
        <f t="shared" si="0"/>
        <v>5400</v>
      </c>
      <c r="C11" s="48">
        <v>70200000</v>
      </c>
      <c r="D11">
        <v>100</v>
      </c>
      <c r="E11">
        <v>40</v>
      </c>
      <c r="F11">
        <f t="shared" si="1"/>
        <v>30</v>
      </c>
      <c r="G11">
        <v>44</v>
      </c>
    </row>
    <row r="13" spans="1:12" x14ac:dyDescent="0.25">
      <c r="C13" s="45" t="s">
        <v>96</v>
      </c>
      <c r="D13" s="45">
        <v>4</v>
      </c>
      <c r="E13" s="45" t="s">
        <v>97</v>
      </c>
      <c r="F13" s="45" t="s">
        <v>98</v>
      </c>
      <c r="G13" s="45" t="s">
        <v>99</v>
      </c>
      <c r="H13" s="45" t="s">
        <v>100</v>
      </c>
      <c r="I13" s="45" t="s">
        <v>101</v>
      </c>
      <c r="J13" s="45" t="s">
        <v>102</v>
      </c>
      <c r="K13" s="45"/>
    </row>
    <row r="14" spans="1:12" x14ac:dyDescent="0.25">
      <c r="B14" s="46" t="s">
        <v>103</v>
      </c>
      <c r="C14" s="45"/>
      <c r="D14" s="45">
        <v>0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 t="str">
        <f>CONCATENATE(E14&amp;":"&amp;F14&amp;":"&amp;G14&amp;":"&amp;H14&amp;":"&amp;I14&amp;":"&amp;J14)</f>
        <v>0:0:0:0:0:0</v>
      </c>
    </row>
    <row r="15" spans="1:12" x14ac:dyDescent="0.25">
      <c r="B15" s="46" t="s">
        <v>104</v>
      </c>
      <c r="C15" s="45">
        <v>3</v>
      </c>
      <c r="D15" s="45">
        <f>C15*$D$13</f>
        <v>12</v>
      </c>
      <c r="E15" s="45">
        <f>D15</f>
        <v>12</v>
      </c>
      <c r="F15" s="47">
        <f>L15/2</f>
        <v>1750</v>
      </c>
      <c r="G15" s="45">
        <v>100</v>
      </c>
      <c r="H15" s="45">
        <v>2</v>
      </c>
      <c r="I15" s="45">
        <f>ROUNDUP(J15/1.5,0)</f>
        <v>4</v>
      </c>
      <c r="J15" s="45">
        <v>5</v>
      </c>
      <c r="K15" s="45" t="str">
        <f t="shared" ref="K15:K23" si="2">CONCATENATE(E15&amp;":"&amp;F15&amp;":"&amp;G15&amp;":"&amp;H15&amp;":"&amp;I15&amp;":"&amp;J15)</f>
        <v>12:1750:100:2:4:5</v>
      </c>
      <c r="L15" s="48">
        <f>1500+2000</f>
        <v>3500</v>
      </c>
    </row>
    <row r="16" spans="1:12" x14ac:dyDescent="0.25">
      <c r="B16" s="46" t="s">
        <v>105</v>
      </c>
      <c r="C16" s="45">
        <v>15</v>
      </c>
      <c r="D16" s="45">
        <f>C16*$D$13</f>
        <v>60</v>
      </c>
      <c r="E16" s="45">
        <f t="shared" ref="E16:E23" si="3">D16</f>
        <v>60</v>
      </c>
      <c r="F16" s="47">
        <f t="shared" ref="F16:F22" si="4">L16/2</f>
        <v>6350</v>
      </c>
      <c r="G16" s="45">
        <v>100</v>
      </c>
      <c r="H16" s="45">
        <v>5</v>
      </c>
      <c r="I16" s="45">
        <f t="shared" ref="I16:I23" si="5">ROUNDUP(J16/1.5,0)</f>
        <v>7</v>
      </c>
      <c r="J16" s="45">
        <v>10</v>
      </c>
      <c r="K16" s="45" t="str">
        <f t="shared" si="2"/>
        <v>60:6350:100:5:7:10</v>
      </c>
      <c r="L16" s="48">
        <f>2900+9800</f>
        <v>12700</v>
      </c>
    </row>
    <row r="17" spans="2:12" x14ac:dyDescent="0.25">
      <c r="B17" s="46" t="s">
        <v>106</v>
      </c>
      <c r="C17" s="45">
        <v>45</v>
      </c>
      <c r="D17" s="45">
        <f t="shared" ref="D17:D22" si="6">C17*$D$13</f>
        <v>180</v>
      </c>
      <c r="E17" s="45">
        <f t="shared" si="3"/>
        <v>180</v>
      </c>
      <c r="F17" s="47">
        <f t="shared" si="4"/>
        <v>80000</v>
      </c>
      <c r="G17" s="45">
        <v>100</v>
      </c>
      <c r="H17" s="45">
        <v>10</v>
      </c>
      <c r="I17" s="45">
        <f t="shared" si="5"/>
        <v>10</v>
      </c>
      <c r="J17" s="45">
        <v>15</v>
      </c>
      <c r="K17" s="45" t="str">
        <f t="shared" si="2"/>
        <v>180:80000:100:10:10:15</v>
      </c>
      <c r="L17" s="48">
        <f>66000+94000</f>
        <v>160000</v>
      </c>
    </row>
    <row r="18" spans="2:12" x14ac:dyDescent="0.25">
      <c r="B18" s="46" t="s">
        <v>107</v>
      </c>
      <c r="C18" s="45">
        <f>C17+30</f>
        <v>75</v>
      </c>
      <c r="D18" s="45">
        <f t="shared" si="6"/>
        <v>300</v>
      </c>
      <c r="E18" s="45">
        <f t="shared" si="3"/>
        <v>300</v>
      </c>
      <c r="F18" s="47">
        <f t="shared" si="4"/>
        <v>448000</v>
      </c>
      <c r="G18" s="45">
        <v>100</v>
      </c>
      <c r="H18" s="45">
        <v>15</v>
      </c>
      <c r="I18" s="45">
        <f t="shared" si="5"/>
        <v>14</v>
      </c>
      <c r="J18" s="45">
        <v>20</v>
      </c>
      <c r="K18" s="45" t="str">
        <f t="shared" si="2"/>
        <v>300:448000:100:15:14:20</v>
      </c>
      <c r="L18" s="48">
        <f>362000+534000</f>
        <v>896000</v>
      </c>
    </row>
    <row r="19" spans="2:12" x14ac:dyDescent="0.25">
      <c r="B19" s="46" t="s">
        <v>108</v>
      </c>
      <c r="C19" s="45">
        <f>C18+60</f>
        <v>135</v>
      </c>
      <c r="D19" s="45">
        <f t="shared" si="6"/>
        <v>540</v>
      </c>
      <c r="E19" s="45">
        <f t="shared" si="3"/>
        <v>540</v>
      </c>
      <c r="F19" s="47">
        <f t="shared" si="4"/>
        <v>1375000</v>
      </c>
      <c r="G19" s="45">
        <v>100</v>
      </c>
      <c r="H19" s="45">
        <v>20</v>
      </c>
      <c r="I19" s="45">
        <f t="shared" si="5"/>
        <v>16</v>
      </c>
      <c r="J19" s="45">
        <v>24</v>
      </c>
      <c r="K19" s="45" t="str">
        <f t="shared" si="2"/>
        <v>540:1375000:100:20:16:24</v>
      </c>
      <c r="L19" s="48">
        <f>1050000+1700000</f>
        <v>2750000</v>
      </c>
    </row>
    <row r="20" spans="2:12" x14ac:dyDescent="0.25">
      <c r="B20" s="46" t="s">
        <v>109</v>
      </c>
      <c r="C20" s="45">
        <f>C19+90</f>
        <v>225</v>
      </c>
      <c r="D20" s="45">
        <f t="shared" si="6"/>
        <v>900</v>
      </c>
      <c r="E20" s="45">
        <f t="shared" si="3"/>
        <v>900</v>
      </c>
      <c r="F20" s="47">
        <f t="shared" si="4"/>
        <v>3230000</v>
      </c>
      <c r="G20" s="45">
        <v>100</v>
      </c>
      <c r="H20" s="45">
        <v>25</v>
      </c>
      <c r="I20" s="45">
        <f t="shared" si="5"/>
        <v>20</v>
      </c>
      <c r="J20" s="45">
        <v>29</v>
      </c>
      <c r="K20" s="45" t="str">
        <f t="shared" si="2"/>
        <v>900:3230000:100:25:20:29</v>
      </c>
      <c r="L20" s="48">
        <f>2500000+3960000</f>
        <v>6460000</v>
      </c>
    </row>
    <row r="21" spans="2:12" x14ac:dyDescent="0.25">
      <c r="B21" s="46" t="s">
        <v>110</v>
      </c>
      <c r="C21" s="45">
        <f>C20*2</f>
        <v>450</v>
      </c>
      <c r="D21" s="45">
        <f t="shared" si="6"/>
        <v>1800</v>
      </c>
      <c r="E21" s="45">
        <f t="shared" si="3"/>
        <v>1800</v>
      </c>
      <c r="F21" s="47">
        <f t="shared" si="4"/>
        <v>39000000</v>
      </c>
      <c r="G21" s="45">
        <v>100</v>
      </c>
      <c r="H21" s="45">
        <v>30</v>
      </c>
      <c r="I21" s="45">
        <f t="shared" si="5"/>
        <v>23</v>
      </c>
      <c r="J21" s="45">
        <v>34</v>
      </c>
      <c r="K21" s="45" t="str">
        <f t="shared" si="2"/>
        <v>1800:39000000:100:30:23:34</v>
      </c>
      <c r="L21" s="48">
        <f>29100000+48900000</f>
        <v>78000000</v>
      </c>
    </row>
    <row r="22" spans="2:12" x14ac:dyDescent="0.25">
      <c r="B22" s="46" t="s">
        <v>111</v>
      </c>
      <c r="C22" s="45">
        <f>C21*2</f>
        <v>900</v>
      </c>
      <c r="D22" s="45">
        <f t="shared" si="6"/>
        <v>3600</v>
      </c>
      <c r="E22" s="45">
        <f t="shared" si="3"/>
        <v>3600</v>
      </c>
      <c r="F22" s="47">
        <f t="shared" si="4"/>
        <v>58500000</v>
      </c>
      <c r="G22" s="45">
        <v>100</v>
      </c>
      <c r="H22" s="45">
        <v>35</v>
      </c>
      <c r="I22" s="45">
        <f t="shared" si="5"/>
        <v>26</v>
      </c>
      <c r="J22" s="45">
        <v>39</v>
      </c>
      <c r="K22" s="45" t="str">
        <f t="shared" si="2"/>
        <v>3600:58500000:100:35:26:39</v>
      </c>
      <c r="L22" s="48">
        <f>43650000+73350000</f>
        <v>117000000</v>
      </c>
    </row>
    <row r="23" spans="2:12" x14ac:dyDescent="0.25">
      <c r="B23" s="46" t="s">
        <v>112</v>
      </c>
      <c r="C23" s="45">
        <f>C22*1.5</f>
        <v>1350</v>
      </c>
      <c r="D23" s="45">
        <f>C23*$D$13</f>
        <v>5400</v>
      </c>
      <c r="E23" s="45">
        <f t="shared" si="3"/>
        <v>5400</v>
      </c>
      <c r="F23" s="47">
        <f>F22*1.2</f>
        <v>70200000</v>
      </c>
      <c r="G23" s="45">
        <v>100</v>
      </c>
      <c r="H23" s="45">
        <v>40</v>
      </c>
      <c r="I23" s="45">
        <f t="shared" si="5"/>
        <v>30</v>
      </c>
      <c r="J23" s="45">
        <v>44</v>
      </c>
      <c r="K23" s="45" t="str">
        <f t="shared" si="2"/>
        <v>5400:70200000:100:40:30:44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I30" sqref="I30"/>
    </sheetView>
  </sheetViews>
  <sheetFormatPr defaultRowHeight="15" x14ac:dyDescent="0.25"/>
  <cols>
    <col min="1" max="1" width="9.140625" style="4"/>
    <col min="2" max="2" width="24.140625" style="4" bestFit="1" customWidth="1"/>
    <col min="3" max="3" width="11.7109375" style="4" customWidth="1"/>
    <col min="4" max="5" width="32" style="4" bestFit="1" customWidth="1"/>
    <col min="6" max="6" width="9.140625" style="4" customWidth="1"/>
    <col min="7" max="8" width="19.140625" customWidth="1"/>
    <col min="9" max="9" width="13" customWidth="1"/>
    <col min="10" max="10" width="14.85546875" customWidth="1"/>
    <col min="11" max="11" width="19.140625" customWidth="1"/>
    <col min="12" max="12" width="9.42578125" customWidth="1"/>
    <col min="13" max="13" width="14.5703125" customWidth="1"/>
    <col min="14" max="14" width="15.140625" customWidth="1"/>
    <col min="15" max="15" width="10.85546875" customWidth="1"/>
    <col min="16" max="18" width="16.140625" customWidth="1"/>
    <col min="19" max="19" width="12.42578125" customWidth="1"/>
  </cols>
  <sheetData>
    <row r="1" spans="1:20" x14ac:dyDescent="0.25">
      <c r="A1" s="1" t="s">
        <v>0</v>
      </c>
      <c r="B1" s="50" t="s">
        <v>1</v>
      </c>
      <c r="C1" s="50" t="s">
        <v>125</v>
      </c>
      <c r="D1" s="27" t="s">
        <v>15</v>
      </c>
      <c r="E1" s="27" t="s">
        <v>39</v>
      </c>
      <c r="F1" s="36"/>
      <c r="G1" s="41" t="s">
        <v>94</v>
      </c>
      <c r="H1" s="40" t="s">
        <v>91</v>
      </c>
      <c r="I1" s="40" t="s">
        <v>89</v>
      </c>
      <c r="J1" s="40" t="s">
        <v>90</v>
      </c>
      <c r="K1" s="38" t="s">
        <v>92</v>
      </c>
      <c r="L1" s="38" t="s">
        <v>89</v>
      </c>
      <c r="M1" s="38" t="s">
        <v>90</v>
      </c>
      <c r="N1" s="39" t="s">
        <v>93</v>
      </c>
      <c r="O1" s="39" t="s">
        <v>89</v>
      </c>
      <c r="P1" s="39" t="s">
        <v>90</v>
      </c>
      <c r="Q1" s="49" t="s">
        <v>123</v>
      </c>
      <c r="R1" s="49" t="s">
        <v>122</v>
      </c>
      <c r="S1" s="49" t="s">
        <v>121</v>
      </c>
      <c r="T1" s="49" t="s">
        <v>124</v>
      </c>
    </row>
    <row r="2" spans="1:20" x14ac:dyDescent="0.25">
      <c r="A2" s="2">
        <v>0</v>
      </c>
      <c r="B2" s="6">
        <v>0.50625000000000009</v>
      </c>
      <c r="C2" s="6">
        <f>B2/2</f>
        <v>0.25312500000000004</v>
      </c>
      <c r="D2" s="6">
        <v>2.4074074074074074</v>
      </c>
      <c r="E2" s="6">
        <f>D2/2.5</f>
        <v>0.96296296296296302</v>
      </c>
      <c r="F2" s="37"/>
      <c r="G2">
        <v>12</v>
      </c>
      <c r="H2" t="s">
        <v>62</v>
      </c>
      <c r="I2">
        <f>ROUNDUP($G$2*VLOOKUP($H$2,Plant!$A$2:$C$22,2,0)*D2,0)</f>
        <v>145</v>
      </c>
      <c r="J2">
        <f>ROUNDUP($G$2*VLOOKUP($H$2,Plant!$A$2:$C$22,3,0)*E2,0)</f>
        <v>160</v>
      </c>
      <c r="K2" t="s">
        <v>82</v>
      </c>
      <c r="L2">
        <f>ROUNDUP($G$2*VLOOKUP($K$2,Pest!$A$2:$C$8,2,0)*D2,0)</f>
        <v>312</v>
      </c>
      <c r="M2">
        <f>ROUNDUP($G$2*VLOOKUP($K$2,Pest!$A$2:$C$8,3,0)*E2,0)</f>
        <v>749</v>
      </c>
      <c r="N2" t="s">
        <v>85</v>
      </c>
      <c r="O2">
        <f>ROUNDUP($G$2*VLOOKUP($N$2,Mineral!$A$2:$C$5,2,0)*D2,0)</f>
        <v>151</v>
      </c>
      <c r="P2">
        <f>ROUNDUP($G$2*VLOOKUP($N$2,Mineral!$A$2:$C$5,3,0)*E2,0)</f>
        <v>121</v>
      </c>
      <c r="Q2">
        <v>1</v>
      </c>
      <c r="R2">
        <v>6</v>
      </c>
      <c r="S2">
        <f>($R$2*B2+$Q$2)*3600</f>
        <v>14535.000000000002</v>
      </c>
      <c r="T2" s="51">
        <f>S2/60/60</f>
        <v>4.0375000000000005</v>
      </c>
    </row>
    <row r="3" spans="1:20" x14ac:dyDescent="0.25">
      <c r="A3" s="3">
        <v>10</v>
      </c>
      <c r="B3" s="6">
        <f>B2*1.05</f>
        <v>0.53156250000000016</v>
      </c>
      <c r="C3" s="6"/>
      <c r="D3" s="6">
        <v>2.2222222222222223</v>
      </c>
      <c r="E3" s="6">
        <f t="shared" ref="E3:E18" si="0">D3/2.5</f>
        <v>0.88888888888888895</v>
      </c>
      <c r="F3" s="37"/>
      <c r="I3">
        <f>ROUNDUP($G$2*VLOOKUP($H$2,Plant!$A$2:$C$22,2,0)*D3,0)</f>
        <v>134</v>
      </c>
      <c r="J3">
        <f>ROUNDUP($G$2*VLOOKUP($H$2,Plant!$A$2:$C$22,3,0)*E3,0)</f>
        <v>148</v>
      </c>
      <c r="L3">
        <f>ROUNDUP($G$2*VLOOKUP($K$2,Pest!$A$2:$C$8,2,0)*D3,0)</f>
        <v>288</v>
      </c>
      <c r="M3">
        <f>ROUNDUP($G$2*VLOOKUP($K$2,Pest!$A$2:$C$8,3,0)*E3,0)</f>
        <v>692</v>
      </c>
      <c r="O3">
        <f>ROUNDUP($G$2*VLOOKUP($N$2,Mineral!$A$2:$C$5,2,0)*D3,0)</f>
        <v>139</v>
      </c>
      <c r="P3">
        <f>ROUNDUP($G$2*VLOOKUP($N$2,Mineral!$A$2:$C$5,3,0)*E3,0)</f>
        <v>111</v>
      </c>
      <c r="S3">
        <f t="shared" ref="S3:S18" si="1">($R$2*B3+$Q$2)*3600</f>
        <v>15081.750000000004</v>
      </c>
      <c r="T3" s="51">
        <f t="shared" ref="T3:T18" si="2">S3/60/60</f>
        <v>4.189375000000001</v>
      </c>
    </row>
    <row r="4" spans="1:20" x14ac:dyDescent="0.25">
      <c r="A4" s="3">
        <v>20</v>
      </c>
      <c r="B4" s="6">
        <f t="shared" ref="B4:B7" si="3">B3*1.05</f>
        <v>0.55814062500000017</v>
      </c>
      <c r="C4" s="6"/>
      <c r="D4" s="6">
        <v>2.0370370370370372</v>
      </c>
      <c r="E4" s="6">
        <f t="shared" si="0"/>
        <v>0.81481481481481488</v>
      </c>
      <c r="F4" s="37"/>
      <c r="I4">
        <f>ROUNDUP($G$2*VLOOKUP($H$2,Plant!$A$2:$C$22,2,0)*D4,0)</f>
        <v>123</v>
      </c>
      <c r="J4">
        <f>ROUNDUP($G$2*VLOOKUP($H$2,Plant!$A$2:$C$22,3,0)*E4,0)</f>
        <v>136</v>
      </c>
      <c r="L4">
        <f>ROUNDUP($G$2*VLOOKUP($K$2,Pest!$A$2:$C$8,2,0)*D4,0)</f>
        <v>264</v>
      </c>
      <c r="M4">
        <f>ROUNDUP($G$2*VLOOKUP($K$2,Pest!$A$2:$C$8,3,0)*E4,0)</f>
        <v>634</v>
      </c>
      <c r="O4">
        <f>ROUNDUP($G$2*VLOOKUP($N$2,Mineral!$A$2:$C$5,2,0)*D4,0)</f>
        <v>128</v>
      </c>
      <c r="P4">
        <f>ROUNDUP($G$2*VLOOKUP($N$2,Mineral!$A$2:$C$5,3,0)*E4,0)</f>
        <v>102</v>
      </c>
      <c r="S4">
        <f t="shared" si="1"/>
        <v>15655.837500000005</v>
      </c>
      <c r="T4" s="51">
        <f t="shared" si="2"/>
        <v>4.3488437500000012</v>
      </c>
    </row>
    <row r="5" spans="1:20" x14ac:dyDescent="0.25">
      <c r="A5" s="3">
        <v>30</v>
      </c>
      <c r="B5" s="6">
        <f t="shared" si="3"/>
        <v>0.58604765625000022</v>
      </c>
      <c r="C5" s="6"/>
      <c r="D5" s="6">
        <v>1.8518518518518521</v>
      </c>
      <c r="E5" s="6">
        <f t="shared" si="0"/>
        <v>0.74074074074074081</v>
      </c>
      <c r="F5" s="37"/>
      <c r="I5">
        <f>ROUNDUP($G$2*VLOOKUP($H$2,Plant!$A$2:$C$22,2,0)*D5,0)</f>
        <v>112</v>
      </c>
      <c r="J5">
        <f>ROUNDUP($G$2*VLOOKUP($H$2,Plant!$A$2:$C$22,3,0)*E5,0)</f>
        <v>123</v>
      </c>
      <c r="L5">
        <f>ROUNDUP($G$2*VLOOKUP($K$2,Pest!$A$2:$C$8,2,0)*D5,0)</f>
        <v>240</v>
      </c>
      <c r="M5">
        <f>ROUNDUP($G$2*VLOOKUP($K$2,Pest!$A$2:$C$8,3,0)*E5,0)</f>
        <v>576</v>
      </c>
      <c r="O5">
        <f>ROUNDUP($G$2*VLOOKUP($N$2,Mineral!$A$2:$C$5,2,0)*D5,0)</f>
        <v>116</v>
      </c>
      <c r="P5">
        <f>ROUNDUP($G$2*VLOOKUP($N$2,Mineral!$A$2:$C$5,3,0)*E5,0)</f>
        <v>93</v>
      </c>
      <c r="S5">
        <f t="shared" si="1"/>
        <v>16258.629375000004</v>
      </c>
      <c r="T5" s="51">
        <f t="shared" si="2"/>
        <v>4.5162859375000011</v>
      </c>
    </row>
    <row r="6" spans="1:20" x14ac:dyDescent="0.25">
      <c r="A6" s="3">
        <v>40</v>
      </c>
      <c r="B6" s="6">
        <f t="shared" si="3"/>
        <v>0.6153500390625003</v>
      </c>
      <c r="C6" s="6"/>
      <c r="D6" s="6">
        <v>1.6666666666666667</v>
      </c>
      <c r="E6" s="6">
        <f t="shared" si="0"/>
        <v>0.66666666666666674</v>
      </c>
      <c r="F6" s="37"/>
      <c r="I6">
        <f>ROUNDUP($G$2*VLOOKUP($H$2,Plant!$A$2:$C$22,2,0)*D6,0)</f>
        <v>100</v>
      </c>
      <c r="J6">
        <f>ROUNDUP($G$2*VLOOKUP($H$2,Plant!$A$2:$C$22,3,0)*E6,0)</f>
        <v>111</v>
      </c>
      <c r="L6">
        <f>ROUNDUP($G$2*VLOOKUP($K$2,Pest!$A$2:$C$8,2,0)*D6,0)</f>
        <v>216</v>
      </c>
      <c r="M6">
        <f>ROUNDUP($G$2*VLOOKUP($K$2,Pest!$A$2:$C$8,3,0)*E6,0)</f>
        <v>519</v>
      </c>
      <c r="O6">
        <f>ROUNDUP($G$2*VLOOKUP($N$2,Mineral!$A$2:$C$5,2,0)*D6,0)</f>
        <v>104</v>
      </c>
      <c r="P6">
        <f>ROUNDUP($G$2*VLOOKUP($N$2,Mineral!$A$2:$C$5,3,0)*E6,0)</f>
        <v>84</v>
      </c>
      <c r="S6">
        <f t="shared" si="1"/>
        <v>16891.560843750009</v>
      </c>
      <c r="T6" s="51">
        <f t="shared" si="2"/>
        <v>4.6921002343750029</v>
      </c>
    </row>
    <row r="7" spans="1:20" x14ac:dyDescent="0.25">
      <c r="A7" s="3">
        <v>50</v>
      </c>
      <c r="B7" s="6">
        <f t="shared" si="3"/>
        <v>0.64611754101562535</v>
      </c>
      <c r="C7" s="6"/>
      <c r="D7" s="6">
        <v>1.4814814814814816</v>
      </c>
      <c r="E7" s="6">
        <f t="shared" si="0"/>
        <v>0.59259259259259267</v>
      </c>
      <c r="F7" s="37"/>
      <c r="I7">
        <f>ROUNDUP($G$2*VLOOKUP($H$2,Plant!$A$2:$C$22,2,0)*D7,0)</f>
        <v>89</v>
      </c>
      <c r="J7">
        <f>ROUNDUP($G$2*VLOOKUP($H$2,Plant!$A$2:$C$22,3,0)*E7,0)</f>
        <v>99</v>
      </c>
      <c r="L7">
        <f>ROUNDUP($G$2*VLOOKUP($K$2,Pest!$A$2:$C$8,2,0)*D7,0)</f>
        <v>192</v>
      </c>
      <c r="M7">
        <f>ROUNDUP($G$2*VLOOKUP($K$2,Pest!$A$2:$C$8,3,0)*E7,0)</f>
        <v>461</v>
      </c>
      <c r="O7">
        <f>ROUNDUP($G$2*VLOOKUP($N$2,Mineral!$A$2:$C$5,2,0)*D7,0)</f>
        <v>93</v>
      </c>
      <c r="P7">
        <f>ROUNDUP($G$2*VLOOKUP($N$2,Mineral!$A$2:$C$5,3,0)*E7,0)</f>
        <v>74</v>
      </c>
      <c r="S7">
        <f t="shared" si="1"/>
        <v>17556.138885937507</v>
      </c>
      <c r="T7" s="51">
        <f t="shared" si="2"/>
        <v>4.8767052460937519</v>
      </c>
    </row>
    <row r="8" spans="1:20" x14ac:dyDescent="0.25">
      <c r="A8" s="3">
        <v>60</v>
      </c>
      <c r="B8" s="6">
        <f t="shared" ref="B8:B18" si="4">B7*1.02</f>
        <v>0.65903989183593792</v>
      </c>
      <c r="C8" s="6"/>
      <c r="D8" s="6">
        <v>1.2962962962962965</v>
      </c>
      <c r="E8" s="6">
        <f t="shared" si="0"/>
        <v>0.5185185185185186</v>
      </c>
      <c r="F8" s="37"/>
      <c r="I8">
        <f>ROUNDUP($G$2*VLOOKUP($H$2,Plant!$A$2:$C$22,2,0)*D8,0)</f>
        <v>78</v>
      </c>
      <c r="J8">
        <f>ROUNDUP($G$2*VLOOKUP($H$2,Plant!$A$2:$C$22,3,0)*E8,0)</f>
        <v>86</v>
      </c>
      <c r="L8">
        <f>ROUNDUP($G$2*VLOOKUP($K$2,Pest!$A$2:$C$8,2,0)*D8,0)</f>
        <v>168</v>
      </c>
      <c r="M8">
        <f>ROUNDUP($G$2*VLOOKUP($K$2,Pest!$A$2:$C$8,3,0)*E8,0)</f>
        <v>404</v>
      </c>
      <c r="O8">
        <f>ROUNDUP($G$2*VLOOKUP($N$2,Mineral!$A$2:$C$5,2,0)*D8,0)</f>
        <v>81</v>
      </c>
      <c r="P8">
        <f>ROUNDUP($G$2*VLOOKUP($N$2,Mineral!$A$2:$C$5,3,0)*E8,0)</f>
        <v>65</v>
      </c>
      <c r="S8">
        <f t="shared" si="1"/>
        <v>17835.26166365626</v>
      </c>
      <c r="T8" s="51">
        <f t="shared" si="2"/>
        <v>4.9542393510156275</v>
      </c>
    </row>
    <row r="9" spans="1:20" x14ac:dyDescent="0.25">
      <c r="A9" s="3">
        <v>70</v>
      </c>
      <c r="B9" s="6">
        <f t="shared" si="4"/>
        <v>0.67222068967265669</v>
      </c>
      <c r="C9" s="6"/>
      <c r="D9" s="6">
        <v>1.1111111111111112</v>
      </c>
      <c r="E9" s="6">
        <f t="shared" si="0"/>
        <v>0.44444444444444448</v>
      </c>
      <c r="F9" s="37"/>
      <c r="I9">
        <f>ROUNDUP($G$2*VLOOKUP($H$2,Plant!$A$2:$C$22,2,0)*D9,0)</f>
        <v>67</v>
      </c>
      <c r="J9">
        <f>ROUNDUP($G$2*VLOOKUP($H$2,Plant!$A$2:$C$22,3,0)*E9,0)</f>
        <v>74</v>
      </c>
      <c r="L9">
        <f>ROUNDUP($G$2*VLOOKUP($K$2,Pest!$A$2:$C$8,2,0)*D9,0)</f>
        <v>144</v>
      </c>
      <c r="M9">
        <f>ROUNDUP($G$2*VLOOKUP($K$2,Pest!$A$2:$C$8,3,0)*E9,0)</f>
        <v>346</v>
      </c>
      <c r="O9">
        <f>ROUNDUP($G$2*VLOOKUP($N$2,Mineral!$A$2:$C$5,2,0)*D9,0)</f>
        <v>70</v>
      </c>
      <c r="P9">
        <f>ROUNDUP($G$2*VLOOKUP($N$2,Mineral!$A$2:$C$5,3,0)*E9,0)</f>
        <v>56</v>
      </c>
      <c r="S9">
        <f t="shared" si="1"/>
        <v>18119.966896929385</v>
      </c>
      <c r="T9" s="51">
        <f t="shared" si="2"/>
        <v>5.0333241380359404</v>
      </c>
    </row>
    <row r="10" spans="1:20" x14ac:dyDescent="0.25">
      <c r="A10" s="3">
        <v>80</v>
      </c>
      <c r="B10" s="6">
        <f t="shared" si="4"/>
        <v>0.68566510346610987</v>
      </c>
      <c r="C10" s="6"/>
      <c r="D10" s="6">
        <v>0.92592592592592604</v>
      </c>
      <c r="E10" s="6">
        <f t="shared" si="0"/>
        <v>0.37037037037037041</v>
      </c>
      <c r="F10" s="37"/>
      <c r="I10">
        <f>ROUNDUP($G$2*VLOOKUP($H$2,Plant!$A$2:$C$22,2,0)*D10,0)</f>
        <v>56</v>
      </c>
      <c r="J10">
        <f>ROUNDUP($G$2*VLOOKUP($H$2,Plant!$A$2:$C$22,3,0)*E10,0)</f>
        <v>62</v>
      </c>
      <c r="L10">
        <f>ROUNDUP($G$2*VLOOKUP($K$2,Pest!$A$2:$C$8,2,0)*D10,0)</f>
        <v>120</v>
      </c>
      <c r="M10">
        <f>ROUNDUP($G$2*VLOOKUP($K$2,Pest!$A$2:$C$8,3,0)*E10,0)</f>
        <v>288</v>
      </c>
      <c r="O10">
        <f>ROUNDUP($G$2*VLOOKUP($N$2,Mineral!$A$2:$C$5,2,0)*D10,0)</f>
        <v>58</v>
      </c>
      <c r="P10">
        <f>ROUNDUP($G$2*VLOOKUP($N$2,Mineral!$A$2:$C$5,3,0)*E10,0)</f>
        <v>47</v>
      </c>
      <c r="S10">
        <f t="shared" si="1"/>
        <v>18410.366234867975</v>
      </c>
      <c r="T10" s="51">
        <f t="shared" si="2"/>
        <v>5.1139906207966597</v>
      </c>
    </row>
    <row r="11" spans="1:20" x14ac:dyDescent="0.25">
      <c r="A11" s="3">
        <v>90</v>
      </c>
      <c r="B11" s="6">
        <f t="shared" si="4"/>
        <v>0.69937840553543207</v>
      </c>
      <c r="C11" s="6"/>
      <c r="D11" s="6">
        <v>0.74074074074074081</v>
      </c>
      <c r="E11" s="6">
        <f t="shared" si="0"/>
        <v>0.29629629629629634</v>
      </c>
      <c r="F11" s="37"/>
      <c r="I11">
        <f>ROUNDUP($G$2*VLOOKUP($H$2,Plant!$A$2:$C$22,2,0)*D11,0)</f>
        <v>45</v>
      </c>
      <c r="J11">
        <f>ROUNDUP($G$2*VLOOKUP($H$2,Plant!$A$2:$C$22,3,0)*E11,0)</f>
        <v>50</v>
      </c>
      <c r="L11">
        <f>ROUNDUP($G$2*VLOOKUP($K$2,Pest!$A$2:$C$8,2,0)*D11,0)</f>
        <v>96</v>
      </c>
      <c r="M11">
        <f>ROUNDUP($G$2*VLOOKUP($K$2,Pest!$A$2:$C$8,3,0)*E11,0)</f>
        <v>231</v>
      </c>
      <c r="O11">
        <f>ROUNDUP($G$2*VLOOKUP($N$2,Mineral!$A$2:$C$5,2,0)*D11,0)</f>
        <v>47</v>
      </c>
      <c r="P11">
        <f>ROUNDUP($G$2*VLOOKUP($N$2,Mineral!$A$2:$C$5,3,0)*E11,0)</f>
        <v>37</v>
      </c>
      <c r="S11">
        <f t="shared" si="1"/>
        <v>18706.573559565331</v>
      </c>
      <c r="T11" s="51">
        <f t="shared" si="2"/>
        <v>5.1962704332125922</v>
      </c>
    </row>
    <row r="12" spans="1:20" x14ac:dyDescent="0.25">
      <c r="A12" s="2">
        <v>100</v>
      </c>
      <c r="B12" s="6">
        <f t="shared" si="4"/>
        <v>0.71336597364614074</v>
      </c>
      <c r="C12" s="6"/>
      <c r="D12" s="6">
        <v>0.55555555555555558</v>
      </c>
      <c r="E12" s="6">
        <f t="shared" si="0"/>
        <v>0.22222222222222224</v>
      </c>
      <c r="F12" s="37"/>
      <c r="I12">
        <f>ROUNDUP($G$2*VLOOKUP($H$2,Plant!$A$2:$C$22,2,0)*D12,0)</f>
        <v>34</v>
      </c>
      <c r="J12">
        <f>ROUNDUP($G$2*VLOOKUP($H$2,Plant!$A$2:$C$22,3,0)*E12,0)</f>
        <v>37</v>
      </c>
      <c r="L12">
        <f>ROUNDUP($G$2*VLOOKUP($K$2,Pest!$A$2:$C$8,2,0)*D12,0)</f>
        <v>72</v>
      </c>
      <c r="M12">
        <f>ROUNDUP($G$2*VLOOKUP($K$2,Pest!$A$2:$C$8,3,0)*E12,0)</f>
        <v>173</v>
      </c>
      <c r="O12">
        <f>ROUNDUP($G$2*VLOOKUP($N$2,Mineral!$A$2:$C$5,2,0)*D12,0)</f>
        <v>35</v>
      </c>
      <c r="P12">
        <f>ROUNDUP($G$2*VLOOKUP($N$2,Mineral!$A$2:$C$5,3,0)*E12,0)</f>
        <v>28</v>
      </c>
      <c r="S12">
        <f t="shared" si="1"/>
        <v>19008.705030756642</v>
      </c>
      <c r="T12" s="51">
        <f t="shared" si="2"/>
        <v>5.2801958418768455</v>
      </c>
    </row>
    <row r="13" spans="1:20" x14ac:dyDescent="0.25">
      <c r="A13" s="2">
        <v>120</v>
      </c>
      <c r="B13" s="6">
        <f t="shared" si="4"/>
        <v>0.72763329311906355</v>
      </c>
      <c r="C13" s="6"/>
      <c r="D13" s="6">
        <v>0.51851851851851849</v>
      </c>
      <c r="E13" s="6">
        <f t="shared" si="0"/>
        <v>0.2074074074074074</v>
      </c>
      <c r="F13" s="37"/>
      <c r="I13">
        <f>ROUNDUP($G$2*VLOOKUP($H$2,Plant!$A$2:$C$22,2,0)*D13,0)</f>
        <v>32</v>
      </c>
      <c r="J13">
        <f>ROUNDUP($G$2*VLOOKUP($H$2,Plant!$A$2:$C$22,3,0)*E13,0)</f>
        <v>35</v>
      </c>
      <c r="L13">
        <f>ROUNDUP($G$2*VLOOKUP($K$2,Pest!$A$2:$C$8,2,0)*D13,0)</f>
        <v>68</v>
      </c>
      <c r="M13">
        <f>ROUNDUP($G$2*VLOOKUP($K$2,Pest!$A$2:$C$8,3,0)*E13,0)</f>
        <v>162</v>
      </c>
      <c r="O13">
        <f>ROUNDUP($G$2*VLOOKUP($N$2,Mineral!$A$2:$C$5,2,0)*D13,0)</f>
        <v>33</v>
      </c>
      <c r="P13">
        <f>ROUNDUP($G$2*VLOOKUP($N$2,Mineral!$A$2:$C$5,3,0)*E13,0)</f>
        <v>26</v>
      </c>
      <c r="S13">
        <f t="shared" si="1"/>
        <v>19316.87913137177</v>
      </c>
      <c r="T13" s="51">
        <f t="shared" si="2"/>
        <v>5.3657997587143802</v>
      </c>
    </row>
    <row r="14" spans="1:20" x14ac:dyDescent="0.25">
      <c r="A14" s="2">
        <v>150</v>
      </c>
      <c r="B14" s="6">
        <f t="shared" si="4"/>
        <v>0.74218595898144479</v>
      </c>
      <c r="C14" s="6"/>
      <c r="D14" s="6">
        <v>0.48148148148148157</v>
      </c>
      <c r="E14" s="6">
        <f t="shared" si="0"/>
        <v>0.19259259259259262</v>
      </c>
      <c r="F14" s="37"/>
      <c r="I14">
        <f>ROUNDUP($G$2*VLOOKUP($H$2,Plant!$A$2:$C$22,2,0)*D14,0)</f>
        <v>29</v>
      </c>
      <c r="J14">
        <f>ROUNDUP($G$2*VLOOKUP($H$2,Plant!$A$2:$C$22,3,0)*E14,0)</f>
        <v>32</v>
      </c>
      <c r="L14">
        <f>ROUNDUP($G$2*VLOOKUP($K$2,Pest!$A$2:$C$8,2,0)*D14,0)</f>
        <v>63</v>
      </c>
      <c r="M14">
        <f>ROUNDUP($G$2*VLOOKUP($K$2,Pest!$A$2:$C$8,3,0)*E14,0)</f>
        <v>150</v>
      </c>
      <c r="O14">
        <f>ROUNDUP($G$2*VLOOKUP($N$2,Mineral!$A$2:$C$5,2,0)*D14,0)</f>
        <v>31</v>
      </c>
      <c r="P14">
        <f>ROUNDUP($G$2*VLOOKUP($N$2,Mineral!$A$2:$C$5,3,0)*E14,0)</f>
        <v>25</v>
      </c>
      <c r="S14">
        <f t="shared" si="1"/>
        <v>19631.216713999209</v>
      </c>
      <c r="T14" s="51">
        <f t="shared" si="2"/>
        <v>5.4531157538886692</v>
      </c>
    </row>
    <row r="15" spans="1:20" x14ac:dyDescent="0.25">
      <c r="A15" s="3">
        <v>180</v>
      </c>
      <c r="B15" s="6">
        <f t="shared" si="4"/>
        <v>0.75702967816107369</v>
      </c>
      <c r="C15" s="6"/>
      <c r="D15" s="6">
        <v>0.46296296296296302</v>
      </c>
      <c r="E15" s="6">
        <f t="shared" si="0"/>
        <v>0.1851851851851852</v>
      </c>
      <c r="F15" s="37"/>
      <c r="I15">
        <f>ROUNDUP($G$2*VLOOKUP($H$2,Plant!$A$2:$C$22,2,0)*D15,0)</f>
        <v>28</v>
      </c>
      <c r="J15">
        <f>ROUNDUP($G$2*VLOOKUP($H$2,Plant!$A$2:$C$22,3,0)*E15,0)</f>
        <v>31</v>
      </c>
      <c r="L15">
        <f>ROUNDUP($G$2*VLOOKUP($K$2,Pest!$A$2:$C$8,2,0)*D15,0)</f>
        <v>60</v>
      </c>
      <c r="M15">
        <f>ROUNDUP($G$2*VLOOKUP($K$2,Pest!$A$2:$C$8,3,0)*E15,0)</f>
        <v>144</v>
      </c>
      <c r="O15">
        <f>ROUNDUP($G$2*VLOOKUP($N$2,Mineral!$A$2:$C$5,2,0)*D15,0)</f>
        <v>29</v>
      </c>
      <c r="P15">
        <f>ROUNDUP($G$2*VLOOKUP($N$2,Mineral!$A$2:$C$5,3,0)*E15,0)</f>
        <v>24</v>
      </c>
      <c r="S15">
        <f t="shared" si="1"/>
        <v>19951.841048279191</v>
      </c>
      <c r="T15" s="51">
        <f t="shared" si="2"/>
        <v>5.5421780689664413</v>
      </c>
    </row>
    <row r="16" spans="1:20" x14ac:dyDescent="0.25">
      <c r="A16" s="2">
        <v>200</v>
      </c>
      <c r="B16" s="6">
        <f t="shared" si="4"/>
        <v>0.7721702717242952</v>
      </c>
      <c r="C16" s="6"/>
      <c r="D16" s="6">
        <v>0.44444444444444442</v>
      </c>
      <c r="E16" s="6">
        <f t="shared" si="0"/>
        <v>0.17777777777777776</v>
      </c>
      <c r="F16" s="37"/>
      <c r="I16">
        <f>ROUNDUP($G$2*VLOOKUP($H$2,Plant!$A$2:$C$22,2,0)*D16,0)</f>
        <v>27</v>
      </c>
      <c r="J16">
        <f>ROUNDUP($G$2*VLOOKUP($H$2,Plant!$A$2:$C$22,3,0)*E16,0)</f>
        <v>30</v>
      </c>
      <c r="L16">
        <f>ROUNDUP($G$2*VLOOKUP($K$2,Pest!$A$2:$C$8,2,0)*D16,0)</f>
        <v>58</v>
      </c>
      <c r="M16">
        <f>ROUNDUP($G$2*VLOOKUP($K$2,Pest!$A$2:$C$8,3,0)*E16,0)</f>
        <v>139</v>
      </c>
      <c r="O16">
        <f>ROUNDUP($G$2*VLOOKUP($N$2,Mineral!$A$2:$C$5,2,0)*D16,0)</f>
        <v>28</v>
      </c>
      <c r="P16">
        <f>ROUNDUP($G$2*VLOOKUP($N$2,Mineral!$A$2:$C$5,3,0)*E16,0)</f>
        <v>23</v>
      </c>
      <c r="S16">
        <f t="shared" si="1"/>
        <v>20278.877869244778</v>
      </c>
      <c r="T16" s="51">
        <f t="shared" si="2"/>
        <v>5.6330216303457714</v>
      </c>
    </row>
    <row r="17" spans="1:20" x14ac:dyDescent="0.25">
      <c r="A17" s="2">
        <v>250</v>
      </c>
      <c r="B17" s="6">
        <f t="shared" si="4"/>
        <v>0.78761367715878117</v>
      </c>
      <c r="C17" s="6"/>
      <c r="D17" s="6">
        <v>0.42592592592592587</v>
      </c>
      <c r="E17" s="6">
        <f t="shared" si="0"/>
        <v>0.17037037037037034</v>
      </c>
      <c r="F17" s="37"/>
      <c r="I17">
        <f>ROUNDUP($G$2*VLOOKUP($H$2,Plant!$A$2:$C$22,2,0)*D17,0)</f>
        <v>26</v>
      </c>
      <c r="J17">
        <f>ROUNDUP($G$2*VLOOKUP($H$2,Plant!$A$2:$C$22,3,0)*E17,0)</f>
        <v>29</v>
      </c>
      <c r="L17">
        <f>ROUNDUP($G$2*VLOOKUP($K$2,Pest!$A$2:$C$8,2,0)*D17,0)</f>
        <v>56</v>
      </c>
      <c r="M17">
        <f>ROUNDUP($G$2*VLOOKUP($K$2,Pest!$A$2:$C$8,3,0)*E17,0)</f>
        <v>133</v>
      </c>
      <c r="O17">
        <f>ROUNDUP($G$2*VLOOKUP($N$2,Mineral!$A$2:$C$5,2,0)*D17,0)</f>
        <v>27</v>
      </c>
      <c r="P17">
        <f>ROUNDUP($G$2*VLOOKUP($N$2,Mineral!$A$2:$C$5,3,0)*E17,0)</f>
        <v>22</v>
      </c>
      <c r="S17">
        <f t="shared" si="1"/>
        <v>20612.455426629676</v>
      </c>
      <c r="T17" s="51">
        <f t="shared" si="2"/>
        <v>5.7256820629526874</v>
      </c>
    </row>
    <row r="18" spans="1:20" x14ac:dyDescent="0.25">
      <c r="A18" s="2">
        <v>300</v>
      </c>
      <c r="B18" s="6">
        <f t="shared" si="4"/>
        <v>0.80336595070195682</v>
      </c>
      <c r="C18" s="6"/>
      <c r="D18" s="6">
        <v>0.40740740740740744</v>
      </c>
      <c r="E18" s="6">
        <f t="shared" si="0"/>
        <v>0.16296296296296298</v>
      </c>
      <c r="F18" s="37"/>
      <c r="I18">
        <f>ROUNDUP($G$2*VLOOKUP($H$2,Plant!$A$2:$C$22,2,0)*D18,0)</f>
        <v>25</v>
      </c>
      <c r="J18">
        <f>ROUNDUP($G$2*VLOOKUP($H$2,Plant!$A$2:$C$22,3,0)*E18,0)</f>
        <v>28</v>
      </c>
      <c r="L18">
        <f>ROUNDUP($G$2*VLOOKUP($K$2,Pest!$A$2:$C$8,2,0)*D18,0)</f>
        <v>53</v>
      </c>
      <c r="M18">
        <f>ROUNDUP($G$2*VLOOKUP($K$2,Pest!$A$2:$C$8,3,0)*E18,0)</f>
        <v>127</v>
      </c>
      <c r="O18">
        <f>ROUNDUP($G$2*VLOOKUP($N$2,Mineral!$A$2:$C$5,2,0)*D18,0)</f>
        <v>26</v>
      </c>
      <c r="P18">
        <f>ROUNDUP($G$2*VLOOKUP($N$2,Mineral!$A$2:$C$5,3,0)*E18,0)</f>
        <v>21</v>
      </c>
      <c r="S18">
        <f t="shared" si="1"/>
        <v>20952.704535162269</v>
      </c>
      <c r="T18" s="51">
        <f t="shared" si="2"/>
        <v>5.8201957042117414</v>
      </c>
    </row>
    <row r="19" spans="1:20" x14ac:dyDescent="0.25">
      <c r="F19" s="37"/>
    </row>
    <row r="22" spans="1:20" x14ac:dyDescent="0.25">
      <c r="D22" s="44"/>
      <c r="E22" s="44"/>
    </row>
    <row r="23" spans="1:20" x14ac:dyDescent="0.25">
      <c r="D23" s="44"/>
      <c r="E23" s="44"/>
    </row>
    <row r="24" spans="1:20" x14ac:dyDescent="0.25">
      <c r="D24" s="44"/>
      <c r="E24" s="44"/>
    </row>
    <row r="25" spans="1:20" x14ac:dyDescent="0.25">
      <c r="D25" s="44"/>
      <c r="E25" s="44"/>
    </row>
    <row r="26" spans="1:20" x14ac:dyDescent="0.25">
      <c r="D26" s="44"/>
      <c r="E26" s="44"/>
    </row>
    <row r="27" spans="1:20" x14ac:dyDescent="0.25">
      <c r="D27" s="44"/>
      <c r="E27" s="44"/>
    </row>
    <row r="28" spans="1:20" x14ac:dyDescent="0.25">
      <c r="D28" s="44"/>
      <c r="E28" s="44"/>
    </row>
    <row r="29" spans="1:20" x14ac:dyDescent="0.25">
      <c r="D29" s="44"/>
      <c r="E29" s="44"/>
    </row>
    <row r="30" spans="1:20" x14ac:dyDescent="0.25">
      <c r="D30" s="44"/>
      <c r="E30" s="44"/>
    </row>
    <row r="31" spans="1:20" x14ac:dyDescent="0.25">
      <c r="D31" s="44"/>
      <c r="E31" s="44"/>
    </row>
    <row r="32" spans="1:20" x14ac:dyDescent="0.25">
      <c r="D32" s="44"/>
      <c r="E32" s="44"/>
    </row>
    <row r="33" spans="4:5" x14ac:dyDescent="0.25">
      <c r="D33" s="44"/>
      <c r="E33" s="44"/>
    </row>
    <row r="34" spans="4:5" x14ac:dyDescent="0.25">
      <c r="D34" s="44"/>
      <c r="E34" s="44"/>
    </row>
    <row r="35" spans="4:5" x14ac:dyDescent="0.25">
      <c r="D35" s="44"/>
      <c r="E35" s="44"/>
    </row>
    <row r="36" spans="4:5" x14ac:dyDescent="0.25">
      <c r="D36" s="44"/>
      <c r="E36" s="44"/>
    </row>
    <row r="37" spans="4:5" x14ac:dyDescent="0.25">
      <c r="D37" s="44"/>
      <c r="E37" s="44"/>
    </row>
    <row r="38" spans="4:5" x14ac:dyDescent="0.25">
      <c r="D38" s="44"/>
      <c r="E38" s="44"/>
    </row>
    <row r="39" spans="4:5" x14ac:dyDescent="0.25">
      <c r="E39" s="44"/>
    </row>
    <row r="40" spans="4:5" x14ac:dyDescent="0.25">
      <c r="E40" s="44"/>
    </row>
    <row r="41" spans="4:5" x14ac:dyDescent="0.25">
      <c r="E41" s="44"/>
    </row>
    <row r="42" spans="4:5" x14ac:dyDescent="0.25">
      <c r="E42" s="4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2"/>
  <sheetViews>
    <sheetView workbookViewId="0">
      <selection activeCell="I19" sqref="I18:I19"/>
    </sheetView>
  </sheetViews>
  <sheetFormatPr defaultRowHeight="15" x14ac:dyDescent="0.25"/>
  <cols>
    <col min="1" max="1" width="16.85546875" style="24" bestFit="1" customWidth="1"/>
    <col min="2" max="2" width="17.140625" style="24" customWidth="1"/>
    <col min="3" max="3" width="14.85546875" style="24" customWidth="1"/>
  </cols>
  <sheetData>
    <row r="1" spans="1:3" x14ac:dyDescent="0.25">
      <c r="A1" s="21" t="s">
        <v>54</v>
      </c>
      <c r="B1" s="21" t="s">
        <v>76</v>
      </c>
      <c r="C1" s="21" t="s">
        <v>77</v>
      </c>
    </row>
    <row r="2" spans="1:3" x14ac:dyDescent="0.25">
      <c r="A2" s="22" t="s">
        <v>55</v>
      </c>
      <c r="B2" s="25">
        <v>1.2</v>
      </c>
      <c r="C2" s="25">
        <v>4.8099999999999996</v>
      </c>
    </row>
    <row r="3" spans="1:3" x14ac:dyDescent="0.25">
      <c r="A3" s="15" t="s">
        <v>56</v>
      </c>
      <c r="B3" s="26">
        <v>1</v>
      </c>
      <c r="C3" s="26">
        <v>3.62</v>
      </c>
    </row>
    <row r="4" spans="1:3" x14ac:dyDescent="0.25">
      <c r="A4" s="15" t="s">
        <v>57</v>
      </c>
      <c r="B4" s="26">
        <v>1.25</v>
      </c>
      <c r="C4" s="26">
        <v>4.82</v>
      </c>
    </row>
    <row r="5" spans="1:3" x14ac:dyDescent="0.25">
      <c r="A5" s="15" t="s">
        <v>58</v>
      </c>
      <c r="B5" s="26">
        <v>2</v>
      </c>
      <c r="C5" s="26">
        <v>7.02</v>
      </c>
    </row>
    <row r="6" spans="1:3" x14ac:dyDescent="0.25">
      <c r="A6" s="15" t="s">
        <v>59</v>
      </c>
      <c r="B6" s="26">
        <v>3</v>
      </c>
      <c r="C6" s="26">
        <v>9.6199999999999992</v>
      </c>
    </row>
    <row r="7" spans="1:3" x14ac:dyDescent="0.25">
      <c r="A7" s="15" t="s">
        <v>60</v>
      </c>
      <c r="B7" s="26">
        <v>3.25</v>
      </c>
      <c r="C7" s="26">
        <v>10.02</v>
      </c>
    </row>
    <row r="8" spans="1:3" x14ac:dyDescent="0.25">
      <c r="A8" s="23" t="s">
        <v>61</v>
      </c>
      <c r="B8" s="26">
        <v>3.75</v>
      </c>
      <c r="C8" s="26">
        <v>12.42</v>
      </c>
    </row>
    <row r="9" spans="1:3" x14ac:dyDescent="0.25">
      <c r="A9" s="15" t="s">
        <v>62</v>
      </c>
      <c r="B9" s="26">
        <v>5</v>
      </c>
      <c r="C9" s="26">
        <v>13.82</v>
      </c>
    </row>
    <row r="10" spans="1:3" x14ac:dyDescent="0.25">
      <c r="A10" s="23" t="s">
        <v>63</v>
      </c>
      <c r="B10" s="26">
        <v>5.75</v>
      </c>
      <c r="C10" s="26">
        <v>15.82</v>
      </c>
    </row>
    <row r="11" spans="1:3" x14ac:dyDescent="0.25">
      <c r="A11" s="15" t="s">
        <v>64</v>
      </c>
      <c r="B11" s="26">
        <v>13</v>
      </c>
      <c r="C11" s="26">
        <v>21.6</v>
      </c>
    </row>
    <row r="12" spans="1:3" x14ac:dyDescent="0.25">
      <c r="A12" s="23" t="s">
        <v>65</v>
      </c>
      <c r="B12" s="26">
        <v>13.5</v>
      </c>
      <c r="C12" s="26">
        <v>23.6</v>
      </c>
    </row>
    <row r="13" spans="1:3" x14ac:dyDescent="0.25">
      <c r="A13" s="23" t="s">
        <v>66</v>
      </c>
      <c r="B13" s="26">
        <v>14.25</v>
      </c>
      <c r="C13" s="26">
        <v>25.6</v>
      </c>
    </row>
    <row r="14" spans="1:3" x14ac:dyDescent="0.25">
      <c r="A14" s="23" t="s">
        <v>67</v>
      </c>
      <c r="B14" s="26">
        <v>15</v>
      </c>
      <c r="C14" s="26">
        <v>27.6</v>
      </c>
    </row>
    <row r="15" spans="1:3" x14ac:dyDescent="0.25">
      <c r="A15" s="15" t="s">
        <v>68</v>
      </c>
      <c r="B15" s="26">
        <v>16.25</v>
      </c>
      <c r="C15" s="26">
        <v>28.8</v>
      </c>
    </row>
    <row r="16" spans="1:3" x14ac:dyDescent="0.25">
      <c r="A16" s="23" t="s">
        <v>69</v>
      </c>
      <c r="B16" s="26">
        <v>17.5</v>
      </c>
      <c r="C16" s="26">
        <v>32.799999999999997</v>
      </c>
    </row>
    <row r="17" spans="1:3" x14ac:dyDescent="0.25">
      <c r="A17" s="15" t="s">
        <v>70</v>
      </c>
      <c r="B17" s="26">
        <v>19.25</v>
      </c>
      <c r="C17" s="26">
        <v>36.020000000000003</v>
      </c>
    </row>
    <row r="18" spans="1:3" x14ac:dyDescent="0.25">
      <c r="A18" s="15" t="s">
        <v>71</v>
      </c>
      <c r="B18" s="26">
        <v>21.25</v>
      </c>
      <c r="C18" s="26">
        <v>43.2</v>
      </c>
    </row>
    <row r="19" spans="1:3" x14ac:dyDescent="0.25">
      <c r="A19" s="15" t="s">
        <v>72</v>
      </c>
      <c r="B19" s="26">
        <v>24</v>
      </c>
      <c r="C19" s="26">
        <v>50.4</v>
      </c>
    </row>
    <row r="20" spans="1:3" x14ac:dyDescent="0.25">
      <c r="A20" s="15" t="s">
        <v>73</v>
      </c>
      <c r="B20" s="26">
        <v>27</v>
      </c>
      <c r="C20" s="26">
        <v>57.6</v>
      </c>
    </row>
    <row r="21" spans="1:3" x14ac:dyDescent="0.25">
      <c r="A21" s="15" t="s">
        <v>74</v>
      </c>
      <c r="B21" s="26">
        <v>29.75</v>
      </c>
      <c r="C21" s="26">
        <v>64.8</v>
      </c>
    </row>
    <row r="22" spans="1:3" x14ac:dyDescent="0.25">
      <c r="A22" s="15" t="s">
        <v>75</v>
      </c>
      <c r="B22" s="26">
        <v>33.5</v>
      </c>
      <c r="C22" s="26">
        <v>72.02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workbookViewId="0">
      <selection activeCell="K16" sqref="K16"/>
    </sheetView>
  </sheetViews>
  <sheetFormatPr defaultRowHeight="15" x14ac:dyDescent="0.25"/>
  <cols>
    <col min="1" max="1" width="18.5703125" style="4" customWidth="1"/>
    <col min="2" max="3" width="13.5703125" style="4" customWidth="1"/>
  </cols>
  <sheetData>
    <row r="1" spans="1:3" x14ac:dyDescent="0.25">
      <c r="A1" s="31" t="s">
        <v>54</v>
      </c>
      <c r="B1" s="31" t="s">
        <v>76</v>
      </c>
      <c r="C1" s="31" t="s">
        <v>77</v>
      </c>
    </row>
    <row r="2" spans="1:3" x14ac:dyDescent="0.25">
      <c r="A2" s="33" t="s">
        <v>78</v>
      </c>
      <c r="B2" s="32">
        <v>10.4</v>
      </c>
      <c r="C2" s="32">
        <v>62.400000000000006</v>
      </c>
    </row>
    <row r="3" spans="1:3" x14ac:dyDescent="0.25">
      <c r="A3" s="33" t="s">
        <v>79</v>
      </c>
      <c r="B3" s="32">
        <v>10.5</v>
      </c>
      <c r="C3" s="32">
        <v>63</v>
      </c>
    </row>
    <row r="4" spans="1:3" x14ac:dyDescent="0.25">
      <c r="A4" s="33" t="s">
        <v>80</v>
      </c>
      <c r="B4" s="32">
        <v>10.6</v>
      </c>
      <c r="C4" s="32">
        <v>63.599999999999994</v>
      </c>
    </row>
    <row r="5" spans="1:3" x14ac:dyDescent="0.25">
      <c r="A5" s="33" t="s">
        <v>81</v>
      </c>
      <c r="B5" s="32">
        <v>10.7</v>
      </c>
      <c r="C5" s="32">
        <v>64.199999999999989</v>
      </c>
    </row>
    <row r="6" spans="1:3" x14ac:dyDescent="0.25">
      <c r="A6" s="33" t="s">
        <v>82</v>
      </c>
      <c r="B6" s="32">
        <v>10.8</v>
      </c>
      <c r="C6" s="32">
        <v>64.800000000000011</v>
      </c>
    </row>
    <row r="7" spans="1:3" x14ac:dyDescent="0.25">
      <c r="A7" s="33" t="s">
        <v>83</v>
      </c>
      <c r="B7" s="32">
        <v>10.9</v>
      </c>
      <c r="C7" s="32">
        <v>65.400000000000006</v>
      </c>
    </row>
    <row r="8" spans="1:3" x14ac:dyDescent="0.25">
      <c r="A8" s="2" t="s">
        <v>84</v>
      </c>
      <c r="B8" s="2">
        <v>11.1</v>
      </c>
      <c r="C8" s="2">
        <v>66.599999999999994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workbookViewId="0">
      <selection activeCell="H8" sqref="H8"/>
    </sheetView>
  </sheetViews>
  <sheetFormatPr defaultRowHeight="15" x14ac:dyDescent="0.25"/>
  <cols>
    <col min="1" max="1" width="20.85546875" style="24" bestFit="1" customWidth="1"/>
    <col min="2" max="3" width="13.5703125" style="4" customWidth="1"/>
  </cols>
  <sheetData>
    <row r="1" spans="1:3" x14ac:dyDescent="0.25">
      <c r="A1" s="34" t="s">
        <v>54</v>
      </c>
      <c r="B1" s="31" t="s">
        <v>76</v>
      </c>
      <c r="C1" s="31" t="s">
        <v>77</v>
      </c>
    </row>
    <row r="2" spans="1:3" x14ac:dyDescent="0.25">
      <c r="A2" s="35" t="s">
        <v>85</v>
      </c>
      <c r="B2" s="32">
        <v>5.2</v>
      </c>
      <c r="C2" s="32">
        <f>B2*2</f>
        <v>10.4</v>
      </c>
    </row>
    <row r="3" spans="1:3" x14ac:dyDescent="0.25">
      <c r="A3" s="35" t="s">
        <v>86</v>
      </c>
      <c r="B3" s="32">
        <v>5.25</v>
      </c>
      <c r="C3" s="32">
        <f t="shared" ref="C3:C5" si="0">B3*2</f>
        <v>10.5</v>
      </c>
    </row>
    <row r="4" spans="1:3" x14ac:dyDescent="0.25">
      <c r="A4" s="35" t="s">
        <v>87</v>
      </c>
      <c r="B4" s="32">
        <v>5.4</v>
      </c>
      <c r="C4" s="32">
        <f t="shared" si="0"/>
        <v>10.8</v>
      </c>
    </row>
    <row r="5" spans="1:3" x14ac:dyDescent="0.25">
      <c r="A5" s="35" t="s">
        <v>88</v>
      </c>
      <c r="B5" s="32">
        <v>5.5</v>
      </c>
      <c r="C5" s="32">
        <f t="shared" si="0"/>
        <v>11</v>
      </c>
    </row>
    <row r="9" spans="1:3" x14ac:dyDescent="0.25">
      <c r="B9" s="44"/>
    </row>
    <row r="10" spans="1:3" x14ac:dyDescent="0.25">
      <c r="B10" s="44"/>
    </row>
    <row r="11" spans="1:3" x14ac:dyDescent="0.25">
      <c r="B11" s="44"/>
    </row>
    <row r="12" spans="1:3" x14ac:dyDescent="0.25">
      <c r="B12" s="4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Misc Info</vt:lpstr>
      <vt:lpstr>TruckRequireInfo</vt:lpstr>
      <vt:lpstr>TruckLevel</vt:lpstr>
      <vt:lpstr>Reward_balance</vt:lpstr>
      <vt:lpstr>Plant</vt:lpstr>
      <vt:lpstr>Pest</vt:lpstr>
      <vt:lpstr>Mineral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2019-04-25T08:25:40Z</dcterms:created>
  <dcterms:modified xsi:type="dcterms:W3CDTF">2019-10-14T09:20:42Z</dcterms:modified>
</cp:coreProperties>
</file>