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KVTMJS\Trunk\design\db_balance\"/>
    </mc:Choice>
  </mc:AlternateContent>
  <bookViews>
    <workbookView xWindow="29670" yWindow="0" windowWidth="6990" windowHeight="8100" activeTab="2"/>
  </bookViews>
  <sheets>
    <sheet name="Pot_UP_Gold" sheetId="1" r:id="rId1"/>
    <sheet name="Pot_Up_Material" sheetId="12" r:id="rId2"/>
    <sheet name="Pot_Up_Material_0104" sheetId="40" r:id="rId3"/>
    <sheet name="Floor" sheetId="4" r:id="rId4"/>
    <sheet name="Machine" sheetId="5" r:id="rId5"/>
    <sheet name="Machine_unlock_Balance" sheetId="9" r:id="rId6"/>
    <sheet name="Machine_Appraisal" sheetId="8" r:id="rId7"/>
    <sheet name="GOLD_SUMUP" sheetId="17" r:id="rId8"/>
    <sheet name="Stock_Upgrade" sheetId="7" r:id="rId9"/>
    <sheet name="Production_diamond_buy" sheetId="10" state="hidden" r:id="rId10"/>
    <sheet name="Decor_info" sheetId="28" r:id="rId11"/>
    <sheet name="Skin" sheetId="21" r:id="rId12"/>
    <sheet name="Cloud_Skin" sheetId="31" r:id="rId13"/>
    <sheet name="Production_diamond_buy (2)" sheetId="18" r:id="rId14"/>
    <sheet name="ItemInfo" sheetId="13" r:id="rId15"/>
    <sheet name="Rewards" sheetId="14" r:id="rId16"/>
    <sheet name="Rate" sheetId="15" r:id="rId17"/>
    <sheet name="Diamond_skip_time" sheetId="16" r:id="rId18"/>
    <sheet name="Achievement" sheetId="19" r:id="rId19"/>
    <sheet name="Trophy" sheetId="20" r:id="rId20"/>
    <sheet name="OfferConfig" sheetId="24" r:id="rId21"/>
    <sheet name="OfferInfo" sheetId="23" r:id="rId22"/>
    <sheet name="OfferConfig_Rare" sheetId="38" r:id="rId23"/>
    <sheet name="OfferInfo RARE" sheetId="37" r:id="rId24"/>
    <sheet name="OfferInfo_MM" sheetId="35" r:id="rId25"/>
    <sheet name="Pot_combo" sheetId="25" r:id="rId26"/>
    <sheet name="Sheet1" sheetId="26" r:id="rId27"/>
    <sheet name="NEW_USER" sheetId="27" r:id="rId28"/>
    <sheet name="Constant" sheetId="29" r:id="rId29"/>
    <sheet name="Plant_Collect" sheetId="30" r:id="rId30"/>
    <sheet name="Info" sheetId="32" r:id="rId31"/>
    <sheet name="VIP Info" sheetId="34" r:id="rId32"/>
    <sheet name="User_level" sheetId="39" r:id="rId33"/>
  </sheets>
  <definedNames>
    <definedName name="_xlnm._FilterDatabase" localSheetId="18" hidden="1">Achievement!$A$1:$O$95</definedName>
    <definedName name="_xlnm._FilterDatabase" localSheetId="14" hidden="1">ItemInfo!$D$1:$D$6</definedName>
    <definedName name="_xlnm._FilterDatabase" localSheetId="4" hidden="1">Machine!$A$1:$F$10</definedName>
    <definedName name="_xlnm._FilterDatabase" localSheetId="25" hidden="1">Pot_combo!$A$1:$T$16</definedName>
    <definedName name="_xlnm._FilterDatabase" localSheetId="9" hidden="1">Production_diamond_buy!$A$1:$U$113</definedName>
    <definedName name="_xlnm._FilterDatabase" localSheetId="13" hidden="1">'Production_diamond_buy (2)'!$A$1:$Q$113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1" i="40" l="1"/>
  <c r="AL67" i="40"/>
  <c r="AL56" i="40"/>
  <c r="AL57" i="40"/>
  <c r="AL58" i="40"/>
  <c r="AL59" i="40"/>
  <c r="AL60" i="40"/>
  <c r="AL61" i="40"/>
  <c r="AL62" i="40"/>
  <c r="AL63" i="40"/>
  <c r="AL64" i="40"/>
  <c r="AL65" i="40"/>
  <c r="AL66" i="40"/>
  <c r="AL68" i="40"/>
  <c r="AL69" i="40"/>
  <c r="AL70" i="40"/>
  <c r="AL72" i="40"/>
  <c r="AL55" i="40"/>
  <c r="AC13" i="40" l="1"/>
  <c r="AC14" i="40"/>
  <c r="AC15" i="40"/>
  <c r="AC16" i="40"/>
  <c r="AC17" i="40"/>
  <c r="AC18" i="40"/>
  <c r="AC19" i="40"/>
  <c r="AC20" i="40"/>
  <c r="AC21" i="40"/>
  <c r="AC22" i="40"/>
  <c r="AC23" i="40"/>
  <c r="AC24" i="40"/>
  <c r="AC25" i="40"/>
  <c r="AC26" i="40"/>
  <c r="AC27" i="40"/>
  <c r="AC28" i="40"/>
  <c r="AC29" i="40"/>
  <c r="AC30" i="40"/>
  <c r="AC31" i="40"/>
  <c r="AC32" i="40"/>
  <c r="AC33" i="40"/>
  <c r="AC34" i="40"/>
  <c r="AC35" i="40"/>
  <c r="AC36" i="40"/>
  <c r="AC37" i="40"/>
  <c r="AC38" i="40"/>
  <c r="AC39" i="40"/>
  <c r="AC40" i="40"/>
  <c r="AC41" i="40"/>
  <c r="AC42" i="40"/>
  <c r="AC43" i="40"/>
  <c r="AC44" i="40"/>
  <c r="AC45" i="40"/>
  <c r="AC46" i="40"/>
  <c r="AC47" i="40"/>
  <c r="AC48" i="40"/>
  <c r="AC49" i="40"/>
  <c r="AC50" i="40"/>
  <c r="AC51" i="40"/>
  <c r="AC52" i="40"/>
  <c r="AC53" i="40"/>
  <c r="AC54" i="40"/>
  <c r="AC55" i="40"/>
  <c r="AC56" i="40"/>
  <c r="AC57" i="40"/>
  <c r="AC58" i="40"/>
  <c r="AC59" i="40"/>
  <c r="AC60" i="40"/>
  <c r="AC61" i="40"/>
  <c r="AC62" i="40"/>
  <c r="AC63" i="40"/>
  <c r="AC64" i="40"/>
  <c r="AC65" i="40"/>
  <c r="AC66" i="40"/>
  <c r="AC67" i="40"/>
  <c r="AC68" i="40"/>
  <c r="AC69" i="40"/>
  <c r="AC70" i="40"/>
  <c r="AC71" i="40"/>
  <c r="AC72" i="40"/>
  <c r="AC12" i="40"/>
  <c r="AC8" i="40"/>
  <c r="AC9" i="40"/>
  <c r="AC10" i="40"/>
  <c r="AC11" i="40"/>
  <c r="AC7" i="40"/>
  <c r="AQ16" i="40" l="1"/>
  <c r="AW158" i="40"/>
  <c r="AR158" i="40"/>
  <c r="AS158" i="40" s="1"/>
  <c r="AU158" i="40" s="1"/>
  <c r="AW157" i="40"/>
  <c r="AW156" i="40"/>
  <c r="AW155" i="40"/>
  <c r="AW154" i="40"/>
  <c r="AW153" i="40"/>
  <c r="AW152" i="40"/>
  <c r="AW151" i="40"/>
  <c r="AW150" i="40"/>
  <c r="AW149" i="40"/>
  <c r="AW148" i="40"/>
  <c r="AW147" i="40"/>
  <c r="AW146" i="40"/>
  <c r="AW145" i="40"/>
  <c r="AW144" i="40"/>
  <c r="AW143" i="40"/>
  <c r="AW142" i="40"/>
  <c r="AW141" i="40"/>
  <c r="AW140" i="40"/>
  <c r="AW139" i="40"/>
  <c r="AW138" i="40"/>
  <c r="AW137" i="40"/>
  <c r="AW136" i="40"/>
  <c r="AW135" i="40"/>
  <c r="AW134" i="40"/>
  <c r="AW133" i="40"/>
  <c r="AW132" i="40"/>
  <c r="AW131" i="40"/>
  <c r="AW130" i="40"/>
  <c r="AW129" i="40"/>
  <c r="AW128" i="40"/>
  <c r="AW127" i="40"/>
  <c r="AW126" i="40"/>
  <c r="AW125" i="40"/>
  <c r="AW124" i="40"/>
  <c r="AW123" i="40"/>
  <c r="AW122" i="40"/>
  <c r="AW121" i="40"/>
  <c r="AW120" i="40"/>
  <c r="AW119" i="40"/>
  <c r="AW118" i="40"/>
  <c r="AW117" i="40"/>
  <c r="AW116" i="40"/>
  <c r="AW115" i="40"/>
  <c r="AW114" i="40"/>
  <c r="AW113" i="40"/>
  <c r="AW112" i="40"/>
  <c r="AW111" i="40"/>
  <c r="AW110" i="40"/>
  <c r="AW109" i="40"/>
  <c r="AW108" i="40"/>
  <c r="AW107" i="40"/>
  <c r="AW106" i="40"/>
  <c r="AW105" i="40"/>
  <c r="AW104" i="40"/>
  <c r="AW103" i="40"/>
  <c r="AW102" i="40"/>
  <c r="AW101" i="40"/>
  <c r="AW100" i="40"/>
  <c r="AW99" i="40"/>
  <c r="AW98" i="40"/>
  <c r="AW97" i="40"/>
  <c r="AW96" i="40"/>
  <c r="AW95" i="40"/>
  <c r="AW94" i="40"/>
  <c r="AW93" i="40"/>
  <c r="AW92" i="40"/>
  <c r="AW91" i="40"/>
  <c r="AW90" i="40"/>
  <c r="AW89" i="40"/>
  <c r="AW88" i="40"/>
  <c r="AW87" i="40"/>
  <c r="AW86" i="40"/>
  <c r="AW85" i="40"/>
  <c r="AP85" i="40"/>
  <c r="AN85" i="40"/>
  <c r="AK85" i="40"/>
  <c r="AI85" i="40"/>
  <c r="AG85" i="40"/>
  <c r="AE85" i="40"/>
  <c r="AB85" i="40"/>
  <c r="Z85" i="40"/>
  <c r="X85" i="40"/>
  <c r="V85" i="40"/>
  <c r="T85" i="40"/>
  <c r="R85" i="40"/>
  <c r="P85" i="40"/>
  <c r="N85" i="40"/>
  <c r="L85" i="40"/>
  <c r="J85" i="40"/>
  <c r="H85" i="40"/>
  <c r="F85" i="40"/>
  <c r="D85" i="40"/>
  <c r="AR84" i="40"/>
  <c r="AQ84" i="40"/>
  <c r="AQ83" i="40"/>
  <c r="AR83" i="40" s="1"/>
  <c r="AS83" i="40" s="1"/>
  <c r="AU83" i="40" s="1"/>
  <c r="AR82" i="40"/>
  <c r="AQ82" i="40"/>
  <c r="AQ81" i="40"/>
  <c r="AR81" i="40" s="1"/>
  <c r="AR80" i="40"/>
  <c r="AQ80" i="40"/>
  <c r="AQ79" i="40"/>
  <c r="AR79" i="40" s="1"/>
  <c r="AS79" i="40" s="1"/>
  <c r="AU79" i="40" s="1"/>
  <c r="AR78" i="40"/>
  <c r="AQ78" i="40"/>
  <c r="AQ77" i="40"/>
  <c r="AR77" i="40" s="1"/>
  <c r="AS77" i="40" s="1"/>
  <c r="AU77" i="40" s="1"/>
  <c r="AR76" i="40"/>
  <c r="AQ76" i="40"/>
  <c r="AQ75" i="40"/>
  <c r="AR75" i="40" s="1"/>
  <c r="AS75" i="40" s="1"/>
  <c r="AU75" i="40" s="1"/>
  <c r="AR74" i="40"/>
  <c r="AQ74" i="40"/>
  <c r="AQ73" i="40"/>
  <c r="AR73" i="40" s="1"/>
  <c r="AS73" i="40" s="1"/>
  <c r="AU73" i="40" s="1"/>
  <c r="AQ72" i="40"/>
  <c r="AR72" i="40" s="1"/>
  <c r="AQ71" i="40"/>
  <c r="AR71" i="40" s="1"/>
  <c r="AQ70" i="40"/>
  <c r="AR70" i="40" s="1"/>
  <c r="AQ69" i="40"/>
  <c r="AR69" i="40" s="1"/>
  <c r="AS69" i="40" s="1"/>
  <c r="AQ68" i="40"/>
  <c r="AR68" i="40" s="1"/>
  <c r="AS68" i="40" s="1"/>
  <c r="AQ67" i="40"/>
  <c r="AR67" i="40" s="1"/>
  <c r="AS67" i="40" s="1"/>
  <c r="AQ66" i="40"/>
  <c r="AR66" i="40" s="1"/>
  <c r="AQ65" i="40"/>
  <c r="AR65" i="40" s="1"/>
  <c r="AQ64" i="40"/>
  <c r="AR64" i="40" s="1"/>
  <c r="AQ63" i="40"/>
  <c r="AR63" i="40" s="1"/>
  <c r="AQ62" i="40"/>
  <c r="AR62" i="40" s="1"/>
  <c r="AQ61" i="40"/>
  <c r="AR61" i="40" s="1"/>
  <c r="AS61" i="40" s="1"/>
  <c r="AQ60" i="40"/>
  <c r="AR60" i="40" s="1"/>
  <c r="AS60" i="40" s="1"/>
  <c r="AQ59" i="40"/>
  <c r="AR59" i="40" s="1"/>
  <c r="AS59" i="40" s="1"/>
  <c r="AQ58" i="40"/>
  <c r="AR58" i="40" s="1"/>
  <c r="AQ57" i="40"/>
  <c r="AR57" i="40" s="1"/>
  <c r="AQ56" i="40"/>
  <c r="AR56" i="40" s="1"/>
  <c r="AQ55" i="40"/>
  <c r="AR55" i="40" s="1"/>
  <c r="AR54" i="40"/>
  <c r="AQ54" i="40"/>
  <c r="AQ53" i="40"/>
  <c r="AR53" i="40" s="1"/>
  <c r="AS53" i="40" s="1"/>
  <c r="AR52" i="40"/>
  <c r="AS52" i="40" s="1"/>
  <c r="AT53" i="40" s="1"/>
  <c r="AQ52" i="40"/>
  <c r="AQ51" i="40"/>
  <c r="AR51" i="40" s="1"/>
  <c r="AS51" i="40" s="1"/>
  <c r="AQ50" i="40"/>
  <c r="AR50" i="40" s="1"/>
  <c r="AQ49" i="40"/>
  <c r="AR49" i="40" s="1"/>
  <c r="AQ48" i="40"/>
  <c r="AR48" i="40" s="1"/>
  <c r="AQ47" i="40"/>
  <c r="AR47" i="40" s="1"/>
  <c r="AR46" i="40"/>
  <c r="AQ46" i="40"/>
  <c r="AQ45" i="40"/>
  <c r="AR45" i="40" s="1"/>
  <c r="AS45" i="40" s="1"/>
  <c r="AR44" i="40"/>
  <c r="AS44" i="40" s="1"/>
  <c r="AQ44" i="40"/>
  <c r="AQ43" i="40"/>
  <c r="AR43" i="40" s="1"/>
  <c r="AS43" i="40" s="1"/>
  <c r="AQ42" i="40"/>
  <c r="AR42" i="40" s="1"/>
  <c r="AQ41" i="40"/>
  <c r="AR41" i="40" s="1"/>
  <c r="AQ40" i="40"/>
  <c r="AR40" i="40" s="1"/>
  <c r="AQ39" i="40"/>
  <c r="AR39" i="40" s="1"/>
  <c r="AR38" i="40"/>
  <c r="AQ38" i="40"/>
  <c r="AQ37" i="40"/>
  <c r="AR37" i="40" s="1"/>
  <c r="AS37" i="40" s="1"/>
  <c r="AQ36" i="40"/>
  <c r="AR36" i="40" s="1"/>
  <c r="AS36" i="40" s="1"/>
  <c r="AQ35" i="40"/>
  <c r="AR35" i="40" s="1"/>
  <c r="AS35" i="40" s="1"/>
  <c r="AQ34" i="40"/>
  <c r="AR34" i="40" s="1"/>
  <c r="AQ33" i="40"/>
  <c r="AR33" i="40" s="1"/>
  <c r="AQ32" i="40"/>
  <c r="AR32" i="40" s="1"/>
  <c r="AQ31" i="40"/>
  <c r="AR31" i="40" s="1"/>
  <c r="AR30" i="40"/>
  <c r="AQ30" i="40"/>
  <c r="AQ29" i="40"/>
  <c r="AR29" i="40" s="1"/>
  <c r="AQ28" i="40"/>
  <c r="AR28" i="40" s="1"/>
  <c r="AS28" i="40" s="1"/>
  <c r="AQ27" i="40"/>
  <c r="AR27" i="40" s="1"/>
  <c r="AQ26" i="40"/>
  <c r="AR26" i="40" s="1"/>
  <c r="AS26" i="40" s="1"/>
  <c r="AQ25" i="40"/>
  <c r="AR25" i="40" s="1"/>
  <c r="AQ24" i="40"/>
  <c r="AR24" i="40" s="1"/>
  <c r="AS24" i="40" s="1"/>
  <c r="AQ23" i="40"/>
  <c r="AR23" i="40" s="1"/>
  <c r="AQ22" i="40"/>
  <c r="AR22" i="40" s="1"/>
  <c r="AS22" i="40" s="1"/>
  <c r="AQ21" i="40"/>
  <c r="AR21" i="40" s="1"/>
  <c r="AQ20" i="40"/>
  <c r="AR20" i="40" s="1"/>
  <c r="AQ19" i="40"/>
  <c r="AR19" i="40" s="1"/>
  <c r="AQ18" i="40"/>
  <c r="AR18" i="40" s="1"/>
  <c r="AS18" i="40" s="1"/>
  <c r="AQ17" i="40"/>
  <c r="AR17" i="40" s="1"/>
  <c r="AR16" i="40"/>
  <c r="AS16" i="40" s="1"/>
  <c r="AQ15" i="40"/>
  <c r="AR15" i="40" s="1"/>
  <c r="AQ14" i="40"/>
  <c r="AR14" i="40" s="1"/>
  <c r="AQ13" i="40"/>
  <c r="AR13" i="40" s="1"/>
  <c r="AQ12" i="40"/>
  <c r="AR12" i="40" s="1"/>
  <c r="AR11" i="40"/>
  <c r="AQ11" i="40"/>
  <c r="AQ10" i="40"/>
  <c r="AR10" i="40" s="1"/>
  <c r="AS10" i="40" s="1"/>
  <c r="AQ9" i="40"/>
  <c r="AR9" i="40" s="1"/>
  <c r="AQ8" i="40"/>
  <c r="AR8" i="40" s="1"/>
  <c r="AS8" i="40" s="1"/>
  <c r="AQ7" i="40"/>
  <c r="AR7" i="40" s="1"/>
  <c r="AQ6" i="40"/>
  <c r="AR6" i="40" s="1"/>
  <c r="AQ5" i="40"/>
  <c r="AR5" i="40" s="1"/>
  <c r="AR4" i="40"/>
  <c r="AQ4" i="40"/>
  <c r="AQ3" i="40"/>
  <c r="AR3" i="40" s="1"/>
  <c r="AR2" i="40"/>
  <c r="AS2" i="40" s="1"/>
  <c r="AU2" i="40" s="1"/>
  <c r="AT69" i="40" l="1"/>
  <c r="AU69" i="40" s="1"/>
  <c r="AT61" i="40"/>
  <c r="AT29" i="40"/>
  <c r="AT45" i="40"/>
  <c r="AT3" i="40"/>
  <c r="AU3" i="40" s="1"/>
  <c r="AS29" i="40"/>
  <c r="AS5" i="40"/>
  <c r="AT6" i="40" s="1"/>
  <c r="AT9" i="40"/>
  <c r="AS9" i="40"/>
  <c r="AT10" i="40" s="1"/>
  <c r="AS15" i="40"/>
  <c r="AT16" i="40" s="1"/>
  <c r="AT19" i="40"/>
  <c r="AS19" i="40"/>
  <c r="AT20" i="40" s="1"/>
  <c r="AS7" i="40"/>
  <c r="AT8" i="40" s="1"/>
  <c r="AT13" i="40"/>
  <c r="AS13" i="40"/>
  <c r="AT14" i="40" s="1"/>
  <c r="AT17" i="40"/>
  <c r="AS17" i="40"/>
  <c r="AT18" i="40" s="1"/>
  <c r="AT27" i="40"/>
  <c r="AS27" i="40"/>
  <c r="AT28" i="40" s="1"/>
  <c r="AW29" i="40"/>
  <c r="AU29" i="40"/>
  <c r="AT38" i="40"/>
  <c r="AS38" i="40"/>
  <c r="AT39" i="40" s="1"/>
  <c r="AS58" i="40"/>
  <c r="AT59" i="40" s="1"/>
  <c r="AW69" i="40"/>
  <c r="AS3" i="40"/>
  <c r="AT4" i="40" s="1"/>
  <c r="AU4" i="40" s="1"/>
  <c r="AS21" i="40"/>
  <c r="AT22" i="40" s="1"/>
  <c r="AS32" i="40"/>
  <c r="AT33" i="40" s="1"/>
  <c r="AS34" i="40"/>
  <c r="AT35" i="40" s="1"/>
  <c r="AT37" i="40"/>
  <c r="AS39" i="40"/>
  <c r="AW45" i="40"/>
  <c r="AU45" i="40"/>
  <c r="AT46" i="40"/>
  <c r="AS46" i="40"/>
  <c r="AT47" i="40" s="1"/>
  <c r="AS64" i="40"/>
  <c r="AT65" i="40" s="1"/>
  <c r="AS66" i="40"/>
  <c r="AT67" i="40" s="1"/>
  <c r="AS71" i="40"/>
  <c r="AT72" i="40" s="1"/>
  <c r="AT84" i="40"/>
  <c r="AW84" i="40" s="1"/>
  <c r="AS84" i="40"/>
  <c r="AU84" i="40" s="1"/>
  <c r="AT11" i="40"/>
  <c r="AS56" i="40"/>
  <c r="AT57" i="40" s="1"/>
  <c r="AS12" i="40"/>
  <c r="AS4" i="40"/>
  <c r="AT5" i="40" s="1"/>
  <c r="AS6" i="40"/>
  <c r="AT7" i="40" s="1"/>
  <c r="AS20" i="40"/>
  <c r="AT21" i="40" s="1"/>
  <c r="AT23" i="40"/>
  <c r="AS23" i="40"/>
  <c r="AT24" i="40" s="1"/>
  <c r="AT40" i="40"/>
  <c r="AS40" i="40"/>
  <c r="AT41" i="40" s="1"/>
  <c r="AS42" i="40"/>
  <c r="AT43" i="40" s="1"/>
  <c r="AS47" i="40"/>
  <c r="AT48" i="40" s="1"/>
  <c r="AW53" i="40"/>
  <c r="AU53" i="40"/>
  <c r="AT54" i="40"/>
  <c r="AS54" i="40"/>
  <c r="AT55" i="40" s="1"/>
  <c r="AS31" i="40"/>
  <c r="AT32" i="40" s="1"/>
  <c r="AS63" i="40"/>
  <c r="AT64" i="40" s="1"/>
  <c r="AT70" i="40"/>
  <c r="AS70" i="40"/>
  <c r="AT71" i="40" s="1"/>
  <c r="AS11" i="40"/>
  <c r="AT12" i="40" s="1"/>
  <c r="AS14" i="40"/>
  <c r="AT15" i="40" s="1"/>
  <c r="AT25" i="40"/>
  <c r="AS25" i="40"/>
  <c r="AT26" i="40" s="1"/>
  <c r="AT30" i="40"/>
  <c r="AS30" i="40"/>
  <c r="AT31" i="40" s="1"/>
  <c r="AS48" i="40"/>
  <c r="AT49" i="40" s="1"/>
  <c r="AS50" i="40"/>
  <c r="AT51" i="40" s="1"/>
  <c r="AS55" i="40"/>
  <c r="AT56" i="40" s="1"/>
  <c r="AW61" i="40"/>
  <c r="AU61" i="40"/>
  <c r="AT62" i="40"/>
  <c r="AS62" i="40"/>
  <c r="AT63" i="40" s="1"/>
  <c r="AS72" i="40"/>
  <c r="AT73" i="40" s="1"/>
  <c r="AW73" i="40" s="1"/>
  <c r="AT76" i="40"/>
  <c r="AW76" i="40" s="1"/>
  <c r="AS76" i="40"/>
  <c r="AU76" i="40" s="1"/>
  <c r="AS81" i="40"/>
  <c r="AU81" i="40" s="1"/>
  <c r="AT78" i="40"/>
  <c r="AW78" i="40" s="1"/>
  <c r="AS78" i="40"/>
  <c r="AS33" i="40"/>
  <c r="AT34" i="40" s="1"/>
  <c r="AS41" i="40"/>
  <c r="AT42" i="40" s="1"/>
  <c r="AS49" i="40"/>
  <c r="AT50" i="40" s="1"/>
  <c r="AS57" i="40"/>
  <c r="AT58" i="40" s="1"/>
  <c r="AS65" i="40"/>
  <c r="AT66" i="40" s="1"/>
  <c r="AT80" i="40"/>
  <c r="AW80" i="40" s="1"/>
  <c r="AS80" i="40"/>
  <c r="AU80" i="40" s="1"/>
  <c r="AT36" i="40"/>
  <c r="AT44" i="40"/>
  <c r="AT52" i="40"/>
  <c r="AT60" i="40"/>
  <c r="AT68" i="40"/>
  <c r="AT74" i="40"/>
  <c r="AW74" i="40" s="1"/>
  <c r="AS74" i="40"/>
  <c r="AU74" i="40" s="1"/>
  <c r="AT82" i="40"/>
  <c r="AW82" i="40" s="1"/>
  <c r="AS82" i="40"/>
  <c r="AU82" i="40" s="1"/>
  <c r="AT83" i="40" l="1"/>
  <c r="AW83" i="40" s="1"/>
  <c r="AW58" i="40"/>
  <c r="AU58" i="40"/>
  <c r="AW71" i="40"/>
  <c r="AU71" i="40"/>
  <c r="AU32" i="40"/>
  <c r="AW32" i="40"/>
  <c r="AW41" i="40"/>
  <c r="AU41" i="40"/>
  <c r="AW31" i="40"/>
  <c r="AU31" i="40"/>
  <c r="AW57" i="40"/>
  <c r="AU57" i="40"/>
  <c r="AW42" i="40"/>
  <c r="AU42" i="40"/>
  <c r="AW15" i="40"/>
  <c r="AU15" i="40"/>
  <c r="AU64" i="40"/>
  <c r="AW64" i="40"/>
  <c r="AW7" i="40"/>
  <c r="AU7" i="40"/>
  <c r="AW72" i="40"/>
  <c r="AU72" i="40"/>
  <c r="AW33" i="40"/>
  <c r="AU33" i="40"/>
  <c r="AW14" i="40"/>
  <c r="AU14" i="40"/>
  <c r="AW20" i="40"/>
  <c r="AU20" i="40"/>
  <c r="AW66" i="40"/>
  <c r="AU66" i="40"/>
  <c r="AW34" i="40"/>
  <c r="AU34" i="40"/>
  <c r="AU5" i="40"/>
  <c r="AW5" i="40"/>
  <c r="AW6" i="40"/>
  <c r="AU6" i="40"/>
  <c r="AU78" i="40"/>
  <c r="AT79" i="40"/>
  <c r="AW79" i="40" s="1"/>
  <c r="AW65" i="40"/>
  <c r="AU65" i="40"/>
  <c r="AW50" i="40"/>
  <c r="AU50" i="40"/>
  <c r="AW70" i="40"/>
  <c r="AU70" i="40"/>
  <c r="AW43" i="40"/>
  <c r="AU43" i="40"/>
  <c r="AU56" i="40"/>
  <c r="AW56" i="40"/>
  <c r="AW46" i="40"/>
  <c r="AU46" i="40"/>
  <c r="AW39" i="40"/>
  <c r="AU39" i="40"/>
  <c r="AU21" i="40"/>
  <c r="AW21" i="40"/>
  <c r="AW59" i="40"/>
  <c r="AU59" i="40"/>
  <c r="AW38" i="40"/>
  <c r="AU38" i="40"/>
  <c r="AU27" i="40"/>
  <c r="AW27" i="40"/>
  <c r="AU13" i="40"/>
  <c r="AW13" i="40"/>
  <c r="AW12" i="40"/>
  <c r="AU12" i="40"/>
  <c r="AW16" i="40"/>
  <c r="AU16" i="40"/>
  <c r="AW44" i="40"/>
  <c r="AU44" i="40"/>
  <c r="AW30" i="40"/>
  <c r="AU30" i="40"/>
  <c r="AW11" i="40"/>
  <c r="AU11" i="40"/>
  <c r="AW37" i="40"/>
  <c r="AU37" i="40"/>
  <c r="AW18" i="40"/>
  <c r="AU18" i="40"/>
  <c r="AW8" i="40"/>
  <c r="AU8" i="40"/>
  <c r="AU25" i="40"/>
  <c r="AW25" i="40"/>
  <c r="AW68" i="40"/>
  <c r="AU68" i="40"/>
  <c r="AW36" i="40"/>
  <c r="AU36" i="40"/>
  <c r="AT75" i="40"/>
  <c r="AW75" i="40" s="1"/>
  <c r="AT81" i="40"/>
  <c r="AW81" i="40" s="1"/>
  <c r="AW62" i="40"/>
  <c r="AU62" i="40"/>
  <c r="AW55" i="40"/>
  <c r="AU55" i="40"/>
  <c r="AU48" i="40"/>
  <c r="AW48" i="40"/>
  <c r="AW28" i="40"/>
  <c r="AU28" i="40"/>
  <c r="AW63" i="40"/>
  <c r="AU63" i="40"/>
  <c r="AU23" i="40"/>
  <c r="AW23" i="40"/>
  <c r="AW67" i="40"/>
  <c r="AU67" i="40"/>
  <c r="AW49" i="40"/>
  <c r="AU49" i="40"/>
  <c r="AW35" i="40"/>
  <c r="AU35" i="40"/>
  <c r="AW24" i="40"/>
  <c r="AU24" i="40"/>
  <c r="AW17" i="40"/>
  <c r="AU17" i="40"/>
  <c r="AW10" i="40"/>
  <c r="AU10" i="40"/>
  <c r="AW52" i="40"/>
  <c r="AU52" i="40"/>
  <c r="AW26" i="40"/>
  <c r="AU26" i="40"/>
  <c r="AT77" i="40"/>
  <c r="AW77" i="40" s="1"/>
  <c r="AW60" i="40"/>
  <c r="AU60" i="40"/>
  <c r="AW51" i="40"/>
  <c r="AU51" i="40"/>
  <c r="AW54" i="40"/>
  <c r="AU54" i="40"/>
  <c r="AW47" i="40"/>
  <c r="AU47" i="40"/>
  <c r="AU40" i="40"/>
  <c r="AW40" i="40"/>
  <c r="AW22" i="40"/>
  <c r="AU22" i="40"/>
  <c r="AU19" i="40"/>
  <c r="AW19" i="40"/>
  <c r="AW9" i="40"/>
  <c r="AU9" i="40"/>
  <c r="C79" i="23" l="1"/>
  <c r="C94" i="23" l="1"/>
  <c r="B13" i="24" l="1"/>
  <c r="B12" i="24"/>
  <c r="B8" i="24"/>
  <c r="B7" i="24"/>
  <c r="B6" i="24"/>
  <c r="C60" i="23"/>
  <c r="A60" i="23"/>
  <c r="A94" i="23"/>
  <c r="C130" i="23" l="1"/>
  <c r="C112" i="23"/>
  <c r="J48" i="23" l="1"/>
  <c r="J49" i="23"/>
  <c r="A130" i="23" l="1"/>
  <c r="B14" i="24" s="1"/>
  <c r="A112" i="23"/>
  <c r="C11" i="15" l="1"/>
  <c r="F2" i="13"/>
  <c r="K14" i="21" l="1"/>
  <c r="A96" i="37" l="1"/>
  <c r="B29" i="38" s="1"/>
  <c r="A90" i="37"/>
  <c r="B28" i="38" s="1"/>
  <c r="A83" i="37"/>
  <c r="B24" i="38" s="1"/>
  <c r="A78" i="37"/>
  <c r="B23" i="38" s="1"/>
  <c r="A122" i="37"/>
  <c r="B36" i="38" s="1"/>
  <c r="C116" i="37"/>
  <c r="A116" i="37"/>
  <c r="B35" i="38" s="1"/>
  <c r="C101" i="37"/>
  <c r="C96" i="37"/>
  <c r="C78" i="37"/>
  <c r="C83" i="37"/>
  <c r="A109" i="37"/>
  <c r="B34" i="38" s="1"/>
  <c r="A101" i="37"/>
  <c r="B30" i="38" s="1"/>
  <c r="C122" i="37" l="1"/>
  <c r="C109" i="37"/>
  <c r="C90" i="37"/>
  <c r="B15" i="38"/>
  <c r="B16" i="38"/>
  <c r="B38" i="38"/>
  <c r="B37" i="38"/>
  <c r="B32" i="38"/>
  <c r="B31" i="38"/>
  <c r="B26" i="38"/>
  <c r="B25" i="38"/>
  <c r="B18" i="38"/>
  <c r="B17" i="38"/>
  <c r="H69" i="37"/>
  <c r="G69" i="37"/>
  <c r="H68" i="37"/>
  <c r="G68" i="37"/>
  <c r="H67" i="37"/>
  <c r="G67" i="37"/>
  <c r="H66" i="37"/>
  <c r="G66" i="37"/>
  <c r="H65" i="37"/>
  <c r="G65" i="37"/>
  <c r="H64" i="37"/>
  <c r="G64" i="37"/>
  <c r="H63" i="37"/>
  <c r="G63" i="37"/>
  <c r="H62" i="37"/>
  <c r="G62" i="37"/>
  <c r="H61" i="37"/>
  <c r="G61" i="37"/>
  <c r="H60" i="37"/>
  <c r="G60" i="37"/>
  <c r="H59" i="37"/>
  <c r="G59" i="37"/>
  <c r="H58" i="37"/>
  <c r="G58" i="37"/>
  <c r="H57" i="37"/>
  <c r="G57" i="37"/>
  <c r="H56" i="37"/>
  <c r="G56" i="37"/>
  <c r="H55" i="37"/>
  <c r="G55" i="37"/>
  <c r="H10" i="37"/>
  <c r="H9" i="37"/>
  <c r="G9" i="37"/>
  <c r="H8" i="37"/>
  <c r="G8" i="37"/>
  <c r="H7" i="37"/>
  <c r="G7" i="37"/>
  <c r="H6" i="37"/>
  <c r="G6" i="37"/>
  <c r="H5" i="37"/>
  <c r="G5" i="37"/>
  <c r="H4" i="37"/>
  <c r="G4" i="37"/>
  <c r="H3" i="37"/>
  <c r="G3" i="37"/>
  <c r="H2" i="37"/>
  <c r="G2" i="37"/>
  <c r="G14" i="35" l="1"/>
  <c r="G42" i="23" l="1"/>
  <c r="G41" i="23"/>
  <c r="G26" i="23"/>
  <c r="G25" i="23"/>
  <c r="G15" i="23"/>
  <c r="G14" i="23"/>
  <c r="G3" i="23"/>
  <c r="G15" i="35" l="1"/>
  <c r="G26" i="35"/>
  <c r="G25" i="35"/>
  <c r="H10" i="35"/>
  <c r="H9" i="35"/>
  <c r="G9" i="35"/>
  <c r="H8" i="35"/>
  <c r="G8" i="35"/>
  <c r="H7" i="35"/>
  <c r="G7" i="35"/>
  <c r="H6" i="35"/>
  <c r="G6" i="35"/>
  <c r="H5" i="35"/>
  <c r="G5" i="35"/>
  <c r="H4" i="35"/>
  <c r="G4" i="35"/>
  <c r="H3" i="35"/>
  <c r="G3" i="35"/>
  <c r="H2" i="35"/>
  <c r="G2" i="35"/>
  <c r="K13" i="21" l="1"/>
  <c r="E13" i="21" l="1"/>
  <c r="K12" i="21" l="1"/>
  <c r="K4" i="21"/>
  <c r="K5" i="21"/>
  <c r="K6" i="21"/>
  <c r="K7" i="21"/>
  <c r="K8" i="21"/>
  <c r="K9" i="21"/>
  <c r="K10" i="21"/>
  <c r="K11" i="21"/>
  <c r="B16" i="24" l="1"/>
  <c r="B15" i="24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11" i="23"/>
  <c r="J3" i="23"/>
  <c r="J4" i="23"/>
  <c r="J5" i="23"/>
  <c r="J6" i="23"/>
  <c r="J7" i="23"/>
  <c r="J8" i="23"/>
  <c r="J9" i="23"/>
  <c r="J10" i="23"/>
  <c r="J2" i="23"/>
  <c r="F9" i="34" l="1"/>
  <c r="F10" i="34"/>
  <c r="F8" i="34"/>
  <c r="J4" i="34" l="1"/>
  <c r="J3" i="34"/>
  <c r="D4" i="34"/>
  <c r="D5" i="34"/>
  <c r="D3" i="34"/>
  <c r="P9" i="21" l="1"/>
  <c r="P10" i="21"/>
  <c r="Q10" i="21"/>
  <c r="L10" i="21"/>
  <c r="L9" i="21"/>
  <c r="E10" i="21"/>
  <c r="G2" i="19" l="1"/>
  <c r="R2" i="19"/>
  <c r="AV30" i="29" l="1"/>
  <c r="AV31" i="29"/>
  <c r="AV32" i="29"/>
  <c r="AV33" i="29"/>
  <c r="AV34" i="29"/>
  <c r="AV35" i="29"/>
  <c r="AV36" i="29"/>
  <c r="AV37" i="29"/>
  <c r="AV38" i="29"/>
  <c r="AV39" i="29"/>
  <c r="AV40" i="29"/>
  <c r="AV41" i="29"/>
  <c r="AV42" i="29"/>
  <c r="AV43" i="29"/>
  <c r="AV44" i="29"/>
  <c r="AV45" i="29"/>
  <c r="AV46" i="29"/>
  <c r="AV47" i="29"/>
  <c r="AV48" i="29"/>
  <c r="AV49" i="29"/>
  <c r="AV50" i="29"/>
  <c r="AV51" i="29"/>
  <c r="AV52" i="29"/>
  <c r="AV53" i="29"/>
  <c r="AV54" i="29"/>
  <c r="AV55" i="29"/>
  <c r="AV56" i="29"/>
  <c r="AV57" i="29"/>
  <c r="AV58" i="29"/>
  <c r="AV59" i="29"/>
  <c r="AV60" i="29"/>
  <c r="AV61" i="29"/>
  <c r="AV62" i="29"/>
  <c r="AV63" i="29"/>
  <c r="AV64" i="29"/>
  <c r="AV65" i="29"/>
  <c r="AV66" i="29"/>
  <c r="AV67" i="29"/>
  <c r="AV68" i="29"/>
  <c r="AV69" i="29"/>
  <c r="AV70" i="29"/>
  <c r="AV71" i="29"/>
  <c r="AV72" i="29"/>
  <c r="AV73" i="29"/>
  <c r="AV74" i="29"/>
  <c r="AV75" i="29"/>
  <c r="AV76" i="29"/>
  <c r="AV77" i="29"/>
  <c r="AV78" i="29"/>
  <c r="AV79" i="29"/>
  <c r="AV80" i="29"/>
  <c r="AV81" i="29"/>
  <c r="AV82" i="29"/>
  <c r="AV83" i="29"/>
  <c r="AV84" i="29"/>
  <c r="AV85" i="29"/>
  <c r="AV86" i="29"/>
  <c r="AV87" i="29"/>
  <c r="AV88" i="29"/>
  <c r="AV89" i="29"/>
  <c r="AV90" i="29"/>
  <c r="AV91" i="29"/>
  <c r="AV92" i="29"/>
  <c r="AV93" i="29"/>
  <c r="AV94" i="29"/>
  <c r="AV95" i="29"/>
  <c r="AV96" i="29"/>
  <c r="AV97" i="29"/>
  <c r="AV98" i="29"/>
  <c r="AV99" i="29"/>
  <c r="AV100" i="29"/>
  <c r="AV101" i="29"/>
  <c r="AV102" i="29"/>
  <c r="AV103" i="29"/>
  <c r="AV104" i="29"/>
  <c r="AV105" i="29"/>
  <c r="AV106" i="29"/>
  <c r="AV107" i="29"/>
  <c r="AV108" i="29"/>
  <c r="AV109" i="29"/>
  <c r="AV110" i="29"/>
  <c r="AV111" i="29"/>
  <c r="AV112" i="29"/>
  <c r="AV113" i="29"/>
  <c r="AV114" i="29"/>
  <c r="AV115" i="29"/>
  <c r="AV116" i="29"/>
  <c r="AV117" i="29"/>
  <c r="AV118" i="29"/>
  <c r="AV119" i="29"/>
  <c r="AV120" i="29"/>
  <c r="AV121" i="29"/>
  <c r="AV122" i="29"/>
  <c r="AV123" i="29"/>
  <c r="AV124" i="29"/>
  <c r="AV125" i="29"/>
  <c r="AV126" i="29"/>
  <c r="AV127" i="29"/>
  <c r="AV128" i="29"/>
  <c r="AV129" i="29"/>
  <c r="AV130" i="29"/>
  <c r="AV131" i="29"/>
  <c r="AV132" i="29"/>
  <c r="AV133" i="29"/>
  <c r="AV134" i="29"/>
  <c r="AV135" i="29"/>
  <c r="AV136" i="29"/>
  <c r="AV137" i="29"/>
  <c r="AV138" i="29"/>
  <c r="AV139" i="29"/>
  <c r="AV140" i="29"/>
  <c r="AV141" i="29"/>
  <c r="AV142" i="29"/>
  <c r="AV143" i="29"/>
  <c r="AV144" i="29"/>
  <c r="AV145" i="29"/>
  <c r="AV146" i="29"/>
  <c r="AV147" i="29"/>
  <c r="AV148" i="29"/>
  <c r="AV149" i="29"/>
  <c r="AV150" i="29"/>
  <c r="AV151" i="29"/>
  <c r="AV152" i="29"/>
  <c r="AV153" i="29"/>
  <c r="AV154" i="29"/>
  <c r="AV155" i="29"/>
  <c r="AV156" i="29"/>
  <c r="AV157" i="29"/>
  <c r="AV158" i="29"/>
  <c r="AV159" i="29"/>
  <c r="AV160" i="29"/>
  <c r="AV161" i="29"/>
  <c r="AV162" i="29"/>
  <c r="AV163" i="29"/>
  <c r="AV164" i="29"/>
  <c r="AV165" i="29"/>
  <c r="AV166" i="29"/>
  <c r="AV167" i="29"/>
  <c r="AV168" i="29"/>
  <c r="AV169" i="29"/>
  <c r="AV170" i="29"/>
  <c r="AV171" i="29"/>
  <c r="AV172" i="29"/>
  <c r="AV173" i="29"/>
  <c r="AV174" i="29"/>
  <c r="AV175" i="29"/>
  <c r="AV176" i="29"/>
  <c r="AV177" i="29"/>
  <c r="AV178" i="29"/>
  <c r="AV179" i="29"/>
  <c r="AV180" i="29"/>
  <c r="AV181" i="29"/>
  <c r="AV182" i="29"/>
  <c r="AV183" i="29"/>
  <c r="AV184" i="29"/>
  <c r="AV185" i="29"/>
  <c r="AV186" i="29"/>
  <c r="AV187" i="29"/>
  <c r="AV188" i="29"/>
  <c r="AV189" i="29"/>
  <c r="AV190" i="29"/>
  <c r="AV191" i="29"/>
  <c r="AV192" i="29"/>
  <c r="AV193" i="29"/>
  <c r="AV194" i="29"/>
  <c r="AV195" i="29"/>
  <c r="AV196" i="29"/>
  <c r="AV197" i="29"/>
  <c r="AV198" i="29"/>
  <c r="AV199" i="29"/>
  <c r="AV200" i="29"/>
  <c r="AV201" i="29"/>
  <c r="AV202" i="29"/>
  <c r="AV203" i="29"/>
  <c r="AV204" i="29"/>
  <c r="AV205" i="29"/>
  <c r="AV206" i="29"/>
  <c r="AV207" i="29"/>
  <c r="AV208" i="29"/>
  <c r="AV209" i="29"/>
  <c r="AV210" i="29"/>
  <c r="AV211" i="29"/>
  <c r="AV212" i="29"/>
  <c r="AV213" i="29"/>
  <c r="AV214" i="29"/>
  <c r="AV215" i="29"/>
  <c r="AV216" i="29"/>
  <c r="AV217" i="29"/>
  <c r="AV218" i="29"/>
  <c r="AV219" i="29"/>
  <c r="AV220" i="29"/>
  <c r="AV221" i="29"/>
  <c r="AV222" i="29"/>
  <c r="AV223" i="29"/>
  <c r="AV224" i="29"/>
  <c r="AV225" i="29"/>
  <c r="AV226" i="29"/>
  <c r="AV227" i="29"/>
  <c r="AV228" i="29"/>
  <c r="AV229" i="29"/>
  <c r="AV230" i="29"/>
  <c r="AV231" i="29"/>
  <c r="AV232" i="29"/>
  <c r="AV233" i="29"/>
  <c r="AV234" i="29"/>
  <c r="AV235" i="29"/>
  <c r="AV236" i="29"/>
  <c r="AV237" i="29"/>
  <c r="AV238" i="29"/>
  <c r="AV239" i="29"/>
  <c r="AV240" i="29"/>
  <c r="AV241" i="29"/>
  <c r="AV242" i="29"/>
  <c r="AV243" i="29"/>
  <c r="AV244" i="29"/>
  <c r="AV245" i="29"/>
  <c r="AV246" i="29"/>
  <c r="AV247" i="29"/>
  <c r="AV248" i="29"/>
  <c r="AV249" i="29"/>
  <c r="AV250" i="29"/>
  <c r="AV251" i="29"/>
  <c r="AV252" i="29"/>
  <c r="AV253" i="29"/>
  <c r="AV254" i="29"/>
  <c r="AV255" i="29"/>
  <c r="AV256" i="29"/>
  <c r="AV257" i="29"/>
  <c r="AV258" i="29"/>
  <c r="AV259" i="29"/>
  <c r="AV260" i="29"/>
  <c r="AV261" i="29"/>
  <c r="AV262" i="29"/>
  <c r="AV263" i="29"/>
  <c r="AV264" i="29"/>
  <c r="AV265" i="29"/>
  <c r="AV266" i="29"/>
  <c r="AV267" i="29"/>
  <c r="AV268" i="29"/>
  <c r="AV269" i="29"/>
  <c r="AV270" i="29"/>
  <c r="AV271" i="29"/>
  <c r="AV272" i="29"/>
  <c r="AV273" i="29"/>
  <c r="AV274" i="29"/>
  <c r="AV275" i="29"/>
  <c r="AV276" i="29"/>
  <c r="AV277" i="29"/>
  <c r="AV278" i="29"/>
  <c r="AV279" i="29"/>
  <c r="AV280" i="29"/>
  <c r="AV281" i="29"/>
  <c r="AV282" i="29"/>
  <c r="AV29" i="29"/>
  <c r="AI17" i="15" l="1"/>
  <c r="AH17" i="15"/>
  <c r="Y18" i="15"/>
  <c r="AB18" i="15"/>
  <c r="AI16" i="15" s="1"/>
  <c r="AI14" i="15"/>
  <c r="O15" i="13" l="1"/>
  <c r="O3" i="13"/>
  <c r="O4" i="13"/>
  <c r="O5" i="13"/>
  <c r="O6" i="13"/>
  <c r="O7" i="13"/>
  <c r="O8" i="13"/>
  <c r="O9" i="13"/>
  <c r="O10" i="13"/>
  <c r="O11" i="13"/>
  <c r="O12" i="13"/>
  <c r="O2" i="13"/>
  <c r="R23" i="14"/>
  <c r="AG23" i="15"/>
  <c r="AE22" i="15"/>
  <c r="AE17" i="15"/>
  <c r="AD23" i="15"/>
  <c r="L7" i="21" l="1"/>
  <c r="L8" i="21"/>
  <c r="P7" i="21"/>
  <c r="P8" i="21"/>
  <c r="P4" i="21"/>
  <c r="P5" i="21"/>
  <c r="P6" i="21"/>
  <c r="P3" i="21"/>
  <c r="Q9" i="21"/>
  <c r="S85" i="19" l="1"/>
  <c r="V85" i="19"/>
  <c r="P85" i="19"/>
  <c r="T26" i="19"/>
  <c r="T41" i="19"/>
  <c r="G83" i="19"/>
  <c r="H83" i="19"/>
  <c r="H84" i="19"/>
  <c r="W68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T31" i="19"/>
  <c r="H26" i="19"/>
  <c r="T27" i="19"/>
  <c r="T28" i="19"/>
  <c r="T73" i="19"/>
  <c r="W61" i="19"/>
  <c r="W62" i="19"/>
  <c r="W63" i="19"/>
  <c r="W64" i="19"/>
  <c r="W65" i="19"/>
  <c r="W66" i="19"/>
  <c r="W67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4" i="19"/>
  <c r="T75" i="19"/>
  <c r="T76" i="19"/>
  <c r="T77" i="19"/>
  <c r="T78" i="19"/>
  <c r="T79" i="19"/>
  <c r="T80" i="19"/>
  <c r="T81" i="19"/>
  <c r="T82" i="19"/>
  <c r="T83" i="19"/>
  <c r="T84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61" i="19"/>
  <c r="R62" i="19"/>
  <c r="R63" i="19"/>
  <c r="R64" i="19"/>
  <c r="R65" i="19"/>
  <c r="R66" i="19"/>
  <c r="R67" i="19"/>
  <c r="R68" i="19"/>
  <c r="R69" i="19"/>
  <c r="R70" i="19"/>
  <c r="X55" i="19"/>
  <c r="X56" i="19"/>
  <c r="X57" i="19"/>
  <c r="X58" i="19"/>
  <c r="X59" i="19"/>
  <c r="X60" i="19"/>
  <c r="U55" i="19"/>
  <c r="U56" i="19"/>
  <c r="U57" i="19"/>
  <c r="U58" i="19"/>
  <c r="U59" i="19"/>
  <c r="U60" i="19"/>
  <c r="T55" i="19"/>
  <c r="T56" i="19"/>
  <c r="T57" i="19"/>
  <c r="T58" i="19"/>
  <c r="T59" i="19"/>
  <c r="T60" i="19"/>
  <c r="W55" i="19"/>
  <c r="W56" i="19"/>
  <c r="W57" i="19"/>
  <c r="W58" i="19"/>
  <c r="W59" i="19"/>
  <c r="W60" i="19"/>
  <c r="R55" i="19"/>
  <c r="R56" i="19"/>
  <c r="R57" i="19"/>
  <c r="R58" i="19"/>
  <c r="R59" i="19"/>
  <c r="R60" i="19"/>
  <c r="W32" i="19"/>
  <c r="J120" i="19"/>
  <c r="I120" i="19"/>
  <c r="M85" i="19"/>
  <c r="N85" i="19"/>
  <c r="O85" i="19"/>
  <c r="P87" i="19" l="1"/>
  <c r="AU7" i="12"/>
  <c r="L3" i="21"/>
  <c r="L6" i="21"/>
  <c r="Q3" i="21"/>
  <c r="K110" i="19" l="1"/>
  <c r="G82" i="19"/>
  <c r="H82" i="19"/>
  <c r="J116" i="19"/>
  <c r="J110" i="19"/>
  <c r="G81" i="19"/>
  <c r="H81" i="19"/>
  <c r="J113" i="19"/>
  <c r="G80" i="19"/>
  <c r="H80" i="19"/>
  <c r="G77" i="19"/>
  <c r="H77" i="19"/>
  <c r="G78" i="19"/>
  <c r="H78" i="19"/>
  <c r="G79" i="19"/>
  <c r="H79" i="19"/>
  <c r="I117" i="19"/>
  <c r="G76" i="19"/>
  <c r="H76" i="19"/>
  <c r="I114" i="19" l="1"/>
  <c r="I111" i="19"/>
  <c r="G75" i="19" l="1"/>
  <c r="H75" i="19"/>
  <c r="I90" i="19"/>
  <c r="G72" i="19"/>
  <c r="G73" i="19"/>
  <c r="G74" i="19"/>
  <c r="G71" i="19"/>
  <c r="H72" i="19"/>
  <c r="H73" i="19"/>
  <c r="H74" i="19"/>
  <c r="H71" i="19"/>
  <c r="G55" i="19"/>
  <c r="G56" i="19"/>
  <c r="G57" i="19"/>
  <c r="G58" i="19"/>
  <c r="G59" i="19"/>
  <c r="G60" i="19"/>
  <c r="H55" i="19"/>
  <c r="H56" i="19"/>
  <c r="H57" i="19"/>
  <c r="H58" i="19"/>
  <c r="H59" i="19"/>
  <c r="H60" i="19"/>
  <c r="O13" i="13" l="1"/>
  <c r="O14" i="13" s="1"/>
  <c r="R24" i="14" l="1"/>
  <c r="J14" i="13"/>
  <c r="Q23" i="14"/>
  <c r="BC11" i="29" l="1"/>
  <c r="AV10" i="29"/>
  <c r="AU5" i="12" l="1"/>
  <c r="I2" i="7" l="1"/>
  <c r="J2" i="7"/>
  <c r="O2" i="28" l="1"/>
  <c r="B16" i="9" l="1"/>
  <c r="B2" i="8"/>
  <c r="B5" i="9"/>
  <c r="AU8" i="12" l="1"/>
  <c r="H2" i="4"/>
  <c r="M23" i="14" l="1"/>
  <c r="N21" i="14"/>
  <c r="J5" i="9" l="1"/>
  <c r="H5" i="9"/>
  <c r="J2" i="8"/>
  <c r="T69" i="9"/>
  <c r="T58" i="9"/>
  <c r="T47" i="9"/>
  <c r="T36" i="9"/>
  <c r="T25" i="9"/>
  <c r="T14" i="9"/>
  <c r="T3" i="9"/>
  <c r="T102" i="9"/>
  <c r="T91" i="9"/>
  <c r="T80" i="9"/>
  <c r="K3" i="9"/>
  <c r="I3" i="9" s="1"/>
  <c r="R3" i="9"/>
  <c r="J102" i="9"/>
  <c r="K4" i="9"/>
  <c r="J3" i="9" l="1"/>
  <c r="AU9" i="12"/>
  <c r="AU10" i="12"/>
  <c r="AU11" i="12"/>
  <c r="AU12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39" i="12"/>
  <c r="AU40" i="12"/>
  <c r="AU41" i="12"/>
  <c r="AU42" i="12"/>
  <c r="AU43" i="12"/>
  <c r="AU44" i="12"/>
  <c r="AU45" i="12"/>
  <c r="AU46" i="12"/>
  <c r="AU47" i="12"/>
  <c r="AU48" i="12"/>
  <c r="AU49" i="12"/>
  <c r="AU50" i="12"/>
  <c r="AU51" i="12"/>
  <c r="AU52" i="12"/>
  <c r="AU53" i="12"/>
  <c r="AU54" i="12"/>
  <c r="AU55" i="12"/>
  <c r="AU56" i="12"/>
  <c r="AU57" i="12"/>
  <c r="AU58" i="12"/>
  <c r="AU59" i="12"/>
  <c r="AU60" i="12"/>
  <c r="AU61" i="12"/>
  <c r="AU62" i="12"/>
  <c r="AU63" i="12"/>
  <c r="AU64" i="12"/>
  <c r="AU65" i="12"/>
  <c r="AU66" i="12"/>
  <c r="AU67" i="12"/>
  <c r="AU68" i="12"/>
  <c r="AU69" i="12"/>
  <c r="AU70" i="12"/>
  <c r="AU71" i="12"/>
  <c r="AU72" i="12"/>
  <c r="AU73" i="12"/>
  <c r="AU74" i="12"/>
  <c r="AU75" i="12"/>
  <c r="AU76" i="12"/>
  <c r="AU77" i="12"/>
  <c r="AU78" i="12"/>
  <c r="AU79" i="12"/>
  <c r="AU80" i="12"/>
  <c r="AU81" i="12"/>
  <c r="AU82" i="12"/>
  <c r="AU83" i="12"/>
  <c r="AU84" i="12"/>
  <c r="AU85" i="12"/>
  <c r="AU86" i="12"/>
  <c r="AU87" i="12"/>
  <c r="AU88" i="12"/>
  <c r="AU89" i="12"/>
  <c r="AU90" i="12"/>
  <c r="AU91" i="12"/>
  <c r="AU92" i="12"/>
  <c r="AU93" i="12"/>
  <c r="AU94" i="12"/>
  <c r="AU95" i="12"/>
  <c r="AU96" i="12"/>
  <c r="AU97" i="12"/>
  <c r="AU98" i="12"/>
  <c r="AU99" i="12"/>
  <c r="AU100" i="12"/>
  <c r="AU101" i="12"/>
  <c r="AU102" i="12"/>
  <c r="AU103" i="12"/>
  <c r="AU104" i="12"/>
  <c r="AU105" i="12"/>
  <c r="AU106" i="12"/>
  <c r="AU107" i="12"/>
  <c r="AU108" i="12"/>
  <c r="AU109" i="12"/>
  <c r="AU110" i="12"/>
  <c r="AU111" i="12"/>
  <c r="AU112" i="12"/>
  <c r="AU113" i="12"/>
  <c r="AU114" i="12"/>
  <c r="AU115" i="12"/>
  <c r="AU116" i="12"/>
  <c r="AU117" i="12"/>
  <c r="AU118" i="12"/>
  <c r="AU119" i="12"/>
  <c r="AU120" i="12"/>
  <c r="AU121" i="12"/>
  <c r="AU122" i="12"/>
  <c r="AU123" i="12"/>
  <c r="AU124" i="12"/>
  <c r="AU125" i="12"/>
  <c r="AU126" i="12"/>
  <c r="AU127" i="12"/>
  <c r="AU128" i="12"/>
  <c r="AU129" i="12"/>
  <c r="AU130" i="12"/>
  <c r="AU131" i="12"/>
  <c r="AU132" i="12"/>
  <c r="AU133" i="12"/>
  <c r="AU134" i="12"/>
  <c r="AU135" i="12"/>
  <c r="AU136" i="12"/>
  <c r="AU137" i="12"/>
  <c r="AU138" i="12"/>
  <c r="AU139" i="12"/>
  <c r="AU140" i="12"/>
  <c r="AU141" i="12"/>
  <c r="AU142" i="12"/>
  <c r="AU143" i="12"/>
  <c r="AU144" i="12"/>
  <c r="AU145" i="12"/>
  <c r="AU146" i="12"/>
  <c r="AU147" i="12"/>
  <c r="AU148" i="12"/>
  <c r="AU149" i="12"/>
  <c r="AU150" i="12"/>
  <c r="AU151" i="12"/>
  <c r="AU152" i="12"/>
  <c r="AU153" i="12"/>
  <c r="AU154" i="12"/>
  <c r="AU155" i="12"/>
  <c r="AU156" i="12"/>
  <c r="AU157" i="12"/>
  <c r="AU158" i="12"/>
  <c r="AU6" i="12"/>
  <c r="C38" i="1" l="1"/>
  <c r="C39" i="1"/>
  <c r="C40" i="1"/>
  <c r="C41" i="1"/>
  <c r="C42" i="1"/>
  <c r="C37" i="1"/>
  <c r="C26" i="1"/>
  <c r="C27" i="1"/>
  <c r="C28" i="1"/>
  <c r="C29" i="1"/>
  <c r="C30" i="1"/>
  <c r="C25" i="1"/>
  <c r="C31" i="1"/>
  <c r="C32" i="1"/>
  <c r="C33" i="1"/>
  <c r="C34" i="1"/>
  <c r="C35" i="1"/>
  <c r="C36" i="1"/>
  <c r="C19" i="1"/>
  <c r="C20" i="1"/>
  <c r="C21" i="1"/>
  <c r="C22" i="1"/>
  <c r="C23" i="1"/>
  <c r="C24" i="1"/>
  <c r="C13" i="1"/>
  <c r="C14" i="1"/>
  <c r="C15" i="1"/>
  <c r="C16" i="1"/>
  <c r="C17" i="1"/>
  <c r="C18" i="1"/>
  <c r="C8" i="1"/>
  <c r="C9" i="1"/>
  <c r="C10" i="1"/>
  <c r="C11" i="1"/>
  <c r="C12" i="1"/>
  <c r="C7" i="1"/>
  <c r="C44" i="1"/>
  <c r="C45" i="1"/>
  <c r="C46" i="1"/>
  <c r="C47" i="1"/>
  <c r="C48" i="1"/>
  <c r="C43" i="1"/>
  <c r="C73" i="1"/>
  <c r="C74" i="1"/>
  <c r="C75" i="1"/>
  <c r="C76" i="1"/>
  <c r="C77" i="1"/>
  <c r="C78" i="1"/>
  <c r="C79" i="1"/>
  <c r="C80" i="1"/>
  <c r="C81" i="1"/>
  <c r="C82" i="1"/>
  <c r="C83" i="1"/>
  <c r="C84" i="1"/>
  <c r="G3" i="30" l="1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" i="30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" i="7"/>
  <c r="AV11" i="29" l="1"/>
  <c r="AV12" i="29"/>
  <c r="AV13" i="29"/>
  <c r="AV14" i="29"/>
  <c r="AV15" i="29"/>
  <c r="AV16" i="29"/>
  <c r="AV17" i="29"/>
  <c r="AV18" i="29"/>
  <c r="AV19" i="29"/>
  <c r="AV20" i="29"/>
  <c r="AV21" i="29"/>
  <c r="AV22" i="29"/>
  <c r="AV23" i="29"/>
  <c r="AV24" i="29"/>
  <c r="AV25" i="29"/>
  <c r="AV26" i="29"/>
  <c r="AV27" i="29"/>
  <c r="AV28" i="29"/>
  <c r="AV3" i="29"/>
  <c r="AV4" i="29"/>
  <c r="AV5" i="29"/>
  <c r="AV6" i="29"/>
  <c r="AV7" i="29"/>
  <c r="AV8" i="29"/>
  <c r="AV9" i="29"/>
  <c r="AV2" i="29"/>
  <c r="BC3" i="29"/>
  <c r="BC4" i="29"/>
  <c r="BC5" i="29"/>
  <c r="BC6" i="29"/>
  <c r="BC7" i="29"/>
  <c r="BC8" i="29"/>
  <c r="BC9" i="29"/>
  <c r="BC10" i="29"/>
  <c r="BC12" i="29"/>
  <c r="BC13" i="29"/>
  <c r="BC14" i="29"/>
  <c r="BC15" i="29"/>
  <c r="BC16" i="29"/>
  <c r="BC17" i="29"/>
  <c r="BC18" i="29"/>
  <c r="BC19" i="29"/>
  <c r="BC20" i="29"/>
  <c r="BC21" i="29"/>
  <c r="BC22" i="29"/>
  <c r="BC23" i="29"/>
  <c r="BC24" i="29"/>
  <c r="BC25" i="29"/>
  <c r="BC26" i="29"/>
  <c r="BC27" i="29"/>
  <c r="BC28" i="29"/>
  <c r="BC29" i="29"/>
  <c r="BC30" i="29"/>
  <c r="BC31" i="29"/>
  <c r="BC32" i="29"/>
  <c r="BC33" i="29"/>
  <c r="BC34" i="29"/>
  <c r="BC35" i="29"/>
  <c r="BC36" i="29"/>
  <c r="BC37" i="29"/>
  <c r="BC38" i="29"/>
  <c r="BC39" i="29"/>
  <c r="BC40" i="29"/>
  <c r="BC41" i="29"/>
  <c r="BC42" i="29"/>
  <c r="BC43" i="29"/>
  <c r="BC44" i="29"/>
  <c r="BC45" i="29"/>
  <c r="BC46" i="29"/>
  <c r="BC47" i="29"/>
  <c r="BC48" i="29"/>
  <c r="BC49" i="29"/>
  <c r="BC50" i="29"/>
  <c r="BC51" i="29"/>
  <c r="BC52" i="29"/>
  <c r="BC53" i="29"/>
  <c r="BC54" i="29"/>
  <c r="BC55" i="29"/>
  <c r="BC56" i="29"/>
  <c r="BC57" i="29"/>
  <c r="BC58" i="29"/>
  <c r="BC59" i="29"/>
  <c r="BC60" i="29"/>
  <c r="BC61" i="29"/>
  <c r="BC62" i="29"/>
  <c r="BC63" i="29"/>
  <c r="BC64" i="29"/>
  <c r="BC65" i="29"/>
  <c r="BC66" i="29"/>
  <c r="BC67" i="29"/>
  <c r="BC68" i="29"/>
  <c r="BC69" i="29"/>
  <c r="BC70" i="29"/>
  <c r="BC71" i="29"/>
  <c r="BC72" i="29"/>
  <c r="BC73" i="29"/>
  <c r="BC74" i="29"/>
  <c r="BC75" i="29"/>
  <c r="BC76" i="29"/>
  <c r="BC77" i="29"/>
  <c r="BC78" i="29"/>
  <c r="BC79" i="29"/>
  <c r="BC80" i="29"/>
  <c r="BC81" i="29"/>
  <c r="BC82" i="29"/>
  <c r="BC83" i="29"/>
  <c r="BC84" i="29"/>
  <c r="BC85" i="29"/>
  <c r="BC86" i="29"/>
  <c r="BC87" i="29"/>
  <c r="BC88" i="29"/>
  <c r="BC89" i="29"/>
  <c r="BC90" i="29"/>
  <c r="BC91" i="29"/>
  <c r="BC92" i="29"/>
  <c r="BC93" i="29"/>
  <c r="BC94" i="29"/>
  <c r="BC95" i="29"/>
  <c r="BC96" i="29"/>
  <c r="BC97" i="29"/>
  <c r="BC98" i="29"/>
  <c r="BC99" i="29"/>
  <c r="BC100" i="29"/>
  <c r="BC101" i="29"/>
  <c r="BC102" i="29"/>
  <c r="BC103" i="29"/>
  <c r="BC104" i="29"/>
  <c r="BC105" i="29"/>
  <c r="BC106" i="29"/>
  <c r="BC107" i="29"/>
  <c r="BC108" i="29"/>
  <c r="BC109" i="29"/>
  <c r="BC110" i="29"/>
  <c r="BC111" i="29"/>
  <c r="BC112" i="29"/>
  <c r="BC113" i="29"/>
  <c r="BC114" i="29"/>
  <c r="BC115" i="29"/>
  <c r="BC116" i="29"/>
  <c r="BC117" i="29"/>
  <c r="BC118" i="29"/>
  <c r="BC119" i="29"/>
  <c r="BC120" i="29"/>
  <c r="BC121" i="29"/>
  <c r="BC122" i="29"/>
  <c r="BC123" i="29"/>
  <c r="BC124" i="29"/>
  <c r="BC125" i="29"/>
  <c r="BC126" i="29"/>
  <c r="BC127" i="29"/>
  <c r="BC128" i="29"/>
  <c r="BC129" i="29"/>
  <c r="BC130" i="29"/>
  <c r="BC131" i="29"/>
  <c r="BC132" i="29"/>
  <c r="BC133" i="29"/>
  <c r="BC134" i="29"/>
  <c r="BC135" i="29"/>
  <c r="BC136" i="29"/>
  <c r="BC137" i="29"/>
  <c r="BC138" i="29"/>
  <c r="BC139" i="29"/>
  <c r="BC140" i="29"/>
  <c r="BC141" i="29"/>
  <c r="BC142" i="29"/>
  <c r="BC143" i="29"/>
  <c r="BC144" i="29"/>
  <c r="BC145" i="29"/>
  <c r="BC146" i="29"/>
  <c r="BC147" i="29"/>
  <c r="BC148" i="29"/>
  <c r="BC149" i="29"/>
  <c r="BC150" i="29"/>
  <c r="BC151" i="29"/>
  <c r="BC152" i="29"/>
  <c r="BC153" i="29"/>
  <c r="BC154" i="29"/>
  <c r="BC155" i="29"/>
  <c r="BC156" i="29"/>
  <c r="BC157" i="29"/>
  <c r="BC158" i="29"/>
  <c r="BC159" i="29"/>
  <c r="BC160" i="29"/>
  <c r="BC161" i="29"/>
  <c r="BC162" i="29"/>
  <c r="BC163" i="29"/>
  <c r="BC164" i="29"/>
  <c r="BC165" i="29"/>
  <c r="BC166" i="29"/>
  <c r="BC167" i="29"/>
  <c r="BC168" i="29"/>
  <c r="BC169" i="29"/>
  <c r="BC170" i="29"/>
  <c r="BC171" i="29"/>
  <c r="BC172" i="29"/>
  <c r="BC173" i="29"/>
  <c r="BC174" i="29"/>
  <c r="BC175" i="29"/>
  <c r="BC176" i="29"/>
  <c r="BC177" i="29"/>
  <c r="BC178" i="29"/>
  <c r="BC179" i="29"/>
  <c r="BC180" i="29"/>
  <c r="BC181" i="29"/>
  <c r="BC182" i="29"/>
  <c r="BC183" i="29"/>
  <c r="BC184" i="29"/>
  <c r="BC185" i="29"/>
  <c r="BC186" i="29"/>
  <c r="BC187" i="29"/>
  <c r="BC188" i="29"/>
  <c r="BC189" i="29"/>
  <c r="BC190" i="29"/>
  <c r="BC191" i="29"/>
  <c r="BC192" i="29"/>
  <c r="BC193" i="29"/>
  <c r="BC194" i="29"/>
  <c r="BC195" i="29"/>
  <c r="BC196" i="29"/>
  <c r="BC197" i="29"/>
  <c r="BC198" i="29"/>
  <c r="BC199" i="29"/>
  <c r="BC200" i="29"/>
  <c r="BC201" i="29"/>
  <c r="BC202" i="29"/>
  <c r="BC203" i="29"/>
  <c r="BC204" i="29"/>
  <c r="BC205" i="29"/>
  <c r="BC206" i="29"/>
  <c r="BC207" i="29"/>
  <c r="BC208" i="29"/>
  <c r="BC209" i="29"/>
  <c r="BC210" i="29"/>
  <c r="BC211" i="29"/>
  <c r="BC212" i="29"/>
  <c r="BC213" i="29"/>
  <c r="BC214" i="29"/>
  <c r="BC215" i="29"/>
  <c r="BC216" i="29"/>
  <c r="BC217" i="29"/>
  <c r="BC218" i="29"/>
  <c r="BC219" i="29"/>
  <c r="BC220" i="29"/>
  <c r="BC221" i="29"/>
  <c r="BC222" i="29"/>
  <c r="BC223" i="29"/>
  <c r="BC224" i="29"/>
  <c r="BC225" i="29"/>
  <c r="BC226" i="29"/>
  <c r="BC227" i="29"/>
  <c r="BC228" i="29"/>
  <c r="BC229" i="29"/>
  <c r="BC230" i="29"/>
  <c r="BC231" i="29"/>
  <c r="BC232" i="29"/>
  <c r="BC233" i="29"/>
  <c r="BC234" i="29"/>
  <c r="BC235" i="29"/>
  <c r="BC236" i="29"/>
  <c r="BC237" i="29"/>
  <c r="BC238" i="29"/>
  <c r="BC239" i="29"/>
  <c r="BC240" i="29"/>
  <c r="BC241" i="29"/>
  <c r="BC242" i="29"/>
  <c r="BC243" i="29"/>
  <c r="BC244" i="29"/>
  <c r="BC245" i="29"/>
  <c r="BC246" i="29"/>
  <c r="BC247" i="29"/>
  <c r="BC248" i="29"/>
  <c r="BC249" i="29"/>
  <c r="BC250" i="29"/>
  <c r="BC251" i="29"/>
  <c r="BC252" i="29"/>
  <c r="BC253" i="29"/>
  <c r="BC254" i="29"/>
  <c r="BC255" i="29"/>
  <c r="BC256" i="29"/>
  <c r="BC257" i="29"/>
  <c r="BC258" i="29"/>
  <c r="BC259" i="29"/>
  <c r="BC260" i="29"/>
  <c r="BC261" i="29"/>
  <c r="BC262" i="29"/>
  <c r="BC263" i="29"/>
  <c r="BC264" i="29"/>
  <c r="BC265" i="29"/>
  <c r="BC266" i="29"/>
  <c r="BC267" i="29"/>
  <c r="BC268" i="29"/>
  <c r="BC269" i="29"/>
  <c r="BC270" i="29"/>
  <c r="BC271" i="29"/>
  <c r="BC272" i="29"/>
  <c r="BC273" i="29"/>
  <c r="BC274" i="29"/>
  <c r="BC275" i="29"/>
  <c r="BC276" i="29"/>
  <c r="BC277" i="29"/>
  <c r="BC278" i="29"/>
  <c r="BC279" i="29"/>
  <c r="BC280" i="29"/>
  <c r="BC281" i="29"/>
  <c r="BC282" i="29"/>
  <c r="BC2" i="29"/>
  <c r="K3" i="21" l="1"/>
  <c r="Q8" i="21" l="1"/>
  <c r="Q7" i="21"/>
  <c r="G23" i="30" l="1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23" i="30"/>
  <c r="E32" i="30"/>
  <c r="E33" i="30"/>
  <c r="E34" i="30"/>
  <c r="E35" i="30"/>
  <c r="E36" i="30"/>
  <c r="E37" i="30"/>
  <c r="E38" i="30"/>
  <c r="E39" i="30"/>
  <c r="E40" i="30"/>
  <c r="E41" i="30"/>
  <c r="E42" i="30"/>
  <c r="E23" i="30"/>
  <c r="E24" i="30"/>
  <c r="E25" i="30"/>
  <c r="E26" i="30"/>
  <c r="E27" i="30"/>
  <c r="E28" i="30"/>
  <c r="E29" i="30"/>
  <c r="E30" i="30"/>
  <c r="E31" i="30"/>
  <c r="T282" i="29" l="1"/>
  <c r="T281" i="29"/>
  <c r="T280" i="29"/>
  <c r="T279" i="29"/>
  <c r="T278" i="29"/>
  <c r="T277" i="29"/>
  <c r="T276" i="29"/>
  <c r="T275" i="29"/>
  <c r="T274" i="29"/>
  <c r="T273" i="29"/>
  <c r="T272" i="29"/>
  <c r="T271" i="29"/>
  <c r="T270" i="29"/>
  <c r="T269" i="29"/>
  <c r="T268" i="29"/>
  <c r="T267" i="29"/>
  <c r="T266" i="29"/>
  <c r="T265" i="29"/>
  <c r="T264" i="29"/>
  <c r="T263" i="29"/>
  <c r="T262" i="29"/>
  <c r="T261" i="29"/>
  <c r="T260" i="29"/>
  <c r="T259" i="29"/>
  <c r="T258" i="29"/>
  <c r="T257" i="29"/>
  <c r="T256" i="29"/>
  <c r="T255" i="29"/>
  <c r="T254" i="29"/>
  <c r="T253" i="29"/>
  <c r="T252" i="29"/>
  <c r="T251" i="29"/>
  <c r="T250" i="29"/>
  <c r="T249" i="29"/>
  <c r="T248" i="29"/>
  <c r="T247" i="29"/>
  <c r="T246" i="29"/>
  <c r="T245" i="29"/>
  <c r="T244" i="29"/>
  <c r="T243" i="29"/>
  <c r="T242" i="29"/>
  <c r="T241" i="29"/>
  <c r="T240" i="29"/>
  <c r="T239" i="29"/>
  <c r="T238" i="29"/>
  <c r="T237" i="29"/>
  <c r="T236" i="29"/>
  <c r="T235" i="29"/>
  <c r="T234" i="29"/>
  <c r="T233" i="29"/>
  <c r="T232" i="29"/>
  <c r="T231" i="29"/>
  <c r="T230" i="29"/>
  <c r="T229" i="29"/>
  <c r="T228" i="29"/>
  <c r="T227" i="29"/>
  <c r="T226" i="29"/>
  <c r="T225" i="29"/>
  <c r="T224" i="29"/>
  <c r="T223" i="29"/>
  <c r="T222" i="29"/>
  <c r="T221" i="29"/>
  <c r="T220" i="29"/>
  <c r="T219" i="29"/>
  <c r="T218" i="29"/>
  <c r="T217" i="29"/>
  <c r="T216" i="29"/>
  <c r="T215" i="29"/>
  <c r="T214" i="29"/>
  <c r="T213" i="29"/>
  <c r="T212" i="29"/>
  <c r="T211" i="29"/>
  <c r="T210" i="29"/>
  <c r="T209" i="29"/>
  <c r="T208" i="29"/>
  <c r="T207" i="29"/>
  <c r="T206" i="29"/>
  <c r="T205" i="29"/>
  <c r="T204" i="29"/>
  <c r="T203" i="29"/>
  <c r="T202" i="29"/>
  <c r="T201" i="29"/>
  <c r="T200" i="29"/>
  <c r="T199" i="29"/>
  <c r="T198" i="29"/>
  <c r="T197" i="29"/>
  <c r="T196" i="29"/>
  <c r="T195" i="29"/>
  <c r="T194" i="29"/>
  <c r="T193" i="29"/>
  <c r="T192" i="29"/>
  <c r="T191" i="29"/>
  <c r="T190" i="29"/>
  <c r="T189" i="29"/>
  <c r="T188" i="29"/>
  <c r="T187" i="29"/>
  <c r="T186" i="29"/>
  <c r="T185" i="29"/>
  <c r="T184" i="29"/>
  <c r="T183" i="29"/>
  <c r="T182" i="29"/>
  <c r="T181" i="29"/>
  <c r="T180" i="29"/>
  <c r="T179" i="29"/>
  <c r="T178" i="29"/>
  <c r="T177" i="29"/>
  <c r="T176" i="29"/>
  <c r="T175" i="29"/>
  <c r="T174" i="29"/>
  <c r="T173" i="29"/>
  <c r="T172" i="29"/>
  <c r="T171" i="29"/>
  <c r="T170" i="29"/>
  <c r="T169" i="29"/>
  <c r="T168" i="29"/>
  <c r="T167" i="29"/>
  <c r="T166" i="29"/>
  <c r="T165" i="29"/>
  <c r="T164" i="29"/>
  <c r="T163" i="29"/>
  <c r="T162" i="29"/>
  <c r="T161" i="29"/>
  <c r="T160" i="29"/>
  <c r="T159" i="29"/>
  <c r="T158" i="29"/>
  <c r="T157" i="29"/>
  <c r="T156" i="29"/>
  <c r="T155" i="29"/>
  <c r="T154" i="29"/>
  <c r="T153" i="29"/>
  <c r="T152" i="29"/>
  <c r="T151" i="29"/>
  <c r="T150" i="29"/>
  <c r="T149" i="29"/>
  <c r="T148" i="29"/>
  <c r="T147" i="29"/>
  <c r="T146" i="29"/>
  <c r="T145" i="29"/>
  <c r="T144" i="29"/>
  <c r="T143" i="29"/>
  <c r="T142" i="29"/>
  <c r="T141" i="29"/>
  <c r="T140" i="29"/>
  <c r="T139" i="29"/>
  <c r="T138" i="29"/>
  <c r="T137" i="29"/>
  <c r="T136" i="29"/>
  <c r="T135" i="29"/>
  <c r="T134" i="29"/>
  <c r="T133" i="29"/>
  <c r="T132" i="29"/>
  <c r="T131" i="29"/>
  <c r="T130" i="29"/>
  <c r="T129" i="29"/>
  <c r="T128" i="29"/>
  <c r="T127" i="29"/>
  <c r="T126" i="29"/>
  <c r="T125" i="29"/>
  <c r="T124" i="29"/>
  <c r="T123" i="29"/>
  <c r="T122" i="29"/>
  <c r="T121" i="29"/>
  <c r="T120" i="29"/>
  <c r="T119" i="29"/>
  <c r="T118" i="29"/>
  <c r="T117" i="29"/>
  <c r="T116" i="29"/>
  <c r="T115" i="29"/>
  <c r="T114" i="29"/>
  <c r="T113" i="29"/>
  <c r="T112" i="29"/>
  <c r="T111" i="29"/>
  <c r="T110" i="29"/>
  <c r="T109" i="29"/>
  <c r="T108" i="29"/>
  <c r="T107" i="29"/>
  <c r="T106" i="29"/>
  <c r="T105" i="29"/>
  <c r="T104" i="29"/>
  <c r="T103" i="29"/>
  <c r="T102" i="29"/>
  <c r="T101" i="29"/>
  <c r="T100" i="29"/>
  <c r="T99" i="29"/>
  <c r="T98" i="29"/>
  <c r="T97" i="29"/>
  <c r="T96" i="29"/>
  <c r="T95" i="29"/>
  <c r="T94" i="29"/>
  <c r="T93" i="29"/>
  <c r="T92" i="29"/>
  <c r="T91" i="29"/>
  <c r="T90" i="29"/>
  <c r="T89" i="29"/>
  <c r="T88" i="29"/>
  <c r="T87" i="29"/>
  <c r="T86" i="29"/>
  <c r="T85" i="29"/>
  <c r="T84" i="29"/>
  <c r="AE83" i="29"/>
  <c r="T83" i="29"/>
  <c r="T82" i="29"/>
  <c r="T81" i="29"/>
  <c r="T80" i="29"/>
  <c r="T79" i="29"/>
  <c r="T78" i="29"/>
  <c r="T77" i="29"/>
  <c r="T76" i="29"/>
  <c r="T75" i="29"/>
  <c r="T74" i="29"/>
  <c r="T73" i="29"/>
  <c r="T72" i="29"/>
  <c r="T71" i="29"/>
  <c r="T70" i="29"/>
  <c r="T69" i="29"/>
  <c r="T68" i="29"/>
  <c r="T67" i="29"/>
  <c r="T66" i="29"/>
  <c r="T65" i="29"/>
  <c r="T64" i="29"/>
  <c r="T63" i="29"/>
  <c r="T62" i="29"/>
  <c r="T61" i="29"/>
  <c r="T60" i="29"/>
  <c r="T59" i="29"/>
  <c r="T58" i="29"/>
  <c r="T57" i="29"/>
  <c r="T56" i="29"/>
  <c r="T55" i="29"/>
  <c r="T54" i="29"/>
  <c r="AE53" i="29"/>
  <c r="T53" i="29"/>
  <c r="AE52" i="29"/>
  <c r="T52" i="29"/>
  <c r="AE51" i="29"/>
  <c r="T51" i="29"/>
  <c r="AE50" i="29"/>
  <c r="T50" i="29"/>
  <c r="AE49" i="29"/>
  <c r="T49" i="29"/>
  <c r="AE48" i="29"/>
  <c r="T48" i="29"/>
  <c r="AE47" i="29"/>
  <c r="T47" i="29"/>
  <c r="AE46" i="29"/>
  <c r="T46" i="29"/>
  <c r="AE45" i="29"/>
  <c r="T45" i="29"/>
  <c r="AE44" i="29"/>
  <c r="T44" i="29"/>
  <c r="AE43" i="29"/>
  <c r="T43" i="29"/>
  <c r="AE42" i="29"/>
  <c r="T42" i="29"/>
  <c r="AE41" i="29"/>
  <c r="T41" i="29"/>
  <c r="AE40" i="29"/>
  <c r="T40" i="29"/>
  <c r="AE39" i="29"/>
  <c r="T39" i="29"/>
  <c r="AE38" i="29"/>
  <c r="T38" i="29"/>
  <c r="AE37" i="29"/>
  <c r="T37" i="29"/>
  <c r="AE36" i="29"/>
  <c r="T36" i="29"/>
  <c r="AE35" i="29"/>
  <c r="T35" i="29"/>
  <c r="AE34" i="29"/>
  <c r="T34" i="29"/>
  <c r="AE33" i="29"/>
  <c r="T33" i="29"/>
  <c r="AE32" i="29"/>
  <c r="T32" i="29"/>
  <c r="AE31" i="29"/>
  <c r="T31" i="29"/>
  <c r="AE30" i="29"/>
  <c r="T30" i="29"/>
  <c r="AE29" i="29"/>
  <c r="T29" i="29"/>
  <c r="AE28" i="29"/>
  <c r="T28" i="29"/>
  <c r="AE27" i="29"/>
  <c r="T27" i="29"/>
  <c r="AE26" i="29"/>
  <c r="T26" i="29"/>
  <c r="AE25" i="29"/>
  <c r="T25" i="29"/>
  <c r="AE24" i="29"/>
  <c r="T24" i="29"/>
  <c r="AE23" i="29"/>
  <c r="T23" i="29"/>
  <c r="AE22" i="29"/>
  <c r="T22" i="29"/>
  <c r="AE21" i="29"/>
  <c r="T21" i="29"/>
  <c r="AE20" i="29"/>
  <c r="T20" i="29"/>
  <c r="AE19" i="29"/>
  <c r="T19" i="29"/>
  <c r="AE18" i="29"/>
  <c r="T18" i="29"/>
  <c r="AE17" i="29"/>
  <c r="T17" i="29"/>
  <c r="AE16" i="29"/>
  <c r="T16" i="29"/>
  <c r="AE15" i="29"/>
  <c r="T15" i="29"/>
  <c r="AE14" i="29"/>
  <c r="T14" i="29"/>
  <c r="AE13" i="29"/>
  <c r="T13" i="29"/>
  <c r="AE12" i="29"/>
  <c r="T12" i="29"/>
  <c r="AE11" i="29"/>
  <c r="T11" i="29"/>
  <c r="AE10" i="29"/>
  <c r="T10" i="29"/>
  <c r="AE9" i="29"/>
  <c r="T9" i="29"/>
  <c r="AE8" i="29"/>
  <c r="T8" i="29"/>
  <c r="AE7" i="29"/>
  <c r="T7" i="29"/>
  <c r="AE6" i="29"/>
  <c r="T6" i="29"/>
  <c r="AE5" i="29"/>
  <c r="T5" i="29"/>
  <c r="AE4" i="29"/>
  <c r="AE3" i="29"/>
  <c r="AO6" i="12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L4" i="21" l="1"/>
  <c r="L5" i="21"/>
  <c r="O3" i="28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15" i="28"/>
  <c r="O116" i="28"/>
  <c r="O117" i="28"/>
  <c r="O118" i="28"/>
  <c r="O119" i="28"/>
  <c r="O120" i="28"/>
  <c r="O121" i="28"/>
  <c r="O122" i="28"/>
  <c r="O123" i="28"/>
  <c r="O124" i="28"/>
  <c r="O125" i="28"/>
  <c r="O126" i="28"/>
  <c r="O127" i="28"/>
  <c r="O128" i="28"/>
  <c r="O129" i="28"/>
  <c r="O130" i="28"/>
  <c r="O131" i="28"/>
  <c r="O132" i="28"/>
  <c r="C104" i="9"/>
  <c r="D104" i="9"/>
  <c r="E104" i="9"/>
  <c r="F104" i="9"/>
  <c r="G104" i="9"/>
  <c r="H104" i="9"/>
  <c r="B104" i="9"/>
  <c r="C93" i="9"/>
  <c r="D93" i="9"/>
  <c r="E93" i="9"/>
  <c r="F93" i="9"/>
  <c r="G93" i="9"/>
  <c r="H93" i="9"/>
  <c r="B93" i="9"/>
  <c r="C82" i="9"/>
  <c r="D82" i="9"/>
  <c r="E82" i="9"/>
  <c r="F82" i="9"/>
  <c r="G82" i="9"/>
  <c r="H82" i="9"/>
  <c r="B82" i="9"/>
  <c r="C71" i="9"/>
  <c r="D71" i="9"/>
  <c r="E71" i="9"/>
  <c r="F71" i="9"/>
  <c r="G71" i="9"/>
  <c r="H71" i="9"/>
  <c r="B71" i="9"/>
  <c r="C60" i="9"/>
  <c r="D60" i="9"/>
  <c r="E60" i="9"/>
  <c r="F60" i="9"/>
  <c r="G60" i="9"/>
  <c r="H60" i="9"/>
  <c r="B60" i="9"/>
  <c r="C49" i="9"/>
  <c r="D49" i="9"/>
  <c r="E49" i="9"/>
  <c r="F49" i="9"/>
  <c r="G49" i="9"/>
  <c r="H49" i="9"/>
  <c r="B49" i="9"/>
  <c r="C38" i="9"/>
  <c r="D38" i="9"/>
  <c r="E38" i="9"/>
  <c r="F38" i="9"/>
  <c r="G38" i="9"/>
  <c r="H38" i="9"/>
  <c r="B38" i="9"/>
  <c r="C27" i="9"/>
  <c r="D27" i="9"/>
  <c r="E27" i="9"/>
  <c r="F27" i="9"/>
  <c r="G27" i="9"/>
  <c r="H27" i="9"/>
  <c r="B27" i="9"/>
  <c r="C16" i="9"/>
  <c r="D16" i="9"/>
  <c r="E16" i="9"/>
  <c r="F16" i="9"/>
  <c r="G16" i="9"/>
  <c r="H16" i="9"/>
  <c r="C5" i="9"/>
  <c r="D5" i="9"/>
  <c r="E5" i="9"/>
  <c r="F5" i="9"/>
  <c r="G5" i="9"/>
  <c r="H3" i="4"/>
  <c r="H4" i="4"/>
  <c r="H5" i="4"/>
  <c r="H6" i="4"/>
  <c r="H7" i="4"/>
  <c r="H8" i="4"/>
  <c r="H9" i="4"/>
  <c r="H10" i="4"/>
  <c r="H11" i="4"/>
  <c r="C2" i="8" l="1"/>
  <c r="D2" i="8"/>
  <c r="E2" i="8"/>
  <c r="F2" i="8"/>
  <c r="G2" i="8"/>
  <c r="H2" i="8"/>
  <c r="I2" i="8"/>
  <c r="K2" i="8"/>
  <c r="T122" i="28" l="1"/>
  <c r="T116" i="28"/>
  <c r="T110" i="28"/>
  <c r="T104" i="28"/>
  <c r="T98" i="28"/>
  <c r="T92" i="28"/>
  <c r="T86" i="28"/>
  <c r="T80" i="28"/>
  <c r="T74" i="28"/>
  <c r="T68" i="28"/>
  <c r="T62" i="28"/>
  <c r="T56" i="28"/>
  <c r="T50" i="28"/>
  <c r="T44" i="28"/>
  <c r="T38" i="28"/>
  <c r="T32" i="28"/>
  <c r="T26" i="28"/>
  <c r="T20" i="28"/>
  <c r="T14" i="28"/>
  <c r="T8" i="28"/>
  <c r="T2" i="28"/>
  <c r="K2" i="7" l="1"/>
  <c r="C68" i="23" l="1"/>
  <c r="A68" i="23"/>
  <c r="A79" i="23" l="1"/>
  <c r="I282" i="26" l="1"/>
  <c r="W31" i="19" l="1"/>
  <c r="W2" i="19" l="1"/>
  <c r="H2" i="19"/>
  <c r="X2" i="19" l="1"/>
  <c r="W26" i="19"/>
  <c r="X26" i="19" s="1"/>
  <c r="W27" i="19"/>
  <c r="X27" i="19" s="1"/>
  <c r="W28" i="19"/>
  <c r="X28" i="19" s="1"/>
  <c r="W29" i="19"/>
  <c r="X29" i="19" s="1"/>
  <c r="W30" i="19"/>
  <c r="X30" i="19" s="1"/>
  <c r="X31" i="19"/>
  <c r="W41" i="19"/>
  <c r="X41" i="19" s="1"/>
  <c r="W42" i="19"/>
  <c r="X42" i="19" s="1"/>
  <c r="W43" i="19"/>
  <c r="X43" i="19" s="1"/>
  <c r="W44" i="19"/>
  <c r="X44" i="19" s="1"/>
  <c r="W45" i="19"/>
  <c r="X45" i="19" s="1"/>
  <c r="W46" i="19"/>
  <c r="X46" i="19" s="1"/>
  <c r="W47" i="19"/>
  <c r="X47" i="19" s="1"/>
  <c r="W48" i="19"/>
  <c r="X48" i="19" s="1"/>
  <c r="W49" i="19"/>
  <c r="X49" i="19" s="1"/>
  <c r="W50" i="19"/>
  <c r="X50" i="19" s="1"/>
  <c r="W51" i="19"/>
  <c r="X51" i="19" s="1"/>
  <c r="W52" i="19"/>
  <c r="X52" i="19" s="1"/>
  <c r="W53" i="19"/>
  <c r="X53" i="19" s="1"/>
  <c r="W54" i="19"/>
  <c r="Q3" i="19"/>
  <c r="Q4" i="19" l="1"/>
  <c r="Q5" i="19" s="1"/>
  <c r="Q6" i="19" s="1"/>
  <c r="Q7" i="19" s="1"/>
  <c r="L2" i="19"/>
  <c r="X54" i="19"/>
  <c r="L54" i="19" s="1"/>
  <c r="T2" i="19"/>
  <c r="W7" i="19"/>
  <c r="X7" i="19" s="1"/>
  <c r="W5" i="19"/>
  <c r="W6" i="19"/>
  <c r="X6" i="19" s="1"/>
  <c r="W4" i="19"/>
  <c r="X4" i="19" s="1"/>
  <c r="W3" i="19"/>
  <c r="R26" i="19"/>
  <c r="R27" i="19"/>
  <c r="R28" i="19"/>
  <c r="R29" i="19"/>
  <c r="R30" i="19"/>
  <c r="R31" i="19"/>
  <c r="J31" i="19" s="1"/>
  <c r="R41" i="19"/>
  <c r="R42" i="19"/>
  <c r="R43" i="19"/>
  <c r="R44" i="19"/>
  <c r="R45" i="19"/>
  <c r="R46" i="19"/>
  <c r="R47" i="19"/>
  <c r="R48" i="19"/>
  <c r="J48" i="19" s="1"/>
  <c r="R49" i="19"/>
  <c r="R50" i="19"/>
  <c r="R51" i="19"/>
  <c r="R52" i="19"/>
  <c r="R53" i="19"/>
  <c r="R54" i="19"/>
  <c r="Q32" i="19"/>
  <c r="U2" i="19"/>
  <c r="I17" i="19"/>
  <c r="I18" i="19" s="1"/>
  <c r="I19" i="19" s="1"/>
  <c r="I20" i="19" s="1"/>
  <c r="I21" i="19" s="1"/>
  <c r="I22" i="19" s="1"/>
  <c r="I23" i="19" s="1"/>
  <c r="I24" i="19" s="1"/>
  <c r="I25" i="19" s="1"/>
  <c r="I3" i="19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L99" i="19"/>
  <c r="G16" i="19"/>
  <c r="G26" i="19"/>
  <c r="G27" i="19"/>
  <c r="G28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42" i="19"/>
  <c r="H28" i="19"/>
  <c r="H16" i="19"/>
  <c r="H27" i="19"/>
  <c r="X3" i="19" l="1"/>
  <c r="X5" i="19"/>
  <c r="T5" i="19"/>
  <c r="Q8" i="19"/>
  <c r="R7" i="19"/>
  <c r="T32" i="19"/>
  <c r="R32" i="19"/>
  <c r="X32" i="19"/>
  <c r="H10" i="23"/>
  <c r="H9" i="23"/>
  <c r="G9" i="23"/>
  <c r="H8" i="23"/>
  <c r="G8" i="23"/>
  <c r="H7" i="23"/>
  <c r="G7" i="23"/>
  <c r="H6" i="23"/>
  <c r="G6" i="23"/>
  <c r="H5" i="23"/>
  <c r="G5" i="23"/>
  <c r="H4" i="23"/>
  <c r="G4" i="23"/>
  <c r="H3" i="23"/>
  <c r="H2" i="23"/>
  <c r="G2" i="23"/>
  <c r="Q9" i="19" l="1"/>
  <c r="W8" i="19"/>
  <c r="T42" i="19"/>
  <c r="U42" i="19" s="1"/>
  <c r="X8" i="19" l="1"/>
  <c r="Q10" i="19"/>
  <c r="W9" i="19"/>
  <c r="X9" i="19" s="1"/>
  <c r="K89" i="19"/>
  <c r="K90" i="19" s="1"/>
  <c r="L94" i="19"/>
  <c r="L89" i="19"/>
  <c r="L90" i="19" s="1"/>
  <c r="L91" i="19" s="1"/>
  <c r="H107" i="19"/>
  <c r="K107" i="19" s="1"/>
  <c r="H103" i="19"/>
  <c r="K103" i="19" s="1"/>
  <c r="H99" i="19"/>
  <c r="L100" i="19" s="1"/>
  <c r="Q16" i="19"/>
  <c r="W16" i="19" s="1"/>
  <c r="Q6" i="21"/>
  <c r="Q4" i="21"/>
  <c r="Q5" i="21"/>
  <c r="Q11" i="19" l="1"/>
  <c r="W10" i="19"/>
  <c r="X16" i="19"/>
  <c r="R16" i="19"/>
  <c r="Q17" i="19"/>
  <c r="J107" i="19"/>
  <c r="J108" i="19" s="1"/>
  <c r="G3" i="19"/>
  <c r="H3" i="19"/>
  <c r="H17" i="19"/>
  <c r="G17" i="19"/>
  <c r="X10" i="19" l="1"/>
  <c r="Q12" i="19"/>
  <c r="W11" i="19"/>
  <c r="X11" i="19" s="1"/>
  <c r="Q18" i="19"/>
  <c r="R18" i="19" s="1"/>
  <c r="W17" i="19"/>
  <c r="R17" i="19"/>
  <c r="G18" i="19"/>
  <c r="H18" i="19"/>
  <c r="G4" i="19"/>
  <c r="H4" i="19"/>
  <c r="Q13" i="19" l="1"/>
  <c r="W12" i="19"/>
  <c r="X12" i="19" s="1"/>
  <c r="X17" i="19"/>
  <c r="Q19" i="19"/>
  <c r="R19" i="19" s="1"/>
  <c r="W18" i="19"/>
  <c r="X18" i="19" s="1"/>
  <c r="G19" i="19"/>
  <c r="H19" i="19"/>
  <c r="G5" i="19"/>
  <c r="H5" i="19"/>
  <c r="G54" i="19"/>
  <c r="Q14" i="19" l="1"/>
  <c r="W13" i="19"/>
  <c r="X13" i="19" s="1"/>
  <c r="Q20" i="19"/>
  <c r="R20" i="19" s="1"/>
  <c r="W19" i="19"/>
  <c r="X19" i="19" s="1"/>
  <c r="H6" i="19"/>
  <c r="G6" i="19"/>
  <c r="G20" i="19"/>
  <c r="H20" i="19"/>
  <c r="E12" i="21"/>
  <c r="E11" i="21"/>
  <c r="Q15" i="19" l="1"/>
  <c r="W15" i="19" s="1"/>
  <c r="X15" i="19" s="1"/>
  <c r="W14" i="19"/>
  <c r="X14" i="19" s="1"/>
  <c r="Q21" i="19"/>
  <c r="R21" i="19" s="1"/>
  <c r="W20" i="19"/>
  <c r="X20" i="19" s="1"/>
  <c r="G21" i="19"/>
  <c r="H21" i="19"/>
  <c r="G7" i="19"/>
  <c r="H7" i="19"/>
  <c r="AO19" i="12"/>
  <c r="AO31" i="12"/>
  <c r="AO32" i="12"/>
  <c r="AO33" i="12"/>
  <c r="AO34" i="12"/>
  <c r="AO35" i="12"/>
  <c r="AO36" i="12"/>
  <c r="Q22" i="19" l="1"/>
  <c r="R22" i="19" s="1"/>
  <c r="W21" i="19"/>
  <c r="X21" i="19" s="1"/>
  <c r="G8" i="19"/>
  <c r="H8" i="19"/>
  <c r="G22" i="19"/>
  <c r="H22" i="19"/>
  <c r="J54" i="19"/>
  <c r="T54" i="19"/>
  <c r="U54" i="19" s="1"/>
  <c r="Q23" i="19" l="1"/>
  <c r="R23" i="19" s="1"/>
  <c r="W22" i="19"/>
  <c r="X22" i="19" s="1"/>
  <c r="G23" i="19"/>
  <c r="H23" i="19"/>
  <c r="H9" i="19"/>
  <c r="G9" i="19"/>
  <c r="K54" i="19"/>
  <c r="Q24" i="19" l="1"/>
  <c r="R24" i="19" s="1"/>
  <c r="W23" i="19"/>
  <c r="X23" i="19" s="1"/>
  <c r="G10" i="19"/>
  <c r="H10" i="19"/>
  <c r="H24" i="19"/>
  <c r="G24" i="19"/>
  <c r="G30" i="19"/>
  <c r="G29" i="19"/>
  <c r="H30" i="19"/>
  <c r="Z30" i="19" s="1"/>
  <c r="H29" i="19"/>
  <c r="G43" i="19"/>
  <c r="G44" i="19"/>
  <c r="G45" i="19"/>
  <c r="G46" i="19"/>
  <c r="G47" i="19"/>
  <c r="G48" i="19"/>
  <c r="G49" i="19"/>
  <c r="G50" i="19"/>
  <c r="G51" i="19"/>
  <c r="G52" i="19"/>
  <c r="G53" i="19"/>
  <c r="G42" i="19"/>
  <c r="T43" i="19"/>
  <c r="U43" i="19" s="1"/>
  <c r="T44" i="19"/>
  <c r="U44" i="19" s="1"/>
  <c r="T45" i="19"/>
  <c r="U45" i="19" s="1"/>
  <c r="T46" i="19"/>
  <c r="U46" i="19" s="1"/>
  <c r="T47" i="19"/>
  <c r="U47" i="19" s="1"/>
  <c r="J43" i="19"/>
  <c r="J44" i="19"/>
  <c r="J45" i="19"/>
  <c r="J46" i="19"/>
  <c r="J47" i="19"/>
  <c r="J42" i="19"/>
  <c r="I107" i="19"/>
  <c r="L48" i="19"/>
  <c r="T49" i="19"/>
  <c r="U49" i="19" s="1"/>
  <c r="T50" i="19"/>
  <c r="U50" i="19" s="1"/>
  <c r="T51" i="19"/>
  <c r="U51" i="19" s="1"/>
  <c r="T52" i="19"/>
  <c r="U52" i="19" s="1"/>
  <c r="T53" i="19"/>
  <c r="U53" i="19" s="1"/>
  <c r="T48" i="19"/>
  <c r="U48" i="19" s="1"/>
  <c r="J49" i="19"/>
  <c r="J50" i="19"/>
  <c r="J51" i="19"/>
  <c r="J52" i="19"/>
  <c r="J53" i="19"/>
  <c r="K104" i="19"/>
  <c r="J103" i="19"/>
  <c r="I103" i="19"/>
  <c r="K99" i="19"/>
  <c r="K100" i="19" s="1"/>
  <c r="J99" i="19"/>
  <c r="J100" i="19" s="1"/>
  <c r="I99" i="19"/>
  <c r="I100" i="19" s="1"/>
  <c r="Q25" i="19" l="1"/>
  <c r="W24" i="19"/>
  <c r="X24" i="19" s="1"/>
  <c r="H25" i="19"/>
  <c r="G25" i="19"/>
  <c r="G11" i="19"/>
  <c r="H11" i="19"/>
  <c r="K52" i="19"/>
  <c r="K46" i="19"/>
  <c r="L50" i="19"/>
  <c r="L42" i="19"/>
  <c r="K53" i="19"/>
  <c r="K45" i="19"/>
  <c r="L49" i="19"/>
  <c r="K51" i="19"/>
  <c r="K43" i="19"/>
  <c r="L47" i="19"/>
  <c r="K50" i="19"/>
  <c r="K42" i="19"/>
  <c r="L46" i="19"/>
  <c r="K49" i="19"/>
  <c r="L53" i="19"/>
  <c r="L45" i="19"/>
  <c r="K48" i="19"/>
  <c r="L52" i="19"/>
  <c r="L44" i="19"/>
  <c r="K44" i="19"/>
  <c r="K47" i="19"/>
  <c r="L51" i="19"/>
  <c r="L43" i="19"/>
  <c r="W25" i="19" l="1"/>
  <c r="Q85" i="19"/>
  <c r="R25" i="19"/>
  <c r="G12" i="19"/>
  <c r="H12" i="19"/>
  <c r="J41" i="19"/>
  <c r="T30" i="19"/>
  <c r="U30" i="19" s="1"/>
  <c r="U31" i="19"/>
  <c r="U41" i="19"/>
  <c r="T29" i="19"/>
  <c r="U29" i="19" s="1"/>
  <c r="J30" i="19"/>
  <c r="J29" i="19"/>
  <c r="U27" i="19"/>
  <c r="U28" i="19"/>
  <c r="U26" i="19"/>
  <c r="J27" i="19"/>
  <c r="J28" i="19"/>
  <c r="J26" i="19"/>
  <c r="L95" i="19"/>
  <c r="G41" i="19"/>
  <c r="H41" i="19"/>
  <c r="X25" i="19" l="1"/>
  <c r="X85" i="19" s="1"/>
  <c r="T25" i="19"/>
  <c r="W85" i="19"/>
  <c r="G13" i="19"/>
  <c r="H13" i="19"/>
  <c r="Q33" i="19"/>
  <c r="L30" i="19"/>
  <c r="K29" i="19"/>
  <c r="K41" i="19"/>
  <c r="K26" i="19"/>
  <c r="L31" i="19"/>
  <c r="K28" i="19"/>
  <c r="K27" i="19"/>
  <c r="L26" i="19"/>
  <c r="L28" i="19"/>
  <c r="K31" i="19"/>
  <c r="L41" i="19"/>
  <c r="L27" i="19"/>
  <c r="K30" i="19"/>
  <c r="L29" i="19"/>
  <c r="J32" i="19"/>
  <c r="U32" i="19"/>
  <c r="T33" i="19" l="1"/>
  <c r="U33" i="19" s="1"/>
  <c r="W33" i="19"/>
  <c r="R33" i="19"/>
  <c r="J33" i="19" s="1"/>
  <c r="X33" i="19"/>
  <c r="L33" i="19" s="1"/>
  <c r="H14" i="19"/>
  <c r="G14" i="19"/>
  <c r="K32" i="19"/>
  <c r="L32" i="19"/>
  <c r="Q34" i="19"/>
  <c r="T34" i="19" l="1"/>
  <c r="U34" i="19" s="1"/>
  <c r="W34" i="19"/>
  <c r="X34" i="19" s="1"/>
  <c r="R34" i="19"/>
  <c r="J34" i="19" s="1"/>
  <c r="G15" i="19"/>
  <c r="H15" i="19"/>
  <c r="K33" i="19"/>
  <c r="T24" i="19"/>
  <c r="U24" i="19" s="1"/>
  <c r="T18" i="19"/>
  <c r="U18" i="19" s="1"/>
  <c r="Q35" i="19"/>
  <c r="J23" i="19"/>
  <c r="J22" i="19"/>
  <c r="J17" i="19"/>
  <c r="J21" i="19"/>
  <c r="J25" i="19"/>
  <c r="J19" i="19"/>
  <c r="J20" i="19"/>
  <c r="J24" i="19"/>
  <c r="J18" i="19"/>
  <c r="J16" i="19"/>
  <c r="T35" i="19" l="1"/>
  <c r="U35" i="19" s="1"/>
  <c r="W35" i="19"/>
  <c r="R35" i="19"/>
  <c r="J35" i="19" s="1"/>
  <c r="X35" i="19"/>
  <c r="K34" i="19"/>
  <c r="T16" i="19"/>
  <c r="U16" i="19" s="1"/>
  <c r="L16" i="19"/>
  <c r="L34" i="19"/>
  <c r="K24" i="19"/>
  <c r="L24" i="19"/>
  <c r="Q36" i="19"/>
  <c r="L18" i="19"/>
  <c r="K18" i="19"/>
  <c r="L17" i="19"/>
  <c r="T17" i="19"/>
  <c r="U17" i="19" s="1"/>
  <c r="L25" i="19"/>
  <c r="U25" i="19"/>
  <c r="L20" i="19"/>
  <c r="T20" i="19"/>
  <c r="U20" i="19" s="1"/>
  <c r="L22" i="19"/>
  <c r="T22" i="19"/>
  <c r="U22" i="19" s="1"/>
  <c r="T21" i="19"/>
  <c r="U21" i="19" s="1"/>
  <c r="L21" i="19"/>
  <c r="L23" i="19"/>
  <c r="T23" i="19"/>
  <c r="U23" i="19" s="1"/>
  <c r="T19" i="19"/>
  <c r="U19" i="19" s="1"/>
  <c r="L19" i="19"/>
  <c r="T36" i="19" l="1"/>
  <c r="W36" i="19"/>
  <c r="X36" i="19" s="1"/>
  <c r="R36" i="19"/>
  <c r="Q37" i="19"/>
  <c r="K23" i="19"/>
  <c r="K25" i="19"/>
  <c r="L35" i="19"/>
  <c r="K16" i="19"/>
  <c r="K19" i="19"/>
  <c r="K17" i="19"/>
  <c r="K35" i="19"/>
  <c r="K21" i="19"/>
  <c r="K22" i="19"/>
  <c r="K20" i="19"/>
  <c r="U36" i="19"/>
  <c r="J36" i="19"/>
  <c r="R3" i="19"/>
  <c r="I91" i="19"/>
  <c r="W37" i="19" l="1"/>
  <c r="X37" i="19" s="1"/>
  <c r="T37" i="19"/>
  <c r="U37" i="19" s="1"/>
  <c r="Q38" i="19"/>
  <c r="R37" i="19"/>
  <c r="J37" i="19" s="1"/>
  <c r="J92" i="19"/>
  <c r="I92" i="19"/>
  <c r="I93" i="19" s="1"/>
  <c r="I94" i="19" s="1"/>
  <c r="I95" i="19" s="1"/>
  <c r="J2" i="19"/>
  <c r="K36" i="19"/>
  <c r="L36" i="19"/>
  <c r="J3" i="19"/>
  <c r="R4" i="19"/>
  <c r="O21" i="14"/>
  <c r="W38" i="19" l="1"/>
  <c r="X38" i="19" s="1"/>
  <c r="T38" i="19"/>
  <c r="U38" i="19" s="1"/>
  <c r="Q39" i="19"/>
  <c r="R38" i="19"/>
  <c r="J38" i="19" s="1"/>
  <c r="L3" i="19"/>
  <c r="T3" i="19"/>
  <c r="L37" i="19"/>
  <c r="K37" i="19"/>
  <c r="J93" i="19"/>
  <c r="J95" i="19"/>
  <c r="R5" i="19"/>
  <c r="J4" i="19"/>
  <c r="AA25" i="15"/>
  <c r="AA26" i="15"/>
  <c r="AA27" i="15"/>
  <c r="AA28" i="15"/>
  <c r="AA29" i="15"/>
  <c r="AA30" i="15"/>
  <c r="AA31" i="15"/>
  <c r="AA32" i="15"/>
  <c r="AA33" i="15"/>
  <c r="AA35" i="15"/>
  <c r="AA36" i="15"/>
  <c r="AA37" i="15"/>
  <c r="AA38" i="15"/>
  <c r="AA39" i="15"/>
  <c r="AA40" i="15"/>
  <c r="AA41" i="15"/>
  <c r="AA42" i="15"/>
  <c r="AA43" i="15"/>
  <c r="AB22" i="15"/>
  <c r="U3" i="19" l="1"/>
  <c r="W39" i="19"/>
  <c r="X39" i="19" s="1"/>
  <c r="T39" i="19"/>
  <c r="U39" i="19" s="1"/>
  <c r="Q40" i="19"/>
  <c r="R39" i="19"/>
  <c r="K3" i="19"/>
  <c r="J39" i="19"/>
  <c r="K2" i="19"/>
  <c r="K38" i="19"/>
  <c r="L38" i="19"/>
  <c r="R6" i="19"/>
  <c r="J5" i="19"/>
  <c r="T4" i="19"/>
  <c r="U4" i="19" s="1"/>
  <c r="U2" i="18"/>
  <c r="H22" i="18"/>
  <c r="W40" i="19" l="1"/>
  <c r="T40" i="19"/>
  <c r="U40" i="19" s="1"/>
  <c r="R40" i="19"/>
  <c r="U5" i="19"/>
  <c r="L4" i="19"/>
  <c r="L39" i="19"/>
  <c r="J40" i="19"/>
  <c r="K39" i="19"/>
  <c r="L5" i="19"/>
  <c r="J6" i="19"/>
  <c r="H90" i="18"/>
  <c r="H53" i="18"/>
  <c r="H46" i="18"/>
  <c r="X40" i="19" l="1"/>
  <c r="L40" i="19" s="1"/>
  <c r="R8" i="19"/>
  <c r="J7" i="19"/>
  <c r="K4" i="19"/>
  <c r="K40" i="19"/>
  <c r="K5" i="19"/>
  <c r="T6" i="19"/>
  <c r="Z56" i="10"/>
  <c r="Q103" i="18"/>
  <c r="R103" i="18"/>
  <c r="Q23" i="18"/>
  <c r="Q22" i="18"/>
  <c r="U6" i="19" l="1"/>
  <c r="K6" i="19" s="1"/>
  <c r="L6" i="19"/>
  <c r="L7" i="19"/>
  <c r="T7" i="19"/>
  <c r="U7" i="19" s="1"/>
  <c r="R9" i="19"/>
  <c r="J8" i="19"/>
  <c r="R106" i="18"/>
  <c r="Q106" i="18"/>
  <c r="F106" i="18"/>
  <c r="G106" i="18" s="1"/>
  <c r="U106" i="18" s="1"/>
  <c r="R105" i="18"/>
  <c r="Q105" i="18"/>
  <c r="F105" i="18"/>
  <c r="G105" i="18" s="1"/>
  <c r="R104" i="18"/>
  <c r="Q104" i="18"/>
  <c r="F104" i="18"/>
  <c r="G104" i="18" s="1"/>
  <c r="U104" i="18" s="1"/>
  <c r="F103" i="18"/>
  <c r="G103" i="18" s="1"/>
  <c r="R102" i="18"/>
  <c r="Q102" i="18"/>
  <c r="F102" i="18"/>
  <c r="G102" i="18" s="1"/>
  <c r="R101" i="18"/>
  <c r="Q101" i="18"/>
  <c r="F101" i="18"/>
  <c r="G101" i="18" s="1"/>
  <c r="R100" i="18"/>
  <c r="Q100" i="18"/>
  <c r="F100" i="18"/>
  <c r="G100" i="18" s="1"/>
  <c r="F99" i="18"/>
  <c r="G99" i="18" s="1"/>
  <c r="U99" i="18" s="1"/>
  <c r="F98" i="18"/>
  <c r="G98" i="18" s="1"/>
  <c r="U98" i="18" s="1"/>
  <c r="F97" i="18"/>
  <c r="G97" i="18" s="1"/>
  <c r="F96" i="18"/>
  <c r="G96" i="18" s="1"/>
  <c r="U96" i="18" s="1"/>
  <c r="R95" i="18"/>
  <c r="F95" i="18"/>
  <c r="G95" i="18" s="1"/>
  <c r="U95" i="18" s="1"/>
  <c r="F94" i="18"/>
  <c r="G94" i="18" s="1"/>
  <c r="U94" i="18" s="1"/>
  <c r="S93" i="18"/>
  <c r="F93" i="18"/>
  <c r="G93" i="18" s="1"/>
  <c r="U93" i="18" s="1"/>
  <c r="F92" i="18"/>
  <c r="G92" i="18" s="1"/>
  <c r="U92" i="18" s="1"/>
  <c r="Q91" i="18"/>
  <c r="F91" i="18"/>
  <c r="G91" i="18" s="1"/>
  <c r="U91" i="18" s="1"/>
  <c r="R90" i="18"/>
  <c r="Q90" i="18"/>
  <c r="F90" i="18"/>
  <c r="G90" i="18" s="1"/>
  <c r="F89" i="18"/>
  <c r="G89" i="18" s="1"/>
  <c r="U89" i="18" s="1"/>
  <c r="F88" i="18"/>
  <c r="G88" i="18" s="1"/>
  <c r="U88" i="18" s="1"/>
  <c r="S87" i="18"/>
  <c r="F87" i="18"/>
  <c r="G87" i="18" s="1"/>
  <c r="U87" i="18" s="1"/>
  <c r="Q86" i="18"/>
  <c r="F86" i="18"/>
  <c r="G86" i="18" s="1"/>
  <c r="U86" i="18" s="1"/>
  <c r="F85" i="18"/>
  <c r="G85" i="18" s="1"/>
  <c r="U85" i="18" s="1"/>
  <c r="S84" i="18"/>
  <c r="F84" i="18"/>
  <c r="G84" i="18" s="1"/>
  <c r="U84" i="18" s="1"/>
  <c r="Q83" i="18"/>
  <c r="F83" i="18"/>
  <c r="G83" i="18" s="1"/>
  <c r="U83" i="18" s="1"/>
  <c r="F82" i="18"/>
  <c r="G82" i="18" s="1"/>
  <c r="U82" i="18" s="1"/>
  <c r="T81" i="18"/>
  <c r="F81" i="18"/>
  <c r="G81" i="18" s="1"/>
  <c r="U81" i="18" s="1"/>
  <c r="F80" i="18"/>
  <c r="G80" i="18" s="1"/>
  <c r="U80" i="18" s="1"/>
  <c r="R79" i="18"/>
  <c r="F79" i="18"/>
  <c r="G79" i="18" s="1"/>
  <c r="R78" i="18"/>
  <c r="Q78" i="18"/>
  <c r="F78" i="18"/>
  <c r="G78" i="18" s="1"/>
  <c r="Q77" i="18"/>
  <c r="F77" i="18"/>
  <c r="G77" i="18" s="1"/>
  <c r="F76" i="18"/>
  <c r="G76" i="18" s="1"/>
  <c r="U76" i="18" s="1"/>
  <c r="Q75" i="18"/>
  <c r="F75" i="18"/>
  <c r="G75" i="18" s="1"/>
  <c r="U75" i="18" s="1"/>
  <c r="F74" i="18"/>
  <c r="G74" i="18" s="1"/>
  <c r="U74" i="18" s="1"/>
  <c r="R73" i="18"/>
  <c r="F73" i="18"/>
  <c r="G73" i="18" s="1"/>
  <c r="R72" i="18"/>
  <c r="F72" i="18"/>
  <c r="G72" i="18" s="1"/>
  <c r="U72" i="18" s="1"/>
  <c r="R71" i="18"/>
  <c r="Q71" i="18"/>
  <c r="F71" i="18"/>
  <c r="G71" i="18" s="1"/>
  <c r="T70" i="18"/>
  <c r="F70" i="18"/>
  <c r="G70" i="18" s="1"/>
  <c r="U70" i="18" s="1"/>
  <c r="T69" i="18"/>
  <c r="F69" i="18"/>
  <c r="G69" i="18" s="1"/>
  <c r="U69" i="18" s="1"/>
  <c r="R68" i="18"/>
  <c r="Q68" i="18"/>
  <c r="F68" i="18"/>
  <c r="G68" i="18" s="1"/>
  <c r="U68" i="18" s="1"/>
  <c r="Q67" i="18"/>
  <c r="F67" i="18"/>
  <c r="G67" i="18" s="1"/>
  <c r="Q66" i="18"/>
  <c r="F66" i="18"/>
  <c r="G66" i="18" s="1"/>
  <c r="U66" i="18" s="1"/>
  <c r="F65" i="18"/>
  <c r="G65" i="18" s="1"/>
  <c r="U65" i="18" s="1"/>
  <c r="F64" i="18"/>
  <c r="G64" i="18" s="1"/>
  <c r="Q63" i="18"/>
  <c r="F63" i="18"/>
  <c r="G63" i="18" s="1"/>
  <c r="R62" i="18"/>
  <c r="Q62" i="18"/>
  <c r="F62" i="18"/>
  <c r="G62" i="18" s="1"/>
  <c r="Q61" i="18"/>
  <c r="F61" i="18"/>
  <c r="G61" i="18" s="1"/>
  <c r="F60" i="18"/>
  <c r="G60" i="18" s="1"/>
  <c r="U60" i="18" s="1"/>
  <c r="R59" i="18"/>
  <c r="Q59" i="18"/>
  <c r="F59" i="18"/>
  <c r="G59" i="18" s="1"/>
  <c r="U59" i="18" s="1"/>
  <c r="R58" i="18"/>
  <c r="Q58" i="18"/>
  <c r="F58" i="18"/>
  <c r="G58" i="18" s="1"/>
  <c r="U58" i="18" s="1"/>
  <c r="R57" i="18"/>
  <c r="F57" i="18"/>
  <c r="G57" i="18" s="1"/>
  <c r="U57" i="18" s="1"/>
  <c r="R56" i="18"/>
  <c r="Q56" i="18"/>
  <c r="F56" i="18"/>
  <c r="G56" i="18" s="1"/>
  <c r="U56" i="18" s="1"/>
  <c r="Q55" i="18"/>
  <c r="F55" i="18"/>
  <c r="G55" i="18" s="1"/>
  <c r="R54" i="18"/>
  <c r="Q54" i="18"/>
  <c r="F54" i="18"/>
  <c r="G54" i="18" s="1"/>
  <c r="S53" i="18"/>
  <c r="F53" i="18"/>
  <c r="G53" i="18" s="1"/>
  <c r="U53" i="18" s="1"/>
  <c r="S52" i="18"/>
  <c r="F52" i="18"/>
  <c r="G52" i="18" s="1"/>
  <c r="U52" i="18" s="1"/>
  <c r="S51" i="18"/>
  <c r="F51" i="18"/>
  <c r="G51" i="18" s="1"/>
  <c r="U51" i="18" s="1"/>
  <c r="Q50" i="18"/>
  <c r="F50" i="18"/>
  <c r="G50" i="18" s="1"/>
  <c r="U50" i="18" s="1"/>
  <c r="F49" i="18"/>
  <c r="G49" i="18" s="1"/>
  <c r="U49" i="18" s="1"/>
  <c r="Q48" i="18"/>
  <c r="F48" i="18"/>
  <c r="G48" i="18" s="1"/>
  <c r="U48" i="18" s="1"/>
  <c r="R47" i="18"/>
  <c r="Q47" i="18"/>
  <c r="F47" i="18"/>
  <c r="G47" i="18" s="1"/>
  <c r="U47" i="18" s="1"/>
  <c r="Q46" i="18"/>
  <c r="F46" i="18"/>
  <c r="G46" i="18" s="1"/>
  <c r="Q45" i="18"/>
  <c r="F45" i="18"/>
  <c r="G45" i="18" s="1"/>
  <c r="U45" i="18" s="1"/>
  <c r="Q44" i="18"/>
  <c r="F44" i="18"/>
  <c r="G44" i="18" s="1"/>
  <c r="U44" i="18" s="1"/>
  <c r="R43" i="18"/>
  <c r="Q43" i="18"/>
  <c r="F43" i="18"/>
  <c r="G43" i="18" s="1"/>
  <c r="R42" i="18"/>
  <c r="Q42" i="18"/>
  <c r="F42" i="18"/>
  <c r="G42" i="18" s="1"/>
  <c r="Q41" i="18"/>
  <c r="F41" i="18"/>
  <c r="G41" i="18" s="1"/>
  <c r="Q40" i="18"/>
  <c r="F40" i="18"/>
  <c r="G40" i="18" s="1"/>
  <c r="U40" i="18" s="1"/>
  <c r="R39" i="18"/>
  <c r="Q39" i="18"/>
  <c r="F39" i="18"/>
  <c r="G39" i="18" s="1"/>
  <c r="Q38" i="18"/>
  <c r="F38" i="18"/>
  <c r="G38" i="18" s="1"/>
  <c r="U38" i="18" s="1"/>
  <c r="Q37" i="18"/>
  <c r="F37" i="18"/>
  <c r="G37" i="18" s="1"/>
  <c r="U37" i="18" s="1"/>
  <c r="Q36" i="18"/>
  <c r="F36" i="18"/>
  <c r="G36" i="18" s="1"/>
  <c r="U36" i="18" s="1"/>
  <c r="Q35" i="18"/>
  <c r="F35" i="18"/>
  <c r="G35" i="18" s="1"/>
  <c r="U35" i="18" s="1"/>
  <c r="R34" i="18"/>
  <c r="F34" i="18"/>
  <c r="G34" i="18" s="1"/>
  <c r="U34" i="18" s="1"/>
  <c r="Q33" i="18"/>
  <c r="F33" i="18"/>
  <c r="G33" i="18" s="1"/>
  <c r="Q32" i="18"/>
  <c r="F32" i="18"/>
  <c r="G32" i="18" s="1"/>
  <c r="U32" i="18" s="1"/>
  <c r="R31" i="18"/>
  <c r="F31" i="18"/>
  <c r="G31" i="18" s="1"/>
  <c r="U31" i="18" s="1"/>
  <c r="Q30" i="18"/>
  <c r="F30" i="18"/>
  <c r="G30" i="18" s="1"/>
  <c r="U30" i="18" s="1"/>
  <c r="Q29" i="18"/>
  <c r="F29" i="18"/>
  <c r="G29" i="18" s="1"/>
  <c r="U29" i="18" s="1"/>
  <c r="Q28" i="18"/>
  <c r="F28" i="18"/>
  <c r="G28" i="18" s="1"/>
  <c r="R27" i="18"/>
  <c r="F27" i="18"/>
  <c r="G27" i="18" s="1"/>
  <c r="Q26" i="18"/>
  <c r="F26" i="18"/>
  <c r="G26" i="18" s="1"/>
  <c r="U26" i="18" s="1"/>
  <c r="R25" i="18"/>
  <c r="F25" i="18"/>
  <c r="G25" i="18" s="1"/>
  <c r="U25" i="18" s="1"/>
  <c r="Q24" i="18"/>
  <c r="F24" i="18"/>
  <c r="G24" i="18" s="1"/>
  <c r="F23" i="18"/>
  <c r="G23" i="18" s="1"/>
  <c r="U23" i="18" s="1"/>
  <c r="H23" i="18" s="1"/>
  <c r="F22" i="18"/>
  <c r="G22" i="18" s="1"/>
  <c r="F21" i="18"/>
  <c r="G21" i="18" s="1"/>
  <c r="F20" i="18"/>
  <c r="G20" i="18" s="1"/>
  <c r="F19" i="18"/>
  <c r="G19" i="18" s="1"/>
  <c r="U19" i="18" s="1"/>
  <c r="F18" i="18"/>
  <c r="G18" i="18" s="1"/>
  <c r="F17" i="18"/>
  <c r="G17" i="18" s="1"/>
  <c r="F16" i="18"/>
  <c r="G16" i="18" s="1"/>
  <c r="F15" i="18"/>
  <c r="G15" i="18" s="1"/>
  <c r="U15" i="18" s="1"/>
  <c r="F14" i="18"/>
  <c r="G14" i="18" s="1"/>
  <c r="F13" i="18"/>
  <c r="G13" i="18" s="1"/>
  <c r="F12" i="18"/>
  <c r="G12" i="18" s="1"/>
  <c r="F11" i="18"/>
  <c r="G11" i="18" s="1"/>
  <c r="U11" i="18" s="1"/>
  <c r="F10" i="18"/>
  <c r="G10" i="18" s="1"/>
  <c r="U10" i="18" s="1"/>
  <c r="F9" i="18"/>
  <c r="G9" i="18" s="1"/>
  <c r="F8" i="18"/>
  <c r="G8" i="18" s="1"/>
  <c r="F7" i="18"/>
  <c r="G7" i="18" s="1"/>
  <c r="U7" i="18" s="1"/>
  <c r="F6" i="18"/>
  <c r="G6" i="18" s="1"/>
  <c r="F5" i="18"/>
  <c r="G5" i="18" s="1"/>
  <c r="F4" i="18"/>
  <c r="G4" i="18" s="1"/>
  <c r="F3" i="18"/>
  <c r="G3" i="18" s="1"/>
  <c r="U3" i="18" s="1"/>
  <c r="F2" i="18"/>
  <c r="G2" i="18" s="1"/>
  <c r="U22" i="10"/>
  <c r="K7" i="19" l="1"/>
  <c r="L8" i="19"/>
  <c r="T8" i="19"/>
  <c r="U8" i="19" s="1"/>
  <c r="R10" i="19"/>
  <c r="J9" i="19"/>
  <c r="H32" i="18"/>
  <c r="Q34" i="18" s="1"/>
  <c r="H34" i="18" s="1"/>
  <c r="H47" i="18"/>
  <c r="H29" i="18"/>
  <c r="U100" i="18"/>
  <c r="H100" i="18" s="1"/>
  <c r="S103" i="18" s="1"/>
  <c r="H30" i="18"/>
  <c r="H83" i="18"/>
  <c r="H44" i="18"/>
  <c r="H45" i="18"/>
  <c r="H75" i="18"/>
  <c r="H26" i="18"/>
  <c r="H38" i="18"/>
  <c r="H86" i="18"/>
  <c r="Q97" i="18" s="1"/>
  <c r="H35" i="18"/>
  <c r="H36" i="18"/>
  <c r="R51" i="18" s="1"/>
  <c r="H48" i="18"/>
  <c r="H37" i="18"/>
  <c r="H40" i="18"/>
  <c r="U20" i="18"/>
  <c r="U103" i="18"/>
  <c r="U79" i="18"/>
  <c r="U16" i="18"/>
  <c r="U101" i="18"/>
  <c r="H101" i="18" s="1"/>
  <c r="T103" i="18" s="1"/>
  <c r="U5" i="18"/>
  <c r="U22" i="18"/>
  <c r="U77" i="18"/>
  <c r="H77" i="18" s="1"/>
  <c r="U97" i="18"/>
  <c r="U4" i="18"/>
  <c r="U6" i="18"/>
  <c r="U33" i="18"/>
  <c r="H33" i="18" s="1"/>
  <c r="Q65" i="18" s="1"/>
  <c r="U102" i="18"/>
  <c r="H102" i="18" s="1"/>
  <c r="U14" i="18"/>
  <c r="U62" i="18"/>
  <c r="H62" i="18" s="1"/>
  <c r="R91" i="18" s="1"/>
  <c r="H91" i="18" s="1"/>
  <c r="U64" i="18"/>
  <c r="U71" i="18"/>
  <c r="H71" i="18" s="1"/>
  <c r="U13" i="18"/>
  <c r="U8" i="18"/>
  <c r="U9" i="18"/>
  <c r="U42" i="18"/>
  <c r="H42" i="18" s="1"/>
  <c r="R64" i="18" s="1"/>
  <c r="U73" i="18"/>
  <c r="U90" i="18"/>
  <c r="R97" i="18" s="1"/>
  <c r="U18" i="18"/>
  <c r="U67" i="18"/>
  <c r="H67" i="18" s="1"/>
  <c r="Q73" i="18" s="1"/>
  <c r="U78" i="18"/>
  <c r="H78" i="18" s="1"/>
  <c r="R82" i="18" s="1"/>
  <c r="U24" i="18"/>
  <c r="H24" i="18" s="1"/>
  <c r="S70" i="18" s="1"/>
  <c r="U43" i="18"/>
  <c r="H43" i="18" s="1"/>
  <c r="R66" i="18" s="1"/>
  <c r="H66" i="18" s="1"/>
  <c r="U63" i="18"/>
  <c r="H63" i="18" s="1"/>
  <c r="R80" i="18" s="1"/>
  <c r="U12" i="18"/>
  <c r="U21" i="18"/>
  <c r="U28" i="18"/>
  <c r="H28" i="18" s="1"/>
  <c r="U46" i="18"/>
  <c r="Q53" i="18" s="1"/>
  <c r="U54" i="18"/>
  <c r="H54" i="18" s="1"/>
  <c r="R76" i="18" s="1"/>
  <c r="U17" i="18"/>
  <c r="U41" i="18"/>
  <c r="H41" i="18" s="1"/>
  <c r="R65" i="18" s="1"/>
  <c r="U55" i="18"/>
  <c r="H55" i="18" s="1"/>
  <c r="U61" i="18"/>
  <c r="U105" i="18"/>
  <c r="U27" i="18"/>
  <c r="U39" i="18"/>
  <c r="H39" i="18" s="1"/>
  <c r="R61" i="18" s="1"/>
  <c r="Q51" i="18"/>
  <c r="Q64" i="18"/>
  <c r="Q27" i="18"/>
  <c r="Q80" i="18"/>
  <c r="M6" i="13"/>
  <c r="M7" i="13"/>
  <c r="M8" i="13"/>
  <c r="M9" i="13"/>
  <c r="M10" i="13"/>
  <c r="M11" i="13"/>
  <c r="M12" i="13"/>
  <c r="M5" i="13"/>
  <c r="N4" i="13"/>
  <c r="N3" i="13"/>
  <c r="L14" i="13"/>
  <c r="K8" i="19" l="1"/>
  <c r="T9" i="19"/>
  <c r="U9" i="19" s="1"/>
  <c r="L9" i="19"/>
  <c r="R11" i="19"/>
  <c r="J10" i="19"/>
  <c r="Q25" i="18"/>
  <c r="H25" i="18" s="1"/>
  <c r="R69" i="18" s="1"/>
  <c r="S69" i="18"/>
  <c r="H64" i="18"/>
  <c r="R49" i="18"/>
  <c r="H61" i="18"/>
  <c r="Q98" i="18" s="1"/>
  <c r="H51" i="18"/>
  <c r="H97" i="18"/>
  <c r="H27" i="18"/>
  <c r="R88" i="18" s="1"/>
  <c r="Q60" i="18"/>
  <c r="Q49" i="18"/>
  <c r="H80" i="18"/>
  <c r="R74" i="18"/>
  <c r="S65" i="18"/>
  <c r="H65" i="18" s="1"/>
  <c r="H103" i="18"/>
  <c r="Q76" i="18"/>
  <c r="Q52" i="18"/>
  <c r="R52" i="18"/>
  <c r="R50" i="18"/>
  <c r="H50" i="18" s="1"/>
  <c r="Q93" i="18"/>
  <c r="R53" i="18"/>
  <c r="Q74" i="18"/>
  <c r="Q79" i="18"/>
  <c r="Q82" i="18"/>
  <c r="S81" i="18"/>
  <c r="Q31" i="18"/>
  <c r="R60" i="18"/>
  <c r="Q57" i="18"/>
  <c r="H57" i="18" s="1"/>
  <c r="Q99" i="18"/>
  <c r="Q92" i="18"/>
  <c r="R84" i="18"/>
  <c r="Q88" i="18"/>
  <c r="R94" i="18"/>
  <c r="S72" i="18"/>
  <c r="H72" i="18" s="1"/>
  <c r="R93" i="18"/>
  <c r="S104" i="18"/>
  <c r="S88" i="18"/>
  <c r="S105" i="18"/>
  <c r="S89" i="18"/>
  <c r="T105" i="18"/>
  <c r="R92" i="18"/>
  <c r="T106" i="18"/>
  <c r="S85" i="18"/>
  <c r="T104" i="18"/>
  <c r="Q94" i="18"/>
  <c r="N11" i="14"/>
  <c r="O11" i="14" s="1"/>
  <c r="K9" i="19" l="1"/>
  <c r="L10" i="19"/>
  <c r="T10" i="19"/>
  <c r="U10" i="19" s="1"/>
  <c r="R12" i="19"/>
  <c r="J11" i="19"/>
  <c r="R85" i="18"/>
  <c r="H49" i="18"/>
  <c r="R70" i="18"/>
  <c r="H88" i="18"/>
  <c r="H105" i="18"/>
  <c r="S106" i="18" s="1"/>
  <c r="H106" i="18" s="1"/>
  <c r="S68" i="18"/>
  <c r="H68" i="18" s="1"/>
  <c r="H93" i="18"/>
  <c r="H74" i="18"/>
  <c r="H82" i="18"/>
  <c r="Q87" i="18" s="1"/>
  <c r="H76" i="18"/>
  <c r="Q84" i="18" s="1"/>
  <c r="H84" i="18" s="1"/>
  <c r="H60" i="18"/>
  <c r="H52" i="18"/>
  <c r="H104" i="18"/>
  <c r="Q69" i="18"/>
  <c r="H69" i="18" s="1"/>
  <c r="Q85" i="18"/>
  <c r="H85" i="18" s="1"/>
  <c r="H31" i="18"/>
  <c r="S58" i="18" s="1"/>
  <c r="H58" i="18" s="1"/>
  <c r="H79" i="18"/>
  <c r="R98" i="18" s="1"/>
  <c r="R96" i="18"/>
  <c r="S59" i="18"/>
  <c r="H59" i="18" s="1"/>
  <c r="S56" i="18"/>
  <c r="H56" i="18" s="1"/>
  <c r="Q70" i="18"/>
  <c r="Q81" i="18"/>
  <c r="S92" i="18"/>
  <c r="H92" i="18" s="1"/>
  <c r="S96" i="18"/>
  <c r="K10" i="19" l="1"/>
  <c r="L11" i="19"/>
  <c r="T11" i="19"/>
  <c r="U11" i="19" s="1"/>
  <c r="J12" i="19"/>
  <c r="R13" i="19"/>
  <c r="H70" i="18"/>
  <c r="Q96" i="18"/>
  <c r="H96" i="18" s="1"/>
  <c r="Q89" i="18"/>
  <c r="R89" i="18"/>
  <c r="R81" i="18"/>
  <c r="H81" i="18" s="1"/>
  <c r="R87" i="18"/>
  <c r="H87" i="18" s="1"/>
  <c r="S73" i="18"/>
  <c r="S95" i="18"/>
  <c r="H95" i="18" s="1"/>
  <c r="S98" i="18"/>
  <c r="H98" i="18" s="1"/>
  <c r="S99" i="18"/>
  <c r="S94" i="18"/>
  <c r="H94" i="18" s="1"/>
  <c r="K11" i="19" l="1"/>
  <c r="R14" i="19"/>
  <c r="J13" i="19"/>
  <c r="L12" i="19"/>
  <c r="T12" i="19"/>
  <c r="U12" i="19" s="1"/>
  <c r="H89" i="18"/>
  <c r="H73" i="18"/>
  <c r="R99" i="18" s="1"/>
  <c r="H99" i="18" s="1"/>
  <c r="K12" i="19" l="1"/>
  <c r="L13" i="19"/>
  <c r="T13" i="19"/>
  <c r="U13" i="19" s="1"/>
  <c r="J14" i="19"/>
  <c r="R15" i="19"/>
  <c r="R85" i="19" s="1"/>
  <c r="L3" i="13"/>
  <c r="L4" i="13" s="1"/>
  <c r="L5" i="13" s="1"/>
  <c r="L6" i="13" s="1"/>
  <c r="L7" i="13" s="1"/>
  <c r="L8" i="13" s="1"/>
  <c r="L9" i="13" s="1"/>
  <c r="L10" i="13" s="1"/>
  <c r="L11" i="13" s="1"/>
  <c r="L12" i="13" s="1"/>
  <c r="L2" i="13"/>
  <c r="N2" i="13"/>
  <c r="K13" i="19" l="1"/>
  <c r="L14" i="19"/>
  <c r="T14" i="19"/>
  <c r="U14" i="19" s="1"/>
  <c r="L13" i="13"/>
  <c r="J15" i="19" l="1"/>
  <c r="K14" i="19"/>
  <c r="T15" i="19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6" i="14"/>
  <c r="N6" i="14"/>
  <c r="O6" i="14" s="1"/>
  <c r="U15" i="19" l="1"/>
  <c r="U85" i="19" s="1"/>
  <c r="T85" i="19"/>
  <c r="Q87" i="19" s="1"/>
  <c r="L15" i="19"/>
  <c r="AO72" i="12"/>
  <c r="AO3" i="12"/>
  <c r="AO5" i="12"/>
  <c r="AO73" i="12"/>
  <c r="AO71" i="12"/>
  <c r="AO4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20" i="12"/>
  <c r="AO21" i="12"/>
  <c r="AO22" i="12"/>
  <c r="AO23" i="12"/>
  <c r="AO24" i="12"/>
  <c r="AO25" i="12"/>
  <c r="AO26" i="12"/>
  <c r="AO27" i="12"/>
  <c r="AO28" i="12"/>
  <c r="AO29" i="12"/>
  <c r="AO30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E71" i="1"/>
  <c r="AP72" i="12" s="1"/>
  <c r="E67" i="1"/>
  <c r="F68" i="1" s="1"/>
  <c r="E68" i="1"/>
  <c r="F69" i="1" s="1"/>
  <c r="F72" i="1" l="1"/>
  <c r="AP69" i="12"/>
  <c r="AP68" i="12"/>
  <c r="R87" i="19"/>
  <c r="K15" i="19"/>
  <c r="E73" i="1" l="1"/>
  <c r="F73" i="1" s="1"/>
  <c r="E70" i="1"/>
  <c r="AP71" i="12" s="1"/>
  <c r="K69" i="1"/>
  <c r="E3" i="1"/>
  <c r="AP4" i="12" s="1"/>
  <c r="E4" i="1"/>
  <c r="AP5" i="12" s="1"/>
  <c r="E5" i="1"/>
  <c r="E6" i="1"/>
  <c r="AP7" i="12" s="1"/>
  <c r="E7" i="1"/>
  <c r="AP8" i="12" s="1"/>
  <c r="E8" i="1"/>
  <c r="AP9" i="12" s="1"/>
  <c r="E9" i="1"/>
  <c r="AP10" i="12" s="1"/>
  <c r="E10" i="1"/>
  <c r="AP11" i="12" s="1"/>
  <c r="E11" i="1"/>
  <c r="AP12" i="12" s="1"/>
  <c r="E12" i="1"/>
  <c r="AP13" i="12" s="1"/>
  <c r="E13" i="1"/>
  <c r="AP14" i="12" s="1"/>
  <c r="E14" i="1"/>
  <c r="AP15" i="12" s="1"/>
  <c r="E15" i="1"/>
  <c r="AP16" i="12" s="1"/>
  <c r="E16" i="1"/>
  <c r="AP17" i="12" s="1"/>
  <c r="E17" i="1"/>
  <c r="AP18" i="12" s="1"/>
  <c r="E18" i="1"/>
  <c r="AP19" i="12" s="1"/>
  <c r="E19" i="1"/>
  <c r="AP20" i="12" s="1"/>
  <c r="E20" i="1"/>
  <c r="AP21" i="12" s="1"/>
  <c r="E21" i="1"/>
  <c r="AP22" i="12" s="1"/>
  <c r="E22" i="1"/>
  <c r="AP23" i="12" s="1"/>
  <c r="E23" i="1"/>
  <c r="AP24" i="12" s="1"/>
  <c r="E24" i="1"/>
  <c r="AP25" i="12" s="1"/>
  <c r="E25" i="1"/>
  <c r="AP26" i="12" s="1"/>
  <c r="E26" i="1"/>
  <c r="AP27" i="12" s="1"/>
  <c r="E27" i="1"/>
  <c r="AP28" i="12" s="1"/>
  <c r="E28" i="1"/>
  <c r="AP29" i="12" s="1"/>
  <c r="E29" i="1"/>
  <c r="AP30" i="12" s="1"/>
  <c r="E30" i="1"/>
  <c r="AP31" i="12" s="1"/>
  <c r="E31" i="1"/>
  <c r="AP32" i="12" s="1"/>
  <c r="E32" i="1"/>
  <c r="AP33" i="12" s="1"/>
  <c r="E33" i="1"/>
  <c r="AP34" i="12" s="1"/>
  <c r="E34" i="1"/>
  <c r="AP35" i="12" s="1"/>
  <c r="E35" i="1"/>
  <c r="AP36" i="12" s="1"/>
  <c r="E36" i="1"/>
  <c r="AP37" i="12" s="1"/>
  <c r="E37" i="1"/>
  <c r="AP38" i="12" s="1"/>
  <c r="E38" i="1"/>
  <c r="AP39" i="12" s="1"/>
  <c r="E39" i="1"/>
  <c r="AP40" i="12" s="1"/>
  <c r="E40" i="1"/>
  <c r="AP41" i="12" s="1"/>
  <c r="E41" i="1"/>
  <c r="AP42" i="12" s="1"/>
  <c r="E42" i="1"/>
  <c r="AP43" i="12" s="1"/>
  <c r="E43" i="1"/>
  <c r="AP44" i="12" s="1"/>
  <c r="E44" i="1"/>
  <c r="AP45" i="12" s="1"/>
  <c r="E45" i="1"/>
  <c r="AP46" i="12" s="1"/>
  <c r="E46" i="1"/>
  <c r="AP47" i="12" s="1"/>
  <c r="E47" i="1"/>
  <c r="AP48" i="12" s="1"/>
  <c r="E48" i="1"/>
  <c r="AP49" i="12" s="1"/>
  <c r="E49" i="1"/>
  <c r="AP50" i="12" s="1"/>
  <c r="E50" i="1"/>
  <c r="AP51" i="12" s="1"/>
  <c r="E51" i="1"/>
  <c r="AP52" i="12" s="1"/>
  <c r="E52" i="1"/>
  <c r="AP53" i="12" s="1"/>
  <c r="E53" i="1"/>
  <c r="AP54" i="12" s="1"/>
  <c r="E54" i="1"/>
  <c r="AP55" i="12" s="1"/>
  <c r="E55" i="1"/>
  <c r="AP56" i="12" s="1"/>
  <c r="E56" i="1"/>
  <c r="AP57" i="12" s="1"/>
  <c r="E57" i="1"/>
  <c r="AP58" i="12" s="1"/>
  <c r="E58" i="1"/>
  <c r="AP59" i="12" s="1"/>
  <c r="E59" i="1"/>
  <c r="AP60" i="12" s="1"/>
  <c r="E60" i="1"/>
  <c r="AP61" i="12" s="1"/>
  <c r="E61" i="1"/>
  <c r="AP62" i="12" s="1"/>
  <c r="E62" i="1"/>
  <c r="AP63" i="12" s="1"/>
  <c r="E63" i="1"/>
  <c r="AP64" i="12" s="1"/>
  <c r="E64" i="1"/>
  <c r="AP65" i="12" s="1"/>
  <c r="E65" i="1"/>
  <c r="AP66" i="12" s="1"/>
  <c r="E66" i="1"/>
  <c r="E69" i="1"/>
  <c r="K72" i="1"/>
  <c r="K68" i="1"/>
  <c r="F40" i="1" l="1"/>
  <c r="K40" i="1" s="1"/>
  <c r="F32" i="1"/>
  <c r="K32" i="1" s="1"/>
  <c r="F48" i="1"/>
  <c r="K48" i="1" s="1"/>
  <c r="F24" i="1"/>
  <c r="K24" i="1" s="1"/>
  <c r="F16" i="1"/>
  <c r="K16" i="1" s="1"/>
  <c r="F8" i="1"/>
  <c r="K8" i="1" s="1"/>
  <c r="F64" i="1"/>
  <c r="K64" i="1" s="1"/>
  <c r="F56" i="1"/>
  <c r="K56" i="1" s="1"/>
  <c r="F47" i="1"/>
  <c r="K47" i="1" s="1"/>
  <c r="F62" i="1"/>
  <c r="K62" i="1" s="1"/>
  <c r="F54" i="1"/>
  <c r="K54" i="1" s="1"/>
  <c r="F46" i="1"/>
  <c r="K46" i="1" s="1"/>
  <c r="F38" i="1"/>
  <c r="K38" i="1" s="1"/>
  <c r="F30" i="1"/>
  <c r="K30" i="1" s="1"/>
  <c r="F22" i="1"/>
  <c r="K22" i="1" s="1"/>
  <c r="F14" i="1"/>
  <c r="K14" i="1" s="1"/>
  <c r="F5" i="1"/>
  <c r="K5" i="1" s="1"/>
  <c r="F63" i="1"/>
  <c r="K63" i="1" s="1"/>
  <c r="F7" i="1"/>
  <c r="K7" i="1" s="1"/>
  <c r="F61" i="1"/>
  <c r="K61" i="1" s="1"/>
  <c r="F53" i="1"/>
  <c r="K53" i="1" s="1"/>
  <c r="F45" i="1"/>
  <c r="K45" i="1" s="1"/>
  <c r="F37" i="1"/>
  <c r="K37" i="1" s="1"/>
  <c r="F29" i="1"/>
  <c r="K29" i="1" s="1"/>
  <c r="F21" i="1"/>
  <c r="K21" i="1" s="1"/>
  <c r="F13" i="1"/>
  <c r="K13" i="1" s="1"/>
  <c r="F4" i="1"/>
  <c r="K4" i="1" s="1"/>
  <c r="F31" i="1"/>
  <c r="K31" i="1" s="1"/>
  <c r="F60" i="1"/>
  <c r="K60" i="1" s="1"/>
  <c r="F52" i="1"/>
  <c r="K52" i="1" s="1"/>
  <c r="F44" i="1"/>
  <c r="K44" i="1" s="1"/>
  <c r="F36" i="1"/>
  <c r="K36" i="1" s="1"/>
  <c r="F28" i="1"/>
  <c r="K28" i="1" s="1"/>
  <c r="F20" i="1"/>
  <c r="K20" i="1" s="1"/>
  <c r="F12" i="1"/>
  <c r="K12" i="1" s="1"/>
  <c r="F23" i="1"/>
  <c r="K23" i="1" s="1"/>
  <c r="F59" i="1"/>
  <c r="K59" i="1" s="1"/>
  <c r="F51" i="1"/>
  <c r="K51" i="1" s="1"/>
  <c r="F43" i="1"/>
  <c r="K43" i="1" s="1"/>
  <c r="F35" i="1"/>
  <c r="K35" i="1" s="1"/>
  <c r="F27" i="1"/>
  <c r="F19" i="1"/>
  <c r="K19" i="1" s="1"/>
  <c r="F11" i="1"/>
  <c r="F71" i="1"/>
  <c r="K71" i="1" s="1"/>
  <c r="F55" i="1"/>
  <c r="K55" i="1" s="1"/>
  <c r="F39" i="1"/>
  <c r="K39" i="1" s="1"/>
  <c r="F70" i="1"/>
  <c r="K70" i="1" s="1"/>
  <c r="AP70" i="12"/>
  <c r="F67" i="1"/>
  <c r="K67" i="1" s="1"/>
  <c r="AP67" i="12"/>
  <c r="F66" i="1"/>
  <c r="F58" i="1"/>
  <c r="F50" i="1"/>
  <c r="F42" i="1"/>
  <c r="F34" i="1"/>
  <c r="F26" i="1"/>
  <c r="K26" i="1" s="1"/>
  <c r="F18" i="1"/>
  <c r="F10" i="1"/>
  <c r="K10" i="1" s="1"/>
  <c r="AP73" i="12"/>
  <c r="K73" i="1"/>
  <c r="AP6" i="12"/>
  <c r="F6" i="1"/>
  <c r="K6" i="1" s="1"/>
  <c r="F15" i="1"/>
  <c r="K15" i="1" s="1"/>
  <c r="F65" i="1"/>
  <c r="K65" i="1" s="1"/>
  <c r="F57" i="1"/>
  <c r="K57" i="1" s="1"/>
  <c r="F49" i="1"/>
  <c r="K49" i="1" s="1"/>
  <c r="F41" i="1"/>
  <c r="K41" i="1" s="1"/>
  <c r="F33" i="1"/>
  <c r="K33" i="1" s="1"/>
  <c r="F25" i="1"/>
  <c r="K25" i="1" s="1"/>
  <c r="F17" i="1"/>
  <c r="K17" i="1" s="1"/>
  <c r="F9" i="1"/>
  <c r="K9" i="1" s="1"/>
  <c r="AQ4" i="12"/>
  <c r="K27" i="1"/>
  <c r="K11" i="1"/>
  <c r="K66" i="1"/>
  <c r="K58" i="1"/>
  <c r="K50" i="1"/>
  <c r="K42" i="1"/>
  <c r="K34" i="1"/>
  <c r="K18" i="1"/>
  <c r="AQ6" i="12" l="1"/>
  <c r="AR7" i="12" s="1"/>
  <c r="AS7" i="12" s="1"/>
  <c r="J13" i="13"/>
  <c r="J15" i="13" s="1"/>
  <c r="J11" i="14"/>
  <c r="F21" i="14"/>
  <c r="N16" i="14"/>
  <c r="O16" i="14" s="1"/>
  <c r="J16" i="14"/>
  <c r="L15" i="13"/>
  <c r="K16" i="14" l="1"/>
  <c r="K11" i="14"/>
  <c r="G21" i="14"/>
  <c r="G11" i="14"/>
  <c r="G6" i="14"/>
  <c r="F6" i="14"/>
  <c r="J21" i="14"/>
  <c r="K21" i="14" s="1"/>
  <c r="F16" i="14"/>
  <c r="G16" i="14" s="1"/>
  <c r="F11" i="14"/>
  <c r="I17" i="14"/>
  <c r="I12" i="14"/>
  <c r="I6" i="14"/>
  <c r="K6" i="14" s="1"/>
  <c r="I8" i="14"/>
  <c r="E4" i="13"/>
  <c r="E3" i="13"/>
  <c r="AQ33" i="12" l="1"/>
  <c r="AR34" i="12" s="1"/>
  <c r="AU34" i="12" s="1"/>
  <c r="AQ34" i="12"/>
  <c r="AR35" i="12" s="1"/>
  <c r="AU35" i="12" s="1"/>
  <c r="AQ65" i="12"/>
  <c r="AR66" i="12" s="1"/>
  <c r="AQ66" i="12"/>
  <c r="AR67" i="12" s="1"/>
  <c r="AR5" i="12"/>
  <c r="AQ5" i="12"/>
  <c r="AQ7" i="12"/>
  <c r="AR8" i="12" s="1"/>
  <c r="AQ8" i="12"/>
  <c r="AR9" i="12" s="1"/>
  <c r="AQ9" i="12"/>
  <c r="AR10" i="12" s="1"/>
  <c r="AQ10" i="12"/>
  <c r="AR11" i="12" s="1"/>
  <c r="AQ11" i="12"/>
  <c r="AR12" i="12" s="1"/>
  <c r="AQ12" i="12"/>
  <c r="AR13" i="12" s="1"/>
  <c r="AQ13" i="12"/>
  <c r="AR14" i="12" s="1"/>
  <c r="AQ14" i="12"/>
  <c r="AR15" i="12" s="1"/>
  <c r="AQ15" i="12"/>
  <c r="AR16" i="12" s="1"/>
  <c r="AQ16" i="12"/>
  <c r="AR17" i="12" s="1"/>
  <c r="AQ17" i="12"/>
  <c r="AR18" i="12" s="1"/>
  <c r="AQ18" i="12"/>
  <c r="AR19" i="12" s="1"/>
  <c r="AQ19" i="12"/>
  <c r="AR20" i="12" s="1"/>
  <c r="AQ20" i="12"/>
  <c r="AR21" i="12" s="1"/>
  <c r="AQ21" i="12"/>
  <c r="AR22" i="12" s="1"/>
  <c r="AQ22" i="12"/>
  <c r="AR23" i="12" s="1"/>
  <c r="AQ23" i="12"/>
  <c r="AR24" i="12" s="1"/>
  <c r="AQ24" i="12"/>
  <c r="AR25" i="12" s="1"/>
  <c r="AQ25" i="12"/>
  <c r="AR26" i="12" s="1"/>
  <c r="AU26" i="12" s="1"/>
  <c r="AQ26" i="12"/>
  <c r="AR27" i="12" s="1"/>
  <c r="AU27" i="12" s="1"/>
  <c r="AQ27" i="12"/>
  <c r="AR28" i="12" s="1"/>
  <c r="AU28" i="12" s="1"/>
  <c r="AQ28" i="12"/>
  <c r="AR29" i="12" s="1"/>
  <c r="AU29" i="12" s="1"/>
  <c r="AQ29" i="12"/>
  <c r="AR30" i="12" s="1"/>
  <c r="AU30" i="12" s="1"/>
  <c r="AQ30" i="12"/>
  <c r="AR31" i="12" s="1"/>
  <c r="AU31" i="12" s="1"/>
  <c r="AQ31" i="12"/>
  <c r="AR32" i="12" s="1"/>
  <c r="AU32" i="12" s="1"/>
  <c r="AQ32" i="12"/>
  <c r="AR33" i="12" s="1"/>
  <c r="AU33" i="12" s="1"/>
  <c r="AQ35" i="12"/>
  <c r="AR36" i="12" s="1"/>
  <c r="AU36" i="12" s="1"/>
  <c r="AQ36" i="12"/>
  <c r="AR37" i="12" s="1"/>
  <c r="AU37" i="12" s="1"/>
  <c r="AQ37" i="12"/>
  <c r="AR38" i="12" s="1"/>
  <c r="AU38" i="12" s="1"/>
  <c r="AQ38" i="12"/>
  <c r="AR39" i="12" s="1"/>
  <c r="AQ39" i="12"/>
  <c r="AR40" i="12" s="1"/>
  <c r="AQ40" i="12"/>
  <c r="AR41" i="12" s="1"/>
  <c r="AQ41" i="12"/>
  <c r="AR42" i="12" s="1"/>
  <c r="AQ42" i="12"/>
  <c r="AR43" i="12" s="1"/>
  <c r="AQ43" i="12"/>
  <c r="AR44" i="12" s="1"/>
  <c r="AQ44" i="12"/>
  <c r="AR45" i="12" s="1"/>
  <c r="AQ45" i="12"/>
  <c r="AR46" i="12" s="1"/>
  <c r="AQ46" i="12"/>
  <c r="AR47" i="12" s="1"/>
  <c r="AQ47" i="12"/>
  <c r="AR48" i="12" s="1"/>
  <c r="AQ48" i="12"/>
  <c r="AR49" i="12" s="1"/>
  <c r="AQ49" i="12"/>
  <c r="AR50" i="12" s="1"/>
  <c r="AQ50" i="12"/>
  <c r="AR51" i="12" s="1"/>
  <c r="AQ51" i="12"/>
  <c r="AR52" i="12" s="1"/>
  <c r="AQ52" i="12"/>
  <c r="AR53" i="12" s="1"/>
  <c r="AQ53" i="12"/>
  <c r="AR54" i="12" s="1"/>
  <c r="AQ54" i="12"/>
  <c r="AR55" i="12" s="1"/>
  <c r="AQ55" i="12"/>
  <c r="AR56" i="12" s="1"/>
  <c r="AQ56" i="12"/>
  <c r="AR57" i="12" s="1"/>
  <c r="AQ57" i="12"/>
  <c r="AR58" i="12" s="1"/>
  <c r="AQ58" i="12"/>
  <c r="AR59" i="12" s="1"/>
  <c r="AQ59" i="12"/>
  <c r="AR60" i="12" s="1"/>
  <c r="AQ60" i="12"/>
  <c r="AR61" i="12" s="1"/>
  <c r="AQ61" i="12"/>
  <c r="AR62" i="12" s="1"/>
  <c r="AQ62" i="12"/>
  <c r="AR63" i="12" s="1"/>
  <c r="AQ63" i="12"/>
  <c r="AR64" i="12" s="1"/>
  <c r="AQ64" i="12"/>
  <c r="AR65" i="12" s="1"/>
  <c r="AQ67" i="12"/>
  <c r="AR68" i="12" s="1"/>
  <c r="AQ68" i="12"/>
  <c r="AR69" i="12" s="1"/>
  <c r="AQ69" i="12"/>
  <c r="AR70" i="12" s="1"/>
  <c r="AQ70" i="12"/>
  <c r="AR71" i="12" s="1"/>
  <c r="AQ71" i="12"/>
  <c r="AR72" i="12" s="1"/>
  <c r="AQ73" i="12"/>
  <c r="AS73" i="12" s="1"/>
  <c r="AP158" i="12"/>
  <c r="AQ158" i="12" s="1"/>
  <c r="AS158" i="12" s="1"/>
  <c r="AP2" i="12"/>
  <c r="E2" i="1"/>
  <c r="F3" i="1" l="1"/>
  <c r="K3" i="1" s="1"/>
  <c r="AP3" i="12"/>
  <c r="F2" i="1"/>
  <c r="AS50" i="12"/>
  <c r="AS65" i="12"/>
  <c r="AS41" i="12"/>
  <c r="AS64" i="12"/>
  <c r="AS56" i="12"/>
  <c r="AS48" i="12"/>
  <c r="AS40" i="12"/>
  <c r="AS30" i="12"/>
  <c r="AS22" i="12"/>
  <c r="AS14" i="12"/>
  <c r="AS5" i="12"/>
  <c r="AS24" i="12"/>
  <c r="AS57" i="12"/>
  <c r="AR6" i="12"/>
  <c r="AS63" i="12"/>
  <c r="AS55" i="12"/>
  <c r="AS47" i="12"/>
  <c r="AS39" i="12"/>
  <c r="AS29" i="12"/>
  <c r="AS21" i="12"/>
  <c r="AS13" i="12"/>
  <c r="AS32" i="12"/>
  <c r="AS49" i="12"/>
  <c r="AS62" i="12"/>
  <c r="AS54" i="12"/>
  <c r="AS46" i="12"/>
  <c r="AS38" i="12"/>
  <c r="AS28" i="12"/>
  <c r="AS20" i="12"/>
  <c r="AS12" i="12"/>
  <c r="AS67" i="12"/>
  <c r="AS42" i="12"/>
  <c r="AS23" i="12"/>
  <c r="AS72" i="12"/>
  <c r="AS71" i="12"/>
  <c r="AS61" i="12"/>
  <c r="AS53" i="12"/>
  <c r="AS45" i="12"/>
  <c r="AS37" i="12"/>
  <c r="AS27" i="12"/>
  <c r="AS19" i="12"/>
  <c r="AS11" i="12"/>
  <c r="AS66" i="12"/>
  <c r="AS58" i="12"/>
  <c r="AS31" i="12"/>
  <c r="AS70" i="12"/>
  <c r="AS60" i="12"/>
  <c r="AS52" i="12"/>
  <c r="AS44" i="12"/>
  <c r="AS36" i="12"/>
  <c r="AS26" i="12"/>
  <c r="AS18" i="12"/>
  <c r="AS10" i="12"/>
  <c r="AS35" i="12"/>
  <c r="AS68" i="12"/>
  <c r="AS16" i="12"/>
  <c r="AS15" i="12"/>
  <c r="AS69" i="12"/>
  <c r="AS59" i="12"/>
  <c r="AS51" i="12"/>
  <c r="AS43" i="12"/>
  <c r="AS33" i="12"/>
  <c r="AS25" i="12"/>
  <c r="AS17" i="12"/>
  <c r="AS9" i="12"/>
  <c r="AS34" i="12"/>
  <c r="AS8" i="12"/>
  <c r="AH22" i="15"/>
  <c r="AQ3" i="12" l="1"/>
  <c r="AR4" i="12" s="1"/>
  <c r="AS4" i="12" s="1"/>
  <c r="K2" i="1"/>
  <c r="AQ2" i="12" s="1"/>
  <c r="G72" i="1"/>
  <c r="G73" i="1" s="1"/>
  <c r="AS2" i="12"/>
  <c r="AR3" i="12"/>
  <c r="AS3" i="12" s="1"/>
  <c r="AS6" i="12"/>
  <c r="AQ72" i="12"/>
  <c r="AR73" i="12" s="1"/>
  <c r="L3" i="9" l="1"/>
  <c r="H203" i="7" l="1"/>
  <c r="H20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" i="7"/>
  <c r="G12" i="4" l="1"/>
  <c r="G11" i="4"/>
  <c r="G3" i="4"/>
  <c r="G4" i="4"/>
  <c r="G5" i="4"/>
  <c r="G6" i="4"/>
  <c r="G7" i="4"/>
  <c r="G8" i="4"/>
  <c r="G9" i="4"/>
  <c r="G10" i="4"/>
  <c r="G2" i="4"/>
  <c r="B2" i="17" l="1"/>
  <c r="G4" i="5" l="1"/>
  <c r="F12" i="5"/>
  <c r="H22" i="10"/>
  <c r="I3" i="1" l="1"/>
  <c r="J3" i="1" s="1"/>
  <c r="C12" i="4"/>
  <c r="D5" i="4" l="1"/>
  <c r="I101" i="9" l="1"/>
  <c r="H101" i="9"/>
  <c r="G101" i="9"/>
  <c r="F101" i="9"/>
  <c r="E101" i="9"/>
  <c r="D101" i="9"/>
  <c r="C101" i="9"/>
  <c r="B101" i="9"/>
  <c r="H90" i="9"/>
  <c r="G90" i="9"/>
  <c r="F90" i="9"/>
  <c r="E90" i="9"/>
  <c r="D90" i="9"/>
  <c r="C90" i="9"/>
  <c r="B90" i="9"/>
  <c r="H79" i="9"/>
  <c r="G79" i="9"/>
  <c r="F79" i="9"/>
  <c r="E79" i="9"/>
  <c r="D79" i="9"/>
  <c r="C79" i="9"/>
  <c r="B79" i="9"/>
  <c r="H68" i="9"/>
  <c r="G68" i="9"/>
  <c r="F68" i="9"/>
  <c r="E68" i="9"/>
  <c r="D68" i="9"/>
  <c r="C68" i="9"/>
  <c r="B68" i="9"/>
  <c r="H57" i="9"/>
  <c r="G57" i="9"/>
  <c r="F57" i="9"/>
  <c r="E57" i="9"/>
  <c r="D57" i="9"/>
  <c r="C57" i="9"/>
  <c r="B57" i="9"/>
  <c r="H46" i="9"/>
  <c r="G46" i="9"/>
  <c r="F46" i="9"/>
  <c r="E46" i="9"/>
  <c r="D46" i="9"/>
  <c r="C46" i="9"/>
  <c r="B46" i="9"/>
  <c r="H35" i="9"/>
  <c r="G35" i="9"/>
  <c r="F35" i="9"/>
  <c r="E35" i="9"/>
  <c r="D35" i="9"/>
  <c r="C35" i="9"/>
  <c r="B35" i="9"/>
  <c r="H24" i="9"/>
  <c r="G24" i="9"/>
  <c r="F24" i="9"/>
  <c r="E24" i="9"/>
  <c r="D24" i="9"/>
  <c r="C24" i="9"/>
  <c r="B24" i="9"/>
  <c r="D13" i="9"/>
  <c r="E13" i="9"/>
  <c r="F13" i="9"/>
  <c r="G13" i="9"/>
  <c r="H13" i="9"/>
  <c r="B13" i="9"/>
  <c r="C13" i="9"/>
  <c r="C2" i="9" l="1"/>
  <c r="D2" i="9"/>
  <c r="E2" i="9"/>
  <c r="F2" i="9"/>
  <c r="G2" i="9"/>
  <c r="H2" i="9"/>
  <c r="B2" i="9"/>
  <c r="L14" i="9"/>
  <c r="I9" i="9"/>
  <c r="L102" i="9"/>
  <c r="M102" i="9"/>
  <c r="N102" i="9"/>
  <c r="O102" i="9"/>
  <c r="P102" i="9"/>
  <c r="Q102" i="9"/>
  <c r="R102" i="9"/>
  <c r="L91" i="9"/>
  <c r="M91" i="9"/>
  <c r="N91" i="9"/>
  <c r="O91" i="9"/>
  <c r="P91" i="9"/>
  <c r="Q91" i="9"/>
  <c r="R91" i="9"/>
  <c r="L80" i="9"/>
  <c r="M80" i="9"/>
  <c r="N80" i="9"/>
  <c r="O80" i="9"/>
  <c r="P80" i="9"/>
  <c r="Q80" i="9"/>
  <c r="R80" i="9"/>
  <c r="L69" i="9"/>
  <c r="M69" i="9"/>
  <c r="N69" i="9"/>
  <c r="O69" i="9"/>
  <c r="P69" i="9"/>
  <c r="Q69" i="9"/>
  <c r="R69" i="9"/>
  <c r="L58" i="9"/>
  <c r="M58" i="9"/>
  <c r="N58" i="9"/>
  <c r="O58" i="9"/>
  <c r="P58" i="9"/>
  <c r="Q58" i="9"/>
  <c r="R58" i="9"/>
  <c r="L47" i="9"/>
  <c r="M47" i="9"/>
  <c r="N47" i="9"/>
  <c r="O47" i="9"/>
  <c r="P47" i="9"/>
  <c r="Q47" i="9"/>
  <c r="R47" i="9"/>
  <c r="L36" i="9"/>
  <c r="M36" i="9"/>
  <c r="N36" i="9"/>
  <c r="O36" i="9"/>
  <c r="P36" i="9"/>
  <c r="Q36" i="9"/>
  <c r="R36" i="9"/>
  <c r="L25" i="9"/>
  <c r="M25" i="9"/>
  <c r="N25" i="9"/>
  <c r="O25" i="9"/>
  <c r="P25" i="9"/>
  <c r="Q25" i="9"/>
  <c r="R25" i="9"/>
  <c r="M14" i="9"/>
  <c r="N14" i="9"/>
  <c r="O14" i="9"/>
  <c r="P14" i="9"/>
  <c r="Q14" i="9"/>
  <c r="R14" i="9"/>
  <c r="M3" i="9"/>
  <c r="N3" i="9"/>
  <c r="O3" i="9"/>
  <c r="P3" i="9"/>
  <c r="Q3" i="9"/>
  <c r="J22" i="15" l="1"/>
  <c r="P22" i="15"/>
  <c r="S16" i="15"/>
  <c r="G22" i="15"/>
  <c r="D16" i="15"/>
  <c r="D21" i="15"/>
  <c r="D22" i="15"/>
  <c r="V15" i="15"/>
  <c r="V18" i="15"/>
  <c r="V22" i="15"/>
  <c r="S22" i="15"/>
  <c r="S19" i="15"/>
  <c r="P16" i="15"/>
  <c r="P19" i="15"/>
  <c r="M20" i="15"/>
  <c r="M22" i="15"/>
  <c r="M18" i="15"/>
  <c r="M15" i="15"/>
  <c r="J20" i="15"/>
  <c r="J18" i="15"/>
  <c r="J15" i="15"/>
  <c r="Y15" i="15"/>
  <c r="Y22" i="15"/>
  <c r="G21" i="15"/>
  <c r="G19" i="15"/>
  <c r="D19" i="15"/>
  <c r="P14" i="15" l="1"/>
  <c r="C46" i="15" l="1"/>
  <c r="C47" i="15"/>
  <c r="C48" i="15"/>
  <c r="C49" i="15"/>
  <c r="C50" i="15"/>
  <c r="C51" i="15"/>
  <c r="C52" i="15"/>
  <c r="C53" i="15"/>
  <c r="C45" i="15"/>
  <c r="F46" i="15"/>
  <c r="F47" i="15"/>
  <c r="F48" i="15"/>
  <c r="F49" i="15"/>
  <c r="F50" i="15"/>
  <c r="F51" i="15"/>
  <c r="F52" i="15"/>
  <c r="F53" i="15"/>
  <c r="F45" i="15"/>
  <c r="I46" i="15"/>
  <c r="I47" i="15"/>
  <c r="I48" i="15"/>
  <c r="I49" i="15"/>
  <c r="I50" i="15"/>
  <c r="I51" i="15"/>
  <c r="I52" i="15"/>
  <c r="I53" i="15"/>
  <c r="I45" i="15"/>
  <c r="L46" i="15"/>
  <c r="L47" i="15"/>
  <c r="L48" i="15"/>
  <c r="L49" i="15"/>
  <c r="L50" i="15"/>
  <c r="L51" i="15"/>
  <c r="L52" i="15"/>
  <c r="L53" i="15"/>
  <c r="L45" i="15"/>
  <c r="O46" i="15"/>
  <c r="O47" i="15"/>
  <c r="O48" i="15"/>
  <c r="O49" i="15"/>
  <c r="O50" i="15"/>
  <c r="O51" i="15"/>
  <c r="O52" i="15"/>
  <c r="O53" i="15"/>
  <c r="O45" i="15"/>
  <c r="R46" i="15"/>
  <c r="R47" i="15"/>
  <c r="R48" i="15"/>
  <c r="R49" i="15"/>
  <c r="R50" i="15"/>
  <c r="R51" i="15"/>
  <c r="R52" i="15"/>
  <c r="R53" i="15"/>
  <c r="R45" i="15"/>
  <c r="U46" i="15"/>
  <c r="U47" i="15"/>
  <c r="U48" i="15"/>
  <c r="U49" i="15"/>
  <c r="U50" i="15"/>
  <c r="U51" i="15"/>
  <c r="U52" i="15"/>
  <c r="U53" i="15"/>
  <c r="U45" i="15"/>
  <c r="X46" i="15"/>
  <c r="X47" i="15"/>
  <c r="X48" i="15"/>
  <c r="X49" i="15"/>
  <c r="X50" i="15"/>
  <c r="X51" i="15"/>
  <c r="X52" i="15"/>
  <c r="X53" i="15"/>
  <c r="X45" i="15"/>
  <c r="AA46" i="15"/>
  <c r="AA47" i="15"/>
  <c r="AA48" i="15"/>
  <c r="AA49" i="15"/>
  <c r="AA50" i="15"/>
  <c r="AA51" i="15"/>
  <c r="AA52" i="15"/>
  <c r="AA53" i="15"/>
  <c r="AA45" i="15"/>
  <c r="X36" i="15"/>
  <c r="X37" i="15"/>
  <c r="X38" i="15"/>
  <c r="X39" i="15"/>
  <c r="X40" i="15"/>
  <c r="X41" i="15"/>
  <c r="X42" i="15"/>
  <c r="X43" i="15"/>
  <c r="X35" i="15"/>
  <c r="U36" i="15"/>
  <c r="U37" i="15"/>
  <c r="U38" i="15"/>
  <c r="U39" i="15"/>
  <c r="U40" i="15"/>
  <c r="U41" i="15"/>
  <c r="U42" i="15"/>
  <c r="U43" i="15"/>
  <c r="U35" i="15"/>
  <c r="R36" i="15"/>
  <c r="R37" i="15"/>
  <c r="R38" i="15"/>
  <c r="R39" i="15"/>
  <c r="R40" i="15"/>
  <c r="R41" i="15"/>
  <c r="R42" i="15"/>
  <c r="R43" i="15"/>
  <c r="R35" i="15"/>
  <c r="O36" i="15"/>
  <c r="O37" i="15"/>
  <c r="O38" i="15"/>
  <c r="O39" i="15"/>
  <c r="O40" i="15"/>
  <c r="O41" i="15"/>
  <c r="O42" i="15"/>
  <c r="O43" i="15"/>
  <c r="O35" i="15"/>
  <c r="L36" i="15"/>
  <c r="L37" i="15"/>
  <c r="L38" i="15"/>
  <c r="L39" i="15"/>
  <c r="L40" i="15"/>
  <c r="L41" i="15"/>
  <c r="L42" i="15"/>
  <c r="L43" i="15"/>
  <c r="L35" i="15"/>
  <c r="I36" i="15"/>
  <c r="I37" i="15"/>
  <c r="I38" i="15"/>
  <c r="I39" i="15"/>
  <c r="I40" i="15"/>
  <c r="I41" i="15"/>
  <c r="I42" i="15"/>
  <c r="I43" i="15"/>
  <c r="I35" i="15"/>
  <c r="F36" i="15"/>
  <c r="F37" i="15"/>
  <c r="F38" i="15"/>
  <c r="F39" i="15"/>
  <c r="F40" i="15"/>
  <c r="F41" i="15"/>
  <c r="F42" i="15"/>
  <c r="F43" i="15"/>
  <c r="F35" i="15"/>
  <c r="C36" i="15"/>
  <c r="C37" i="15"/>
  <c r="C38" i="15"/>
  <c r="C39" i="15"/>
  <c r="C40" i="15"/>
  <c r="C41" i="15"/>
  <c r="C42" i="15"/>
  <c r="C43" i="15"/>
  <c r="C35" i="15"/>
  <c r="X26" i="15"/>
  <c r="X27" i="15"/>
  <c r="X28" i="15"/>
  <c r="X29" i="15"/>
  <c r="X30" i="15"/>
  <c r="X31" i="15"/>
  <c r="X32" i="15"/>
  <c r="X33" i="15"/>
  <c r="X25" i="15"/>
  <c r="U26" i="15"/>
  <c r="U27" i="15"/>
  <c r="U28" i="15"/>
  <c r="U29" i="15"/>
  <c r="U30" i="15"/>
  <c r="U31" i="15"/>
  <c r="U32" i="15"/>
  <c r="U33" i="15"/>
  <c r="U25" i="15"/>
  <c r="R26" i="15"/>
  <c r="R27" i="15"/>
  <c r="R28" i="15"/>
  <c r="R29" i="15"/>
  <c r="R30" i="15"/>
  <c r="R31" i="15"/>
  <c r="R32" i="15"/>
  <c r="R33" i="15"/>
  <c r="R25" i="15"/>
  <c r="O26" i="15"/>
  <c r="O27" i="15"/>
  <c r="O28" i="15"/>
  <c r="O29" i="15"/>
  <c r="O30" i="15"/>
  <c r="O31" i="15"/>
  <c r="O32" i="15"/>
  <c r="O33" i="15"/>
  <c r="O25" i="15"/>
  <c r="L26" i="15"/>
  <c r="L27" i="15"/>
  <c r="L28" i="15"/>
  <c r="L29" i="15"/>
  <c r="L30" i="15"/>
  <c r="L31" i="15"/>
  <c r="L32" i="15"/>
  <c r="L33" i="15"/>
  <c r="L25" i="15"/>
  <c r="I26" i="15"/>
  <c r="I27" i="15"/>
  <c r="I28" i="15"/>
  <c r="I29" i="15"/>
  <c r="I30" i="15"/>
  <c r="I31" i="15"/>
  <c r="I32" i="15"/>
  <c r="I33" i="15"/>
  <c r="I25" i="15"/>
  <c r="F26" i="15"/>
  <c r="F27" i="15"/>
  <c r="F28" i="15"/>
  <c r="F29" i="15"/>
  <c r="F30" i="15"/>
  <c r="F31" i="15"/>
  <c r="F32" i="15"/>
  <c r="F33" i="15"/>
  <c r="F25" i="15"/>
  <c r="C26" i="15"/>
  <c r="C27" i="15"/>
  <c r="C28" i="15"/>
  <c r="C29" i="15"/>
  <c r="C30" i="15"/>
  <c r="C31" i="15"/>
  <c r="C32" i="15"/>
  <c r="C33" i="15"/>
  <c r="C25" i="15"/>
  <c r="D10" i="15" l="1"/>
  <c r="D9" i="15"/>
  <c r="D7" i="15"/>
  <c r="D4" i="15"/>
  <c r="O23" i="15" l="1"/>
  <c r="AB14" i="15"/>
  <c r="AI15" i="15" s="1"/>
  <c r="AI18" i="15" s="1"/>
  <c r="G16" i="15"/>
  <c r="AA23" i="15"/>
  <c r="X23" i="15"/>
  <c r="U23" i="15"/>
  <c r="R23" i="15"/>
  <c r="L23" i="15"/>
  <c r="I23" i="15"/>
  <c r="F23" i="15"/>
  <c r="C23" i="15"/>
  <c r="U106" i="10" l="1"/>
  <c r="J85" i="12" l="1"/>
  <c r="AO84" i="12" l="1"/>
  <c r="AO74" i="12"/>
  <c r="AO75" i="12"/>
  <c r="AO76" i="12"/>
  <c r="AO77" i="12"/>
  <c r="AO78" i="12"/>
  <c r="AO79" i="12"/>
  <c r="AO80" i="12"/>
  <c r="AO81" i="12"/>
  <c r="AO82" i="12"/>
  <c r="AO83" i="12"/>
  <c r="AF85" i="12" l="1"/>
  <c r="AN85" i="12"/>
  <c r="AL85" i="12"/>
  <c r="AJ85" i="12"/>
  <c r="AH85" i="12"/>
  <c r="AD85" i="12"/>
  <c r="AB85" i="12"/>
  <c r="Z85" i="12"/>
  <c r="X85" i="12"/>
  <c r="V85" i="12"/>
  <c r="T85" i="12"/>
  <c r="R85" i="12"/>
  <c r="P85" i="12"/>
  <c r="N85" i="12"/>
  <c r="L85" i="12"/>
  <c r="H85" i="12"/>
  <c r="F85" i="12"/>
  <c r="D85" i="12"/>
  <c r="W100" i="10" l="1"/>
  <c r="U100" i="10"/>
  <c r="U23" i="10"/>
  <c r="H23" i="10" s="1"/>
  <c r="U24" i="10"/>
  <c r="H24" i="10" s="1"/>
  <c r="U26" i="10"/>
  <c r="H26" i="10" s="1"/>
  <c r="U28" i="10"/>
  <c r="H28" i="10" s="1"/>
  <c r="U29" i="10"/>
  <c r="H29" i="10" s="1"/>
  <c r="U30" i="10"/>
  <c r="H30" i="10" s="1"/>
  <c r="U32" i="10"/>
  <c r="H32" i="10" s="1"/>
  <c r="U33" i="10"/>
  <c r="H33" i="10" s="1"/>
  <c r="U35" i="10"/>
  <c r="H35" i="10" s="1"/>
  <c r="U36" i="10"/>
  <c r="H36" i="10" s="1"/>
  <c r="U37" i="10"/>
  <c r="H37" i="10" s="1"/>
  <c r="U38" i="10"/>
  <c r="H38" i="10" s="1"/>
  <c r="U40" i="10"/>
  <c r="H40" i="10" s="1"/>
  <c r="U41" i="10"/>
  <c r="H41" i="10" s="1"/>
  <c r="U44" i="10"/>
  <c r="H44" i="10" s="1"/>
  <c r="U45" i="10"/>
  <c r="H45" i="10" s="1"/>
  <c r="U46" i="10"/>
  <c r="H46" i="10" s="1"/>
  <c r="U48" i="10"/>
  <c r="H48" i="10" s="1"/>
  <c r="U55" i="10"/>
  <c r="H55" i="10" s="1"/>
  <c r="U63" i="10"/>
  <c r="H63" i="10" s="1"/>
  <c r="U67" i="10"/>
  <c r="H67" i="10" s="1"/>
  <c r="U75" i="10"/>
  <c r="H75" i="10" s="1"/>
  <c r="U77" i="10"/>
  <c r="H77" i="10" s="1"/>
  <c r="U83" i="10"/>
  <c r="H83" i="10" s="1"/>
  <c r="U86" i="10"/>
  <c r="H86" i="10" s="1"/>
  <c r="AA81" i="10"/>
  <c r="AA70" i="10"/>
  <c r="AA69" i="10"/>
  <c r="Y93" i="10"/>
  <c r="Y87" i="10"/>
  <c r="Y84" i="10"/>
  <c r="U91" i="10"/>
  <c r="U66" i="10"/>
  <c r="U61" i="10"/>
  <c r="W95" i="10"/>
  <c r="W72" i="10"/>
  <c r="W68" i="10"/>
  <c r="W59" i="10"/>
  <c r="W58" i="10"/>
  <c r="W56" i="10"/>
  <c r="U68" i="10"/>
  <c r="U59" i="10"/>
  <c r="U58" i="10"/>
  <c r="U56" i="10"/>
  <c r="Y52" i="10"/>
  <c r="Y53" i="10"/>
  <c r="Y51" i="10"/>
  <c r="U50" i="10"/>
  <c r="W90" i="10"/>
  <c r="W78" i="10"/>
  <c r="W62" i="10"/>
  <c r="W54" i="10"/>
  <c r="W47" i="10"/>
  <c r="W43" i="10"/>
  <c r="W42" i="10"/>
  <c r="W39" i="10"/>
  <c r="U90" i="10"/>
  <c r="U78" i="10"/>
  <c r="U62" i="10"/>
  <c r="H62" i="10" s="1"/>
  <c r="U54" i="10"/>
  <c r="H54" i="10" s="1"/>
  <c r="U47" i="10"/>
  <c r="H47" i="10" s="1"/>
  <c r="U43" i="10"/>
  <c r="H43" i="10" s="1"/>
  <c r="U42" i="10"/>
  <c r="H42" i="10" s="1"/>
  <c r="U39" i="10"/>
  <c r="H39" i="10" s="1"/>
  <c r="H78" i="10" l="1"/>
  <c r="W82" i="10" s="1"/>
  <c r="H90" i="10"/>
  <c r="W97" i="10" s="1"/>
  <c r="W61" i="10"/>
  <c r="W91" i="10"/>
  <c r="W64" i="10"/>
  <c r="W66" i="10"/>
  <c r="W76" i="10"/>
  <c r="W101" i="10"/>
  <c r="W102" i="10"/>
  <c r="W103" i="10"/>
  <c r="W104" i="10"/>
  <c r="W105" i="10"/>
  <c r="W106" i="10"/>
  <c r="U101" i="10" l="1"/>
  <c r="U102" i="10"/>
  <c r="U103" i="10"/>
  <c r="U104" i="10"/>
  <c r="U105" i="10"/>
  <c r="U71" i="10"/>
  <c r="W79" i="10"/>
  <c r="W73" i="10"/>
  <c r="W71" i="10"/>
  <c r="W57" i="10"/>
  <c r="W34" i="10"/>
  <c r="W31" i="10"/>
  <c r="W27" i="10"/>
  <c r="W25" i="10"/>
  <c r="U97" i="10"/>
  <c r="W80" i="10"/>
  <c r="U53" i="10"/>
  <c r="W65" i="10"/>
  <c r="U65" i="10"/>
  <c r="U49" i="10"/>
  <c r="Y70" i="10"/>
  <c r="F2" i="10"/>
  <c r="G2" i="10" s="1"/>
  <c r="F21" i="10"/>
  <c r="G21" i="10" s="1"/>
  <c r="F20" i="10"/>
  <c r="G20" i="10" s="1"/>
  <c r="P87" i="10" s="1"/>
  <c r="F19" i="10"/>
  <c r="G19" i="10" s="1"/>
  <c r="F18" i="10"/>
  <c r="G18" i="10" s="1"/>
  <c r="P93" i="10" s="1"/>
  <c r="F17" i="10"/>
  <c r="G17" i="10" s="1"/>
  <c r="F16" i="10"/>
  <c r="G16" i="10" s="1"/>
  <c r="F15" i="10"/>
  <c r="G15" i="10" s="1"/>
  <c r="J106" i="10" s="1"/>
  <c r="V106" i="10" s="1"/>
  <c r="F14" i="10"/>
  <c r="G14" i="10" s="1"/>
  <c r="F13" i="10"/>
  <c r="G13" i="10" s="1"/>
  <c r="F12" i="10"/>
  <c r="G12" i="10" s="1"/>
  <c r="F11" i="10"/>
  <c r="G11" i="10" s="1"/>
  <c r="F10" i="10"/>
  <c r="G10" i="10" s="1"/>
  <c r="J36" i="10" s="1"/>
  <c r="F9" i="10"/>
  <c r="G9" i="10" s="1"/>
  <c r="F8" i="10"/>
  <c r="G8" i="10" s="1"/>
  <c r="P84" i="10" s="1"/>
  <c r="F7" i="10"/>
  <c r="G7" i="10" s="1"/>
  <c r="F6" i="10"/>
  <c r="G6" i="10" s="1"/>
  <c r="F5" i="10"/>
  <c r="G5" i="10" s="1"/>
  <c r="P51" i="10" s="1"/>
  <c r="F4" i="10"/>
  <c r="G4" i="10" s="1"/>
  <c r="F3" i="10"/>
  <c r="G3" i="10" s="1"/>
  <c r="F23" i="10"/>
  <c r="G23" i="10" s="1"/>
  <c r="F24" i="10"/>
  <c r="G24" i="10" s="1"/>
  <c r="P70" i="10" s="1"/>
  <c r="Z70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J65" i="10" s="1"/>
  <c r="V65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M61" i="10" s="1"/>
  <c r="X61" i="10" s="1"/>
  <c r="H61" i="10" s="1"/>
  <c r="F40" i="10"/>
  <c r="G40" i="10" s="1"/>
  <c r="F41" i="10"/>
  <c r="G41" i="10" s="1"/>
  <c r="M65" i="10" s="1"/>
  <c r="X65" i="10" s="1"/>
  <c r="F42" i="10"/>
  <c r="G42" i="10" s="1"/>
  <c r="M64" i="10" s="1"/>
  <c r="X64" i="10" s="1"/>
  <c r="F43" i="10"/>
  <c r="G43" i="10" s="1"/>
  <c r="M66" i="10" s="1"/>
  <c r="X66" i="10" s="1"/>
  <c r="H66" i="10" s="1"/>
  <c r="F44" i="10"/>
  <c r="G44" i="10" s="1"/>
  <c r="F45" i="10"/>
  <c r="G45" i="10" s="1"/>
  <c r="F46" i="10"/>
  <c r="G46" i="10" s="1"/>
  <c r="J53" i="10" s="1"/>
  <c r="V53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M76" i="10" s="1"/>
  <c r="X76" i="10" s="1"/>
  <c r="F55" i="10"/>
  <c r="G55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M91" i="10" s="1"/>
  <c r="X91" i="10" s="1"/>
  <c r="H91" i="10" s="1"/>
  <c r="F63" i="10"/>
  <c r="G63" i="10" s="1"/>
  <c r="M80" i="10" s="1"/>
  <c r="X80" i="10" s="1"/>
  <c r="F64" i="10"/>
  <c r="G64" i="10" s="1"/>
  <c r="F65" i="10"/>
  <c r="G65" i="10" s="1"/>
  <c r="F66" i="10"/>
  <c r="G66" i="10" s="1"/>
  <c r="F67" i="10"/>
  <c r="G67" i="10" s="1"/>
  <c r="J73" i="10" s="1"/>
  <c r="V73" i="10" s="1"/>
  <c r="F68" i="10"/>
  <c r="G68" i="10" s="1"/>
  <c r="F69" i="10"/>
  <c r="G69" i="10" s="1"/>
  <c r="F70" i="10"/>
  <c r="G70" i="10" s="1"/>
  <c r="F71" i="10"/>
  <c r="G71" i="10" s="1"/>
  <c r="F72" i="10"/>
  <c r="G72" i="10" s="1"/>
  <c r="F73" i="10"/>
  <c r="G73" i="10" s="1"/>
  <c r="M99" i="10" s="1"/>
  <c r="X99" i="10" s="1"/>
  <c r="F74" i="10"/>
  <c r="G74" i="10" s="1"/>
  <c r="F75" i="10"/>
  <c r="G75" i="10" s="1"/>
  <c r="F76" i="10"/>
  <c r="G76" i="10" s="1"/>
  <c r="F77" i="10"/>
  <c r="G77" i="10" s="1"/>
  <c r="F78" i="10"/>
  <c r="G78" i="10" s="1"/>
  <c r="M82" i="10" s="1"/>
  <c r="X82" i="10" s="1"/>
  <c r="F79" i="10"/>
  <c r="G79" i="10" s="1"/>
  <c r="F80" i="10"/>
  <c r="G80" i="10" s="1"/>
  <c r="F81" i="10"/>
  <c r="G81" i="10" s="1"/>
  <c r="F82" i="10"/>
  <c r="G82" i="10" s="1"/>
  <c r="F83" i="10"/>
  <c r="G83" i="10" s="1"/>
  <c r="F84" i="10"/>
  <c r="G84" i="10" s="1"/>
  <c r="F85" i="10"/>
  <c r="G85" i="10" s="1"/>
  <c r="F86" i="10"/>
  <c r="G86" i="10" s="1"/>
  <c r="J97" i="10" s="1"/>
  <c r="V97" i="10" s="1"/>
  <c r="F87" i="10"/>
  <c r="G87" i="10" s="1"/>
  <c r="F88" i="10"/>
  <c r="G88" i="10" s="1"/>
  <c r="F89" i="10"/>
  <c r="G89" i="10" s="1"/>
  <c r="F90" i="10"/>
  <c r="G90" i="10" s="1"/>
  <c r="M97" i="10" s="1"/>
  <c r="X97" i="10" s="1"/>
  <c r="F91" i="10"/>
  <c r="G91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J99" i="10" s="1"/>
  <c r="V99" i="10" s="1"/>
  <c r="F98" i="10"/>
  <c r="G98" i="10" s="1"/>
  <c r="F99" i="10"/>
  <c r="G99" i="10" s="1"/>
  <c r="F100" i="10"/>
  <c r="G100" i="10" s="1"/>
  <c r="F101" i="10"/>
  <c r="G101" i="10" s="1"/>
  <c r="F102" i="10"/>
  <c r="G102" i="10" s="1"/>
  <c r="F103" i="10"/>
  <c r="G103" i="10" s="1"/>
  <c r="P92" i="10" s="1"/>
  <c r="Z92" i="10" s="1"/>
  <c r="F104" i="10"/>
  <c r="G104" i="10" s="1"/>
  <c r="P96" i="10" s="1"/>
  <c r="Z96" i="10" s="1"/>
  <c r="F105" i="10"/>
  <c r="G105" i="10" s="1"/>
  <c r="F106" i="10"/>
  <c r="G106" i="10" s="1"/>
  <c r="F22" i="10"/>
  <c r="G22" i="10" s="1"/>
  <c r="J25" i="10" s="1"/>
  <c r="V25" i="10" s="1"/>
  <c r="U81" i="10" l="1"/>
  <c r="U92" i="10"/>
  <c r="U98" i="10"/>
  <c r="U85" i="10"/>
  <c r="U69" i="10"/>
  <c r="U93" i="10"/>
  <c r="U94" i="10"/>
  <c r="H97" i="10"/>
  <c r="U99" i="10" s="1"/>
  <c r="P56" i="10"/>
  <c r="M85" i="10"/>
  <c r="X85" i="10" s="1"/>
  <c r="M69" i="10"/>
  <c r="X69" i="10" s="1"/>
  <c r="J32" i="10"/>
  <c r="M54" i="10"/>
  <c r="J55" i="10"/>
  <c r="M59" i="10"/>
  <c r="J93" i="10"/>
  <c r="V93" i="10" s="1"/>
  <c r="J94" i="10"/>
  <c r="V94" i="10" s="1"/>
  <c r="J80" i="10"/>
  <c r="V80" i="10" s="1"/>
  <c r="J49" i="10"/>
  <c r="V49" i="10" s="1"/>
  <c r="J60" i="10"/>
  <c r="V60" i="10" s="1"/>
  <c r="M47" i="10"/>
  <c r="J30" i="10"/>
  <c r="J29" i="10"/>
  <c r="M95" i="10"/>
  <c r="J48" i="10"/>
  <c r="P59" i="10"/>
  <c r="Z59" i="10" s="1"/>
  <c r="M96" i="10"/>
  <c r="X96" i="10" s="1"/>
  <c r="J88" i="10"/>
  <c r="V88" i="10" s="1"/>
  <c r="J70" i="10"/>
  <c r="V70" i="10" s="1"/>
  <c r="J34" i="10"/>
  <c r="V34" i="10" s="1"/>
  <c r="J76" i="10"/>
  <c r="V76" i="10" s="1"/>
  <c r="J52" i="10"/>
  <c r="V52" i="10" s="1"/>
  <c r="J33" i="10"/>
  <c r="J35" i="10"/>
  <c r="J56" i="10"/>
  <c r="J58" i="10"/>
  <c r="J59" i="10"/>
  <c r="J68" i="10"/>
  <c r="M43" i="10"/>
  <c r="J66" i="10"/>
  <c r="S81" i="10"/>
  <c r="M58" i="10"/>
  <c r="J28" i="10"/>
  <c r="J87" i="10"/>
  <c r="V87" i="10" s="1"/>
  <c r="J96" i="10"/>
  <c r="V96" i="10" s="1"/>
  <c r="J81" i="10"/>
  <c r="V81" i="10" s="1"/>
  <c r="J92" i="10"/>
  <c r="V92" i="10" s="1"/>
  <c r="M84" i="10"/>
  <c r="X84" i="10" s="1"/>
  <c r="M92" i="10"/>
  <c r="X92" i="10" s="1"/>
  <c r="P73" i="10"/>
  <c r="Z73" i="10" s="1"/>
  <c r="M87" i="10"/>
  <c r="X87" i="10" s="1"/>
  <c r="M98" i="10"/>
  <c r="X98" i="10" s="1"/>
  <c r="P95" i="10"/>
  <c r="Z95" i="10" s="1"/>
  <c r="P72" i="10"/>
  <c r="Z72" i="10" s="1"/>
  <c r="M94" i="10"/>
  <c r="X94" i="10" s="1"/>
  <c r="M93" i="10"/>
  <c r="X93" i="10" s="1"/>
  <c r="J57" i="10"/>
  <c r="V57" i="10" s="1"/>
  <c r="M60" i="10"/>
  <c r="X60" i="10" s="1"/>
  <c r="M81" i="10"/>
  <c r="X81" i="10" s="1"/>
  <c r="P58" i="10"/>
  <c r="Z58" i="10" s="1"/>
  <c r="M89" i="10"/>
  <c r="X89" i="10" s="1"/>
  <c r="J64" i="10"/>
  <c r="V64" i="10" s="1"/>
  <c r="J27" i="10"/>
  <c r="V27" i="10" s="1"/>
  <c r="J51" i="10"/>
  <c r="V51" i="10" s="1"/>
  <c r="J63" i="10"/>
  <c r="J71" i="10"/>
  <c r="V71" i="10" s="1"/>
  <c r="H71" i="10" s="1"/>
  <c r="W94" i="10" s="1"/>
  <c r="M72" i="10"/>
  <c r="M62" i="10"/>
  <c r="J91" i="10"/>
  <c r="P69" i="10"/>
  <c r="Z69" i="10" s="1"/>
  <c r="M49" i="10"/>
  <c r="X49" i="10" s="1"/>
  <c r="J67" i="10"/>
  <c r="J46" i="10"/>
  <c r="M56" i="10"/>
  <c r="J22" i="10"/>
  <c r="M39" i="10"/>
  <c r="S69" i="10"/>
  <c r="J61" i="10"/>
  <c r="P106" i="10"/>
  <c r="Z106" i="10" s="1"/>
  <c r="P98" i="10"/>
  <c r="Z98" i="10" s="1"/>
  <c r="J38" i="10"/>
  <c r="J37" i="10"/>
  <c r="J23" i="10"/>
  <c r="J24" i="10"/>
  <c r="M42" i="10"/>
  <c r="S70" i="10"/>
  <c r="J75" i="10"/>
  <c r="M68" i="10"/>
  <c r="S105" i="10"/>
  <c r="AB105" i="10" s="1"/>
  <c r="P89" i="10"/>
  <c r="Z89" i="10" s="1"/>
  <c r="S103" i="10"/>
  <c r="AB103" i="10" s="1"/>
  <c r="J74" i="10"/>
  <c r="V74" i="10" s="1"/>
  <c r="J82" i="10"/>
  <c r="V82" i="10" s="1"/>
  <c r="J79" i="10"/>
  <c r="V79" i="10" s="1"/>
  <c r="J98" i="10"/>
  <c r="V98" i="10" s="1"/>
  <c r="J85" i="10"/>
  <c r="V85" i="10" s="1"/>
  <c r="J69" i="10"/>
  <c r="V69" i="10" s="1"/>
  <c r="M57" i="10"/>
  <c r="M25" i="10"/>
  <c r="M73" i="10"/>
  <c r="M71" i="10"/>
  <c r="M34" i="10"/>
  <c r="M31" i="10"/>
  <c r="M79" i="10"/>
  <c r="M27" i="10"/>
  <c r="J40" i="10"/>
  <c r="J41" i="10"/>
  <c r="J83" i="10"/>
  <c r="J77" i="10"/>
  <c r="M78" i="10"/>
  <c r="P68" i="10"/>
  <c r="Z68" i="10" s="1"/>
  <c r="M88" i="10"/>
  <c r="X88" i="10" s="1"/>
  <c r="M70" i="10"/>
  <c r="X70" i="10" s="1"/>
  <c r="P99" i="10"/>
  <c r="Z99" i="10" s="1"/>
  <c r="P94" i="10"/>
  <c r="Z94" i="10" s="1"/>
  <c r="P105" i="10"/>
  <c r="Z105" i="10" s="1"/>
  <c r="P104" i="10"/>
  <c r="Z104" i="10" s="1"/>
  <c r="P88" i="10"/>
  <c r="Z88" i="10" s="1"/>
  <c r="S106" i="10"/>
  <c r="AB106" i="10" s="1"/>
  <c r="S104" i="10"/>
  <c r="AB104" i="10" s="1"/>
  <c r="P85" i="10"/>
  <c r="Z85" i="10" s="1"/>
  <c r="P103" i="10"/>
  <c r="Z103" i="10" s="1"/>
  <c r="J89" i="10"/>
  <c r="V89" i="10" s="1"/>
  <c r="J84" i="10"/>
  <c r="V84" i="10" s="1"/>
  <c r="M74" i="10"/>
  <c r="X74" i="10" s="1"/>
  <c r="M53" i="10"/>
  <c r="X53" i="10" s="1"/>
  <c r="M52" i="10"/>
  <c r="X52" i="10" s="1"/>
  <c r="P65" i="10"/>
  <c r="Z65" i="10" s="1"/>
  <c r="M51" i="10"/>
  <c r="X51" i="10" s="1"/>
  <c r="M50" i="10"/>
  <c r="X50" i="10" s="1"/>
  <c r="J31" i="10"/>
  <c r="V31" i="10" s="1"/>
  <c r="P81" i="10"/>
  <c r="Z81" i="10" s="1"/>
  <c r="J39" i="10"/>
  <c r="J47" i="10"/>
  <c r="J105" i="10"/>
  <c r="V105" i="10" s="1"/>
  <c r="P53" i="10"/>
  <c r="P52" i="10"/>
  <c r="J90" i="10"/>
  <c r="J104" i="10"/>
  <c r="V104" i="10" s="1"/>
  <c r="J26" i="10"/>
  <c r="J42" i="10"/>
  <c r="J50" i="10"/>
  <c r="J100" i="10"/>
  <c r="V100" i="10" s="1"/>
  <c r="H100" i="10" s="1"/>
  <c r="Y85" i="10" s="1"/>
  <c r="J54" i="10"/>
  <c r="J43" i="10"/>
  <c r="J101" i="10"/>
  <c r="V101" i="10" s="1"/>
  <c r="H101" i="10" s="1"/>
  <c r="J102" i="10"/>
  <c r="V102" i="10" s="1"/>
  <c r="H102" i="10" s="1"/>
  <c r="J78" i="10"/>
  <c r="J103" i="10"/>
  <c r="V103" i="10" s="1"/>
  <c r="J62" i="10"/>
  <c r="J44" i="10"/>
  <c r="J45" i="10"/>
  <c r="M90" i="10"/>
  <c r="J86" i="10"/>
  <c r="Y65" i="10"/>
  <c r="W52" i="10"/>
  <c r="W53" i="10"/>
  <c r="W74" i="10"/>
  <c r="W51" i="10"/>
  <c r="W50" i="10"/>
  <c r="U80" i="10"/>
  <c r="H80" i="10" s="1"/>
  <c r="U60" i="10"/>
  <c r="Y69" i="10"/>
  <c r="U64" i="10"/>
  <c r="W60" i="10"/>
  <c r="U73" i="10"/>
  <c r="U76" i="10"/>
  <c r="U82" i="10"/>
  <c r="H76" i="10" l="1"/>
  <c r="U84" i="10" s="1"/>
  <c r="H64" i="10"/>
  <c r="U70" i="10" s="1"/>
  <c r="H82" i="10"/>
  <c r="H65" i="10"/>
  <c r="Y88" i="10"/>
  <c r="Y105" i="10"/>
  <c r="Y104" i="10"/>
  <c r="AA103" i="10"/>
  <c r="AA105" i="10"/>
  <c r="Y89" i="10"/>
  <c r="H53" i="10"/>
  <c r="Y103" i="10"/>
  <c r="AA106" i="10"/>
  <c r="AA104" i="10"/>
  <c r="H50" i="10"/>
  <c r="H60" i="10"/>
  <c r="U87" i="10"/>
  <c r="U96" i="10"/>
  <c r="Y72" i="10"/>
  <c r="H72" i="10" s="1"/>
  <c r="W93" i="10"/>
  <c r="H93" i="10" s="1"/>
  <c r="U31" i="10"/>
  <c r="Y81" i="10"/>
  <c r="U57" i="10"/>
  <c r="H57" i="10" s="1"/>
  <c r="U25" i="10"/>
  <c r="H25" i="10" s="1"/>
  <c r="W49" i="10"/>
  <c r="H49" i="10" s="1"/>
  <c r="U27" i="10"/>
  <c r="U51" i="10"/>
  <c r="H51" i="10" s="1"/>
  <c r="U79" i="10"/>
  <c r="H79" i="10" s="1"/>
  <c r="Y73" i="10" s="1"/>
  <c r="U74" i="10"/>
  <c r="H74" i="10" s="1"/>
  <c r="U34" i="10"/>
  <c r="H34" i="10" s="1"/>
  <c r="U52" i="10"/>
  <c r="H52" i="10" s="1"/>
  <c r="U88" i="10" l="1"/>
  <c r="U89" i="10"/>
  <c r="H104" i="10"/>
  <c r="Y96" i="10" s="1"/>
  <c r="H103" i="10"/>
  <c r="Y92" i="10" s="1"/>
  <c r="H105" i="10"/>
  <c r="Y106" i="10" s="1"/>
  <c r="H106" i="10" s="1"/>
  <c r="H31" i="10"/>
  <c r="W89" i="10" s="1"/>
  <c r="H89" i="10" s="1"/>
  <c r="H27" i="10"/>
  <c r="W88" i="10" s="1"/>
  <c r="H88" i="10" s="1"/>
  <c r="W87" i="10"/>
  <c r="H87" i="10" s="1"/>
  <c r="W98" i="10"/>
  <c r="W84" i="10"/>
  <c r="H84" i="10" s="1"/>
  <c r="W92" i="10"/>
  <c r="Y59" i="10"/>
  <c r="H59" i="10" s="1"/>
  <c r="W96" i="10"/>
  <c r="W81" i="10"/>
  <c r="H81" i="10" s="1"/>
  <c r="Y95" i="10"/>
  <c r="H95" i="10" s="1"/>
  <c r="Y58" i="10" l="1"/>
  <c r="H58" i="10" s="1"/>
  <c r="Y68" i="10"/>
  <c r="H68" i="10" s="1"/>
  <c r="W70" i="10"/>
  <c r="H70" i="10" s="1"/>
  <c r="H96" i="10"/>
  <c r="Y98" i="10"/>
  <c r="H98" i="10" s="1"/>
  <c r="H92" i="10"/>
  <c r="H73" i="10"/>
  <c r="W99" i="10" s="1"/>
  <c r="Y94" i="10"/>
  <c r="H94" i="10" s="1"/>
  <c r="Y99" i="10"/>
  <c r="H99" i="10" l="1"/>
  <c r="J3" i="7" l="1"/>
  <c r="J4" i="7"/>
  <c r="K4" i="7" s="1"/>
  <c r="L4" i="7" s="1"/>
  <c r="J5" i="7"/>
  <c r="K5" i="7" s="1"/>
  <c r="L5" i="7" s="1"/>
  <c r="J6" i="7"/>
  <c r="K6" i="7" s="1"/>
  <c r="L6" i="7" s="1"/>
  <c r="J7" i="7"/>
  <c r="K7" i="7" s="1"/>
  <c r="L7" i="7" s="1"/>
  <c r="J8" i="7"/>
  <c r="K8" i="7" s="1"/>
  <c r="L8" i="7" s="1"/>
  <c r="J9" i="7"/>
  <c r="K9" i="7" s="1"/>
  <c r="L9" i="7" s="1"/>
  <c r="J10" i="7"/>
  <c r="K10" i="7" s="1"/>
  <c r="L10" i="7" s="1"/>
  <c r="J11" i="7"/>
  <c r="K11" i="7" s="1"/>
  <c r="L11" i="7" s="1"/>
  <c r="J12" i="7"/>
  <c r="K12" i="7" s="1"/>
  <c r="L12" i="7" s="1"/>
  <c r="J13" i="7"/>
  <c r="K13" i="7" s="1"/>
  <c r="L13" i="7" s="1"/>
  <c r="J14" i="7"/>
  <c r="K14" i="7" s="1"/>
  <c r="L14" i="7" s="1"/>
  <c r="J15" i="7"/>
  <c r="K15" i="7" s="1"/>
  <c r="L15" i="7" s="1"/>
  <c r="J16" i="7"/>
  <c r="K16" i="7" s="1"/>
  <c r="L16" i="7" s="1"/>
  <c r="J17" i="7"/>
  <c r="K17" i="7" s="1"/>
  <c r="L17" i="7" s="1"/>
  <c r="J18" i="7"/>
  <c r="K18" i="7" s="1"/>
  <c r="L18" i="7" s="1"/>
  <c r="J19" i="7"/>
  <c r="K19" i="7" s="1"/>
  <c r="L19" i="7" s="1"/>
  <c r="J20" i="7"/>
  <c r="K20" i="7" s="1"/>
  <c r="L20" i="7" s="1"/>
  <c r="J21" i="7"/>
  <c r="K21" i="7" s="1"/>
  <c r="L21" i="7" s="1"/>
  <c r="J22" i="7"/>
  <c r="K22" i="7" s="1"/>
  <c r="L22" i="7" s="1"/>
  <c r="J23" i="7"/>
  <c r="K23" i="7" s="1"/>
  <c r="L23" i="7" s="1"/>
  <c r="J24" i="7"/>
  <c r="K24" i="7" s="1"/>
  <c r="L24" i="7" s="1"/>
  <c r="J25" i="7"/>
  <c r="K25" i="7" s="1"/>
  <c r="L25" i="7" s="1"/>
  <c r="J26" i="7"/>
  <c r="K26" i="7" s="1"/>
  <c r="L26" i="7" s="1"/>
  <c r="J27" i="7"/>
  <c r="K27" i="7" s="1"/>
  <c r="L27" i="7" s="1"/>
  <c r="J28" i="7"/>
  <c r="K28" i="7" s="1"/>
  <c r="L28" i="7" s="1"/>
  <c r="J29" i="7"/>
  <c r="K29" i="7" s="1"/>
  <c r="L29" i="7" s="1"/>
  <c r="J30" i="7"/>
  <c r="K30" i="7" s="1"/>
  <c r="L30" i="7" s="1"/>
  <c r="J31" i="7"/>
  <c r="K31" i="7" s="1"/>
  <c r="L31" i="7" s="1"/>
  <c r="J32" i="7"/>
  <c r="K32" i="7" s="1"/>
  <c r="L32" i="7" s="1"/>
  <c r="J33" i="7"/>
  <c r="K33" i="7" s="1"/>
  <c r="L33" i="7" s="1"/>
  <c r="J34" i="7"/>
  <c r="K34" i="7" s="1"/>
  <c r="L34" i="7" s="1"/>
  <c r="J35" i="7"/>
  <c r="K35" i="7" s="1"/>
  <c r="L35" i="7" s="1"/>
  <c r="J36" i="7"/>
  <c r="K36" i="7" s="1"/>
  <c r="L36" i="7" s="1"/>
  <c r="J37" i="7"/>
  <c r="K37" i="7" s="1"/>
  <c r="L37" i="7" s="1"/>
  <c r="J38" i="7"/>
  <c r="K38" i="7" s="1"/>
  <c r="L38" i="7" s="1"/>
  <c r="J39" i="7"/>
  <c r="K39" i="7" s="1"/>
  <c r="L39" i="7" s="1"/>
  <c r="J40" i="7"/>
  <c r="K40" i="7" s="1"/>
  <c r="L40" i="7" s="1"/>
  <c r="J41" i="7"/>
  <c r="K41" i="7" s="1"/>
  <c r="L41" i="7" s="1"/>
  <c r="J42" i="7"/>
  <c r="K42" i="7" s="1"/>
  <c r="L42" i="7" s="1"/>
  <c r="J43" i="7"/>
  <c r="K43" i="7" s="1"/>
  <c r="L43" i="7" s="1"/>
  <c r="J44" i="7"/>
  <c r="K44" i="7" s="1"/>
  <c r="L44" i="7" s="1"/>
  <c r="J45" i="7"/>
  <c r="K45" i="7" s="1"/>
  <c r="L45" i="7" s="1"/>
  <c r="J46" i="7"/>
  <c r="K46" i="7" s="1"/>
  <c r="L46" i="7" s="1"/>
  <c r="J47" i="7"/>
  <c r="K47" i="7" s="1"/>
  <c r="L47" i="7" s="1"/>
  <c r="J48" i="7"/>
  <c r="K48" i="7" s="1"/>
  <c r="L48" i="7" s="1"/>
  <c r="J49" i="7"/>
  <c r="K49" i="7" s="1"/>
  <c r="L49" i="7" s="1"/>
  <c r="J50" i="7"/>
  <c r="K50" i="7" s="1"/>
  <c r="L50" i="7" s="1"/>
  <c r="J51" i="7"/>
  <c r="K51" i="7" s="1"/>
  <c r="L51" i="7" s="1"/>
  <c r="J52" i="7"/>
  <c r="K52" i="7" s="1"/>
  <c r="L52" i="7" s="1"/>
  <c r="J53" i="7"/>
  <c r="K53" i="7" s="1"/>
  <c r="L53" i="7" s="1"/>
  <c r="J54" i="7"/>
  <c r="K54" i="7" s="1"/>
  <c r="L54" i="7" s="1"/>
  <c r="J55" i="7"/>
  <c r="K55" i="7" s="1"/>
  <c r="L55" i="7" s="1"/>
  <c r="J56" i="7"/>
  <c r="K56" i="7" s="1"/>
  <c r="L56" i="7" s="1"/>
  <c r="J57" i="7"/>
  <c r="K57" i="7" s="1"/>
  <c r="L57" i="7" s="1"/>
  <c r="J58" i="7"/>
  <c r="K58" i="7" s="1"/>
  <c r="L58" i="7" s="1"/>
  <c r="J59" i="7"/>
  <c r="K59" i="7" s="1"/>
  <c r="L59" i="7" s="1"/>
  <c r="J60" i="7"/>
  <c r="K60" i="7" s="1"/>
  <c r="L60" i="7" s="1"/>
  <c r="J61" i="7"/>
  <c r="K61" i="7" s="1"/>
  <c r="L61" i="7" s="1"/>
  <c r="J62" i="7"/>
  <c r="K62" i="7" s="1"/>
  <c r="L62" i="7" s="1"/>
  <c r="J63" i="7"/>
  <c r="K63" i="7" s="1"/>
  <c r="L63" i="7" s="1"/>
  <c r="J64" i="7"/>
  <c r="K64" i="7" s="1"/>
  <c r="L64" i="7" s="1"/>
  <c r="J65" i="7"/>
  <c r="K65" i="7" s="1"/>
  <c r="L65" i="7" s="1"/>
  <c r="J66" i="7"/>
  <c r="K66" i="7" s="1"/>
  <c r="L66" i="7"/>
  <c r="J67" i="7"/>
  <c r="K67" i="7" s="1"/>
  <c r="L67" i="7" s="1"/>
  <c r="J68" i="7"/>
  <c r="K68" i="7" s="1"/>
  <c r="L68" i="7" s="1"/>
  <c r="J69" i="7"/>
  <c r="K69" i="7" s="1"/>
  <c r="L69" i="7" s="1"/>
  <c r="J70" i="7"/>
  <c r="K70" i="7" s="1"/>
  <c r="L70" i="7" s="1"/>
  <c r="J71" i="7"/>
  <c r="K71" i="7" s="1"/>
  <c r="L71" i="7" s="1"/>
  <c r="J72" i="7"/>
  <c r="K72" i="7" s="1"/>
  <c r="L72" i="7" s="1"/>
  <c r="J73" i="7"/>
  <c r="K73" i="7" s="1"/>
  <c r="L73" i="7" s="1"/>
  <c r="J74" i="7"/>
  <c r="K74" i="7" s="1"/>
  <c r="L74" i="7" s="1"/>
  <c r="J75" i="7"/>
  <c r="K75" i="7" s="1"/>
  <c r="L75" i="7" s="1"/>
  <c r="J76" i="7"/>
  <c r="K76" i="7" s="1"/>
  <c r="L76" i="7" s="1"/>
  <c r="J77" i="7"/>
  <c r="K77" i="7" s="1"/>
  <c r="L77" i="7" s="1"/>
  <c r="J78" i="7"/>
  <c r="K78" i="7" s="1"/>
  <c r="L78" i="7" s="1"/>
  <c r="J79" i="7"/>
  <c r="K79" i="7" s="1"/>
  <c r="L79" i="7" s="1"/>
  <c r="J80" i="7"/>
  <c r="K80" i="7" s="1"/>
  <c r="L80" i="7" s="1"/>
  <c r="J81" i="7"/>
  <c r="K81" i="7" s="1"/>
  <c r="L81" i="7" s="1"/>
  <c r="J82" i="7"/>
  <c r="K82" i="7" s="1"/>
  <c r="L82" i="7" s="1"/>
  <c r="J83" i="7"/>
  <c r="K83" i="7" s="1"/>
  <c r="L83" i="7" s="1"/>
  <c r="J84" i="7"/>
  <c r="K84" i="7" s="1"/>
  <c r="L84" i="7" s="1"/>
  <c r="J85" i="7"/>
  <c r="K85" i="7" s="1"/>
  <c r="L85" i="7" s="1"/>
  <c r="J86" i="7"/>
  <c r="K86" i="7" s="1"/>
  <c r="L86" i="7" s="1"/>
  <c r="J87" i="7"/>
  <c r="K87" i="7" s="1"/>
  <c r="L87" i="7" s="1"/>
  <c r="J88" i="7"/>
  <c r="K88" i="7" s="1"/>
  <c r="L88" i="7" s="1"/>
  <c r="J89" i="7"/>
  <c r="K89" i="7" s="1"/>
  <c r="L89" i="7" s="1"/>
  <c r="J90" i="7"/>
  <c r="K90" i="7" s="1"/>
  <c r="L90" i="7" s="1"/>
  <c r="J91" i="7"/>
  <c r="K91" i="7" s="1"/>
  <c r="L91" i="7" s="1"/>
  <c r="J92" i="7"/>
  <c r="K92" i="7" s="1"/>
  <c r="L92" i="7" s="1"/>
  <c r="J93" i="7"/>
  <c r="K93" i="7" s="1"/>
  <c r="L93" i="7" s="1"/>
  <c r="J94" i="7"/>
  <c r="K94" i="7" s="1"/>
  <c r="L94" i="7" s="1"/>
  <c r="J109" i="7"/>
  <c r="K109" i="7" s="1"/>
  <c r="L109" i="7" s="1"/>
  <c r="J117" i="7"/>
  <c r="K117" i="7" s="1"/>
  <c r="L117" i="7" s="1"/>
  <c r="J125" i="7"/>
  <c r="K125" i="7" s="1"/>
  <c r="L125" i="7" s="1"/>
  <c r="J133" i="7"/>
  <c r="K133" i="7" s="1"/>
  <c r="L133" i="7" s="1"/>
  <c r="J149" i="7"/>
  <c r="K149" i="7" s="1"/>
  <c r="L149" i="7" s="1"/>
  <c r="J157" i="7"/>
  <c r="K157" i="7" s="1"/>
  <c r="L157" i="7" s="1"/>
  <c r="J165" i="7"/>
  <c r="K165" i="7" s="1"/>
  <c r="L165" i="7" s="1"/>
  <c r="J173" i="7"/>
  <c r="K173" i="7" s="1"/>
  <c r="L173" i="7" s="1"/>
  <c r="J181" i="7"/>
  <c r="K181" i="7" s="1"/>
  <c r="L181" i="7" s="1"/>
  <c r="J189" i="7"/>
  <c r="K189" i="7" s="1"/>
  <c r="L189" i="7" s="1"/>
  <c r="J197" i="7"/>
  <c r="K197" i="7" s="1"/>
  <c r="L197" i="7" s="1"/>
  <c r="J95" i="7"/>
  <c r="K95" i="7" s="1"/>
  <c r="L95" i="7" s="1"/>
  <c r="J96" i="7"/>
  <c r="K96" i="7" s="1"/>
  <c r="L96" i="7" s="1"/>
  <c r="J97" i="7"/>
  <c r="K97" i="7" s="1"/>
  <c r="L97" i="7" s="1"/>
  <c r="J98" i="7"/>
  <c r="K98" i="7" s="1"/>
  <c r="L98" i="7" s="1"/>
  <c r="J99" i="7"/>
  <c r="K99" i="7" s="1"/>
  <c r="L99" i="7" s="1"/>
  <c r="J100" i="7"/>
  <c r="K100" i="7" s="1"/>
  <c r="L100" i="7" s="1"/>
  <c r="J101" i="7"/>
  <c r="K101" i="7" s="1"/>
  <c r="L101" i="7" s="1"/>
  <c r="J102" i="7"/>
  <c r="K102" i="7" s="1"/>
  <c r="L102" i="7" s="1"/>
  <c r="J103" i="7"/>
  <c r="K103" i="7" s="1"/>
  <c r="L103" i="7" s="1"/>
  <c r="J104" i="7"/>
  <c r="K104" i="7" s="1"/>
  <c r="L104" i="7" s="1"/>
  <c r="J105" i="7"/>
  <c r="K105" i="7" s="1"/>
  <c r="L105" i="7" s="1"/>
  <c r="J106" i="7"/>
  <c r="K106" i="7" s="1"/>
  <c r="L106" i="7" s="1"/>
  <c r="J107" i="7"/>
  <c r="K107" i="7" s="1"/>
  <c r="L107" i="7" s="1"/>
  <c r="J108" i="7"/>
  <c r="K108" i="7" s="1"/>
  <c r="L108" i="7" s="1"/>
  <c r="J110" i="7"/>
  <c r="K110" i="7" s="1"/>
  <c r="L110" i="7" s="1"/>
  <c r="J111" i="7"/>
  <c r="K111" i="7" s="1"/>
  <c r="L111" i="7" s="1"/>
  <c r="J112" i="7"/>
  <c r="K112" i="7" s="1"/>
  <c r="L112" i="7" s="1"/>
  <c r="J113" i="7"/>
  <c r="K113" i="7" s="1"/>
  <c r="L113" i="7" s="1"/>
  <c r="J114" i="7"/>
  <c r="K114" i="7" s="1"/>
  <c r="L114" i="7" s="1"/>
  <c r="J115" i="7"/>
  <c r="K115" i="7" s="1"/>
  <c r="L115" i="7" s="1"/>
  <c r="J116" i="7"/>
  <c r="K116" i="7" s="1"/>
  <c r="L116" i="7" s="1"/>
  <c r="J118" i="7"/>
  <c r="K118" i="7" s="1"/>
  <c r="L118" i="7" s="1"/>
  <c r="J119" i="7"/>
  <c r="K119" i="7" s="1"/>
  <c r="L119" i="7" s="1"/>
  <c r="J120" i="7"/>
  <c r="K120" i="7" s="1"/>
  <c r="L120" i="7" s="1"/>
  <c r="J121" i="7"/>
  <c r="K121" i="7" s="1"/>
  <c r="L121" i="7" s="1"/>
  <c r="J122" i="7"/>
  <c r="K122" i="7" s="1"/>
  <c r="L122" i="7" s="1"/>
  <c r="J123" i="7"/>
  <c r="K123" i="7" s="1"/>
  <c r="L123" i="7" s="1"/>
  <c r="J124" i="7"/>
  <c r="K124" i="7" s="1"/>
  <c r="L124" i="7" s="1"/>
  <c r="J126" i="7"/>
  <c r="K126" i="7" s="1"/>
  <c r="L126" i="7" s="1"/>
  <c r="J127" i="7"/>
  <c r="K127" i="7" s="1"/>
  <c r="L127" i="7" s="1"/>
  <c r="J128" i="7"/>
  <c r="K128" i="7" s="1"/>
  <c r="L128" i="7" s="1"/>
  <c r="J129" i="7"/>
  <c r="K129" i="7" s="1"/>
  <c r="L129" i="7" s="1"/>
  <c r="J130" i="7"/>
  <c r="K130" i="7" s="1"/>
  <c r="L130" i="7" s="1"/>
  <c r="J131" i="7"/>
  <c r="K131" i="7" s="1"/>
  <c r="L131" i="7" s="1"/>
  <c r="J132" i="7"/>
  <c r="K132" i="7" s="1"/>
  <c r="L132" i="7" s="1"/>
  <c r="J134" i="7"/>
  <c r="K134" i="7" s="1"/>
  <c r="L134" i="7" s="1"/>
  <c r="J135" i="7"/>
  <c r="K135" i="7" s="1"/>
  <c r="L135" i="7" s="1"/>
  <c r="J136" i="7"/>
  <c r="K136" i="7" s="1"/>
  <c r="L136" i="7" s="1"/>
  <c r="J137" i="7"/>
  <c r="K137" i="7" s="1"/>
  <c r="L137" i="7" s="1"/>
  <c r="J138" i="7"/>
  <c r="K138" i="7" s="1"/>
  <c r="L138" i="7" s="1"/>
  <c r="J139" i="7"/>
  <c r="K139" i="7" s="1"/>
  <c r="L139" i="7" s="1"/>
  <c r="J140" i="7"/>
  <c r="K140" i="7" s="1"/>
  <c r="L140" i="7" s="1"/>
  <c r="J141" i="7"/>
  <c r="K141" i="7" s="1"/>
  <c r="L141" i="7" s="1"/>
  <c r="J142" i="7"/>
  <c r="K142" i="7" s="1"/>
  <c r="L142" i="7" s="1"/>
  <c r="J143" i="7"/>
  <c r="K143" i="7" s="1"/>
  <c r="L143" i="7" s="1"/>
  <c r="J144" i="7"/>
  <c r="K144" i="7" s="1"/>
  <c r="L144" i="7" s="1"/>
  <c r="J145" i="7"/>
  <c r="K145" i="7" s="1"/>
  <c r="L145" i="7" s="1"/>
  <c r="J146" i="7"/>
  <c r="K146" i="7" s="1"/>
  <c r="L146" i="7" s="1"/>
  <c r="J147" i="7"/>
  <c r="K147" i="7" s="1"/>
  <c r="L147" i="7" s="1"/>
  <c r="J148" i="7"/>
  <c r="K148" i="7" s="1"/>
  <c r="L148" i="7" s="1"/>
  <c r="J150" i="7"/>
  <c r="K150" i="7" s="1"/>
  <c r="L150" i="7" s="1"/>
  <c r="J151" i="7"/>
  <c r="K151" i="7" s="1"/>
  <c r="L151" i="7" s="1"/>
  <c r="J152" i="7"/>
  <c r="K152" i="7" s="1"/>
  <c r="L152" i="7" s="1"/>
  <c r="J153" i="7"/>
  <c r="K153" i="7" s="1"/>
  <c r="L153" i="7" s="1"/>
  <c r="J154" i="7"/>
  <c r="K154" i="7" s="1"/>
  <c r="L154" i="7" s="1"/>
  <c r="J155" i="7"/>
  <c r="K155" i="7" s="1"/>
  <c r="L155" i="7" s="1"/>
  <c r="J156" i="7"/>
  <c r="K156" i="7" s="1"/>
  <c r="L156" i="7" s="1"/>
  <c r="J158" i="7"/>
  <c r="K158" i="7" s="1"/>
  <c r="L158" i="7" s="1"/>
  <c r="J159" i="7"/>
  <c r="K159" i="7" s="1"/>
  <c r="L159" i="7" s="1"/>
  <c r="J160" i="7"/>
  <c r="K160" i="7" s="1"/>
  <c r="L160" i="7" s="1"/>
  <c r="J161" i="7"/>
  <c r="K161" i="7" s="1"/>
  <c r="L161" i="7" s="1"/>
  <c r="J162" i="7"/>
  <c r="K162" i="7" s="1"/>
  <c r="L162" i="7" s="1"/>
  <c r="J163" i="7"/>
  <c r="K163" i="7" s="1"/>
  <c r="L163" i="7" s="1"/>
  <c r="J164" i="7"/>
  <c r="K164" i="7" s="1"/>
  <c r="L164" i="7" s="1"/>
  <c r="J166" i="7"/>
  <c r="K166" i="7" s="1"/>
  <c r="L166" i="7" s="1"/>
  <c r="J167" i="7"/>
  <c r="K167" i="7" s="1"/>
  <c r="L167" i="7" s="1"/>
  <c r="J168" i="7"/>
  <c r="K168" i="7" s="1"/>
  <c r="L168" i="7" s="1"/>
  <c r="J169" i="7"/>
  <c r="K169" i="7" s="1"/>
  <c r="L169" i="7" s="1"/>
  <c r="J170" i="7"/>
  <c r="K170" i="7" s="1"/>
  <c r="L170" i="7" s="1"/>
  <c r="J171" i="7"/>
  <c r="K171" i="7" s="1"/>
  <c r="L171" i="7" s="1"/>
  <c r="J172" i="7"/>
  <c r="K172" i="7" s="1"/>
  <c r="L172" i="7" s="1"/>
  <c r="J174" i="7"/>
  <c r="K174" i="7" s="1"/>
  <c r="L174" i="7" s="1"/>
  <c r="J175" i="7"/>
  <c r="K175" i="7" s="1"/>
  <c r="L175" i="7" s="1"/>
  <c r="J176" i="7"/>
  <c r="K176" i="7" s="1"/>
  <c r="L176" i="7" s="1"/>
  <c r="J177" i="7"/>
  <c r="K177" i="7" s="1"/>
  <c r="L177" i="7" s="1"/>
  <c r="J178" i="7"/>
  <c r="K178" i="7" s="1"/>
  <c r="L178" i="7" s="1"/>
  <c r="J179" i="7"/>
  <c r="K179" i="7" s="1"/>
  <c r="L179" i="7" s="1"/>
  <c r="J180" i="7"/>
  <c r="K180" i="7" s="1"/>
  <c r="L180" i="7" s="1"/>
  <c r="J182" i="7"/>
  <c r="K182" i="7" s="1"/>
  <c r="L182" i="7" s="1"/>
  <c r="J183" i="7"/>
  <c r="K183" i="7" s="1"/>
  <c r="L183" i="7" s="1"/>
  <c r="J184" i="7"/>
  <c r="K184" i="7" s="1"/>
  <c r="L184" i="7" s="1"/>
  <c r="J185" i="7"/>
  <c r="K185" i="7" s="1"/>
  <c r="L185" i="7" s="1"/>
  <c r="J186" i="7"/>
  <c r="K186" i="7" s="1"/>
  <c r="L186" i="7" s="1"/>
  <c r="J187" i="7"/>
  <c r="K187" i="7" s="1"/>
  <c r="L187" i="7" s="1"/>
  <c r="J188" i="7"/>
  <c r="K188" i="7" s="1"/>
  <c r="L188" i="7" s="1"/>
  <c r="J190" i="7"/>
  <c r="K190" i="7" s="1"/>
  <c r="L190" i="7" s="1"/>
  <c r="J191" i="7"/>
  <c r="K191" i="7" s="1"/>
  <c r="L191" i="7" s="1"/>
  <c r="J192" i="7"/>
  <c r="K192" i="7" s="1"/>
  <c r="L192" i="7" s="1"/>
  <c r="J193" i="7"/>
  <c r="K193" i="7" s="1"/>
  <c r="L193" i="7" s="1"/>
  <c r="J194" i="7"/>
  <c r="K194" i="7" s="1"/>
  <c r="L194" i="7" s="1"/>
  <c r="J195" i="7"/>
  <c r="K195" i="7" s="1"/>
  <c r="L195" i="7" s="1"/>
  <c r="J196" i="7"/>
  <c r="K196" i="7" s="1"/>
  <c r="L196" i="7" s="1"/>
  <c r="J198" i="7"/>
  <c r="K198" i="7" s="1"/>
  <c r="L198" i="7" s="1"/>
  <c r="J199" i="7"/>
  <c r="K199" i="7" s="1"/>
  <c r="L199" i="7" s="1"/>
  <c r="J200" i="7"/>
  <c r="K200" i="7" s="1"/>
  <c r="L200" i="7" s="1"/>
  <c r="J201" i="7"/>
  <c r="K201" i="7" s="1"/>
  <c r="L201" i="7" s="1"/>
  <c r="K3" i="7" l="1"/>
  <c r="L3" i="7" s="1"/>
  <c r="J202" i="7"/>
  <c r="L2" i="7"/>
  <c r="K81" i="9"/>
  <c r="I81" i="9" s="1"/>
  <c r="I110" i="9"/>
  <c r="I106" i="9"/>
  <c r="I105" i="9"/>
  <c r="K103" i="9"/>
  <c r="I103" i="9" s="1"/>
  <c r="K102" i="9"/>
  <c r="I99" i="9"/>
  <c r="I97" i="9"/>
  <c r="I95" i="9"/>
  <c r="I94" i="9"/>
  <c r="K92" i="9"/>
  <c r="I92" i="9" s="1"/>
  <c r="K91" i="9"/>
  <c r="I91" i="9" s="1"/>
  <c r="I88" i="9"/>
  <c r="I87" i="9"/>
  <c r="I86" i="9"/>
  <c r="I84" i="9"/>
  <c r="I83" i="9"/>
  <c r="K80" i="9"/>
  <c r="I80" i="9"/>
  <c r="I77" i="9"/>
  <c r="I76" i="9"/>
  <c r="I75" i="9"/>
  <c r="I73" i="9"/>
  <c r="I72" i="9"/>
  <c r="K70" i="9"/>
  <c r="I70" i="9" s="1"/>
  <c r="K69" i="9"/>
  <c r="I69" i="9" s="1"/>
  <c r="I66" i="9"/>
  <c r="I65" i="9"/>
  <c r="I64" i="9"/>
  <c r="I62" i="9"/>
  <c r="I61" i="9"/>
  <c r="K59" i="9"/>
  <c r="I59" i="9" s="1"/>
  <c r="K58" i="9"/>
  <c r="I58" i="9" s="1"/>
  <c r="I55" i="9"/>
  <c r="I54" i="9"/>
  <c r="I53" i="9"/>
  <c r="I51" i="9"/>
  <c r="I50" i="9"/>
  <c r="K48" i="9"/>
  <c r="I48" i="9" s="1"/>
  <c r="K47" i="9"/>
  <c r="I47" i="9" s="1"/>
  <c r="I44" i="9"/>
  <c r="I43" i="9"/>
  <c r="I42" i="9"/>
  <c r="I40" i="9"/>
  <c r="I39" i="9"/>
  <c r="K37" i="9"/>
  <c r="I37" i="9" s="1"/>
  <c r="K36" i="9"/>
  <c r="I36" i="9" s="1"/>
  <c r="I33" i="9"/>
  <c r="I32" i="9"/>
  <c r="I31" i="9"/>
  <c r="I29" i="9"/>
  <c r="I28" i="9"/>
  <c r="K26" i="9"/>
  <c r="I26" i="9" s="1"/>
  <c r="K25" i="9"/>
  <c r="I25" i="9" s="1"/>
  <c r="I22" i="9"/>
  <c r="I21" i="9"/>
  <c r="I20" i="9"/>
  <c r="I18" i="9"/>
  <c r="I17" i="9"/>
  <c r="K15" i="9"/>
  <c r="I15" i="9" s="1"/>
  <c r="K14" i="9"/>
  <c r="I14" i="9" s="1"/>
  <c r="J14" i="9" s="1"/>
  <c r="I11" i="9"/>
  <c r="I7" i="9"/>
  <c r="I6" i="9"/>
  <c r="I4" i="9"/>
  <c r="J91" i="9" l="1"/>
  <c r="I90" i="9"/>
  <c r="J26" i="9"/>
  <c r="J27" i="9" s="1"/>
  <c r="I27" i="9"/>
  <c r="I79" i="9"/>
  <c r="J80" i="9"/>
  <c r="H10" i="5"/>
  <c r="J92" i="9"/>
  <c r="J93" i="9" s="1"/>
  <c r="I93" i="9"/>
  <c r="I68" i="9"/>
  <c r="J69" i="9"/>
  <c r="I57" i="9"/>
  <c r="J58" i="9"/>
  <c r="J70" i="9"/>
  <c r="J71" i="9" s="1"/>
  <c r="I71" i="9"/>
  <c r="H9" i="5"/>
  <c r="J81" i="9"/>
  <c r="J82" i="9" s="1"/>
  <c r="I82" i="9"/>
  <c r="J15" i="9"/>
  <c r="J16" i="9" s="1"/>
  <c r="I16" i="9"/>
  <c r="I46" i="9"/>
  <c r="J47" i="9"/>
  <c r="J59" i="9"/>
  <c r="J60" i="9" s="1"/>
  <c r="I60" i="9"/>
  <c r="H11" i="5"/>
  <c r="J103" i="9"/>
  <c r="J104" i="9" s="1"/>
  <c r="I104" i="9"/>
  <c r="J48" i="9"/>
  <c r="J49" i="9" s="1"/>
  <c r="I49" i="9"/>
  <c r="I5" i="9"/>
  <c r="J4" i="9"/>
  <c r="S3" i="9"/>
  <c r="I35" i="9"/>
  <c r="J36" i="9"/>
  <c r="I24" i="9"/>
  <c r="J25" i="9"/>
  <c r="J37" i="9"/>
  <c r="J38" i="9" s="1"/>
  <c r="I38" i="9"/>
  <c r="K202" i="7"/>
  <c r="L202" i="7" s="1"/>
  <c r="I13" i="9"/>
  <c r="S14" i="9"/>
  <c r="H2" i="5"/>
  <c r="S102" i="9"/>
  <c r="S25" i="9"/>
  <c r="H5" i="5"/>
  <c r="H6" i="5"/>
  <c r="H7" i="5"/>
  <c r="I2" i="9"/>
  <c r="H8" i="5"/>
  <c r="H3" i="5"/>
  <c r="H4" i="5"/>
  <c r="S80" i="9"/>
  <c r="S36" i="9"/>
  <c r="S47" i="9"/>
  <c r="S69" i="9"/>
  <c r="S91" i="9"/>
  <c r="S58" i="9"/>
  <c r="H12" i="5" l="1"/>
  <c r="I12" i="5" l="1"/>
  <c r="C2" i="17" s="1"/>
  <c r="D4" i="4"/>
  <c r="E74" i="1" l="1"/>
  <c r="E75" i="1"/>
  <c r="E76" i="1"/>
  <c r="E77" i="1"/>
  <c r="E78" i="1"/>
  <c r="E79" i="1"/>
  <c r="F79" i="1" s="1"/>
  <c r="G79" i="1" s="1"/>
  <c r="E80" i="1"/>
  <c r="E81" i="1"/>
  <c r="E82" i="1"/>
  <c r="E83" i="1"/>
  <c r="E84" i="1"/>
  <c r="F84" i="1" s="1"/>
  <c r="F77" i="1" l="1"/>
  <c r="AP77" i="12"/>
  <c r="AP79" i="12"/>
  <c r="F76" i="1"/>
  <c r="AP76" i="12"/>
  <c r="F80" i="1"/>
  <c r="G80" i="1" s="1"/>
  <c r="AP80" i="12"/>
  <c r="G84" i="1"/>
  <c r="AP84" i="12"/>
  <c r="F83" i="1"/>
  <c r="G83" i="1" s="1"/>
  <c r="AP83" i="12"/>
  <c r="F75" i="1"/>
  <c r="AP75" i="12"/>
  <c r="F81" i="1"/>
  <c r="G81" i="1" s="1"/>
  <c r="AP81" i="12"/>
  <c r="F78" i="1"/>
  <c r="AP78" i="12"/>
  <c r="F82" i="1"/>
  <c r="G82" i="1" s="1"/>
  <c r="AP82" i="12"/>
  <c r="F74" i="1"/>
  <c r="AP74" i="12"/>
  <c r="H84" i="1" l="1"/>
  <c r="K76" i="1"/>
  <c r="G76" i="1"/>
  <c r="K78" i="1"/>
  <c r="G78" i="1"/>
  <c r="K74" i="1"/>
  <c r="AR74" i="12" s="1"/>
  <c r="G74" i="1"/>
  <c r="K75" i="1"/>
  <c r="AQ75" i="12" s="1"/>
  <c r="AS75" i="12" s="1"/>
  <c r="G75" i="1"/>
  <c r="K77" i="1"/>
  <c r="AQ77" i="12" s="1"/>
  <c r="AS77" i="12" s="1"/>
  <c r="G77" i="1"/>
  <c r="K80" i="1"/>
  <c r="K82" i="1"/>
  <c r="K83" i="1"/>
  <c r="AQ83" i="12" s="1"/>
  <c r="AS83" i="12" s="1"/>
  <c r="K79" i="1"/>
  <c r="K81" i="1"/>
  <c r="AQ76" i="12"/>
  <c r="AS76" i="12" s="1"/>
  <c r="K84" i="1"/>
  <c r="W85" i="10"/>
  <c r="H85" i="10" s="1"/>
  <c r="AQ80" i="12" l="1"/>
  <c r="AS80" i="12" s="1"/>
  <c r="AQ84" i="12"/>
  <c r="AS84" i="12" s="1"/>
  <c r="AR84" i="12"/>
  <c r="AR78" i="12"/>
  <c r="AQ81" i="12"/>
  <c r="AS81" i="12" s="1"/>
  <c r="AQ78" i="12"/>
  <c r="AS78" i="12" s="1"/>
  <c r="AQ74" i="12"/>
  <c r="AS74" i="12" s="1"/>
  <c r="AR77" i="12"/>
  <c r="AQ79" i="12"/>
  <c r="AS79" i="12" s="1"/>
  <c r="AR76" i="12"/>
  <c r="AQ82" i="12"/>
  <c r="AS82" i="12" s="1"/>
  <c r="A2" i="17"/>
  <c r="D2" i="17" s="1"/>
  <c r="Y56" i="10"/>
  <c r="H56" i="10" s="1"/>
  <c r="W69" i="10"/>
  <c r="H69" i="10" s="1"/>
  <c r="AR82" i="12" l="1"/>
  <c r="AR81" i="12"/>
  <c r="AR75" i="12"/>
  <c r="AR83" i="12"/>
  <c r="AR79" i="12"/>
  <c r="AR80" i="12"/>
  <c r="N13" i="13"/>
  <c r="N14" i="13" s="1"/>
  <c r="E5" i="13"/>
  <c r="E6" i="13" l="1"/>
</calcChain>
</file>

<file path=xl/comments1.xml><?xml version="1.0" encoding="utf-8"?>
<comments xmlns="http://schemas.openxmlformats.org/spreadsheetml/2006/main">
  <authors>
    <author>CPU10698-local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Thêm tỉ lên fail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Gold cần up chậu cuối của bộ Tiên Cá
NHÂN CHO 6: 6 chậu Tiên Cá đúc 1 chậu Hoàng Đạo 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Gold cần up chậu Hoàng Đạo 2
(Gold up + Gold sum 6 chậu Tiên Cá) * 10 (10 tầng mây)</t>
        </r>
      </text>
    </comment>
  </commentList>
</comments>
</file>

<file path=xl/comments10.xml><?xml version="1.0" encoding="utf-8"?>
<comments xmlns="http://schemas.openxmlformats.org/spreadsheetml/2006/main">
  <authors>
    <author>CPU10698-local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Rương sự kiện, chưa release</t>
        </r>
      </text>
    </comment>
  </commentList>
</comments>
</file>

<file path=xl/comments11.xml><?xml version="1.0" encoding="utf-8"?>
<comments xmlns="http://schemas.openxmlformats.org/spreadsheetml/2006/main">
  <authors>
    <author>Tuan. Nguyen Ngoc</author>
    <author>CPU10698-local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Số giây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Số giây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Số giây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5 phút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1" shapeId="0">
      <text>
        <r>
          <rPr>
            <sz val="9"/>
            <color indexed="81"/>
            <rFont val="Tahoma"/>
            <family val="2"/>
          </rPr>
          <t xml:space="preserve">15 phút
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10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Tahoma"/>
            <family val="2"/>
          </rPr>
          <t xml:space="preserve">
30 phút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30 phút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1" shapeId="0">
      <text>
        <r>
          <rPr>
            <sz val="9"/>
            <color indexed="81"/>
            <rFont val="Tahoma"/>
            <family val="2"/>
          </rPr>
          <t>1 giờ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1 giờ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2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1" shapeId="0">
      <text>
        <r>
          <rPr>
            <sz val="9"/>
            <color indexed="81"/>
            <rFont val="Tahoma"/>
            <family val="2"/>
          </rPr>
          <t xml:space="preserve">2 giờ
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6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1" shapeId="0">
      <text>
        <r>
          <rPr>
            <sz val="9"/>
            <color indexed="81"/>
            <rFont val="Tahoma"/>
            <family val="2"/>
          </rPr>
          <t>4 giờ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8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12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12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10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</rPr>
          <t>6 giờ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CPU10698-local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target 1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target 2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target 3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data test QC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chia thêm 10, user nhận thành tựu lần đầu
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chia thêm cho 10</t>
        </r>
      </text>
    </comment>
  </commentList>
</comments>
</file>

<file path=xl/comments13.xml><?xml version="1.0" encoding="utf-8"?>
<comments xmlns="http://schemas.openxmlformats.org/spreadsheetml/2006/main">
  <authors>
    <author>Tuan. Nguyen Ngoc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Không dùng define BỌ RÙA trong ô này cho những sheet khác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Không dùng define BỌ RÙA trong ô này cho những sheet khác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CPU10698-local</author>
    <author>Tuan. Nguyen Ngoc</author>
    <author>HangVTN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Số order hằng ngày miễn phí của user theo level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Số order hằng ngày trả phí của user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Thời gian chờ tạo order mới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Tổng số loại item tối đa của order plant hàng ngày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Tổng số lượng tối thiểu của order hàng ngày miễn phí plant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Số lượng loại item tối đa của DO trả phí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Các loại Plant dùng trong random 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>
      <text>
        <r>
          <rPr>
            <b/>
            <sz val="10"/>
            <color indexed="81"/>
            <rFont val="Tahoma"/>
            <family val="2"/>
          </rPr>
          <t>Tỉ lệ xuất hiện order bọ ngọc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K1" authorId="1" shapeId="0">
      <text>
        <r>
          <rPr>
            <b/>
            <sz val="11"/>
            <color indexed="81"/>
            <rFont val="Tahoma"/>
            <family val="2"/>
          </rPr>
          <t>Tỉ lệ xuất hiện Order Bọ
Số này * %order_bug_pearl/100</t>
        </r>
      </text>
    </comment>
    <comment ref="L1" authorId="1" shapeId="0">
      <text>
        <r>
          <rPr>
            <b/>
            <sz val="11"/>
            <color indexed="81"/>
            <rFont val="Tahoma"/>
            <family val="2"/>
          </rPr>
          <t>Tỉ lệ xuất hiện order ngọc
Số này * %order_bug_pearl/100
Còn lại là random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O1" authorId="1" shapeId="0">
      <text>
        <r>
          <rPr>
            <b/>
            <sz val="14"/>
            <color indexed="81"/>
            <rFont val="Tahoma"/>
            <family val="2"/>
          </rPr>
          <t>Tỉ lệ ra order plant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Tỉ lệ % ra item product trong order thường (max 100)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Số loại item trong đơn hàng (x), dựa vào số này server sẽ lấy ngẫu nhiên từ 1-x loại.
Số này được dùng để tạo ngẫu nhiên sản phẩm (plant+product) khi tạo đơn hàng.
Dựa vào level của user
use for RandomProducts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S1" authorId="1" shapeId="0">
      <text>
        <r>
          <rPr>
            <b/>
            <sz val="11"/>
            <color indexed="81"/>
            <rFont val="Tahoma"/>
            <family val="2"/>
          </rPr>
          <t>Tỉ lệ tạo order gồm những loại item đủ số lượng dựa vào kho của user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(100-số này) là % order còn lại (thiếu + random)</t>
        </r>
      </text>
    </comment>
    <comment ref="T1" authorId="1" shapeId="0">
      <text>
        <r>
          <rPr>
            <b/>
            <sz val="11"/>
            <color indexed="81"/>
            <rFont val="Tahoma"/>
            <family val="2"/>
          </rPr>
          <t xml:space="preserve">Tỉ lệ control order ra ít nhất 1 loại item thiếu trong order
Số này * (Thiếu+random)/100 =&gt; Tỷ lệ order thiếu, còn lại là Random cả 2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Dùng để tính Kim cương cho đơn hàng trả phí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 cho gold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1" shapeId="0">
      <text>
        <r>
          <rPr>
            <b/>
            <sz val="9"/>
            <color indexed="81"/>
            <rFont val="Tahoma"/>
            <family val="2"/>
          </rPr>
          <t>Tỉ lệ xuất hiện bọ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1" shapeId="0">
      <text>
        <r>
          <rPr>
            <b/>
            <sz val="9"/>
            <color indexed="81"/>
            <rFont val="Tahoma"/>
            <family val="2"/>
          </rPr>
          <t>Thời gian item sẽ expired kể từ khi đặt bán trong Pshop (tính bằng giây). Expired item sẽ được NPC mua.</t>
        </r>
      </text>
    </comment>
    <comment ref="AF1" authorId="1" shapeId="0">
      <text>
        <r>
          <rPr>
            <b/>
            <sz val="9"/>
            <color indexed="81"/>
            <rFont val="Tahoma"/>
            <family val="2"/>
          </rPr>
          <t>Số chuyến hàng tối đa có thể giao mỗi ngày.</t>
        </r>
      </text>
    </comment>
    <comment ref="AH1" authorId="1" shapeId="0">
      <text>
        <r>
          <rPr>
            <b/>
            <sz val="9"/>
            <color indexed="81"/>
            <rFont val="Tahoma"/>
            <family val="2"/>
          </rPr>
          <t>Số loại item mỗi chuyến airship yêu cầu. Đây là số MIN. Công thức: Kết quả = Random(MIN, MAX)</t>
        </r>
      </text>
    </comment>
    <comment ref="AN1" authorId="1" shapeId="0">
      <text>
        <r>
          <rPr>
            <sz val="9"/>
            <color indexed="81"/>
            <rFont val="Tahoma"/>
            <family val="2"/>
          </rPr>
          <t xml:space="preserve">PRODUCT yêu cầu các máy bọ còn lại 
</t>
        </r>
      </text>
    </comment>
    <comment ref="AO1" authorId="1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MIN. Công thức: kết quả = Random(MIN, MAX)</t>
        </r>
      </text>
    </comment>
    <comment ref="AR1" authorId="1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  <comment ref="AS1" authorId="1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MIN. Công thức: kết quả = Random(MIN, MAX)</t>
        </r>
      </text>
    </comment>
    <comment ref="AT1" authorId="1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  <comment ref="AU1" authorId="1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  <comment ref="AX1" authorId="2" shapeId="0">
      <text>
        <r>
          <rPr>
            <b/>
            <sz val="9"/>
            <color indexed="81"/>
            <rFont val="Tahoma"/>
            <family val="2"/>
          </rPr>
          <t>Số độ bền của máy bị hư phụ thuộc vào user level</t>
        </r>
      </text>
    </comment>
    <comment ref="AY1" authorId="1" shapeId="0">
      <text>
        <r>
          <rPr>
            <b/>
            <sz val="9"/>
            <color indexed="81"/>
            <rFont val="Tahoma"/>
            <family val="2"/>
          </rPr>
          <t>Số kinh nghiệm nhận được khi user sửa máy nhà bạn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1" shapeId="0">
      <text>
        <r>
          <rPr>
            <b/>
            <sz val="9"/>
            <color indexed="81"/>
            <rFont val="Tahoma"/>
            <family val="2"/>
          </rPr>
          <t>Số kinh nghiệm nhận được khi user sửa máy nhà bạn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CPU10698-local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3 loại vật liệu nâng cấp của 3 kho</t>
        </r>
      </text>
    </comment>
  </commentList>
</comments>
</file>

<file path=xl/comments16.xml><?xml version="1.0" encoding="utf-8"?>
<comments xmlns="http://schemas.openxmlformats.org/spreadsheetml/2006/main">
  <authors>
    <author>CPU10698-local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đổi vàng bất kì lúc nào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bọ nhà mình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đổi vàng bất kì lúc nào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bọ nhà mình</t>
        </r>
      </text>
    </comment>
  </commentList>
</comments>
</file>

<file path=xl/comments17.xml><?xml version="1.0" encoding="utf-8"?>
<comments xmlns="http://schemas.openxmlformats.org/spreadsheetml/2006/main">
  <authors>
    <author>Tuan. Nguyen Ngoc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Không dùng define BỌ RÙA trong ô này cho những sheet khác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Không dùng define BỌ RÙA trong ô này cho những sheet khác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CPU10698-local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Common: Giảm Time Max 400s - cây oải hương
Rare: Giảm time max 1050s - cây Mít
Epic: Giảm time max 1800s - cây Cúc
Legendary: Giảm time max 3240s - cây Dâu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 xml:space="preserve">CPU10698-local:
</t>
        </r>
        <r>
          <rPr>
            <sz val="9"/>
            <color indexed="81"/>
            <rFont val="Tahoma"/>
            <family val="2"/>
          </rPr>
          <t xml:space="preserve">
Nhân thêm tỉ lệ fail khi up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cộng thêm Value Vàng nâng cấp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TÍNH LUÔN VALUE ĐỂ UP CHẬU NGUYÊN LIỆU</t>
        </r>
      </text>
    </comment>
  </commentList>
</comments>
</file>

<file path=xl/comments3.xml><?xml version="1.0" encoding="utf-8"?>
<comments xmlns="http://schemas.openxmlformats.org/spreadsheetml/2006/main">
  <authors>
    <author>CPU10698-local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Common: Giảm Time Max 400s - cây oải hương
Rare: Giảm time max 1050s - cây Mít
Epic: Giảm time max 1800s - cây Cúc
Legendary: Giảm time max 3240s - cây Dâu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 xml:space="preserve">CPU10698-local:
</t>
        </r>
        <r>
          <rPr>
            <sz val="9"/>
            <color indexed="81"/>
            <rFont val="Tahoma"/>
            <family val="2"/>
          </rPr>
          <t xml:space="preserve">
Nhân thêm tỉ lệ fail khi up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cộng thêm Value Vàng nâng cấp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TÍNH LUÔN VALUE ĐỂ UP CHẬU NGUYÊN LIỆU</t>
        </r>
      </text>
    </comment>
  </commentList>
</comments>
</file>

<file path=xl/comments4.xml><?xml version="1.0" encoding="utf-8"?>
<comments xmlns="http://schemas.openxmlformats.org/spreadsheetml/2006/main">
  <authors>
    <author>Tuan. Nguyen Ngoc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Mã tầng mây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Level user cần để unlock tầng mây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Số gold cần để unlock tầng mây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Tuan. Nguyen Ngoc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Số gold ban đầu khi tạo 1 user mới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Số diamond ban đầu khi tạo 1 user mới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reputation ban đầu khi tạo 1 user mới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Tuan. Nguyen Ngoc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Tên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Số level user cần để unlock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Tầng mây cần để sản xuất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Items cần để sản xuất sản phẩm.
Cấu trúc:
type1:id1:num1;type2:id2:num2;...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Thời gian sản xuất xong sản phẩm
(Thời gian tiêu hóa của Cú theo mỗi loại thức ăn)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 xml:space="preserve">Diamond_buy product = Diamond_buy từng item request + Time sản xuất quy ra kim cương của item đó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Số diamond để mua cây trồng trong IBShop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Tuan. Nguyen Ngoc</author>
    <author>CPU10698-local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Tỉ lệ % giảm thời gian cây trồng (trưởng thành) theo loại chậu
khi bắt đầu giao hạt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Tỉ lệ % xuất hiện bọ theo chậu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GOLD_DEFAULT/20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Không test những décor tô đen</t>
        </r>
      </text>
    </comment>
  </commentList>
</comments>
</file>

<file path=xl/comments8.xml><?xml version="1.0" encoding="utf-8"?>
<comments xmlns="http://schemas.openxmlformats.org/spreadsheetml/2006/main">
  <authors>
    <author>CPU10698-local</author>
    <author>CPU12145-local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=0: Bán cho Jack theo giá cột default
&gt;0: Bán cho Jack theo giá (&gt;0)đó
=-1: Cho User gd với nhau theo cột default - min - max 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Thời gian sử dụng
Unit: seconds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Giá trị vườn</t>
        </r>
      </text>
    </comment>
  </commentList>
</comments>
</file>

<file path=xl/comments9.xml><?xml version="1.0" encoding="utf-8"?>
<comments xmlns="http://schemas.openxmlformats.org/spreadsheetml/2006/main">
  <authors>
    <author>Tuan. Nguyen Ngoc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Tên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Số level user cần để unlock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Tầng mây cần để sản xuất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Items cần để sản xuất sản phẩm.
Cấu trúc:
type1:id1:num1;type2:id2:num2;...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Thời gian sản xuất xong sản phẩm
(Thời gian tiêu hóa của Cú theo mỗi loại thức ăn)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 xml:space="preserve">Diamond_buy product = Diamond_buy từng item request + Time sản xuất quy ra kim cương của item đó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Số diamond để mua cây trồng trong IBShop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<sst xmlns="http://schemas.openxmlformats.org/spreadsheetml/2006/main" count="12447" uniqueCount="2653">
  <si>
    <t>NAME</t>
  </si>
  <si>
    <t>CHẬU ĐẤT</t>
  </si>
  <si>
    <t>CHẬU ĐỒNG</t>
  </si>
  <si>
    <t>CHẬU BẠC</t>
  </si>
  <si>
    <t>CHẬU VÀNG</t>
  </si>
  <si>
    <t>CHẬU HỒNG NGỌC</t>
  </si>
  <si>
    <t>CHẬU THỦY SINH</t>
  </si>
  <si>
    <t>CHẬU CÁ VÀNG</t>
  </si>
  <si>
    <t>CHẬU THỦY MỘC</t>
  </si>
  <si>
    <t>CHẬU BẠCH TUỘC</t>
  </si>
  <si>
    <t>CHẬU RÙA CON</t>
  </si>
  <si>
    <t>CHẬU CUA NƯỚC</t>
  </si>
  <si>
    <t>CHẬU SAN HÔ</t>
  </si>
  <si>
    <t>CHẬU SÓNG BIỂN</t>
  </si>
  <si>
    <t>CHẬU TẢO XANH</t>
  </si>
  <si>
    <t>CHẬU HOA BIỂN</t>
  </si>
  <si>
    <t>CHẬU SAO BIỂN</t>
  </si>
  <si>
    <t>CHẬU MÂY BIỂN</t>
  </si>
  <si>
    <t>CHẬU TRÂU</t>
  </si>
  <si>
    <t>CHẬU HEO</t>
  </si>
  <si>
    <t>CHẬU DÊ</t>
  </si>
  <si>
    <t>CHẬU CỪU</t>
  </si>
  <si>
    <t>CHẬU NGỰA</t>
  </si>
  <si>
    <t>CHẬU BÒ</t>
  </si>
  <si>
    <t>CHẬU MÙA HÈ 1</t>
  </si>
  <si>
    <t>CHẬU MÙA HÈ 2</t>
  </si>
  <si>
    <t>CHẬU MÙA HÈ 3</t>
  </si>
  <si>
    <t>CHẬU MÙA HÈ 4</t>
  </si>
  <si>
    <t>CHẬU MÙA HÈ 5</t>
  </si>
  <si>
    <t>CHẬU MÙA HÈ 6</t>
  </si>
  <si>
    <t>CHẬU TRĂNG NON</t>
  </si>
  <si>
    <t>CHẬU NGUYỆT THỰC</t>
  </si>
  <si>
    <t>CHẬU TRĂNG NGŨ SẮC</t>
  </si>
  <si>
    <t>CHẬU TRĂNG TÍM</t>
  </si>
  <si>
    <t>CHẬU TRĂNG THANH</t>
  </si>
  <si>
    <t>CHẬU TRĂNG ĐỎ</t>
  </si>
  <si>
    <t>CHẬU MẶT TRỜI</t>
  </si>
  <si>
    <t>CHẬU THỦY TINH</t>
  </si>
  <si>
    <t>CHẬU KIM TINH</t>
  </si>
  <si>
    <t>CHẬU HỎA TINH</t>
  </si>
  <si>
    <t>CHẬU MỘC TINH</t>
  </si>
  <si>
    <t>CHẬU THỔ TINH</t>
  </si>
  <si>
    <t>CHẬU HOA TUYẾT</t>
  </si>
  <si>
    <t>CHẬU HOA BÚP</t>
  </si>
  <si>
    <t>CHẬU HOA ÁNH KIM</t>
  </si>
  <si>
    <t>CHẬU HOA LỒNG ĐÈN</t>
  </si>
  <si>
    <t>CHẬU HOA ĐÀI SEN</t>
  </si>
  <si>
    <t>CHẬU HOA BỌT BIỂN</t>
  </si>
  <si>
    <t>CHẬU CHU TƯỚC</t>
  </si>
  <si>
    <t>CHẬU THANH LONG</t>
  </si>
  <si>
    <t>CHẬU BẠCH HỔ</t>
  </si>
  <si>
    <t>CHẬU HUYỀN VŨ</t>
  </si>
  <si>
    <t>CHẬU HOÀNG NGHÊ</t>
  </si>
  <si>
    <t>CHẬU CỬU TƯỢNG</t>
  </si>
  <si>
    <t>CHẬU DƠI XINH XẮN</t>
  </si>
  <si>
    <t>CHẬU DƠI NGỐC NGHẾCH</t>
  </si>
  <si>
    <t>CHẬU DƠI NGHỊCH NGỢM</t>
  </si>
  <si>
    <t>CHẬU DƠI NHÚT NHÁT</t>
  </si>
  <si>
    <t>CHẬU DƠI NGHIÊM NGHỊ</t>
  </si>
  <si>
    <t>CHẬU DƠI MƠ MỘNG</t>
  </si>
  <si>
    <t>CHẬU TIỂU TIÊN RỪNG XANH</t>
  </si>
  <si>
    <t>CHẬU TIỂU TIÊN BIỂN XANH</t>
  </si>
  <si>
    <t>CHẬU TIỂU TIÊN MUÔN THÚ</t>
  </si>
  <si>
    <t>CHẬU TIỂU TIÊN QUẢ NGỌT</t>
  </si>
  <si>
    <t>CHẬU TIỂU TIÊN BƯỚM VÀNG</t>
  </si>
  <si>
    <t>CHẬU TIỂU TIÊN MUÔN HOA</t>
  </si>
  <si>
    <t>CHẬU TIÊN DỄ THƯƠNG</t>
  </si>
  <si>
    <t>CHẬU TIÊN TINH NGHỊCH</t>
  </si>
  <si>
    <t>CHẬU TIÊN CÁ TÍNH</t>
  </si>
  <si>
    <t>CHẬU TIÊN LÃNG MẠN</t>
  </si>
  <si>
    <t>CHẬU TIÊN NGÂY THƠ</t>
  </si>
  <si>
    <t>CHẬU TIÊN SÀNH ĐIỆU</t>
  </si>
  <si>
    <t>CHẬU BẠCH DƯƠNG</t>
  </si>
  <si>
    <t>CHẬU KIM NGƯU</t>
  </si>
  <si>
    <t>CHẬU SONG TỬ</t>
  </si>
  <si>
    <t>CHẬU CỰ GIẢI</t>
  </si>
  <si>
    <t>CHẬU SƯ TỬ</t>
  </si>
  <si>
    <t>CHẬU XỬ NỮ</t>
  </si>
  <si>
    <t>CHẬU THIÊN BÌNH</t>
  </si>
  <si>
    <t>CHẬU THIÊN YẾT</t>
  </si>
  <si>
    <t>CHẬU NHÂN MÃ</t>
  </si>
  <si>
    <t>CHẬU MA KẾT</t>
  </si>
  <si>
    <t>CHẬU BẢO BÌNH</t>
  </si>
  <si>
    <t>CHẬU SONG NGƯ</t>
  </si>
  <si>
    <t>UPGRADE_GOLD</t>
  </si>
  <si>
    <t>UPGRADE_RATIO</t>
  </si>
  <si>
    <t>real_ratio</t>
  </si>
  <si>
    <t>Gold thực tế sở hữu full bộ chậu cuối</t>
  </si>
  <si>
    <t>ID</t>
  </si>
  <si>
    <t>USER_LEVEL</t>
  </si>
  <si>
    <t>GOLD</t>
  </si>
  <si>
    <t>TYPE</t>
  </si>
  <si>
    <t>FLOOR</t>
  </si>
  <si>
    <t>LEVEL_UNLOCK</t>
  </si>
  <si>
    <t>GOLD_START</t>
  </si>
  <si>
    <t>MA0</t>
  </si>
  <si>
    <t>MACHINE</t>
  </si>
  <si>
    <t>MÁY SẤY</t>
  </si>
  <si>
    <t>MA1</t>
  </si>
  <si>
    <t>MÁY NƯỚC ÉP</t>
  </si>
  <si>
    <t>MA2</t>
  </si>
  <si>
    <t>MÁY DỆT</t>
  </si>
  <si>
    <t>MA3</t>
  </si>
  <si>
    <t>MÁY CHẾ NGỌC</t>
  </si>
  <si>
    <t>MA4</t>
  </si>
  <si>
    <t>MÁY TINH DẦU</t>
  </si>
  <si>
    <t>MA5</t>
  </si>
  <si>
    <t>MÁY PHA TRÀ</t>
  </si>
  <si>
    <t>MA6</t>
  </si>
  <si>
    <t>MÁY HOA TƯƠI</t>
  </si>
  <si>
    <t>MA7</t>
  </si>
  <si>
    <t>MÁY NƯỚC HOA</t>
  </si>
  <si>
    <t>MA8</t>
  </si>
  <si>
    <t>MÁY TÚI HƯƠNG</t>
  </si>
  <si>
    <t>MA9</t>
  </si>
  <si>
    <t>MÁY MAY</t>
  </si>
  <si>
    <t>FLOOR_0</t>
  </si>
  <si>
    <t>LEVEL_2</t>
  </si>
  <si>
    <t>LEVEL_3</t>
  </si>
  <si>
    <t>LEVEL_4</t>
  </si>
  <si>
    <t>LEVEL_5</t>
  </si>
  <si>
    <t>LEVEL_6</t>
  </si>
  <si>
    <t>LEVEL_7</t>
  </si>
  <si>
    <t>LEVEL_8</t>
  </si>
  <si>
    <t>LEVEL_9</t>
  </si>
  <si>
    <t>Active time</t>
  </si>
  <si>
    <t>7200</t>
  </si>
  <si>
    <t>Gold unlock</t>
  </si>
  <si>
    <t>Upgrade ratio</t>
  </si>
  <si>
    <t>XP bonus</t>
  </si>
  <si>
    <t>Reduce time</t>
  </si>
  <si>
    <t>XP order</t>
  </si>
  <si>
    <t>Gold order</t>
  </si>
  <si>
    <t>Gold maintain</t>
  </si>
  <si>
    <t>FLOOR_1</t>
  </si>
  <si>
    <t>FLOOR_2</t>
  </si>
  <si>
    <t>100</t>
  </si>
  <si>
    <t>0</t>
  </si>
  <si>
    <t>30</t>
  </si>
  <si>
    <t>35</t>
  </si>
  <si>
    <t>50</t>
  </si>
  <si>
    <t>FLOOR_3</t>
  </si>
  <si>
    <t>55</t>
  </si>
  <si>
    <t>FLOOR_4</t>
  </si>
  <si>
    <t>60</t>
  </si>
  <si>
    <t>FLOOR_5</t>
  </si>
  <si>
    <t>65</t>
  </si>
  <si>
    <t>FLOOR_6</t>
  </si>
  <si>
    <t>70</t>
  </si>
  <si>
    <t>FLOOR_7</t>
  </si>
  <si>
    <t>75</t>
  </si>
  <si>
    <t>FLOOR_8</t>
  </si>
  <si>
    <t>80</t>
  </si>
  <si>
    <t>FLOOR_9</t>
  </si>
  <si>
    <t>85</t>
  </si>
  <si>
    <t>GOLD_UPGRADE</t>
  </si>
  <si>
    <t>32400</t>
  </si>
  <si>
    <t>STOCK_0</t>
  </si>
  <si>
    <t>STOCK_1</t>
  </si>
  <si>
    <t>STOCK_2</t>
  </si>
  <si>
    <t>STOCK_4</t>
  </si>
  <si>
    <t>APPRAISAL</t>
  </si>
  <si>
    <t>LEVEL_1</t>
  </si>
  <si>
    <t>Gạch:1:Sơn Đỏ:1:Gỗ:1</t>
  </si>
  <si>
    <t>Đá:1:Sơn Vàng:1:Đinh:1</t>
  </si>
  <si>
    <t>Ngói:1:Sơn Đen:1:Sắt:1</t>
  </si>
  <si>
    <t>Thép:1:Sơn Tím:1:Búa:1</t>
  </si>
  <si>
    <t>Gạch:2:Sơn Đỏ:2:Gỗ:2</t>
  </si>
  <si>
    <t>Đá:2:Sơn Vàng:2:Đinh:2</t>
  </si>
  <si>
    <t>Ngói:2:Sơn Đen:2:Sắt:2</t>
  </si>
  <si>
    <t>Thép:2:Sơn Tím:2:Búa:2</t>
  </si>
  <si>
    <t>Gạch:3:Sơn Đỏ:3:Gỗ:3</t>
  </si>
  <si>
    <t>Đá:3:Sơn Vàng:3:Đinh:3</t>
  </si>
  <si>
    <t>Ngói:3:Sơn Đen:3:Sắt:3</t>
  </si>
  <si>
    <t>Thép:3:Sơn Tím:3:Búa:3</t>
  </si>
  <si>
    <t>Gạch:4:Sơn Đỏ:4:Gỗ:4</t>
  </si>
  <si>
    <t>Đá:4:Sơn Vàng:4:Đinh:4</t>
  </si>
  <si>
    <t>Ngói:4:Sơn Đen:4:Sắt:4</t>
  </si>
  <si>
    <t>Thép:4:Sơn Tím:4:Búa:4</t>
  </si>
  <si>
    <t>Gạch:5:Sơn Đỏ:5:Gỗ:5</t>
  </si>
  <si>
    <t>Đá:5:Sơn Vàng:5:Đinh:5</t>
  </si>
  <si>
    <t>Ngói:5:Sơn Đen:5:Sắt:5</t>
  </si>
  <si>
    <t>Thép:5:Sơn Tím:5:Búa:5</t>
  </si>
  <si>
    <t>Gạch:6:Sơn Đỏ:6:Gỗ:6</t>
  </si>
  <si>
    <t>Đá:6:Sơn Vàng:6:Đinh:6</t>
  </si>
  <si>
    <t>Ngói:6:Sơn Đen:6:Sắt:6</t>
  </si>
  <si>
    <t>Thép:6:Sơn Tím:6:Búa:6</t>
  </si>
  <si>
    <t>Gạch:7:Sơn Đỏ:7:Gỗ:7</t>
  </si>
  <si>
    <t>Đá:7:Sơn Vàng:7:Đinh:7</t>
  </si>
  <si>
    <t>Ngói:7:Sơn Đen:7:Sắt:7</t>
  </si>
  <si>
    <t>Thép:7:Sơn Tím:7:Búa:7</t>
  </si>
  <si>
    <t>LEVEL_10</t>
  </si>
  <si>
    <t>Gạch:8:Sơn Đỏ:8:Gỗ:8</t>
  </si>
  <si>
    <t>Đá:8:Sơn Vàng:8:Đinh:8</t>
  </si>
  <si>
    <t>Ngói:8:Sơn Đen:8:Sắt:8</t>
  </si>
  <si>
    <t>Thép:8:Sơn Tím:8:Búa:8</t>
  </si>
  <si>
    <t>LEVEL_11</t>
  </si>
  <si>
    <t>Gạch:9:Sơn Đỏ:9:Gỗ:9</t>
  </si>
  <si>
    <t>Đá:9:Sơn Vàng:9:Đinh:9</t>
  </si>
  <si>
    <t>Ngói:9:Sơn Đen:9:Sắt:9</t>
  </si>
  <si>
    <t>Thép:9:Sơn Tím:9:Búa:9</t>
  </si>
  <si>
    <t>LEVEL_12</t>
  </si>
  <si>
    <t>Gạch:10:Sơn Đỏ:10:Gỗ:10</t>
  </si>
  <si>
    <t>Đá:10:Sơn Vàng:10:Đinh:10</t>
  </si>
  <si>
    <t>Ngói:10:Sơn Đen:10:Sắt:10</t>
  </si>
  <si>
    <t>Thép:10:Sơn Tím:10:Búa:10</t>
  </si>
  <si>
    <t>LEVEL_13</t>
  </si>
  <si>
    <t>Gạch:11:Sơn Đỏ:11:Gỗ:11</t>
  </si>
  <si>
    <t>Đá:11:Sơn Vàng:11:Đinh:11</t>
  </si>
  <si>
    <t>Ngói:11:Sơn Đen:11:Sắt:11</t>
  </si>
  <si>
    <t>Thép:11:Sơn Tím:11:Búa:11</t>
  </si>
  <si>
    <t>LEVEL_14</t>
  </si>
  <si>
    <t>Gạch:12:Sơn Đỏ:12:Gỗ:12</t>
  </si>
  <si>
    <t>Đá:12:Sơn Vàng:12:Đinh:12</t>
  </si>
  <si>
    <t>Ngói:12:Sơn Đen:12:Sắt:12</t>
  </si>
  <si>
    <t>Thép:12:Sơn Tím:12:Búa:12</t>
  </si>
  <si>
    <t>LEVEL_15</t>
  </si>
  <si>
    <t>LEVEL_16</t>
  </si>
  <si>
    <t>Gạch:13:Sơn Đỏ:13:Gỗ:13</t>
  </si>
  <si>
    <t>Đá:13:Sơn Vàng:13:Đinh:13</t>
  </si>
  <si>
    <t>Ngói:13:Sơn Đen:13:Sắt:13</t>
  </si>
  <si>
    <t>Thép:13:Sơn Tím:13:Búa:13</t>
  </si>
  <si>
    <t>LEVEL_17</t>
  </si>
  <si>
    <t>LEVEL_18</t>
  </si>
  <si>
    <t>Gạch:14:Sơn Đỏ:14:Gỗ:14</t>
  </si>
  <si>
    <t>Đá:14:Sơn Vàng:14:Đinh:14</t>
  </si>
  <si>
    <t>Ngói:14:Sơn Đen:14:Sắt:14</t>
  </si>
  <si>
    <t>Thép:14:Sơn Tím:14:Búa:14</t>
  </si>
  <si>
    <t>LEVEL_19</t>
  </si>
  <si>
    <t>LEVEL_20</t>
  </si>
  <si>
    <t>Gạch:15:Sơn Đỏ:15:Gỗ:15</t>
  </si>
  <si>
    <t>Đá:15:Sơn Vàng:15:Đinh:15</t>
  </si>
  <si>
    <t>Ngói:15:Sơn Đen:15:Sắt:15</t>
  </si>
  <si>
    <t>Thép:15:Sơn Tím:15:Búa:15</t>
  </si>
  <si>
    <t>LEVEL_21</t>
  </si>
  <si>
    <t>LEVEL_22</t>
  </si>
  <si>
    <t>Gạch:16:Sơn Đỏ:16:Gỗ:16</t>
  </si>
  <si>
    <t>Đá:16:Sơn Vàng:16:Đinh:16</t>
  </si>
  <si>
    <t>Ngói:16:Sơn Đen:16:Sắt:16</t>
  </si>
  <si>
    <t>Thép:16:Sơn Tím:16:Búa:16</t>
  </si>
  <si>
    <t>LEVEL_23</t>
  </si>
  <si>
    <t>LEVEL_24</t>
  </si>
  <si>
    <t>Gạch:17:Sơn Đỏ:17:Gỗ:17</t>
  </si>
  <si>
    <t>Đá:17:Sơn Vàng:17:Đinh:17</t>
  </si>
  <si>
    <t>Ngói:17:Sơn Đen:17:Sắt:17</t>
  </si>
  <si>
    <t>Thép:17:Sơn Tím:17:Búa:17</t>
  </si>
  <si>
    <t>LEVEL_25</t>
  </si>
  <si>
    <t>LEVEL_26</t>
  </si>
  <si>
    <t>Gạch:18:Sơn Đỏ:18:Gỗ:18</t>
  </si>
  <si>
    <t>Đá:18:Sơn Vàng:18:Đinh:18</t>
  </si>
  <si>
    <t>Ngói:18:Sơn Đen:18:Sắt:18</t>
  </si>
  <si>
    <t>Thép:18:Sơn Tím:18:Búa:18</t>
  </si>
  <si>
    <t>LEVEL_27</t>
  </si>
  <si>
    <t>LEVEL_28</t>
  </si>
  <si>
    <t>Gạch:19:Sơn Đỏ:19:Gỗ:19</t>
  </si>
  <si>
    <t>Đá:19:Sơn Vàng:19:Đinh:19</t>
  </si>
  <si>
    <t>Ngói:19:Sơn Đen:19:Sắt:19</t>
  </si>
  <si>
    <t>Thép:19:Sơn Tím:19:Búa:19</t>
  </si>
  <si>
    <t>LEVEL_29</t>
  </si>
  <si>
    <t>LEVEL_30</t>
  </si>
  <si>
    <t>Gạch:20:Sơn Đỏ:20:Gỗ:20</t>
  </si>
  <si>
    <t>Đá:20:Sơn Vàng:20:Đinh:20</t>
  </si>
  <si>
    <t>Ngói:20:Sơn Đen:20:Sắt:20</t>
  </si>
  <si>
    <t>Thép:20:Sơn Tím:20:Búa:20</t>
  </si>
  <si>
    <t>LEVEL_31</t>
  </si>
  <si>
    <t>LEVEL_32</t>
  </si>
  <si>
    <t>Gạch:21:Sơn Đỏ:21:Gỗ:21</t>
  </si>
  <si>
    <t>Đá:21:Sơn Vàng:21:Đinh:21</t>
  </si>
  <si>
    <t>Ngói:21:Sơn Đen:21:Sắt:21</t>
  </si>
  <si>
    <t>Thép:21:Sơn Tím:21:Búa:21</t>
  </si>
  <si>
    <t>LEVEL_33</t>
  </si>
  <si>
    <t>LEVEL_34</t>
  </si>
  <si>
    <t>Gạch:22:Sơn Đỏ:22:Gỗ:22</t>
  </si>
  <si>
    <t>Đá:22:Sơn Vàng:22:Đinh:22</t>
  </si>
  <si>
    <t>Ngói:22:Sơn Đen:22:Sắt:22</t>
  </si>
  <si>
    <t>Thép:22:Sơn Tím:22:Búa:22</t>
  </si>
  <si>
    <t>LEVEL_35</t>
  </si>
  <si>
    <t>LEVEL_36</t>
  </si>
  <si>
    <t>Gạch:23:Sơn Đỏ:23:Gỗ:23</t>
  </si>
  <si>
    <t>Đá:23:Sơn Vàng:23:Đinh:23</t>
  </si>
  <si>
    <t>Ngói:23:Sơn Đen:23:Sắt:23</t>
  </si>
  <si>
    <t>Thép:23:Sơn Tím:23:Búa:23</t>
  </si>
  <si>
    <t>LEVEL_37</t>
  </si>
  <si>
    <t>LEVEL_38</t>
  </si>
  <si>
    <t>Gạch:24:Sơn Đỏ:24:Gỗ:24</t>
  </si>
  <si>
    <t>Đá:24:Sơn Vàng:24:Đinh:24</t>
  </si>
  <si>
    <t>Ngói:24:Sơn Đen:24:Sắt:24</t>
  </si>
  <si>
    <t>Thép:24:Sơn Tím:24:Búa:24</t>
  </si>
  <si>
    <t>LEVEL_39</t>
  </si>
  <si>
    <t>LEVEL_40</t>
  </si>
  <si>
    <t>Gạch:25:Sơn Đỏ:25:Gỗ:25</t>
  </si>
  <si>
    <t>Đá:25:Sơn Vàng:25:Đinh:25</t>
  </si>
  <si>
    <t>Ngói:25:Sơn Đen:25:Sắt:25</t>
  </si>
  <si>
    <t>Thép:25:Sơn Tím:25:Búa:25</t>
  </si>
  <si>
    <t>LEVEL_41</t>
  </si>
  <si>
    <t>LEVEL_42</t>
  </si>
  <si>
    <t>Gạch:26:Sơn Đỏ:26:Gỗ:26</t>
  </si>
  <si>
    <t>Đá:26:Sơn Vàng:26:Đinh:26</t>
  </si>
  <si>
    <t>Ngói:26:Sơn Đen:26:Sắt:26</t>
  </si>
  <si>
    <t>Thép:26:Sơn Tím:26:Búa:26</t>
  </si>
  <si>
    <t>LEVEL_43</t>
  </si>
  <si>
    <t>LEVEL_44</t>
  </si>
  <si>
    <t>Gạch:27:Sơn Đỏ:27:Gỗ:27</t>
  </si>
  <si>
    <t>Đá:27:Sơn Vàng:27:Đinh:27</t>
  </si>
  <si>
    <t>Ngói:27:Sơn Đen:27:Sắt:27</t>
  </si>
  <si>
    <t>Thép:27:Sơn Tím:27:Búa:27</t>
  </si>
  <si>
    <t>LEVEL_45</t>
  </si>
  <si>
    <t>LEVEL_46</t>
  </si>
  <si>
    <t>Gạch:28:Sơn Đỏ:28:Gỗ:28</t>
  </si>
  <si>
    <t>Đá:28:Sơn Vàng:28:Đinh:28</t>
  </si>
  <si>
    <t>Ngói:28:Sơn Đen:28:Sắt:28</t>
  </si>
  <si>
    <t>Thép:28:Sơn Tím:28:Búa:28</t>
  </si>
  <si>
    <t>LEVEL_47</t>
  </si>
  <si>
    <t>LEVEL_48</t>
  </si>
  <si>
    <t>Gạch:29:Sơn Đỏ:29:Gỗ:29</t>
  </si>
  <si>
    <t>Đá:29:Sơn Vàng:29:Đinh:29</t>
  </si>
  <si>
    <t>Ngói:29:Sơn Đen:29:Sắt:29</t>
  </si>
  <si>
    <t>Thép:29:Sơn Tím:29:Búa:29</t>
  </si>
  <si>
    <t>LEVEL_49</t>
  </si>
  <si>
    <t>LEVEL_50</t>
  </si>
  <si>
    <t>LEVEL_51</t>
  </si>
  <si>
    <t>Gạch:31:Sơn Đỏ:31:Gỗ:31</t>
  </si>
  <si>
    <t>Đá:31:Sơn Vàng:31:Đinh:31</t>
  </si>
  <si>
    <t>Ngói:31:Sơn Đen:31:Sắt:31</t>
  </si>
  <si>
    <t>Thép:31:Sơn Tím:31:Búa:31</t>
  </si>
  <si>
    <t>LEVEL_52</t>
  </si>
  <si>
    <t>Gạch:33:Sơn Đỏ:33:Gỗ:33</t>
  </si>
  <si>
    <t>Đá:33:Sơn Vàng:33:Đinh:33</t>
  </si>
  <si>
    <t>Ngói:33:Sơn Đen:33:Sắt:33</t>
  </si>
  <si>
    <t>Thép:33:Sơn Tím:33:Búa:33</t>
  </si>
  <si>
    <t>LEVEL_53</t>
  </si>
  <si>
    <t>Gạch:35:Sơn Đỏ:35:Gỗ:35</t>
  </si>
  <si>
    <t>Đá:35:Sơn Vàng:35:Đinh:35</t>
  </si>
  <si>
    <t>Ngói:35:Sơn Đen:35:Sắt:35</t>
  </si>
  <si>
    <t>Thép:35:Sơn Tím:35:Búa:35</t>
  </si>
  <si>
    <t>LEVEL_54</t>
  </si>
  <si>
    <t>Gạch:37:Sơn Đỏ:37:Gỗ:37</t>
  </si>
  <si>
    <t>Đá:37:Sơn Vàng:37:Đinh:37</t>
  </si>
  <si>
    <t>Ngói:37:Sơn Đen:37:Sắt:37</t>
  </si>
  <si>
    <t>Thép:37:Sơn Tím:37:Búa:37</t>
  </si>
  <si>
    <t>LEVEL_55</t>
  </si>
  <si>
    <t>Gạch:39:Sơn Đỏ:39:Gỗ:39</t>
  </si>
  <si>
    <t>Đá:39:Sơn Vàng:39:Đinh:39</t>
  </si>
  <si>
    <t>Ngói:39:Sơn Đen:39:Sắt:39</t>
  </si>
  <si>
    <t>Thép:39:Sơn Tím:39:Búa:39</t>
  </si>
  <si>
    <t>LEVEL_56</t>
  </si>
  <si>
    <t>Gạch:41:Sơn Đỏ:41:Gỗ:41</t>
  </si>
  <si>
    <t>Đá:41:Sơn Vàng:41:Đinh:41</t>
  </si>
  <si>
    <t>Ngói:41:Sơn Đen:41:Sắt:41</t>
  </si>
  <si>
    <t>Thép:41:Sơn Tím:41:Búa:41</t>
  </si>
  <si>
    <t>LEVEL_57</t>
  </si>
  <si>
    <t>Gạch:43:Sơn Đỏ:43:Gỗ:43</t>
  </si>
  <si>
    <t>Đá:43:Sơn Vàng:43:Đinh:43</t>
  </si>
  <si>
    <t>Ngói:43:Sơn Đen:43:Sắt:43</t>
  </si>
  <si>
    <t>Thép:43:Sơn Tím:43:Búa:43</t>
  </si>
  <si>
    <t>LEVEL_58</t>
  </si>
  <si>
    <t>Gạch:45:Sơn Đỏ:45:Gỗ:45</t>
  </si>
  <si>
    <t>Đá:45:Sơn Vàng:45:Đinh:45</t>
  </si>
  <si>
    <t>Ngói:45:Sơn Đen:45:Sắt:45</t>
  </si>
  <si>
    <t>Thép:45:Sơn Tím:45:Búa:45</t>
  </si>
  <si>
    <t>LEVEL_59</t>
  </si>
  <si>
    <t>Gạch:47:Sơn Đỏ:47:Gỗ:47</t>
  </si>
  <si>
    <t>Đá:47:Sơn Vàng:47:Đinh:47</t>
  </si>
  <si>
    <t>Ngói:47:Sơn Đen:47:Sắt:47</t>
  </si>
  <si>
    <t>Thép:47:Sơn Tím:47:Búa:47</t>
  </si>
  <si>
    <t>LEVEL_60</t>
  </si>
  <si>
    <t>Gạch:49:Sơn Đỏ:49:Gỗ:49</t>
  </si>
  <si>
    <t>Đá:49:Sơn Vàng:49:Đinh:49</t>
  </si>
  <si>
    <t>Ngói:49:Sơn Đen:49:Sắt:49</t>
  </si>
  <si>
    <t>Thép:49:Sơn Tím:49:Búa:49</t>
  </si>
  <si>
    <t>LEVEL_61</t>
  </si>
  <si>
    <t>Gạch:51:Sơn Đỏ:51:Gỗ:51</t>
  </si>
  <si>
    <t>Đá:51:Sơn Vàng:51:Đinh:51</t>
  </si>
  <si>
    <t>Ngói:51:Sơn Đen:51:Sắt:51</t>
  </si>
  <si>
    <t>Thép:51:Sơn Tím:51:Búa:51</t>
  </si>
  <si>
    <t>LEVEL_62</t>
  </si>
  <si>
    <t>Gạch:53:Sơn Đỏ:53:Gỗ:53</t>
  </si>
  <si>
    <t>Đá:53:Sơn Vàng:53:Đinh:53</t>
  </si>
  <si>
    <t>Ngói:53:Sơn Đen:53:Sắt:53</t>
  </si>
  <si>
    <t>Thép:53:Sơn Tím:53:Búa:53</t>
  </si>
  <si>
    <t>LEVEL_63</t>
  </si>
  <si>
    <t>Gạch:55:Sơn Đỏ:55:Gỗ:55</t>
  </si>
  <si>
    <t>Đá:55:Sơn Vàng:55:Đinh:55</t>
  </si>
  <si>
    <t>Ngói:55:Sơn Đen:55:Sắt:55</t>
  </si>
  <si>
    <t>Thép:55:Sơn Tím:55:Búa:55</t>
  </si>
  <si>
    <t>LEVEL_64</t>
  </si>
  <si>
    <t>Gạch:57:Sơn Đỏ:57:Gỗ:57</t>
  </si>
  <si>
    <t>Đá:57:Sơn Vàng:57:Đinh:57</t>
  </si>
  <si>
    <t>Ngói:57:Sơn Đen:57:Sắt:57</t>
  </si>
  <si>
    <t>Thép:57:Sơn Tím:57:Búa:57</t>
  </si>
  <si>
    <t>LEVEL_65</t>
  </si>
  <si>
    <t>Gạch:59:Sơn Đỏ:59:Gỗ:59</t>
  </si>
  <si>
    <t>Đá:59:Sơn Vàng:59:Đinh:59</t>
  </si>
  <si>
    <t>Ngói:59:Sơn Đen:59:Sắt:59</t>
  </si>
  <si>
    <t>Thép:59:Sơn Tím:59:Búa:59</t>
  </si>
  <si>
    <t>LEVEL_66</t>
  </si>
  <si>
    <t>Gạch:61:Sơn Đỏ:61:Gỗ:61</t>
  </si>
  <si>
    <t>Đá:61:Sơn Vàng:61:Đinh:61</t>
  </si>
  <si>
    <t>Ngói:61:Sơn Đen:61:Sắt:61</t>
  </si>
  <si>
    <t>Thép:61:Sơn Tím:61:Búa:61</t>
  </si>
  <si>
    <t>LEVEL_67</t>
  </si>
  <si>
    <t>Gạch:63:Sơn Đỏ:63:Gỗ:63</t>
  </si>
  <si>
    <t>Đá:63:Sơn Vàng:63:Đinh:63</t>
  </si>
  <si>
    <t>Ngói:63:Sơn Đen:63:Sắt:63</t>
  </si>
  <si>
    <t>Thép:63:Sơn Tím:63:Búa:63</t>
  </si>
  <si>
    <t>LEVEL_68</t>
  </si>
  <si>
    <t>Gạch:65:Sơn Đỏ:65:Gỗ:65</t>
  </si>
  <si>
    <t>Đá:65:Sơn Vàng:65:Đinh:65</t>
  </si>
  <si>
    <t>Ngói:65:Sơn Đen:65:Sắt:65</t>
  </si>
  <si>
    <t>Thép:65:Sơn Tím:65:Búa:65</t>
  </si>
  <si>
    <t>LEVEL_69</t>
  </si>
  <si>
    <t>Gạch:67:Sơn Đỏ:67:Gỗ:67</t>
  </si>
  <si>
    <t>Đá:67:Sơn Vàng:67:Đinh:67</t>
  </si>
  <si>
    <t>Ngói:67:Sơn Đen:67:Sắt:67</t>
  </si>
  <si>
    <t>Thép:67:Sơn Tím:67:Búa:67</t>
  </si>
  <si>
    <t>LEVEL_70</t>
  </si>
  <si>
    <t>Gạch:69:Sơn Đỏ:69:Gỗ:69</t>
  </si>
  <si>
    <t>Đá:69:Sơn Vàng:69:Đinh:69</t>
  </si>
  <si>
    <t>Ngói:69:Sơn Đen:69:Sắt:69</t>
  </si>
  <si>
    <t>Thép:69:Sơn Tím:69:Búa:69</t>
  </si>
  <si>
    <t>LEVEL_71</t>
  </si>
  <si>
    <t>Gạch:71:Sơn Đỏ:71:Gỗ:71</t>
  </si>
  <si>
    <t>Đá:71:Sơn Vàng:71:Đinh:71</t>
  </si>
  <si>
    <t>Ngói:71:Sơn Đen:71:Sắt:71</t>
  </si>
  <si>
    <t>Thép:71:Sơn Tím:71:Búa:71</t>
  </si>
  <si>
    <t>LEVEL_72</t>
  </si>
  <si>
    <t>Gạch:73:Sơn Đỏ:73:Gỗ:73</t>
  </si>
  <si>
    <t>Đá:73:Sơn Vàng:73:Đinh:73</t>
  </si>
  <si>
    <t>Ngói:73:Sơn Đen:73:Sắt:73</t>
  </si>
  <si>
    <t>Thép:73:Sơn Tím:73:Búa:73</t>
  </si>
  <si>
    <t>LEVEL_73</t>
  </si>
  <si>
    <t>Gạch:75:Sơn Đỏ:75:Gỗ:75</t>
  </si>
  <si>
    <t>Đá:75:Sơn Vàng:75:Đinh:75</t>
  </si>
  <si>
    <t>Ngói:75:Sơn Đen:75:Sắt:75</t>
  </si>
  <si>
    <t>Thép:75:Sơn Tím:75:Búa:75</t>
  </si>
  <si>
    <t>LEVEL_74</t>
  </si>
  <si>
    <t>Gạch:77:Sơn Đỏ:77:Gỗ:77</t>
  </si>
  <si>
    <t>Đá:77:Sơn Vàng:77:Đinh:77</t>
  </si>
  <si>
    <t>Ngói:77:Sơn Đen:77:Sắt:77</t>
  </si>
  <si>
    <t>Thép:77:Sơn Tím:77:Búa:77</t>
  </si>
  <si>
    <t>LEVEL_75</t>
  </si>
  <si>
    <t>Gạch:79:Sơn Đỏ:79:Gỗ:79</t>
  </si>
  <si>
    <t>Đá:79:Sơn Vàng:79:Đinh:79</t>
  </si>
  <si>
    <t>Ngói:79:Sơn Đen:79:Sắt:79</t>
  </si>
  <si>
    <t>Thép:79:Sơn Tím:79:Búa:79</t>
  </si>
  <si>
    <t>LEVEL_76</t>
  </si>
  <si>
    <t>Gạch:81:Sơn Đỏ:81:Gỗ:81</t>
  </si>
  <si>
    <t>Đá:81:Sơn Vàng:81:Đinh:81</t>
  </si>
  <si>
    <t>Ngói:81:Sơn Đen:81:Sắt:81</t>
  </si>
  <si>
    <t>Thép:81:Sơn Tím:81:Búa:81</t>
  </si>
  <si>
    <t>LEVEL_77</t>
  </si>
  <si>
    <t>Gạch:83:Sơn Đỏ:83:Gỗ:83</t>
  </si>
  <si>
    <t>Đá:83:Sơn Vàng:83:Đinh:83</t>
  </si>
  <si>
    <t>Ngói:83:Sơn Đen:83:Sắt:83</t>
  </si>
  <si>
    <t>Thép:83:Sơn Tím:83:Búa:83</t>
  </si>
  <si>
    <t>LEVEL_78</t>
  </si>
  <si>
    <t>Gạch:85:Sơn Đỏ:85:Gỗ:85</t>
  </si>
  <si>
    <t>Đá:85:Sơn Vàng:85:Đinh:85</t>
  </si>
  <si>
    <t>Ngói:85:Sơn Đen:85:Sắt:85</t>
  </si>
  <si>
    <t>Thép:85:Sơn Tím:85:Búa:85</t>
  </si>
  <si>
    <t>LEVEL_79</t>
  </si>
  <si>
    <t>Gạch:86:Sơn Đỏ:86:Gỗ:86</t>
  </si>
  <si>
    <t>Đá:86:Sơn Vàng:86:Đinh:86</t>
  </si>
  <si>
    <t>Ngói:86:Sơn Đen:86:Sắt:86</t>
  </si>
  <si>
    <t>Thép:86:Sơn Tím:86:Búa:86</t>
  </si>
  <si>
    <t>LEVEL_80</t>
  </si>
  <si>
    <t>Gạch:87:Sơn Đỏ:87:Gỗ:87</t>
  </si>
  <si>
    <t>Đá:87:Sơn Vàng:87:Đinh:87</t>
  </si>
  <si>
    <t>Ngói:87:Sơn Đen:87:Sắt:87</t>
  </si>
  <si>
    <t>Thép:87:Sơn Tím:87:Búa:87</t>
  </si>
  <si>
    <t>LEVEL_81</t>
  </si>
  <si>
    <t>Gạch:88:Sơn Đỏ:88:Gỗ:88</t>
  </si>
  <si>
    <t>Đá:88:Sơn Vàng:88:Đinh:88</t>
  </si>
  <si>
    <t>Ngói:88:Sơn Đen:88:Sắt:88</t>
  </si>
  <si>
    <t>Thép:88:Sơn Tím:88:Búa:88</t>
  </si>
  <si>
    <t>LEVEL_82</t>
  </si>
  <si>
    <t>Gạch:89:Sơn Đỏ:89:Gỗ:89</t>
  </si>
  <si>
    <t>Đá:89:Sơn Vàng:89:Đinh:89</t>
  </si>
  <si>
    <t>Ngói:89:Sơn Đen:89:Sắt:89</t>
  </si>
  <si>
    <t>Thép:89:Sơn Tím:89:Búa:89</t>
  </si>
  <si>
    <t>LEVEL_83</t>
  </si>
  <si>
    <t>Gạch:90:Sơn Đỏ:90:Gỗ:90</t>
  </si>
  <si>
    <t>Đá:90:Sơn Vàng:90:Đinh:90</t>
  </si>
  <si>
    <t>Ngói:90:Sơn Đen:90:Sắt:90</t>
  </si>
  <si>
    <t>Thép:90:Sơn Tím:90:Búa:90</t>
  </si>
  <si>
    <t>LEVEL_84</t>
  </si>
  <si>
    <t>Gạch:91:Sơn Đỏ:91:Gỗ:91</t>
  </si>
  <si>
    <t>Đá:91:Sơn Vàng:91:Đinh:91</t>
  </si>
  <si>
    <t>Ngói:91:Sơn Đen:91:Sắt:91</t>
  </si>
  <si>
    <t>Thép:91:Sơn Tím:91:Búa:91</t>
  </si>
  <si>
    <t>LEVEL_85</t>
  </si>
  <si>
    <t>Gạch:92:Sơn Đỏ:92:Gỗ:92</t>
  </si>
  <si>
    <t>Đá:92:Sơn Vàng:92:Đinh:92</t>
  </si>
  <si>
    <t>Ngói:92:Sơn Đen:92:Sắt:92</t>
  </si>
  <si>
    <t>Thép:92:Sơn Tím:92:Búa:92</t>
  </si>
  <si>
    <t>LEVEL_86</t>
  </si>
  <si>
    <t>Gạch:93:Sơn Đỏ:93:Gỗ:93</t>
  </si>
  <si>
    <t>Đá:93:Sơn Vàng:93:Đinh:93</t>
  </si>
  <si>
    <t>Ngói:93:Sơn Đen:93:Sắt:93</t>
  </si>
  <si>
    <t>Thép:93:Sơn Tím:93:Búa:93</t>
  </si>
  <si>
    <t>LEVEL_87</t>
  </si>
  <si>
    <t>Gạch:94:Sơn Đỏ:94:Gỗ:94</t>
  </si>
  <si>
    <t>Đá:94:Sơn Vàng:94:Đinh:94</t>
  </si>
  <si>
    <t>Ngói:94:Sơn Đen:94:Sắt:94</t>
  </si>
  <si>
    <t>Thép:94:Sơn Tím:94:Búa:94</t>
  </si>
  <si>
    <t>LEVEL_88</t>
  </si>
  <si>
    <t>Gạch:95:Sơn Đỏ:95:Gỗ:95</t>
  </si>
  <si>
    <t>Đá:95:Sơn Vàng:95:Đinh:95</t>
  </si>
  <si>
    <t>Ngói:95:Sơn Đen:95:Sắt:95</t>
  </si>
  <si>
    <t>Thép:95:Sơn Tím:95:Búa:95</t>
  </si>
  <si>
    <t>LEVEL_89</t>
  </si>
  <si>
    <t>Gạch:96:Sơn Đỏ:96:Gỗ:96</t>
  </si>
  <si>
    <t>Đá:96:Sơn Vàng:96:Đinh:96</t>
  </si>
  <si>
    <t>Ngói:96:Sơn Đen:96:Sắt:96</t>
  </si>
  <si>
    <t>Thép:96:Sơn Tím:96:Búa:96</t>
  </si>
  <si>
    <t>LEVEL_90</t>
  </si>
  <si>
    <t>Gạch:97:Sơn Đỏ:97:Gỗ:97</t>
  </si>
  <si>
    <t>Đá:97:Sơn Vàng:97:Đinh:97</t>
  </si>
  <si>
    <t>Ngói:97:Sơn Đen:97:Sắt:97</t>
  </si>
  <si>
    <t>Thép:97:Sơn Tím:97:Búa:97</t>
  </si>
  <si>
    <t>LEVEL_91</t>
  </si>
  <si>
    <t>Gạch:98:Sơn Đỏ:98:Gỗ:98</t>
  </si>
  <si>
    <t>Đá:98:Sơn Vàng:98:Đinh:98</t>
  </si>
  <si>
    <t>Ngói:98:Sơn Đen:98:Sắt:98</t>
  </si>
  <si>
    <t>Thép:98:Sơn Tím:98:Búa:98</t>
  </si>
  <si>
    <t>LEVEL_92</t>
  </si>
  <si>
    <t>Gạch:99:Sơn Đỏ:99:Gỗ:99</t>
  </si>
  <si>
    <t>Đá:99:Sơn Vàng:99:Đinh:99</t>
  </si>
  <si>
    <t>Ngói:99:Sơn Đen:99:Sắt:99</t>
  </si>
  <si>
    <t>Thép:99:Sơn Tím:99:Búa:99</t>
  </si>
  <si>
    <t>LEVEL_93</t>
  </si>
  <si>
    <t>Gạch:100:Sơn Đỏ:100:Gỗ:100</t>
  </si>
  <si>
    <t>Đá:100:Sơn Vàng:100:Đinh:100</t>
  </si>
  <si>
    <t>Ngói:100:Sơn Đen:100:Sắt:100</t>
  </si>
  <si>
    <t>Thép:100:Sơn Tím:100:Búa:100</t>
  </si>
  <si>
    <t>LEVEL_94</t>
  </si>
  <si>
    <t>LEVEL_95</t>
  </si>
  <si>
    <t>LEVEL_96</t>
  </si>
  <si>
    <t>LEVEL_97</t>
  </si>
  <si>
    <t>LEVEL_98</t>
  </si>
  <si>
    <t>LEVEL_99</t>
  </si>
  <si>
    <t>LEVEL_100</t>
  </si>
  <si>
    <t>LEVEL_101</t>
  </si>
  <si>
    <t>LEVEL_102</t>
  </si>
  <si>
    <t>LEVEL_103</t>
  </si>
  <si>
    <t>LEVEL_104</t>
  </si>
  <si>
    <t>LEVEL_105</t>
  </si>
  <si>
    <t>LEVEL_106</t>
  </si>
  <si>
    <t>LEVEL_107</t>
  </si>
  <si>
    <t>LEVEL_108</t>
  </si>
  <si>
    <t>LEVEL_109</t>
  </si>
  <si>
    <t>LEVEL_110</t>
  </si>
  <si>
    <t>LEVEL_111</t>
  </si>
  <si>
    <t>LEVEL_112</t>
  </si>
  <si>
    <t>LEVEL_113</t>
  </si>
  <si>
    <t>LEVEL_114</t>
  </si>
  <si>
    <t>LEVEL_115</t>
  </si>
  <si>
    <t>LEVEL_116</t>
  </si>
  <si>
    <t>LEVEL_117</t>
  </si>
  <si>
    <t>LEVEL_118</t>
  </si>
  <si>
    <t>LEVEL_119</t>
  </si>
  <si>
    <t>LEVEL_120</t>
  </si>
  <si>
    <t>LEVEL_121</t>
  </si>
  <si>
    <t>LEVEL_122</t>
  </si>
  <si>
    <t>LEVEL_123</t>
  </si>
  <si>
    <t>LEVEL_124</t>
  </si>
  <si>
    <t>LEVEL_125</t>
  </si>
  <si>
    <t>LEVEL_126</t>
  </si>
  <si>
    <t>LEVEL_127</t>
  </si>
  <si>
    <t>LEVEL_128</t>
  </si>
  <si>
    <t>LEVEL_129</t>
  </si>
  <si>
    <t>LEVEL_130</t>
  </si>
  <si>
    <t>LEVEL_131</t>
  </si>
  <si>
    <t>LEVEL_132</t>
  </si>
  <si>
    <t>LEVEL_133</t>
  </si>
  <si>
    <t>LEVEL_134</t>
  </si>
  <si>
    <t>LEVEL_135</t>
  </si>
  <si>
    <t>LEVEL_136</t>
  </si>
  <si>
    <t>LEVEL_137</t>
  </si>
  <si>
    <t>LEVEL_138</t>
  </si>
  <si>
    <t>LEVEL_139</t>
  </si>
  <si>
    <t>LEVEL_140</t>
  </si>
  <si>
    <t>LEVEL_141</t>
  </si>
  <si>
    <t>LEVEL_142</t>
  </si>
  <si>
    <t>LEVEL_143</t>
  </si>
  <si>
    <t>LEVEL_144</t>
  </si>
  <si>
    <t>LEVEL_145</t>
  </si>
  <si>
    <t>LEVEL_146</t>
  </si>
  <si>
    <t>LEVEL_147</t>
  </si>
  <si>
    <t>LEVEL_148</t>
  </si>
  <si>
    <t>LEVEL_149</t>
  </si>
  <si>
    <t>LEVEL_150</t>
  </si>
  <si>
    <t>LEVEL_151</t>
  </si>
  <si>
    <t>LEVEL_152</t>
  </si>
  <si>
    <t>LEVEL_153</t>
  </si>
  <si>
    <t>LEVEL_154</t>
  </si>
  <si>
    <t>LEVEL_155</t>
  </si>
  <si>
    <t>LEVEL_156</t>
  </si>
  <si>
    <t>LEVEL_157</t>
  </si>
  <si>
    <t>LEVEL_158</t>
  </si>
  <si>
    <t>LEVEL_159</t>
  </si>
  <si>
    <t>LEVEL_160</t>
  </si>
  <si>
    <t>LEVEL_161</t>
  </si>
  <si>
    <t>LEVEL_162</t>
  </si>
  <si>
    <t>LEVEL_163</t>
  </si>
  <si>
    <t>LEVEL_164</t>
  </si>
  <si>
    <t>LEVEL_165</t>
  </si>
  <si>
    <t>LEVEL_166</t>
  </si>
  <si>
    <t>LEVEL_167</t>
  </si>
  <si>
    <t>LEVEL_168</t>
  </si>
  <si>
    <t>LEVEL_169</t>
  </si>
  <si>
    <t>LEVEL_170</t>
  </si>
  <si>
    <t>LEVEL_171</t>
  </si>
  <si>
    <t>LEVEL_172</t>
  </si>
  <si>
    <t>LEVEL_173</t>
  </si>
  <si>
    <t>LEVEL_174</t>
  </si>
  <si>
    <t>LEVEL_175</t>
  </si>
  <si>
    <t>LEVEL_176</t>
  </si>
  <si>
    <t>LEVEL_177</t>
  </si>
  <si>
    <t>LEVEL_178</t>
  </si>
  <si>
    <t>LEVEL_179</t>
  </si>
  <si>
    <t>LEVEL_180</t>
  </si>
  <si>
    <t>LEVEL_181</t>
  </si>
  <si>
    <t>LEVEL_182</t>
  </si>
  <si>
    <t>LEVEL_183</t>
  </si>
  <si>
    <t>LEVEL_184</t>
  </si>
  <si>
    <t>LEVEL_185</t>
  </si>
  <si>
    <t>LEVEL_186</t>
  </si>
  <si>
    <t>LEVEL_187</t>
  </si>
  <si>
    <t>LEVEL_188</t>
  </si>
  <si>
    <t>LEVEL_189</t>
  </si>
  <si>
    <t>LEVEL_190</t>
  </si>
  <si>
    <t>LEVEL_191</t>
  </si>
  <si>
    <t>LEVEL_192</t>
  </si>
  <si>
    <t>LEVEL_193</t>
  </si>
  <si>
    <t>LEVEL_194</t>
  </si>
  <si>
    <t>LEVEL_195</t>
  </si>
  <si>
    <t>LEVEL_196</t>
  </si>
  <si>
    <t>LEVEL_197</t>
  </si>
  <si>
    <t>LEVEL_198</t>
  </si>
  <si>
    <t>LEVEL_199</t>
  </si>
  <si>
    <t>LEVEL_200</t>
  </si>
  <si>
    <t>LEVEL_0</t>
  </si>
  <si>
    <t>Appraisal</t>
  </si>
  <si>
    <t>STOCK_3</t>
  </si>
  <si>
    <t>3</t>
  </si>
  <si>
    <t>6</t>
  </si>
  <si>
    <t>9</t>
  </si>
  <si>
    <t>12</t>
  </si>
  <si>
    <t>15</t>
  </si>
  <si>
    <t>18</t>
  </si>
  <si>
    <t>21</t>
  </si>
  <si>
    <t>24</t>
  </si>
  <si>
    <t>27</t>
  </si>
  <si>
    <t>33</t>
  </si>
  <si>
    <t>36</t>
  </si>
  <si>
    <t>39</t>
  </si>
  <si>
    <t>42</t>
  </si>
  <si>
    <t>45</t>
  </si>
  <si>
    <t>48</t>
  </si>
  <si>
    <t>51</t>
  </si>
  <si>
    <t>54</t>
  </si>
  <si>
    <t>57</t>
  </si>
  <si>
    <t>63</t>
  </si>
  <si>
    <t>66</t>
  </si>
  <si>
    <t>69</t>
  </si>
  <si>
    <t>72</t>
  </si>
  <si>
    <t>78</t>
  </si>
  <si>
    <t>81</t>
  </si>
  <si>
    <t>84</t>
  </si>
  <si>
    <t>87</t>
  </si>
  <si>
    <t>90</t>
  </si>
  <si>
    <t>93</t>
  </si>
  <si>
    <t>96</t>
  </si>
  <si>
    <t>99</t>
  </si>
  <si>
    <t>102</t>
  </si>
  <si>
    <t>105</t>
  </si>
  <si>
    <t>108</t>
  </si>
  <si>
    <t>111</t>
  </si>
  <si>
    <t>114</t>
  </si>
  <si>
    <t>117</t>
  </si>
  <si>
    <t>120</t>
  </si>
  <si>
    <t>123</t>
  </si>
  <si>
    <t>126</t>
  </si>
  <si>
    <t>129</t>
  </si>
  <si>
    <t>132</t>
  </si>
  <si>
    <t>135</t>
  </si>
  <si>
    <t>138</t>
  </si>
  <si>
    <t>141</t>
  </si>
  <si>
    <t>144</t>
  </si>
  <si>
    <t>147</t>
  </si>
  <si>
    <t>150</t>
  </si>
  <si>
    <t>153</t>
  </si>
  <si>
    <t>156</t>
  </si>
  <si>
    <t>159</t>
  </si>
  <si>
    <t>162</t>
  </si>
  <si>
    <t>165</t>
  </si>
  <si>
    <t>168</t>
  </si>
  <si>
    <t>171</t>
  </si>
  <si>
    <t>174</t>
  </si>
  <si>
    <t>177</t>
  </si>
  <si>
    <t>180</t>
  </si>
  <si>
    <t>183</t>
  </si>
  <si>
    <t>186</t>
  </si>
  <si>
    <t>189</t>
  </si>
  <si>
    <t>192</t>
  </si>
  <si>
    <t>195</t>
  </si>
  <si>
    <t>198</t>
  </si>
  <si>
    <t>201</t>
  </si>
  <si>
    <t>204</t>
  </si>
  <si>
    <t>207</t>
  </si>
  <si>
    <t>210</t>
  </si>
  <si>
    <t>213</t>
  </si>
  <si>
    <t>216</t>
  </si>
  <si>
    <t>219</t>
  </si>
  <si>
    <t>222</t>
  </si>
  <si>
    <t>225</t>
  </si>
  <si>
    <t>228</t>
  </si>
  <si>
    <t>231</t>
  </si>
  <si>
    <t>234</t>
  </si>
  <si>
    <t>237</t>
  </si>
  <si>
    <t>240</t>
  </si>
  <si>
    <t>243</t>
  </si>
  <si>
    <t>246</t>
  </si>
  <si>
    <t>249</t>
  </si>
  <si>
    <t>252</t>
  </si>
  <si>
    <t>255</t>
  </si>
  <si>
    <t>258</t>
  </si>
  <si>
    <t>261</t>
  </si>
  <si>
    <t>264</t>
  </si>
  <si>
    <t>267</t>
  </si>
  <si>
    <t>270</t>
  </si>
  <si>
    <t>273</t>
  </si>
  <si>
    <t>HỒNG</t>
  </si>
  <si>
    <t>TÁO</t>
  </si>
  <si>
    <t>BÔNG</t>
  </si>
  <si>
    <t>TUYẾT</t>
  </si>
  <si>
    <t>OẢI HƯƠNG</t>
  </si>
  <si>
    <t>DỪA</t>
  </si>
  <si>
    <t>CHANH</t>
  </si>
  <si>
    <t>DƯA HẤU</t>
  </si>
  <si>
    <t>TRÀ</t>
  </si>
  <si>
    <t>MÍT</t>
  </si>
  <si>
    <t>DỨA</t>
  </si>
  <si>
    <t>XOÀI</t>
  </si>
  <si>
    <t>NHO</t>
  </si>
  <si>
    <t>LÀI</t>
  </si>
  <si>
    <t>CÚC</t>
  </si>
  <si>
    <t>BI</t>
  </si>
  <si>
    <t>SEN</t>
  </si>
  <si>
    <t>HƯỚNG DƯƠNG</t>
  </si>
  <si>
    <t>VIỆT QUẤT</t>
  </si>
  <si>
    <t>DÂU</t>
  </si>
  <si>
    <t>DIAMOND_BUY</t>
  </si>
  <si>
    <t>Minutes</t>
  </si>
  <si>
    <t>Hours</t>
  </si>
  <si>
    <t>HỒNG SẤY</t>
  </si>
  <si>
    <t>NƯỚC TÁO</t>
  </si>
  <si>
    <t>TÁO SẤY</t>
  </si>
  <si>
    <t>VẢI ĐỎ</t>
  </si>
  <si>
    <t>NƯỚC TINH KHIẾT</t>
  </si>
  <si>
    <t>VẢI VÀNG</t>
  </si>
  <si>
    <t>OẢI HƯƠNG SẤY</t>
  </si>
  <si>
    <t>NƯỚC DỪA</t>
  </si>
  <si>
    <t>DỪA SẤY</t>
  </si>
  <si>
    <t>VẢI TÍM</t>
  </si>
  <si>
    <t>NƯỚC CHANH</t>
  </si>
  <si>
    <t>NƯỚC DƯA HẤU</t>
  </si>
  <si>
    <t>VẢI XANH LÁ</t>
  </si>
  <si>
    <t>HẠT DƯA SẤY</t>
  </si>
  <si>
    <t>TRÀ SẤY</t>
  </si>
  <si>
    <t>MÍT SẤY</t>
  </si>
  <si>
    <t>SINH TỐ MÍT</t>
  </si>
  <si>
    <t>TINH DẦU HOA HỒNG</t>
  </si>
  <si>
    <t>DỨA SẤY</t>
  </si>
  <si>
    <t>NƯỚC DỨA</t>
  </si>
  <si>
    <t>TINH DẦU TÁO</t>
  </si>
  <si>
    <t>TINH DẦU OẢI HƯƠNG</t>
  </si>
  <si>
    <t>XOÀI SẤY</t>
  </si>
  <si>
    <t>SINH TỐ XOÀI</t>
  </si>
  <si>
    <t>NƯỚC NHO</t>
  </si>
  <si>
    <t>TINH DẦU DỪA</t>
  </si>
  <si>
    <t>LÀI SẤY</t>
  </si>
  <si>
    <t>TRÀ HOA HỒNG</t>
  </si>
  <si>
    <t>TRÀ ĐÁ</t>
  </si>
  <si>
    <t>TRÀ TÁO</t>
  </si>
  <si>
    <t>TRÀ CHANH</t>
  </si>
  <si>
    <t>TRÀ NHO</t>
  </si>
  <si>
    <t>TINH DẦU CHANH</t>
  </si>
  <si>
    <t>CÚC SẤY</t>
  </si>
  <si>
    <t>BÓ HỒNG</t>
  </si>
  <si>
    <t>VẢI TRẮNG</t>
  </si>
  <si>
    <t>BÓ OẢI HƯƠNG</t>
  </si>
  <si>
    <t>BÓ CÚC</t>
  </si>
  <si>
    <t>TRÀ HOA CÚC</t>
  </si>
  <si>
    <t>NƯỚC HOA HỒNG</t>
  </si>
  <si>
    <t>TINH DẦU SEN</t>
  </si>
  <si>
    <t>HẠT SEN</t>
  </si>
  <si>
    <t>NƯỚC HOA HƯƠNG TÁO</t>
  </si>
  <si>
    <t>TRÀ TRÁI CÂY</t>
  </si>
  <si>
    <t>NƯỚC HOA OẢI HƯƠNG</t>
  </si>
  <si>
    <t>NHO SẤY</t>
  </si>
  <si>
    <t>BÓ HƯỚNG DƯƠNG</t>
  </si>
  <si>
    <t>TÚI HOA HỒNG</t>
  </si>
  <si>
    <t>TÚI HƯƠNG TÁO</t>
  </si>
  <si>
    <t>VẢI HỒNG</t>
  </si>
  <si>
    <t>BÓ SEN</t>
  </si>
  <si>
    <t>VẢI ĐEN</t>
  </si>
  <si>
    <t>TRÀ VIỆT QUẤT</t>
  </si>
  <si>
    <t>HẠT HƯỚNG DƯƠNG</t>
  </si>
  <si>
    <t>NƯỚC HOA HƯƠNG CHANH</t>
  </si>
  <si>
    <t>NƯỚC VIỆT QUẤT</t>
  </si>
  <si>
    <t>TINH DẦU VIỆT QUẤT</t>
  </si>
  <si>
    <t>VẢI XANH BIỂN</t>
  </si>
  <si>
    <t>TRÀ SEN</t>
  </si>
  <si>
    <t>TÚI OẢI HƯƠNG</t>
  </si>
  <si>
    <t>NƯỚC HOA VIỆT QUẤT</t>
  </si>
  <si>
    <t>VIỆT QUẤT SẤY</t>
  </si>
  <si>
    <t>TÚI HƯƠNG CHANH</t>
  </si>
  <si>
    <t>KHĂN ĐỎ</t>
  </si>
  <si>
    <t>NƯỚC DÂU</t>
  </si>
  <si>
    <t>TÚI VIỆT QUẤT</t>
  </si>
  <si>
    <t>YẾM SÓI</t>
  </si>
  <si>
    <t>THẢM BAY</t>
  </si>
  <si>
    <t>TINH DẦU DÂU</t>
  </si>
  <si>
    <t>NƯỚC HOA HƯƠNG SEN</t>
  </si>
  <si>
    <t>GIỎ CÚ</t>
  </si>
  <si>
    <t>TÚI HƯƠNG SEN</t>
  </si>
  <si>
    <t>NƠ CÔNG CHÚA</t>
  </si>
  <si>
    <t>BÓ LÀI</t>
  </si>
  <si>
    <t>TÚI VẢI</t>
  </si>
  <si>
    <t>NƯỚC HOA HƯƠNG DÂU</t>
  </si>
  <si>
    <t xml:space="preserve">ÁO CHOÀNG </t>
  </si>
  <si>
    <t>NÓN BÁ TƯỚC</t>
  </si>
  <si>
    <t>MACHINE_ID</t>
  </si>
  <si>
    <t>REQUIRE_ITEM</t>
  </si>
  <si>
    <t>Hồng:3</t>
  </si>
  <si>
    <t>Táo:4</t>
  </si>
  <si>
    <t>Táo:3</t>
  </si>
  <si>
    <t>Hồng Sấy:1:Bông:3</t>
  </si>
  <si>
    <t>Tuyết:4</t>
  </si>
  <si>
    <t>Nước Táo:1:Bông:3</t>
  </si>
  <si>
    <t>Oải Hương:3</t>
  </si>
  <si>
    <t>Dừa:4</t>
  </si>
  <si>
    <t>Dừa:3</t>
  </si>
  <si>
    <t>Oải Hương Sấy:1:Bông:3</t>
  </si>
  <si>
    <t>Chanh:4</t>
  </si>
  <si>
    <t>Dưa Hấu:4</t>
  </si>
  <si>
    <t>Nước Chanh:1:Bông:3</t>
  </si>
  <si>
    <t>Dưa Hấu:3</t>
  </si>
  <si>
    <t>Trà:3</t>
  </si>
  <si>
    <t>Mít:3</t>
  </si>
  <si>
    <t>Mít:4</t>
  </si>
  <si>
    <t>Tuyết:4:Hồng:5</t>
  </si>
  <si>
    <t>Dứa:3</t>
  </si>
  <si>
    <t>Dứa:4</t>
  </si>
  <si>
    <t>Tuyết:4:Táo:5</t>
  </si>
  <si>
    <t>Tuyết:4:Oải Hương:5</t>
  </si>
  <si>
    <t>Xoài:3</t>
  </si>
  <si>
    <t>Xoài:4</t>
  </si>
  <si>
    <t>Nho:4</t>
  </si>
  <si>
    <t>Tuyết:4:Dừa:5</t>
  </si>
  <si>
    <t>Lài:3</t>
  </si>
  <si>
    <t>Nước Tinh Khiết:1:Hồng Sấy:2</t>
  </si>
  <si>
    <t>Tuyết:4:Trà Sấy:1</t>
  </si>
  <si>
    <t>Nước Táo:1:Trà Sấy:1:Tuyết:4</t>
  </si>
  <si>
    <t>Nước Chanh:1:Trà Sấy:1:Tuyết:4</t>
  </si>
  <si>
    <t>Nước Nho:1:Trà Sấy:1:Tuyết:4</t>
  </si>
  <si>
    <t>Tuyết:4:Chanh:5</t>
  </si>
  <si>
    <t>Cúc:3</t>
  </si>
  <si>
    <t>Bi:3:Hồng:6:Vải Đỏ:1</t>
  </si>
  <si>
    <t>Cúc Sấy:1:Bông:3</t>
  </si>
  <si>
    <t>Bi:3:Oải Hương:6:Vải Tím:1</t>
  </si>
  <si>
    <t>Bi:3:Cúc:6:Vải Trắng:1</t>
  </si>
  <si>
    <t>Nước Tinh Khiết:1:Cúc Sấy:2</t>
  </si>
  <si>
    <t>Hồng:4:Tinh Dầu Hoa Hồng:1</t>
  </si>
  <si>
    <t>Tuyết:4:Sen:5</t>
  </si>
  <si>
    <t>Sen:3</t>
  </si>
  <si>
    <t>Nước Táo:1:Tinh Dầu Táo:1</t>
  </si>
  <si>
    <t>Nước Dưa Hấu:1:Nước Dứa:1:Trà Sấy:1</t>
  </si>
  <si>
    <t>Oải Hương:4:Tinh Dầu Oải Hương:1</t>
  </si>
  <si>
    <t>Nho:3</t>
  </si>
  <si>
    <t>Bi:3:Hướng Dương:6:Vải Vàng:1</t>
  </si>
  <si>
    <t>Nước Hoa Hồng:3:Vải Đỏ:3:Hồng Sấy:3:Hồng:3</t>
  </si>
  <si>
    <t>Nước Hoa Hương Táo:3:Vải Vàng:3:Táo Sấy:3:Táo:3</t>
  </si>
  <si>
    <t>Sen:3:Bông:3</t>
  </si>
  <si>
    <t>Vải Hồng:1:Sen:6</t>
  </si>
  <si>
    <t>Nho Sấy:3:Bông:3</t>
  </si>
  <si>
    <t>Nước Việt Quất:1:Trà Sấy:2</t>
  </si>
  <si>
    <t>Hướng Dương:3</t>
  </si>
  <si>
    <t>Nước Chanh:1:Tinh Dầu Chanh:1</t>
  </si>
  <si>
    <t>Việt Quất:4</t>
  </si>
  <si>
    <t>Tuyết:4:Việt Quất:5</t>
  </si>
  <si>
    <t>Nước Việt Quất:1:Bông:3</t>
  </si>
  <si>
    <t>Nước Tinh Khiết:2:Hạt Sen:2</t>
  </si>
  <si>
    <t>Nước Hoa Oải Hương:3:Vải Tím:3:Oải Hương Sấy:3:Oải Hương:3</t>
  </si>
  <si>
    <t>Nước Việt Quất:1:Tinh Dầu Việt Quất:1</t>
  </si>
  <si>
    <t>Việt Quất:3</t>
  </si>
  <si>
    <t>Nước Hoa Hương Chanh:3:Vải Xanh Lá:3:Chanh:12</t>
  </si>
  <si>
    <t>Nước Hoa Hồng:2:Vải Đỏ:2:Ngọc Đỏ:3</t>
  </si>
  <si>
    <t>Dâu:4</t>
  </si>
  <si>
    <t>Nước Hoa Việt Quất:3:Vải Xanh Biển:3:Việt Quất:6</t>
  </si>
  <si>
    <t>Nước Hoa Hương Táo:2:Vải Vàng:2:Ngọc Vàng:3</t>
  </si>
  <si>
    <t>Nước Hoa Hương Chanh:2:Vải Tím:2:Ngọc Xanh Biển:3</t>
  </si>
  <si>
    <t>Tuyết:4:Dâu:5</t>
  </si>
  <si>
    <t>Sen:4:Tinh Dầu Sen:1</t>
  </si>
  <si>
    <t>Nước Hoa Oải Hương:2:Vải Xanh Lá:2:Ngọc Tím:3</t>
  </si>
  <si>
    <t>Nước Hoa Hương Sen:3:Vải Hồng:3:Sen:6</t>
  </si>
  <si>
    <t>Nước Hoa Hương Sen:2:Vải Hồng:2:Ngọc Cầu Vồng:3</t>
  </si>
  <si>
    <t>Vải Xanh Biển:1:Lài:6</t>
  </si>
  <si>
    <t>Nước Hoa Việt Quất:2:Vải Trắng:2:Ngọc Cam:3</t>
  </si>
  <si>
    <t>Nước Dâu:1:Tinh Dầu Dâu:1</t>
  </si>
  <si>
    <t>Nước Hoa Hồng:2:Vải Xanh Biển:2:Ngọc Xanh Lá:3</t>
  </si>
  <si>
    <t>Nước Hoa Hương Dâu:2:Vải Đen:2:Ngọc Cầu Vồng:3</t>
  </si>
  <si>
    <t>Material 1</t>
  </si>
  <si>
    <t>Material 2</t>
  </si>
  <si>
    <t>Material 3</t>
  </si>
  <si>
    <t>Material 4</t>
  </si>
  <si>
    <t>NGỌC ĐỎ</t>
  </si>
  <si>
    <t>Tuyết:1:Bọ Rùa:2</t>
  </si>
  <si>
    <t>NGỌC XANH BIỂN</t>
  </si>
  <si>
    <t>Tuyết:1:Ốc Sên:3</t>
  </si>
  <si>
    <t>NGỌC VÀNG</t>
  </si>
  <si>
    <t>Tuyết:1:Đom Đóm:4</t>
  </si>
  <si>
    <t>NGỌC TÍM</t>
  </si>
  <si>
    <t>Ngọc Xanh Biển:1:Ngọc Đỏ:1:Ong:2:Tuyết:2</t>
  </si>
  <si>
    <t>NGỌC CAM</t>
  </si>
  <si>
    <t>Ngọc Đỏ:2:Ngọc Vàng:1:Chuồn Chuồn:2:Tuyết:2</t>
  </si>
  <si>
    <t>NGỌC XANH LÁ</t>
  </si>
  <si>
    <t>Ngọc Xanh Biển:2:Ngọc Vàng:1:Bướm:2:Tuyết:2</t>
  </si>
  <si>
    <t>NGỌC CẦU VỒNG</t>
  </si>
  <si>
    <t>Ngọc Đỏ:5:Ngọc Xanh Lá:3:Sâu Xanh:2:Lài:2</t>
  </si>
  <si>
    <t>Hồng</t>
  </si>
  <si>
    <t>Táo</t>
  </si>
  <si>
    <t>Tuyết</t>
  </si>
  <si>
    <t>Oải Hương</t>
  </si>
  <si>
    <t>Dừa</t>
  </si>
  <si>
    <t>Chanh</t>
  </si>
  <si>
    <t>Dưa Hấu</t>
  </si>
  <si>
    <t>Trà</t>
  </si>
  <si>
    <t>Mít</t>
  </si>
  <si>
    <t>Dứa</t>
  </si>
  <si>
    <t>Xoài</t>
  </si>
  <si>
    <t>Nho</t>
  </si>
  <si>
    <t>Lài</t>
  </si>
  <si>
    <t>Cúc</t>
  </si>
  <si>
    <t>Hồng Sấy</t>
  </si>
  <si>
    <t>Nước Táo</t>
  </si>
  <si>
    <t>Oải Hương Sấy</t>
  </si>
  <si>
    <t>Nước Chanh</t>
  </si>
  <si>
    <t>Nước Tinh Khiết</t>
  </si>
  <si>
    <t>Nước Nho</t>
  </si>
  <si>
    <t>Bi</t>
  </si>
  <si>
    <t>Cúc Sấy</t>
  </si>
  <si>
    <t>Bông</t>
  </si>
  <si>
    <t>Trà Sấy</t>
  </si>
  <si>
    <t>Vải Đỏ</t>
  </si>
  <si>
    <t>Vải Tím</t>
  </si>
  <si>
    <t>Vải Trắng</t>
  </si>
  <si>
    <t>Tinh Dầu Hoa Hồng</t>
  </si>
  <si>
    <t>Sen</t>
  </si>
  <si>
    <t>Tinh Dầu Táo</t>
  </si>
  <si>
    <t>Nước Dưa Hấu</t>
  </si>
  <si>
    <t>Nước Dứa</t>
  </si>
  <si>
    <t>Tinh Dầu Oải Hương</t>
  </si>
  <si>
    <t>Hướng Dương</t>
  </si>
  <si>
    <t>Vải Vàng</t>
  </si>
  <si>
    <t>Nước Hoa Hồng</t>
  </si>
  <si>
    <t>Nước Hoa Hương Táo</t>
  </si>
  <si>
    <t>Táo Sấy</t>
  </si>
  <si>
    <t>Vải Hồng</t>
  </si>
  <si>
    <t>Nho Sấy</t>
  </si>
  <si>
    <t>Nước Việt Quất</t>
  </si>
  <si>
    <t>Tinh Dầu Chanh</t>
  </si>
  <si>
    <t>Việt Quất</t>
  </si>
  <si>
    <t>Hạt Sen</t>
  </si>
  <si>
    <t>Nước Hoa Oải Hương</t>
  </si>
  <si>
    <t>Tinh Dầu Việt Quất</t>
  </si>
  <si>
    <t>Nước Hoa Hương Chanh</t>
  </si>
  <si>
    <t>Vải Xanh Lá</t>
  </si>
  <si>
    <t>Ngọc Đỏ</t>
  </si>
  <si>
    <t>Dâu</t>
  </si>
  <si>
    <t>Nước Hoa Việt Quất</t>
  </si>
  <si>
    <t>Vải Xanh Biển</t>
  </si>
  <si>
    <t>Ngọc Vàng</t>
  </si>
  <si>
    <t>Ngọc Xanh Biển</t>
  </si>
  <si>
    <t>Tinh Dầu Sen</t>
  </si>
  <si>
    <t>Ngọc Tím</t>
  </si>
  <si>
    <t>Nước Hoa Hương Sen</t>
  </si>
  <si>
    <t>Ngọc Cầu Vồng</t>
  </si>
  <si>
    <t>Ngọc Cam</t>
  </si>
  <si>
    <t>Nước Dâu</t>
  </si>
  <si>
    <t>Tinh Dầu Dâu</t>
  </si>
  <si>
    <t>Ngọc Xanh Lá</t>
  </si>
  <si>
    <t>Nước Hoa Hương Dâu</t>
  </si>
  <si>
    <t>Vải Đen</t>
  </si>
  <si>
    <t>Bọ Rùa</t>
  </si>
  <si>
    <t>Ốc Sên</t>
  </si>
  <si>
    <t>Đom Đóm</t>
  </si>
  <si>
    <t>Ong</t>
  </si>
  <si>
    <t>Chuồn Chuồn</t>
  </si>
  <si>
    <t>Bướm</t>
  </si>
  <si>
    <t>Sâu Xanh</t>
  </si>
  <si>
    <t>PRODUCTION_TIME</t>
  </si>
  <si>
    <t>Skip 1</t>
  </si>
  <si>
    <t>Skip 2</t>
  </si>
  <si>
    <t>Skip 3</t>
  </si>
  <si>
    <t>Skip 4</t>
  </si>
  <si>
    <t>Num 1</t>
  </si>
  <si>
    <t>Num 2</t>
  </si>
  <si>
    <t>Num 3</t>
  </si>
  <si>
    <t>Num 4</t>
  </si>
  <si>
    <t>BỌ RÙA</t>
  </si>
  <si>
    <t>ĐOM ĐÓM</t>
  </si>
  <si>
    <t>ỐC SÊN</t>
  </si>
  <si>
    <t>CHUỒN CHUỒN</t>
  </si>
  <si>
    <t>BƯỚM</t>
  </si>
  <si>
    <t>ONG</t>
  </si>
  <si>
    <t>SÂU XANH</t>
  </si>
  <si>
    <t>PEST</t>
  </si>
  <si>
    <t>Protime 1</t>
  </si>
  <si>
    <t>Protime 2</t>
  </si>
  <si>
    <t>Protime 3</t>
  </si>
  <si>
    <t>Protime 4</t>
  </si>
  <si>
    <t>PLANT</t>
  </si>
  <si>
    <t>Protime_skip1</t>
  </si>
  <si>
    <t>Protime_skip2</t>
  </si>
  <si>
    <t>Protime_skip3</t>
  </si>
  <si>
    <t>Protime_skip4</t>
  </si>
  <si>
    <t>Sở hữu 2 tầng mây</t>
  </si>
  <si>
    <t>Vàng lúc đầu cần
đến lv7</t>
  </si>
  <si>
    <t>THẦN POISEDON</t>
  </si>
  <si>
    <t>THẦN HERMES</t>
  </si>
  <si>
    <t>THẦN CUPID</t>
  </si>
  <si>
    <t>THẦN HADES</t>
  </si>
  <si>
    <t>THẦN PAN</t>
  </si>
  <si>
    <t>THẦN ARES</t>
  </si>
  <si>
    <t>THẦN HERA</t>
  </si>
  <si>
    <t>THẦN ATHENA</t>
  </si>
  <si>
    <t>THẦN HERCULES</t>
  </si>
  <si>
    <t>THẦN HEPHAESTUS</t>
  </si>
  <si>
    <t>THẦN APOLLO</t>
  </si>
  <si>
    <t>THẦN ZEUS</t>
  </si>
  <si>
    <t>CHẬU ĐẦU LÂN</t>
  </si>
  <si>
    <t>CHẬU THỎI VÀNG</t>
  </si>
  <si>
    <t>CHẬU DƯA HẤU</t>
  </si>
  <si>
    <t>CHẬU ÉN VÀNG</t>
  </si>
  <si>
    <t>CHẬU HỘP MỨT</t>
  </si>
  <si>
    <t>CHẬU CÂY MAI</t>
  </si>
  <si>
    <t>CHẬU BẠC HÀ</t>
  </si>
  <si>
    <t>CHẬU SOCOLA</t>
  </si>
  <si>
    <t>CHẬU CHERRY</t>
  </si>
  <si>
    <t>CHẬU DÂU TÂY</t>
  </si>
  <si>
    <t>CHẬU TRÀ XANH</t>
  </si>
  <si>
    <t>CHẬU PHÚC BỒN TỬ</t>
  </si>
  <si>
    <t>CHẬU COCKTAIL DƯA HẤU</t>
  </si>
  <si>
    <t>CHẬU COCKTAIL BẠC HÀ</t>
  </si>
  <si>
    <t>CHẬU COCKTAIL YAOURT</t>
  </si>
  <si>
    <t>CHẬU COCKTAIL SOCOLA</t>
  </si>
  <si>
    <t>CHẬU COCKTAIL CAM DÂU</t>
  </si>
  <si>
    <t>CHẬU COCKTAIL CHANH</t>
  </si>
  <si>
    <t>CHẬU SEN HỒNG</t>
  </si>
  <si>
    <t>CHẬU CÁ CHÉP</t>
  </si>
  <si>
    <t>CHẬU ÔNG SAO</t>
  </si>
  <si>
    <t>CHẬU BƯƠM BƯỚM</t>
  </si>
  <si>
    <t>CHẬU GÀ TRỐNG</t>
  </si>
  <si>
    <t>CHẬU DU THUYỀN</t>
  </si>
  <si>
    <t>CHẬU VẠC DẦU</t>
  </si>
  <si>
    <t>CHẬU BÍ MA</t>
  </si>
  <si>
    <t>CHẬU NÓN PHÙ THỦY</t>
  </si>
  <si>
    <t>CHẬU NHÀ MA QUÁI</t>
  </si>
  <si>
    <t>CHẬU XÁC ƯỚP</t>
  </si>
  <si>
    <t>CHẬU NHỆN ĐỘC</t>
  </si>
  <si>
    <t>CHẬU TUẦN LỘC</t>
  </si>
  <si>
    <t>CHẬU XE TRƯỢT TUYẾT</t>
  </si>
  <si>
    <t>CHẬU ÔNG GIÀ NOEL</t>
  </si>
  <si>
    <t>CHẬU HÀI NOEL</t>
  </si>
  <si>
    <t>CHẬU QUẢ CHÂU NOEL</t>
  </si>
  <si>
    <t>CHẬU BÁNH KHÚC CÂY</t>
  </si>
  <si>
    <t>CHẬU KHĂN LEN</t>
  </si>
  <si>
    <t>CHẬU CHUÔNG NOEL</t>
  </si>
  <si>
    <t>CHẬU HỘP QUÀ NOEL</t>
  </si>
  <si>
    <t>CHẬU NÓN LEN</t>
  </si>
  <si>
    <t>CHẬU TẦM GỬI</t>
  </si>
  <si>
    <t>CHẬU KẸO NOEL</t>
  </si>
  <si>
    <t>CHẬU CHUỘT HAM ĂN</t>
  </si>
  <si>
    <t>CHẬU TRÂU NGƠ NGẨN</t>
  </si>
  <si>
    <t>CHẬU CỌP VUI VẺ</t>
  </si>
  <si>
    <t xml:space="preserve">CHẬU MÈO CHĂM CHỈ </t>
  </si>
  <si>
    <t>CHẬU RỒNG TRẦM NGÂM</t>
  </si>
  <si>
    <t>CHẬU RẮN THÔNG THÁI</t>
  </si>
  <si>
    <t>CHẬU NGỰA HỒN NHIÊN</t>
  </si>
  <si>
    <t>CHẬU DÊ LÉM LỈNH</t>
  </si>
  <si>
    <t>CHẬU KHỈ SUY TƯ</t>
  </si>
  <si>
    <t>CHẬU GÀ NGHIÊM NGHỊ</t>
  </si>
  <si>
    <t>CHẬU CHÓ VÔ TƯ</t>
  </si>
  <si>
    <t>CHẬU HEO ỤC ỊT</t>
  </si>
  <si>
    <t>CHẬU HOA MAI</t>
  </si>
  <si>
    <t>CHẬU HOA ĐÀO</t>
  </si>
  <si>
    <t>CHẬU NỤ TẦM XUÂN</t>
  </si>
  <si>
    <t>CHẬU HOA CẨM CHƯỚNG</t>
  </si>
  <si>
    <t>CHẬU HOA THỦY TIÊN</t>
  </si>
  <si>
    <t>CHẬU HOA LƯU LY</t>
  </si>
  <si>
    <t>THE LAST POT</t>
  </si>
  <si>
    <t>Nước Thần</t>
  </si>
  <si>
    <t>Keo Dán Mây</t>
  </si>
  <si>
    <t>Thỏi Bạch Kim</t>
  </si>
  <si>
    <t>Thỏi Vàng</t>
  </si>
  <si>
    <t xml:space="preserve">Ngọc Cầu Vồng </t>
  </si>
  <si>
    <t xml:space="preserve">Ngọc Xanh Lá </t>
  </si>
  <si>
    <t xml:space="preserve">Ngọc Cam </t>
  </si>
  <si>
    <t xml:space="preserve">Ngọc Tím </t>
  </si>
  <si>
    <t xml:space="preserve">Thỏi Đồng </t>
  </si>
  <si>
    <t xml:space="preserve">Thỏi Bạc </t>
  </si>
  <si>
    <t xml:space="preserve">Thỏi Vàng </t>
  </si>
  <si>
    <t xml:space="preserve">Thỏi Bạch Kim </t>
  </si>
  <si>
    <t>POT_RAKING_STAR</t>
  </si>
  <si>
    <t>COMMON</t>
  </si>
  <si>
    <t>RARE</t>
  </si>
  <si>
    <t>EPIC</t>
  </si>
  <si>
    <t>LEGENDARY</t>
  </si>
  <si>
    <t>PRICE_TYPE</t>
  </si>
  <si>
    <t>PRICE_TURN</t>
  </si>
  <si>
    <t>TIME_WAIT</t>
  </si>
  <si>
    <t>DURATION</t>
  </si>
  <si>
    <t>C1</t>
  </si>
  <si>
    <t>CHEST</t>
  </si>
  <si>
    <t xml:space="preserve">Rương Đồng </t>
  </si>
  <si>
    <t>C2</t>
  </si>
  <si>
    <t xml:space="preserve">Rương Bạc </t>
  </si>
  <si>
    <t>C3</t>
  </si>
  <si>
    <t xml:space="preserve">Rương Vàng </t>
  </si>
  <si>
    <t>REPU</t>
  </si>
  <si>
    <t>C4</t>
  </si>
  <si>
    <t>Rương Bạch Kim</t>
  </si>
  <si>
    <t>COIN</t>
  </si>
  <si>
    <t>C5</t>
  </si>
  <si>
    <t>Rương Kim Cương</t>
  </si>
  <si>
    <t>GROUP</t>
  </si>
  <si>
    <t>Ngọc Đỏ:1</t>
  </si>
  <si>
    <t>Ngọc Cầu Vồng:1</t>
  </si>
  <si>
    <t>CHẬU CHU TƯỚC:1</t>
  </si>
  <si>
    <t>Ngọc Xanh Biển:1</t>
  </si>
  <si>
    <t>CHẬU THANH LONG:1</t>
  </si>
  <si>
    <t>CHẬU BẠCH HỔ:1</t>
  </si>
  <si>
    <t>Ngọc Tím:1</t>
  </si>
  <si>
    <t>Ngọc Cam:1</t>
  </si>
  <si>
    <t>Ngọc Xanh Lá:1</t>
  </si>
  <si>
    <t>CHẬU DƠI XINH XẮN:1</t>
  </si>
  <si>
    <t>Vàng:1000</t>
  </si>
  <si>
    <t>CHẬU DƠI NGỐC NGHẾCH:1</t>
  </si>
  <si>
    <t>CHẬU DƠI NGHỊCH NGỢM:1</t>
  </si>
  <si>
    <t>Café:1</t>
  </si>
  <si>
    <t>CHẬU HOA BÚP:1</t>
  </si>
  <si>
    <t>Vàng:300</t>
  </si>
  <si>
    <t>Nước Tăng Lực:1</t>
  </si>
  <si>
    <t>CỎ XANH CỰC HIẾM:1</t>
  </si>
  <si>
    <t>CHẬU SAN HÔ:1</t>
  </si>
  <si>
    <t>CHẬU TRĂNG NON:1</t>
  </si>
  <si>
    <t>CHẬU TRÂU:1</t>
  </si>
  <si>
    <t>CHẬU MẶT TRỜI:1</t>
  </si>
  <si>
    <t>CHẬU HOA TUYẾT:1</t>
  </si>
  <si>
    <t>CHẬU TIỂU TIÊN RỪNG XANH:1</t>
  </si>
  <si>
    <t>Vàng:500</t>
  </si>
  <si>
    <t>RATE_1</t>
  </si>
  <si>
    <t>SLOT_1</t>
  </si>
  <si>
    <t>SLOT_2</t>
  </si>
  <si>
    <t>SLOT_3</t>
  </si>
  <si>
    <t>SLOT_4</t>
  </si>
  <si>
    <t>SLOT_5</t>
  </si>
  <si>
    <t>SLOT_6</t>
  </si>
  <si>
    <t>SLOT_7</t>
  </si>
  <si>
    <t>SLOT_8</t>
  </si>
  <si>
    <t>SLOT_9</t>
  </si>
  <si>
    <t>RATE_2</t>
  </si>
  <si>
    <t>RATE_3</t>
  </si>
  <si>
    <t>RATE_4</t>
  </si>
  <si>
    <t>RATE_5</t>
  </si>
  <si>
    <t>RATE_6</t>
  </si>
  <si>
    <t>RATE_7</t>
  </si>
  <si>
    <t>RATE_8</t>
  </si>
  <si>
    <t>RATE_9</t>
  </si>
  <si>
    <t>RATE_10</t>
  </si>
  <si>
    <t>RATE_11</t>
  </si>
  <si>
    <t>CHẬU THỦY SINH:1</t>
  </si>
  <si>
    <t>Vàng:400</t>
  </si>
  <si>
    <t>CHẬU HỒNG NGỌC:1</t>
  </si>
  <si>
    <t>PLANT_TIME_RANGE</t>
  </si>
  <si>
    <t>PLANT_RATIO</t>
  </si>
  <si>
    <t>PLANT_DIAMOND_DEFAULT</t>
  </si>
  <si>
    <t>PRODUCT_TIME_RANGE</t>
  </si>
  <si>
    <t>PRODUCT_RATIO</t>
  </si>
  <si>
    <t>PRODUCT_DIAMOND_DEFAULT</t>
  </si>
  <si>
    <t>MACHINE_TIME_RANGE</t>
  </si>
  <si>
    <t>MACHINE_RATIO</t>
  </si>
  <si>
    <t>MACHINE_DIAMOND_DEFAULT</t>
  </si>
  <si>
    <t>ORDER_TIME_RANGE</t>
  </si>
  <si>
    <t>ORDER_RATIO</t>
  </si>
  <si>
    <t>ORDER_DIAMOND_DEFAULT</t>
  </si>
  <si>
    <t>AD_TIME_RANGE</t>
  </si>
  <si>
    <t>AD_RATIO</t>
  </si>
  <si>
    <t>AD_DIAMOND_DEFAULT</t>
  </si>
  <si>
    <t>AIRSHIP_TIME_RANGE</t>
  </si>
  <si>
    <t>AIRSHIP_RATIO</t>
  </si>
  <si>
    <t>AIRSHIP_DIAMOND_DEFAULT</t>
  </si>
  <si>
    <t>MINER_TIME_RANGE</t>
  </si>
  <si>
    <t>MINER_RATIO</t>
  </si>
  <si>
    <t>MINER_DIAMOND_DEFAULT</t>
  </si>
  <si>
    <t>TIME_0</t>
  </si>
  <si>
    <t>TIME_1</t>
  </si>
  <si>
    <t>TIME_2</t>
  </si>
  <si>
    <t>TIME_3</t>
  </si>
  <si>
    <t>TIME_4</t>
  </si>
  <si>
    <t>TIME_5</t>
  </si>
  <si>
    <t>TIME_6</t>
  </si>
  <si>
    <t>TIME_7</t>
  </si>
  <si>
    <t xml:space="preserve">PLANT_SKIPTIME_DIAMOND = (REMAIN_TIME - PLANT_TIME_RANGE)* PLANT_RATIO/100 + PLANT_DIAMOND_DEFAULT </t>
  </si>
  <si>
    <t>CHẬU THỦY TINH:1</t>
  </si>
  <si>
    <t>CHẬU TIỂU TIÊN BIỂN XANH:1</t>
  </si>
  <si>
    <t>CHẬU TIỂU TIÊN MUÔN THÚ:1</t>
  </si>
  <si>
    <t>CHẬU TIỂU TIÊN QUẢ NGỌT:1</t>
  </si>
  <si>
    <t>Chuồn Chuồn:1</t>
  </si>
  <si>
    <t>Ngọc Vàng:1</t>
  </si>
  <si>
    <t>Bướm:1</t>
  </si>
  <si>
    <t>Ong:1</t>
  </si>
  <si>
    <t>CHẬU NGUYỆT THỰC:1</t>
  </si>
  <si>
    <t>Vàng:3000</t>
  </si>
  <si>
    <t>10</t>
  </si>
  <si>
    <t>8</t>
  </si>
  <si>
    <t>5</t>
  </si>
  <si>
    <t>7</t>
  </si>
  <si>
    <t>20</t>
  </si>
  <si>
    <t>25</t>
  </si>
  <si>
    <t>40</t>
  </si>
  <si>
    <t>9000</t>
  </si>
  <si>
    <t>Day</t>
  </si>
  <si>
    <t>46800</t>
  </si>
  <si>
    <t>MATERIAL_VALUE</t>
  </si>
  <si>
    <t>gold thực tế cần UP</t>
  </si>
  <si>
    <t>gold thực tế up đến chậu cuối</t>
  </si>
  <si>
    <t>POT</t>
  </si>
  <si>
    <t>SUM_UP</t>
  </si>
  <si>
    <t>DIAMOND</t>
  </si>
  <si>
    <t>Material_req</t>
  </si>
  <si>
    <t>VALUE_SUM</t>
  </si>
  <si>
    <t>MATERIAL_REAL_VALUE</t>
  </si>
  <si>
    <t>Vợt Trắng:2</t>
  </si>
  <si>
    <t>CHẬU TRĂNG NGŨ SẮC:1</t>
  </si>
  <si>
    <t>CHẬU BẠC:1</t>
  </si>
  <si>
    <t>Ngói:1</t>
  </si>
  <si>
    <t>Vợt Xanh:2</t>
  </si>
  <si>
    <t>Sơn Đen:2</t>
  </si>
  <si>
    <t>Vàng:2500</t>
  </si>
  <si>
    <t>Đá:2</t>
  </si>
  <si>
    <t>Gạch:2</t>
  </si>
  <si>
    <t>CHẬU VÀNG:1</t>
  </si>
  <si>
    <t>CỎ XANH HIẾM:1</t>
  </si>
  <si>
    <t>Sơn Đỏ:2</t>
  </si>
  <si>
    <t>Cỏ Xanh Siêu Cấp:1</t>
  </si>
  <si>
    <t>Sơn Vàng:2</t>
  </si>
  <si>
    <t>CHẬU THỦY MỘC:1</t>
  </si>
  <si>
    <t>CHẬU CÁ VÀNG:1</t>
  </si>
  <si>
    <t>CHẬU BẠCH TUỘC:1</t>
  </si>
  <si>
    <t>CHẬU TẢO XANH:1</t>
  </si>
  <si>
    <t>CHẬU SÓNG BIỂN:1</t>
  </si>
  <si>
    <t>CHẬU HOA BIỂN:1</t>
  </si>
  <si>
    <t>Vàng:700</t>
  </si>
  <si>
    <t>Vàng:4000</t>
  </si>
  <si>
    <t>NƯỚC THẦN:1</t>
  </si>
  <si>
    <t>CHẬU HEO:1</t>
  </si>
  <si>
    <t>CHẬU CỪU:1</t>
  </si>
  <si>
    <t>KEO DÁN MÂY:1</t>
  </si>
  <si>
    <t>CHẬU DÊ:1</t>
  </si>
  <si>
    <t>CHẬU MÙA HÈ 3:1</t>
  </si>
  <si>
    <t>C2_VALUE</t>
  </si>
  <si>
    <t>C3_VALUE</t>
  </si>
  <si>
    <t>C4_VALUE</t>
  </si>
  <si>
    <t>C5_VALUE</t>
  </si>
  <si>
    <t>Trắng</t>
  </si>
  <si>
    <t>Xanh Lá</t>
  </si>
  <si>
    <t>Xanh Dương</t>
  </si>
  <si>
    <t>Tím</t>
  </si>
  <si>
    <t>Phần trăm trung bình ô quà</t>
  </si>
  <si>
    <t>AVER_VALUE</t>
  </si>
  <si>
    <t>ALL TURN</t>
  </si>
  <si>
    <t>SELL_FEE</t>
  </si>
  <si>
    <t>REAL_VALUE_SUM</t>
  </si>
  <si>
    <t>VALUE_DIAMOND</t>
  </si>
  <si>
    <t>CHẬU MÙA HÈ 1:1</t>
  </si>
  <si>
    <t>CHẬU MÙA HÈ 2:1</t>
  </si>
  <si>
    <t>PRODUCT_SKIP_DIAMOND</t>
  </si>
  <si>
    <t>ĐẦM BẠCH TUYẾT</t>
  </si>
  <si>
    <t>GIÀY ĐI HIA</t>
  </si>
  <si>
    <t>PRODUCE_SKIP_DIAMOND</t>
  </si>
  <si>
    <t>CHẬU TIÊN DỄ THƯƠNG:1</t>
  </si>
  <si>
    <t>ACTION_CHECK_DECOR</t>
  </si>
  <si>
    <t xml:space="preserve">Sưu tầm %s trang trí bất kì </t>
  </si>
  <si>
    <t>52</t>
  </si>
  <si>
    <t>ACTION_TOM_BUY</t>
  </si>
  <si>
    <t>Mua hàng từ Tôm %s lần</t>
  </si>
  <si>
    <t>BỘ CHẬU THẦN THOẠI 2</t>
  </si>
  <si>
    <t>ACTION_CHECK_COMBO_POT</t>
  </si>
  <si>
    <t>Có %s chậu khác nhau trong bộ Thần Thoại 2</t>
  </si>
  <si>
    <t>Bộ Thần Thoại 2</t>
  </si>
  <si>
    <t>BỘ CHẬU THẦN THOẠI 1</t>
  </si>
  <si>
    <t>Có %s chậu khác nhau trong bộ Thần Thoại 1</t>
  </si>
  <si>
    <t>Bộ Thần Thoại 1</t>
  </si>
  <si>
    <t>49</t>
  </si>
  <si>
    <t>BỘ CHẬU TIỂU TIÊN</t>
  </si>
  <si>
    <t>Có %s chậu khác nhau trong bộ Tiểu Tiên</t>
  </si>
  <si>
    <t>Bộ Tiểu Tiên</t>
  </si>
  <si>
    <t>ACTION_MACHINE_HARVEST</t>
  </si>
  <si>
    <t>Thu hoạch %s sản phẩm từ Máy May</t>
  </si>
  <si>
    <t>Thợ May</t>
  </si>
  <si>
    <t>47</t>
  </si>
  <si>
    <t>ACTION_MAKE_POT_FAIL</t>
  </si>
  <si>
    <t>Đúc chậu thất bại %s lần</t>
  </si>
  <si>
    <t>Thợ Rèn Học Việc</t>
  </si>
  <si>
    <t>46</t>
  </si>
  <si>
    <t>BỘ CHẬU HOÀNG ĐẠO 2</t>
  </si>
  <si>
    <t>Có %s chậu khác nhau trong bộ Hoàng Đạo 2</t>
  </si>
  <si>
    <t>BỘ CHẬU HOÀNG ĐẠO 1</t>
  </si>
  <si>
    <t>Có %s chậu khác nhau trong bộ Hoàng Đạo 1</t>
  </si>
  <si>
    <t>44</t>
  </si>
  <si>
    <t>ACTION_GACHA_OPEN</t>
  </si>
  <si>
    <t>Mở Rương bất kì %s lần</t>
  </si>
  <si>
    <t>Thuyền Trưởng Tài Ba</t>
  </si>
  <si>
    <t>43</t>
  </si>
  <si>
    <t>ACTION_MINE_START</t>
  </si>
  <si>
    <t>Cho chuột đào Mỏ %s lần</t>
  </si>
  <si>
    <t>Thợ Mỏ Chuchu</t>
  </si>
  <si>
    <t>ACTION_AIRSHIP_FRIEND_PACK</t>
  </si>
  <si>
    <t>Đóng thùng Khinh Khí Cầu nhà Bạn %s lần</t>
  </si>
  <si>
    <t>Giúp Đỡ Lẫn Nhau</t>
  </si>
  <si>
    <t>41</t>
  </si>
  <si>
    <t>ACTION_FRIEND_VISIT</t>
  </si>
  <si>
    <t>Ghé thăm nhà Bạn %s lần</t>
  </si>
  <si>
    <t>Gặp Nhau Mỗi Ngày</t>
  </si>
  <si>
    <t>ACTION_FRIEND_REPAIR_MACHINE</t>
  </si>
  <si>
    <t>Giúp Bạn sửa Máy %s lần</t>
  </si>
  <si>
    <t>Thợ Máy Nhanh Nhẹn</t>
  </si>
  <si>
    <t>ACTION_FRIEND_SEND_REQUEST</t>
  </si>
  <si>
    <t>Gửi kết bạn với  %s chủ vườn</t>
  </si>
  <si>
    <t>Chủ Vườn Tích Cực</t>
  </si>
  <si>
    <t>38</t>
  </si>
  <si>
    <t>BỘ CHẬU TIÊN CÁ</t>
  </si>
  <si>
    <t>Có %s chậu khác nhau trong bộ Tiên Cá</t>
  </si>
  <si>
    <t>Bộ Tiên Cá</t>
  </si>
  <si>
    <t>37</t>
  </si>
  <si>
    <t>ACTION_LUCKY_SPIN</t>
  </si>
  <si>
    <t>Quay vòng quay chú Hề %s lần</t>
  </si>
  <si>
    <t>Nhà Ảo Thuật</t>
  </si>
  <si>
    <t>ACTION_DICE_SPIN</t>
  </si>
  <si>
    <t>Cho Ong lấy mật %s lần</t>
  </si>
  <si>
    <t>Nhà Thám Hiểm</t>
  </si>
  <si>
    <t>ACTION_AIRSHIP_DELIVERY</t>
  </si>
  <si>
    <t xml:space="preserve">Hoàn thành khinh khí cầu %s lần </t>
  </si>
  <si>
    <t>Buôn Bán Lớn</t>
  </si>
  <si>
    <t>34</t>
  </si>
  <si>
    <t>ACTION_FRIEND_ACCEPTED_REQUEST</t>
  </si>
  <si>
    <t xml:space="preserve">Đồng ý kết bạn với %s chủ vườn </t>
  </si>
  <si>
    <t>Người Thân Thiện</t>
  </si>
  <si>
    <t xml:space="preserve">BỘ CHẬU DƠI LỬA </t>
  </si>
  <si>
    <t>Có %s chậu khác nhau trong bộ Dơi Lửa</t>
  </si>
  <si>
    <t>Bộ Dơi Lửa</t>
  </si>
  <si>
    <t>32</t>
  </si>
  <si>
    <t>BỘ CHẬU THẦN THÚ</t>
  </si>
  <si>
    <t>Có %s chậu khác nhau trong bộ Thần Thú</t>
  </si>
  <si>
    <t>Bộ Thần Thú</t>
  </si>
  <si>
    <t>31</t>
  </si>
  <si>
    <t>BỘ CHẬU HOA HƯ CẤU</t>
  </si>
  <si>
    <t>Có %s chậu khác nhau trong bộ Hoa Hư Cấu</t>
  </si>
  <si>
    <t>Bộ Hoa Hư Cấu</t>
  </si>
  <si>
    <t>BỘ CHẬU THÁI DƯƠNG HỆ</t>
  </si>
  <si>
    <t>Có %s chậu khác nhau trong bộ Thái Dương Hệ</t>
  </si>
  <si>
    <t>Bộ Thái Dương Hệ</t>
  </si>
  <si>
    <t>29</t>
  </si>
  <si>
    <t>Thu hoạch %s sản phẩm từ Máy Túi Hương</t>
  </si>
  <si>
    <t>Thợ Túi Hương</t>
  </si>
  <si>
    <t>28</t>
  </si>
  <si>
    <t>Thu hoạch %s sản phẩm từ Máy Nước Hoa</t>
  </si>
  <si>
    <t>Thợ Nước Hoa</t>
  </si>
  <si>
    <t>Thu hoạch %s sản phẩm từ Máy Hoa Tươi</t>
  </si>
  <si>
    <t>Thợ Hoa Tươi</t>
  </si>
  <si>
    <t>26</t>
  </si>
  <si>
    <t>Thu hoạch %s sản phẩm từ Máy Pha Trà</t>
  </si>
  <si>
    <t>Thợ Pha Trà</t>
  </si>
  <si>
    <t>Thu hoạch %s sản phẩm từ Máy Tinh Dầu</t>
  </si>
  <si>
    <t>Thợ Tinh Dầu</t>
  </si>
  <si>
    <t>ACTION_PLANT_HARVEST</t>
  </si>
  <si>
    <t>Thu hoạch Dâu %s lần</t>
  </si>
  <si>
    <t>Tiên Dâu</t>
  </si>
  <si>
    <t>23</t>
  </si>
  <si>
    <t>Thu hoạch Việt Quất %s lần</t>
  </si>
  <si>
    <t>Tiên Việt Quất</t>
  </si>
  <si>
    <t>22</t>
  </si>
  <si>
    <t>Thu hoạch Hướng Dương %s lần</t>
  </si>
  <si>
    <t>Tiên Hướng Dương</t>
  </si>
  <si>
    <t>Thu hoạch Bi %s lần</t>
  </si>
  <si>
    <t>Tiên Hoa Bi</t>
  </si>
  <si>
    <t>Thu hoạch Nho %s lần</t>
  </si>
  <si>
    <t>Tiên Nho</t>
  </si>
  <si>
    <t>19</t>
  </si>
  <si>
    <t>Thu hoạch Chanh %s lần</t>
  </si>
  <si>
    <t>Tiên Chanh</t>
  </si>
  <si>
    <t>Thu hoạch %s sản phẩm từ Máy Chế Ngọc</t>
  </si>
  <si>
    <t>Thợ Kim Hoàn</t>
  </si>
  <si>
    <t>17</t>
  </si>
  <si>
    <t>ACTION_POT_UPGRADE_SUCCESS</t>
  </si>
  <si>
    <t>Nâng cấp chậu thành công %s lần</t>
  </si>
  <si>
    <t>Thần May Mắn</t>
  </si>
  <si>
    <t>16</t>
  </si>
  <si>
    <t>ACTION_POT_UPGRADE_FAIL</t>
  </si>
  <si>
    <t>Nâng cấp chậu thất bại %s lần</t>
  </si>
  <si>
    <t>Vô Địch Xui Xẻo</t>
  </si>
  <si>
    <t>ACTION_PLANT_CATCH_BUG</t>
  </si>
  <si>
    <t>Bắt được  %s con bọ ở vườn nhà mình</t>
  </si>
  <si>
    <t>Dũng Sĩ Diệt Bọ</t>
  </si>
  <si>
    <t>14</t>
  </si>
  <si>
    <t>ACTION_FRIEND_BUG_CATCH</t>
  </si>
  <si>
    <t>Bắt được  %s con bọ ở vườn bạn bè</t>
  </si>
  <si>
    <t>Nhà Sưu Tầm</t>
  </si>
  <si>
    <t>13</t>
  </si>
  <si>
    <t>ACTION_SHOP_GET_MONEY</t>
  </si>
  <si>
    <t>Thu được %s vàng từ Quầy hàng</t>
  </si>
  <si>
    <t>Buôn Bán Nhỏ</t>
  </si>
  <si>
    <t>ACTION_ORDER_DELIVERY</t>
  </si>
  <si>
    <t>Cho Cú giao %s đơn hàng</t>
  </si>
  <si>
    <t>Người Vận Chuyển</t>
  </si>
  <si>
    <t>11</t>
  </si>
  <si>
    <t>Thu hoạch %s sản phẩm từ Máy Dệt</t>
  </si>
  <si>
    <t>Thợ Dệt</t>
  </si>
  <si>
    <t>Thu hoạch %s sản phẩm từ Máy Nước Ép</t>
  </si>
  <si>
    <t>Thợ Nước Ép</t>
  </si>
  <si>
    <t>Thu hoạch %s sản phẩm từ Máy Sấy</t>
  </si>
  <si>
    <t>Thợ Sấy</t>
  </si>
  <si>
    <t>Thu hoạch Sen %s lần</t>
  </si>
  <si>
    <t>Tiên Sen</t>
  </si>
  <si>
    <t>Thu hoạch Cúc %s lần</t>
  </si>
  <si>
    <t>Tiên Hoa Cúc</t>
  </si>
  <si>
    <t>Thu hoạch Trà %s lần</t>
  </si>
  <si>
    <t>Tiên Trà</t>
  </si>
  <si>
    <t>Thu hoạch Oải Hương %s lần</t>
  </si>
  <si>
    <t>Tiên Oải Hương</t>
  </si>
  <si>
    <t>4</t>
  </si>
  <si>
    <t>Thu hoạch Tuyết %s lần</t>
  </si>
  <si>
    <t>Tiên Hoa Tuyết</t>
  </si>
  <si>
    <t>Thu hoạch Bông %s lần</t>
  </si>
  <si>
    <t>Tiên Bông</t>
  </si>
  <si>
    <t>2</t>
  </si>
  <si>
    <t>Thu hoạch Táo %s lần</t>
  </si>
  <si>
    <t>Thần Táo</t>
  </si>
  <si>
    <t>1</t>
  </si>
  <si>
    <t>Thu hoạch Hoa Hồng %s lần</t>
  </si>
  <si>
    <t>Tiên Hoa Hồng</t>
  </si>
  <si>
    <t>Kinh Nghiệm</t>
  </si>
  <si>
    <t>Vàng</t>
  </si>
  <si>
    <t>TROPHY_3</t>
  </si>
  <si>
    <t>TROPHY_2</t>
  </si>
  <si>
    <t>TROPHY_1</t>
  </si>
  <si>
    <t>REWARD_3</t>
  </si>
  <si>
    <t>REWARD_2</t>
  </si>
  <si>
    <t>REWARD_1</t>
  </si>
  <si>
    <t>TARGET_3</t>
  </si>
  <si>
    <t>TARGET_2</t>
  </si>
  <si>
    <t>TARGET_1</t>
  </si>
  <si>
    <t>TARGET_ID</t>
  </si>
  <si>
    <t>ACTION</t>
  </si>
  <si>
    <t>DESCRIPTION</t>
  </si>
  <si>
    <t>Kim Cương</t>
  </si>
  <si>
    <t>Plant</t>
  </si>
  <si>
    <t>Machine</t>
  </si>
  <si>
    <t>Pot</t>
  </si>
  <si>
    <t>Order</t>
  </si>
  <si>
    <t>Airship</t>
  </si>
  <si>
    <t>Private shop</t>
  </si>
  <si>
    <t>Pest</t>
  </si>
  <si>
    <t>Dice</t>
  </si>
  <si>
    <t>Lucky spin</t>
  </si>
  <si>
    <t>Mine</t>
  </si>
  <si>
    <t>Chest</t>
  </si>
  <si>
    <t>Tom</t>
  </si>
  <si>
    <t>Repair machine</t>
  </si>
  <si>
    <t>Friend's home</t>
  </si>
  <si>
    <t>Airship help</t>
  </si>
  <si>
    <t>POINT</t>
  </si>
  <si>
    <t>REWARD</t>
  </si>
  <si>
    <t>CHẬU HUYỀN VŨ:1:Kim Cương:10</t>
  </si>
  <si>
    <t>CHẬU DƠI XINH XẮN:1:CHUỘT:1:Kim Cương:20</t>
  </si>
  <si>
    <t>CHẬU DƠI NHÚT NHÁT:1:MÈO:1:Kim Cương:30</t>
  </si>
  <si>
    <t>CHẬU TIỂU TIÊN RỪNG XANH:1:NGỰA:1:Kim Cương:50</t>
  </si>
  <si>
    <t>CHẬU TIỂU TIÊN QUẢ NGỌT:1:GÀ:1:Kim Cương:100</t>
  </si>
  <si>
    <t>CHẬU CỬU TƯỢNG:1:Kinh Nghiệm:8000</t>
  </si>
  <si>
    <t>CHẬU DƠI NGỐC NGHẾCH:1:TRÂU:1:Vàng:50000</t>
  </si>
  <si>
    <t>CHẬU DƠI NGHỊCH NGỢM:1:CỌP:1:Kinh Nghiệm:10000</t>
  </si>
  <si>
    <t>CHẬU DƠI MƠ MỘNG:1:RẮN:1:Kinh Nghiệm:20000</t>
  </si>
  <si>
    <t>CHẬU TIỂU TIÊN MUÔN THÚ:1:KHỈ:1:Kinh Nghiệm:50000</t>
  </si>
  <si>
    <t>CHẬU TIỂU TIÊN MUÔN HOA:1:HEO:1:Kinh Nghiệm:100000</t>
  </si>
  <si>
    <t>Găng Tay Vàng 1</t>
  </si>
  <si>
    <t>Găng Tay Vàng 2</t>
  </si>
  <si>
    <t>Sai Vặt chăm chỉ</t>
  </si>
  <si>
    <t xml:space="preserve">Nhà thẩm mỹ </t>
  </si>
  <si>
    <t>SUB_TYPE</t>
  </si>
  <si>
    <t>GOLD_DEFAULT</t>
  </si>
  <si>
    <t>GOLD_MIN</t>
  </si>
  <si>
    <t>GOLD_MAX</t>
  </si>
  <si>
    <t>GOLD_JACK</t>
  </si>
  <si>
    <t>GFX</t>
  </si>
  <si>
    <t>DISPLAY</t>
  </si>
  <si>
    <t>NOTE</t>
  </si>
  <si>
    <t>SK0</t>
  </si>
  <si>
    <t>SKIN</t>
  </si>
  <si>
    <t>CLOUD_SKIN</t>
  </si>
  <si>
    <t>Lọ Mây Trắng</t>
  </si>
  <si>
    <t>item_cloud_skin_00.png</t>
  </si>
  <si>
    <t>Dùng thay đổi chủ đề cho tầng mây</t>
  </si>
  <si>
    <t>SK1</t>
  </si>
  <si>
    <t>Lọ Mây Hồng</t>
  </si>
  <si>
    <t>item_cloud_skin_01.png</t>
  </si>
  <si>
    <t>01</t>
  </si>
  <si>
    <t>SK2</t>
  </si>
  <si>
    <t>item_cloud_skin_02.png</t>
  </si>
  <si>
    <t>02</t>
  </si>
  <si>
    <t>SK3</t>
  </si>
  <si>
    <t>item_cloud_skin_03.png</t>
  </si>
  <si>
    <t>03</t>
  </si>
  <si>
    <t>SK4</t>
  </si>
  <si>
    <t>item_cloud_skin_04.png</t>
  </si>
  <si>
    <t>04</t>
  </si>
  <si>
    <t>SK5</t>
  </si>
  <si>
    <t>item_cloud_skin_05.png</t>
  </si>
  <si>
    <t>05</t>
  </si>
  <si>
    <t>SK6</t>
  </si>
  <si>
    <t>SK7</t>
  </si>
  <si>
    <t>SK8</t>
  </si>
  <si>
    <t>SK9</t>
  </si>
  <si>
    <t>SK10</t>
  </si>
  <si>
    <t>SK11</t>
  </si>
  <si>
    <t>SK12</t>
  </si>
  <si>
    <t>CHILDREN</t>
  </si>
  <si>
    <t>INIT</t>
  </si>
  <si>
    <t>STEP</t>
  </si>
  <si>
    <t>B1_TYPE</t>
  </si>
  <si>
    <t>B1_AREA</t>
  </si>
  <si>
    <t>B1_VALUE</t>
  </si>
  <si>
    <t>B1_BONUS</t>
  </si>
  <si>
    <t>B1_UNIT</t>
  </si>
  <si>
    <t>B2_TYPE</t>
  </si>
  <si>
    <t>B2_AREA</t>
  </si>
  <si>
    <t>B2_VALUE</t>
  </si>
  <si>
    <t>B2_BONUS</t>
  </si>
  <si>
    <t>B2_UNIT</t>
  </si>
  <si>
    <t>B3_TYPE</t>
  </si>
  <si>
    <t>B3_AREA</t>
  </si>
  <si>
    <t>B3_VALUE</t>
  </si>
  <si>
    <t>B3_BONUS</t>
  </si>
  <si>
    <t>B3_UNIT</t>
  </si>
  <si>
    <t>CK0</t>
  </si>
  <si>
    <t>CK1</t>
  </si>
  <si>
    <t>BUFF_PRODUCTION_TIME</t>
  </si>
  <si>
    <t>LOCAL</t>
  </si>
  <si>
    <t>PERC</t>
  </si>
  <si>
    <t>NUM</t>
  </si>
  <si>
    <t>CK2</t>
  </si>
  <si>
    <t>CK3</t>
  </si>
  <si>
    <t>CK4</t>
  </si>
  <si>
    <t>CK5</t>
  </si>
  <si>
    <t>CK6</t>
  </si>
  <si>
    <t>TB thời gian cây trồng</t>
  </si>
  <si>
    <t>số chậu trồng cùng lúc</t>
  </si>
  <si>
    <t>CHẬU HOÀNG NGHÊ:1:Vàng:20000</t>
  </si>
  <si>
    <t>CHẬU DƠI NGHIÊM NGHỊ:1:RỒNG:1:Vàng:300000</t>
  </si>
  <si>
    <t>CHẬU TIỂU TIÊN BIỂN XANH:1:DÊ:1:Vàng:700000</t>
  </si>
  <si>
    <t>CHẬU TIỂU TIÊN BƯỚM VÀNG:1:CHÓ:1:Vàng:1000000</t>
  </si>
  <si>
    <t>Lọ Mây Vàng</t>
  </si>
  <si>
    <t>Lọ Mây Ngũ Sắc</t>
  </si>
  <si>
    <t>Lọ Màu Bóng Nước</t>
  </si>
  <si>
    <t>ibshop</t>
  </si>
  <si>
    <t>BUFF_HARVEST_TIME</t>
  </si>
  <si>
    <t>SUM</t>
  </si>
  <si>
    <t>PRICE_VND</t>
  </si>
  <si>
    <t>PRICE_LOCAL</t>
  </si>
  <si>
    <t>REWARDS</t>
  </si>
  <si>
    <t>REPEAT_DAY</t>
  </si>
  <si>
    <t>COOLDOWN_MIN</t>
  </si>
  <si>
    <t>COOLDOWN_MAX</t>
  </si>
  <si>
    <t>COOLDOWN_ACTIVE</t>
  </si>
  <si>
    <t>DURATION_ACTIVE_PURCHASE</t>
  </si>
  <si>
    <t>DURATION_ACTIVE_NO_PURCHASE</t>
  </si>
  <si>
    <t>OFFER_NEWBIE_1</t>
  </si>
  <si>
    <t>OFFER_NEWBIE_3</t>
  </si>
  <si>
    <t>OFFER_NEWBIE_2</t>
  </si>
  <si>
    <t>image.png</t>
  </si>
  <si>
    <t>OFFER_NEWBIE_5</t>
  </si>
  <si>
    <t>OFFER_NEWBIE_4</t>
  </si>
  <si>
    <t>OFFER_NEWBIE_7</t>
  </si>
  <si>
    <t>OFFER_NEWBIE_6</t>
  </si>
  <si>
    <t>OFFER_NEWBIE_9</t>
  </si>
  <si>
    <t>OFFER_NEWBIE_8</t>
  </si>
  <si>
    <t>RESET</t>
  </si>
  <si>
    <t>OFFER_SPECIAL_1</t>
  </si>
  <si>
    <t>OFFER_SPECIAL_2</t>
  </si>
  <si>
    <t>KIM CƯƠNG:200:Vàng:100000:CHẬU TRÂU:1:CHẬU HEO:1:CHẬU DÊ:1:CHẬU CỪU:1:CHẬU NGỰA:1:CHẬU BÒ:1</t>
  </si>
  <si>
    <t>OFFER_SPECIAL_3</t>
  </si>
  <si>
    <t>KIM CƯƠNG:500:Vàng:250000:Chong Chóng Trơn:1:Chong Chóng Sọc:1:Chong Chóng Xoắn:1:Chong Chóng Bi:1:Chong Chóng Hoa:1:Chong Chóng Viền:1</t>
  </si>
  <si>
    <t>OFFER_SPECIAL_4</t>
  </si>
  <si>
    <t>OFFER_SPECIAL_5</t>
  </si>
  <si>
    <t>OFFER_SUPER_1</t>
  </si>
  <si>
    <t>OFFER_SUPER_2</t>
  </si>
  <si>
    <t>OFFER_SUPER_3</t>
  </si>
  <si>
    <t>OFFER_SUPER_4</t>
  </si>
  <si>
    <t>OFFER_SUPER_5</t>
  </si>
  <si>
    <t>OFFER_SUPER_6</t>
  </si>
  <si>
    <t>OFFER_SUPER_7</t>
  </si>
  <si>
    <t>OFFER_SPECIAL_6</t>
  </si>
  <si>
    <t>OFFER_SPECIAL_7</t>
  </si>
  <si>
    <t>OFFER_SPECIAL_8</t>
  </si>
  <si>
    <t>OFFER_SPECIAL_9</t>
  </si>
  <si>
    <t>OFFER_SPECIAL_10</t>
  </si>
  <si>
    <t>DEFINE</t>
  </si>
  <si>
    <t>VALUE</t>
  </si>
  <si>
    <t>OFFER_NEWBIE_LEVEL</t>
  </si>
  <si>
    <t>level unlock offer tân thủ</t>
  </si>
  <si>
    <t>OFFER_NEWBIE_OFFER</t>
  </si>
  <si>
    <t>OFFER_NEWBIE_1:100</t>
  </si>
  <si>
    <t>OFFER_SPECIAL_LEVEL</t>
  </si>
  <si>
    <t>level unlock offer đặc biệt</t>
  </si>
  <si>
    <t>OFFER_SPECIAL_TOTAL_PURCHASE</t>
  </si>
  <si>
    <t>OFFER_SPECIAL_NO_PURCHASE</t>
  </si>
  <si>
    <t>OFFER_SPECIAL_LOW_PURCHASE</t>
  </si>
  <si>
    <t>OFFER_SPECIAL_HIGH_PURCHASE</t>
  </si>
  <si>
    <t>OFFER_SUPER_LEVEL</t>
  </si>
  <si>
    <t>level unlock offer siêu đặc biệt</t>
  </si>
  <si>
    <t>OFFER_SUPER_PERIOD_DAY</t>
  </si>
  <si>
    <t>Số ngày hệ thống sẽ kiểm tra lùi về trước (x), xác định User thuộc trường hợp nhận offer nào</t>
  </si>
  <si>
    <t>OFFER_SUPER_PERIOD_PURCHASE</t>
  </si>
  <si>
    <t>Mốc xu đã nạp vào game trong x ngày gần nhất, thấp &amp; lớn hơn hoặc bằng mốc này</t>
  </si>
  <si>
    <t>OFFER_SUPER_NO_PURCHASE</t>
  </si>
  <si>
    <t>OFFER_SUPER_LOW_PURCHASE</t>
  </si>
  <si>
    <t>OFFER_SUPER_HIGH_PURCHASE</t>
  </si>
  <si>
    <t>OFFER_SUPER_RESET_MIN</t>
  </si>
  <si>
    <t>thời gian reset offer. Chú ý: số này phải lớn hơn duration</t>
  </si>
  <si>
    <t>OFFER_SUPER_RESET_MAX</t>
  </si>
  <si>
    <t>OFFER_SPECIAL_11</t>
  </si>
  <si>
    <t>OFFER_SPECIAL_12</t>
  </si>
  <si>
    <t>OFFER_SPECIAL_13</t>
  </si>
  <si>
    <t>OFFER_SUPER_8</t>
  </si>
  <si>
    <t>OFFER_SUPER_9</t>
  </si>
  <si>
    <t>OFFER_SUPER_10</t>
  </si>
  <si>
    <t>OFFER_SUPER_11</t>
  </si>
  <si>
    <t>OFFER_SUPER_12</t>
  </si>
  <si>
    <t>OFFER_SPECIAL_14</t>
  </si>
  <si>
    <t>OFFER_SUPER_13</t>
  </si>
  <si>
    <t>OFFER_SUPER_14</t>
  </si>
  <si>
    <t>Mốc xu đã nạp vào game tính đến lv31, thấp &amp; lớn hơn hoặc bằng mốc này</t>
  </si>
  <si>
    <t>KIM CƯƠNG:200:Vàng:50000:CHẬU MÙA HÈ 1:1:CHẬU MÙA HÈ 2:1:CHẬU MÙA HÈ 3:1:CHẬU MÙA HÈ 4:1:CHẬU MÙA HÈ 5:1:CHẬU MÙA HÈ 6:1</t>
  </si>
  <si>
    <t>Chưa nạp, offer mệnh giá 10k, 20k</t>
  </si>
  <si>
    <t>TB chơi (ngày)</t>
  </si>
  <si>
    <t>CP0</t>
  </si>
  <si>
    <t>BỘ CHẬU SINH VẬT CẢNH</t>
  </si>
  <si>
    <t>CHẬU THỦY SINH:CHẬU CÁ VÀNG:CHẬU THỦY MỘC:CHẬU BẠCH TUỘC:CHẬU RÙA CON:CHẬU CUA NƯỚC</t>
  </si>
  <si>
    <t>BUFF_HARVEST_EXP</t>
  </si>
  <si>
    <t>CP1</t>
  </si>
  <si>
    <t>BỘ CHẬU ĐẠI DƯƠNG</t>
  </si>
  <si>
    <t>CHẬU SAN HÔ:CHẬU SÓNG BIỂN:CHẬU TẢO XANH:CHẬU HOA BIỂN:CHẬU SAO BIỂN:CHẬU MÂY BIỂN</t>
  </si>
  <si>
    <t>BUFF_ORDER_EXP</t>
  </si>
  <si>
    <t>GLOBAL</t>
  </si>
  <si>
    <t>CP2</t>
  </si>
  <si>
    <t>BỘ CHẬU TRANG TRẠI</t>
  </si>
  <si>
    <t>CHẬU TRÂU:CHẬU HEO:CHẬU DÊ:CHẬU CỪU:CHẬU NGỰA:CHẬU BÒ</t>
  </si>
  <si>
    <t>CP3</t>
  </si>
  <si>
    <t>BỘ CHẬU MÙA HÈ</t>
  </si>
  <si>
    <t>CHẬU MÙA HÈ 1:CHẬU MÙA HÈ 2:CHẬU MÙA HÈ 3:CHẬU MÙA HÈ 4:CHẬU MÙA HÈ 5:CHẬU MÙA HÈ 6</t>
  </si>
  <si>
    <t>CP4</t>
  </si>
  <si>
    <t>BỘ CHẬU MẶT TRĂNG</t>
  </si>
  <si>
    <t>CHẬU TRĂNG NON:CHẬU NGUYỆT THỰC:CHẬU TRĂNG NGŨ SẮC:CHẬU TRĂNG TÍM:CHẬU TRĂNG THANH:CHẬU TRĂNG ĐỎ</t>
  </si>
  <si>
    <t>CP5</t>
  </si>
  <si>
    <t>CHẬU MẶT TRỜI:CHẬU THỦY TINH:CHẬU KIM TINH:CHẬU HỎA TINH:CHẬU MỘC TINH:CHẬU THỔ TINH</t>
  </si>
  <si>
    <t>CP6</t>
  </si>
  <si>
    <t>CHẬU HOA TUYẾT:CHẬU HOA BÚP:CHẬU HOA ÁNH KIM:CHẬU HOA LỒNG ĐÈN:CHẬU HOA ĐÀI SEN:CHẬU HOA BỌT BIỂN</t>
  </si>
  <si>
    <t>CP7</t>
  </si>
  <si>
    <t>CHẬU CHU TƯỚC:CHẬU THANH LONG:CHẬU BẠCH HỔ:CHẬU HUYỀN VŨ:CHẬU HOÀNG NGHÊ:CHẬU CỬU TƯỢNG</t>
  </si>
  <si>
    <t>CP8</t>
  </si>
  <si>
    <t>CHẬU DƠI XINH XẮN:CHẬU DƠI NGỐC NGHẾCH:CHẬU DƠI NGHỊCH NGỢM:CHẬU DƠI NHÚT NHÁT:CHẬU DƠI NGHIÊM NGHỊ:CHẬU DƠI MƠ MỘNG</t>
  </si>
  <si>
    <t>BUFF_AIRSHIP_GOLD</t>
  </si>
  <si>
    <t>CP9</t>
  </si>
  <si>
    <t>CHẬU TIỂU TIÊN RỪNG XANH:CHẬU TIỂU TIÊN BIỂN XANH:CHẬU TIỂU TIÊN MUÔN THÚ:CHẬU TIỂU TIÊN QUẢ NGỌT:CHẬU TIỂU TIÊN BƯỚM VÀNG:CHẬU TIỂU TIÊN MUÔN HOA</t>
  </si>
  <si>
    <t>BUFF_ORDER_GOLD</t>
  </si>
  <si>
    <t>CP10</t>
  </si>
  <si>
    <t>CHẬU TIÊN DỄ THƯƠNG:CHẬU TIÊN TINH NGHỊCH:CHẬU TIÊN CÁ TÍNH:CHẬU TIÊN LÃNG MẠN:CHẬU TIÊN NGÂY THƠ:CHẬU TIÊN SÀNH ĐIỆU</t>
  </si>
  <si>
    <t>BUFF_AIRSHIP_EXP</t>
  </si>
  <si>
    <t>CP11</t>
  </si>
  <si>
    <t>CHẬU BẠCH DƯƠNG:CHẬU KIM NGƯU:CHẬU SONG TỬ:CHẬU CỰ GIẢI:CHẬU SƯ TỬ:CHẬU XỬ NỮ</t>
  </si>
  <si>
    <t>CP12</t>
  </si>
  <si>
    <t>CHẬU THIÊN BÌNH:CHẬU THIÊN YẾT:CHẬU NHÂN MÃ:CHẬU MA KẾT:CHẬU BẢO BÌNH:CHẬU SONG NGƯ</t>
  </si>
  <si>
    <t>CP13</t>
  </si>
  <si>
    <t>THẦN ZEUS:THẦN POISEDON:THẦN ATHENA:THẦN ARES:THẦN HERA:THẦN APOLLO</t>
  </si>
  <si>
    <t>CP14</t>
  </si>
  <si>
    <t>THẦN HERCULES:THẦN PAN:THẦN HERMES:THẦN HEPHAESTUS:THẦN HADES:THẦN CUPID</t>
  </si>
  <si>
    <t>LEVEL</t>
  </si>
  <si>
    <t>EXP</t>
  </si>
  <si>
    <t>SEED_UNLOCK</t>
  </si>
  <si>
    <t>POT_UNLOCK</t>
  </si>
  <si>
    <t>PROD_UNLOCK</t>
  </si>
  <si>
    <t>FLOOR_UNLOCK</t>
  </si>
  <si>
    <t>MACHINE_UNLOCK</t>
  </si>
  <si>
    <t>ORDER_SLOT_UNLOCK</t>
  </si>
  <si>
    <t>REWARD_GOLD</t>
  </si>
  <si>
    <t>REWARD_REPUTATION</t>
  </si>
  <si>
    <t>REWARD_DIAMOND</t>
  </si>
  <si>
    <t>REWARD_ITEM</t>
  </si>
  <si>
    <t>SHARE_REWARD</t>
  </si>
  <si>
    <t>GOLD_PER_DIAMOND</t>
  </si>
  <si>
    <t>-1</t>
  </si>
  <si>
    <t>Hồng:6</t>
  </si>
  <si>
    <t>BỌ RÙA:2:ONG:1:CHUỒN CHUỒN:1:BƯỚM:1</t>
  </si>
  <si>
    <t>Chậu Đất:6:Vợt Trắng:6</t>
  </si>
  <si>
    <t>Hồng Sấy:1</t>
  </si>
  <si>
    <t>Máy Sấy</t>
  </si>
  <si>
    <t>Nước Thần:1</t>
  </si>
  <si>
    <t>Keo Dán Mây:1</t>
  </si>
  <si>
    <t>Vợt Xanh:6:Chậu Đất:6</t>
  </si>
  <si>
    <t>Nước Táo:1</t>
  </si>
  <si>
    <t>Máy Nước Ép</t>
  </si>
  <si>
    <t>Chậu Đồng:6:Keo Dán Mây:1:CHONG CHÓNG TRƠN:1</t>
  </si>
  <si>
    <t>Táo Sấy:1</t>
  </si>
  <si>
    <t>Bông:3</t>
  </si>
  <si>
    <t>Vải Đỏ:1:ỐC SÊN:2</t>
  </si>
  <si>
    <t>Máy Dệt</t>
  </si>
  <si>
    <t>Nước Thần:1:Keo Dán Mây:1</t>
  </si>
  <si>
    <t>Chậu Bạc:3</t>
  </si>
  <si>
    <t>Tuyết:3</t>
  </si>
  <si>
    <t>Nước tăng lực:1:Café:3:ĐOM ĐÓM:2</t>
  </si>
  <si>
    <t>Nước Tinh Khiết:1</t>
  </si>
  <si>
    <t>Vải Vàng:1</t>
  </si>
  <si>
    <t>Chậu Hồng Ngọc:3:Chậu Vàng:3</t>
  </si>
  <si>
    <t>Oải Hương Sấy:1</t>
  </si>
  <si>
    <t>Nước Thần:2:Keo Dán Mây:2</t>
  </si>
  <si>
    <t>Nước Dừa:1</t>
  </si>
  <si>
    <t>Dừa Sấy:1</t>
  </si>
  <si>
    <t>Chanh:3</t>
  </si>
  <si>
    <t>Vải Tím:1</t>
  </si>
  <si>
    <t>Máy Chế Ngọc</t>
  </si>
  <si>
    <t>Lọ Mây Hồng:1</t>
  </si>
  <si>
    <t>Nước Chanh:1</t>
  </si>
  <si>
    <t>Ngọc Xanh Biển:1:SÂU XANH:1</t>
  </si>
  <si>
    <t>Nước Dưa Hấu:1</t>
  </si>
  <si>
    <t>Vải Xanh Lá:1</t>
  </si>
  <si>
    <t>Hạt Dưa Sấy:1:Thỏi Đồng:3:Thỏi Bạc:3:Thỏi Vàng:3:Thỏi Bạch Kim:3</t>
  </si>
  <si>
    <t>Trà Sấy:1</t>
  </si>
  <si>
    <t>Mít Sấy:1:Sinh Tố Mít:1</t>
  </si>
  <si>
    <t>Tinh Dầu Hoa Hồng:1</t>
  </si>
  <si>
    <t>Dứa Sấy:1</t>
  </si>
  <si>
    <t>Nước Dứa:1</t>
  </si>
  <si>
    <t>Máy Tinh Dầu</t>
  </si>
  <si>
    <t>Tinh Dầu Táo:1</t>
  </si>
  <si>
    <t>Tinh Dầu Oải Hương:1</t>
  </si>
  <si>
    <t>Xoài Sấy:1</t>
  </si>
  <si>
    <t>Sinh Tố Xoài:1</t>
  </si>
  <si>
    <t>Nước Nho:1</t>
  </si>
  <si>
    <t>Tinh Dầu Dừa:1</t>
  </si>
  <si>
    <t>Lài Sấy:1</t>
  </si>
  <si>
    <t>Máy Pha Trà</t>
  </si>
  <si>
    <t>Trà Hoa Hồng:1</t>
  </si>
  <si>
    <t>Trà Đá:1</t>
  </si>
  <si>
    <t>Trà Táo:1</t>
  </si>
  <si>
    <t>Trà Chanh:1</t>
  </si>
  <si>
    <t>Trà Nho:1</t>
  </si>
  <si>
    <t>Tinh Dầu Chanh:1</t>
  </si>
  <si>
    <t>Cúc Sấy:1</t>
  </si>
  <si>
    <t>Bi:3</t>
  </si>
  <si>
    <t>Bó Hồng:1</t>
  </si>
  <si>
    <t>Máy Hoa Tươi</t>
  </si>
  <si>
    <t>Vải Trắng:1</t>
  </si>
  <si>
    <t>Bó Oải Hương:1</t>
  </si>
  <si>
    <t>Bó Cúc:1</t>
  </si>
  <si>
    <t>Trà Hoa Cúc:1</t>
  </si>
  <si>
    <t>Nước Hoa Hồng:1</t>
  </si>
  <si>
    <t>Máy Nước Hoa</t>
  </si>
  <si>
    <t>Tinh Dầu Sen:1</t>
  </si>
  <si>
    <t>Hạt Sen:1</t>
  </si>
  <si>
    <t>Nước Hoa Hương Táo:1</t>
  </si>
  <si>
    <t>Trà Trái Cây:1</t>
  </si>
  <si>
    <t>Nước Hoa Oải Hương:1</t>
  </si>
  <si>
    <t>Nho Sấy:1</t>
  </si>
  <si>
    <t>Bó Hướng Dương:1</t>
  </si>
  <si>
    <t>Túi Hoa Hồng:1</t>
  </si>
  <si>
    <t>Máy Túi Hương</t>
  </si>
  <si>
    <t>Túi Hương Táo:1</t>
  </si>
  <si>
    <t>Vải Hồng:1</t>
  </si>
  <si>
    <t>Bó Sen:1</t>
  </si>
  <si>
    <t>Vải Đen:1:Trà Việt Quất:1</t>
  </si>
  <si>
    <t>Hạt Hướng Dương:1</t>
  </si>
  <si>
    <t>Nước Hoa Hương Chanh:1</t>
  </si>
  <si>
    <t>Nước Việt Quất:1</t>
  </si>
  <si>
    <t>Tinh Dầu Việt Quất:1:Vải Xanh Biển:1</t>
  </si>
  <si>
    <t>Trà Sen:1</t>
  </si>
  <si>
    <t>Túi Oải Hương:1</t>
  </si>
  <si>
    <t>Máy May</t>
  </si>
  <si>
    <t>Nước Hoa Việt Quất:1</t>
  </si>
  <si>
    <t>Việt Quất Sấy:1</t>
  </si>
  <si>
    <t>Túi Hương Chanh:1</t>
  </si>
  <si>
    <t>Khăn Đỏ:1</t>
  </si>
  <si>
    <t>Dâu:3</t>
  </si>
  <si>
    <t>Nước Dâu:1</t>
  </si>
  <si>
    <t>Túi Việt Quất:1</t>
  </si>
  <si>
    <t>Đầm Bạch Tuyết:1</t>
  </si>
  <si>
    <t>Thảm Bay:1</t>
  </si>
  <si>
    <t>Tinh Dầu Dâu:1</t>
  </si>
  <si>
    <t>Nước Hoa Hương Sen:1</t>
  </si>
  <si>
    <t>Nón Bá Tước:1</t>
  </si>
  <si>
    <t>Túi Hương Sen:1</t>
  </si>
  <si>
    <t>Nơ Công Chúa:1</t>
  </si>
  <si>
    <t>Túi Vải:1</t>
  </si>
  <si>
    <t>Nước Hoa Hương Dâu:1</t>
  </si>
  <si>
    <t>Áo Choàng:1</t>
  </si>
  <si>
    <t>Giày Đi Hia:1</t>
  </si>
  <si>
    <t>Nạp thấp hơn, offer mệnh giá 50k, 100k (tỷ lệ thấp)</t>
  </si>
  <si>
    <t>Nạp lớn hơn, offer mệnh giá 50k (tỷ lệ thấp), 100k, 200k</t>
  </si>
  <si>
    <t>Chưa nạp, offer mệnh giá 10k, 20k, 50k (tỷ lệ thấp)</t>
  </si>
  <si>
    <t>Nạp thấp hơn, offer mệnh giá 50k, 100k, 200k (tỷ lệ thấp)</t>
  </si>
  <si>
    <t>RATE</t>
  </si>
  <si>
    <t>KIM CƯƠNG:400:Vàng:80000:CHẬU SAN HÔ:1:CHẬU SÓNG BIỂN:1:CHẬU TẢO XANH:1:CHẬU HOA BIỂN:1:CHẬU SAO BIỂN:1:CHẬU MÂY BIỂN:1</t>
  </si>
  <si>
    <t>SUPER - check payment trong 7 ngày gần nhất 1000kc</t>
  </si>
  <si>
    <t>Chậu Hồng Ngọc:3:Chậu Vàng:3:CHẬU THỦY SINH:2</t>
  </si>
  <si>
    <t>CHẬU SAN HÔ:2</t>
  </si>
  <si>
    <t>CHẬU TRÂU:2</t>
  </si>
  <si>
    <t>CHẬU MÙA HÈ 1:2</t>
  </si>
  <si>
    <t>CHẬU HOA TUYẾT:3</t>
  </si>
  <si>
    <t>CHẬU CHU TƯỚC:2</t>
  </si>
  <si>
    <t>CHẬU THANH LONG:2</t>
  </si>
  <si>
    <t>CHẬU BẠCH HỔ:2</t>
  </si>
  <si>
    <t>KIM CƯƠNG:500:Vàng:500000:Vòng Giấc Mơ Gió:1:Vòng Giấc Mơ Sét:1:Vòng Giấc Mơ Nước:1:Vòng Giấc Mơ Trăng:1:Vòng Giấc Mơ Sao:1:Vòng Giấc Mơ Mặt Trời:1</t>
  </si>
  <si>
    <t>KIM CƯƠNG:500:Vàng:500000:Bọ Rùa:15:Ốc Sên:15:Đom Đóm:15:Sâu Xanh:15:Bướm:15:Ong:15:Chuồn Chuồn:15</t>
  </si>
  <si>
    <t>SPECIAL - check tổng nạp đến lv30 - 500kc</t>
  </si>
  <si>
    <t>DAY_1</t>
  </si>
  <si>
    <t>DAY_2</t>
  </si>
  <si>
    <t>DAY_3</t>
  </si>
  <si>
    <t>DAY_4</t>
  </si>
  <si>
    <t>DAY_5</t>
  </si>
  <si>
    <t>DAY_6</t>
  </si>
  <si>
    <t>DAY_7</t>
  </si>
  <si>
    <t>Vàng:2000</t>
  </si>
  <si>
    <t>Vàng:6000</t>
  </si>
  <si>
    <t>Vàng:10000</t>
  </si>
  <si>
    <t>Kim Cương:20</t>
  </si>
  <si>
    <t>151</t>
  </si>
  <si>
    <t>Kim Cương:5</t>
  </si>
  <si>
    <t>Kim Cương:10</t>
  </si>
  <si>
    <t>CHẬU TRĂNG NON:3</t>
  </si>
  <si>
    <t>CHẬU MẶT TRỜI:3</t>
  </si>
  <si>
    <t>OFFER_SPECIAL_15</t>
  </si>
  <si>
    <t>OFFER_SPECIAL_16</t>
  </si>
  <si>
    <t>OFFER_SUPER_15</t>
  </si>
  <si>
    <t>OFFER_SUPER_16</t>
  </si>
  <si>
    <t>OFFER_SPECIAL_3:10:OFFER_SPECIAL_4:5:OFFER_SPECIAL_5:5:OFFER_SPECIAL_11:10:OFFER_SPECIAL_12:10:OFFER_SPECIAL_13:20:OFFER_SPECIAL_14:20:OFFER_SPECIAL_15:10:OFFER_SPECIAL_16:10</t>
  </si>
  <si>
    <t>Value_Diamond</t>
  </si>
  <si>
    <t>EXP_INCREASE</t>
  </si>
  <si>
    <t>GOLD_INCREASE</t>
  </si>
  <si>
    <t>TIME_DECREASE_DEFAULT</t>
  </si>
  <si>
    <t>BUG_APPEAR_RATIO</t>
  </si>
  <si>
    <t>USE_DURATION</t>
  </si>
  <si>
    <t>HINT</t>
  </si>
  <si>
    <t>DECOR_LIBRARY_ORDER</t>
  </si>
  <si>
    <t>D0</t>
  </si>
  <si>
    <t>DECOR</t>
  </si>
  <si>
    <t>CHONG CHÓNG TRƠN</t>
  </si>
  <si>
    <t>Treo dưới tầng mây để trang trí vườn</t>
  </si>
  <si>
    <t>decors_set_01</t>
  </si>
  <si>
    <t>decor_1</t>
  </si>
  <si>
    <t>D1</t>
  </si>
  <si>
    <t>CHONG CHÓNG SỌC</t>
  </si>
  <si>
    <t>decor_2</t>
  </si>
  <si>
    <t>D2</t>
  </si>
  <si>
    <t>CHONG CHÓNG XOẮN</t>
  </si>
  <si>
    <t>decor_3</t>
  </si>
  <si>
    <t>D3</t>
  </si>
  <si>
    <t>CHONG CHÓNG BI</t>
  </si>
  <si>
    <t>decor_4</t>
  </si>
  <si>
    <t>D4</t>
  </si>
  <si>
    <t>CHONG CHÓNG HOA</t>
  </si>
  <si>
    <t>decor_5</t>
  </si>
  <si>
    <t>D5</t>
  </si>
  <si>
    <t>CHONG CHÓNG VIỀN</t>
  </si>
  <si>
    <t>decor_6</t>
  </si>
  <si>
    <t>D6</t>
  </si>
  <si>
    <t>VÒNG GIẤC MƠ GIÓ</t>
  </si>
  <si>
    <t>decors_set_02</t>
  </si>
  <si>
    <t>D7</t>
  </si>
  <si>
    <t>VÒNG GIẤC MƠ SÉT</t>
  </si>
  <si>
    <t>D8</t>
  </si>
  <si>
    <t>VÒNG GIẤC MƠ NƯỚC</t>
  </si>
  <si>
    <t>D9</t>
  </si>
  <si>
    <t>VÒNG GIẤC MƠ TRĂNG</t>
  </si>
  <si>
    <t>D10</t>
  </si>
  <si>
    <t>VÒNG GIẤC MƠ SAO</t>
  </si>
  <si>
    <t>D11</t>
  </si>
  <si>
    <t>VÒNG GIẤC MƠ MẶT TRỜI</t>
  </si>
  <si>
    <t>D12</t>
  </si>
  <si>
    <t>CHUÔNG GIÓ HỒNG</t>
  </si>
  <si>
    <t>decors_set_03</t>
  </si>
  <si>
    <t>D13</t>
  </si>
  <si>
    <t>CHUÔNG GIÓ LỤC</t>
  </si>
  <si>
    <t>D14</t>
  </si>
  <si>
    <t>CHUÔNG GIÓ VÀNG</t>
  </si>
  <si>
    <t>D15</t>
  </si>
  <si>
    <t>CHUÔNG GIÓ ĐỎ</t>
  </si>
  <si>
    <t>D16</t>
  </si>
  <si>
    <t>CHUÔNG GIÓ TÍM</t>
  </si>
  <si>
    <t>D17</t>
  </si>
  <si>
    <t>CHUÔNG GIÓ CAM</t>
  </si>
  <si>
    <t>D18</t>
  </si>
  <si>
    <t>DÙ HỒNG</t>
  </si>
  <si>
    <t>decors_set_04</t>
  </si>
  <si>
    <t>D19</t>
  </si>
  <si>
    <t>DÙ LỤC</t>
  </si>
  <si>
    <t>D20</t>
  </si>
  <si>
    <t>DÙ LAM</t>
  </si>
  <si>
    <t>D21</t>
  </si>
  <si>
    <t>DÙ ĐỎ</t>
  </si>
  <si>
    <t>D22</t>
  </si>
  <si>
    <t>DÙ TÍM</t>
  </si>
  <si>
    <t>D23</t>
  </si>
  <si>
    <t>DÙ CAM</t>
  </si>
  <si>
    <t>D24</t>
  </si>
  <si>
    <t>ỐNG SÁO</t>
  </si>
  <si>
    <t>decors_set_08</t>
  </si>
  <si>
    <t>D25</t>
  </si>
  <si>
    <t>TRỐNG</t>
  </si>
  <si>
    <t>D26</t>
  </si>
  <si>
    <t>ĐÀN BANJO</t>
  </si>
  <si>
    <t>D27</t>
  </si>
  <si>
    <t>ĐÀN TỲ BÀ</t>
  </si>
  <si>
    <t>D28</t>
  </si>
  <si>
    <t>HẠC CẦM</t>
  </si>
  <si>
    <t>D29</t>
  </si>
  <si>
    <t>ĐÀN XYLOPHONE</t>
  </si>
  <si>
    <t>D30</t>
  </si>
  <si>
    <t>HẠC GIẤY HỒNG</t>
  </si>
  <si>
    <t>decors_set_05</t>
  </si>
  <si>
    <t>D31</t>
  </si>
  <si>
    <t>HẠC GIẤY LỤC</t>
  </si>
  <si>
    <t>D32</t>
  </si>
  <si>
    <t>HẠC GIẤY VÀNG</t>
  </si>
  <si>
    <t>D33</t>
  </si>
  <si>
    <t>HẠC GIẤY ĐỎ</t>
  </si>
  <si>
    <t>D34</t>
  </si>
  <si>
    <t>HẠC GIẤY TÍM</t>
  </si>
  <si>
    <t>D35</t>
  </si>
  <si>
    <t>HẠC GIẤY CAM</t>
  </si>
  <si>
    <t>D36</t>
  </si>
  <si>
    <t>CHUỘT</t>
  </si>
  <si>
    <t>decors_set_06</t>
  </si>
  <si>
    <t>D37</t>
  </si>
  <si>
    <t>TRÂU</t>
  </si>
  <si>
    <t>D38</t>
  </si>
  <si>
    <t>CỌP</t>
  </si>
  <si>
    <t>D39</t>
  </si>
  <si>
    <t>MÈO</t>
  </si>
  <si>
    <t>D40</t>
  </si>
  <si>
    <t>RỒNG</t>
  </si>
  <si>
    <t>D41</t>
  </si>
  <si>
    <t>RẮN</t>
  </si>
  <si>
    <t>D42</t>
  </si>
  <si>
    <t>NGỰA</t>
  </si>
  <si>
    <t>decor_7</t>
  </si>
  <si>
    <t>D43</t>
  </si>
  <si>
    <t>DÊ</t>
  </si>
  <si>
    <t>decor_8</t>
  </si>
  <si>
    <t>D44</t>
  </si>
  <si>
    <t>KHỈ</t>
  </si>
  <si>
    <t>decor_9</t>
  </si>
  <si>
    <t>D45</t>
  </si>
  <si>
    <t>GÀ</t>
  </si>
  <si>
    <t>decor_10</t>
  </si>
  <si>
    <t>D46</t>
  </si>
  <si>
    <t>CHÓ</t>
  </si>
  <si>
    <t>decor_11</t>
  </si>
  <si>
    <t>D47</t>
  </si>
  <si>
    <t>HEO</t>
  </si>
  <si>
    <t>decor_12</t>
  </si>
  <si>
    <t>D48</t>
  </si>
  <si>
    <t>BẠCH DƯƠNG</t>
  </si>
  <si>
    <t>decors_set_07</t>
  </si>
  <si>
    <t>D49</t>
  </si>
  <si>
    <t>KIM NGƯU</t>
  </si>
  <si>
    <t>D50</t>
  </si>
  <si>
    <t>SONG TỬ</t>
  </si>
  <si>
    <t>D51</t>
  </si>
  <si>
    <t>CỰ GIẢI</t>
  </si>
  <si>
    <t>D52</t>
  </si>
  <si>
    <t>SƯ TỬ</t>
  </si>
  <si>
    <t>D53</t>
  </si>
  <si>
    <t>XỬ NỮ</t>
  </si>
  <si>
    <t>D54</t>
  </si>
  <si>
    <t>THIÊN BÌNH</t>
  </si>
  <si>
    <t>D55</t>
  </si>
  <si>
    <t>THIÊN YẾT</t>
  </si>
  <si>
    <t>D56</t>
  </si>
  <si>
    <t>NHÂN MÃ</t>
  </si>
  <si>
    <t>D57</t>
  </si>
  <si>
    <t>MA KẾT</t>
  </si>
  <si>
    <t>D58</t>
  </si>
  <si>
    <t>BẢO BÌNH</t>
  </si>
  <si>
    <t>D59</t>
  </si>
  <si>
    <t>SONG NGƯ</t>
  </si>
  <si>
    <t>D60</t>
  </si>
  <si>
    <t>TIỂU TIÊN RỪNG XANH</t>
  </si>
  <si>
    <t>decor_01</t>
  </si>
  <si>
    <t>D61</t>
  </si>
  <si>
    <t>TIỂU TIÊN BIỂN XANH</t>
  </si>
  <si>
    <t>D62</t>
  </si>
  <si>
    <t>TIỂU TIÊN MUÔN THÚ</t>
  </si>
  <si>
    <t>D63</t>
  </si>
  <si>
    <t>TIỂU TIÊN QUẢ NGỌT</t>
  </si>
  <si>
    <t>D64</t>
  </si>
  <si>
    <t>TIỂU TIÊN BƯỚM VÀNG</t>
  </si>
  <si>
    <t>D65</t>
  </si>
  <si>
    <t>TIỂU TIÊN MUÔN HOA</t>
  </si>
  <si>
    <t>D66</t>
  </si>
  <si>
    <t>SAO BIỂN ĐỎ</t>
  </si>
  <si>
    <t>D67</t>
  </si>
  <si>
    <t>SAO BIỂN CAM</t>
  </si>
  <si>
    <t>D68</t>
  </si>
  <si>
    <t>SAO BIỂN XANH LÁ</t>
  </si>
  <si>
    <t>D69</t>
  </si>
  <si>
    <t>SAO BIỂN VÀNG</t>
  </si>
  <si>
    <t>D70</t>
  </si>
  <si>
    <t>SAO BIỂN TÍM</t>
  </si>
  <si>
    <t>D71</t>
  </si>
  <si>
    <t>SAO BIỂN HỒNG</t>
  </si>
  <si>
    <t>D72</t>
  </si>
  <si>
    <t>DÉP XINH</t>
  </si>
  <si>
    <t>D73</t>
  </si>
  <si>
    <t>KEM DÂU</t>
  </si>
  <si>
    <t>D74</t>
  </si>
  <si>
    <t>KÍNH SÀNH ĐIỆU</t>
  </si>
  <si>
    <t>D75</t>
  </si>
  <si>
    <t>MÁY ẢNH POLAROID</t>
  </si>
  <si>
    <t>D76</t>
  </si>
  <si>
    <t>VALI</t>
  </si>
  <si>
    <t>D77</t>
  </si>
  <si>
    <t>BÌNH HOA</t>
  </si>
  <si>
    <t>D78</t>
  </si>
  <si>
    <t>MA HỒNG</t>
  </si>
  <si>
    <t>D79</t>
  </si>
  <si>
    <t>MA XANH</t>
  </si>
  <si>
    <t>D80</t>
  </si>
  <si>
    <t>DRACULA XANH</t>
  </si>
  <si>
    <t>D81</t>
  </si>
  <si>
    <t>DRACULA TÍM</t>
  </si>
  <si>
    <t>D82</t>
  </si>
  <si>
    <t>XÁC ƯỚP HỒNG</t>
  </si>
  <si>
    <t>D83</t>
  </si>
  <si>
    <t>XÁC ƯỚP VÀNG</t>
  </si>
  <si>
    <t>D84</t>
  </si>
  <si>
    <t>CHỮ X</t>
  </si>
  <si>
    <t>D85</t>
  </si>
  <si>
    <t>CHỮ M</t>
  </si>
  <si>
    <t>D86</t>
  </si>
  <si>
    <t>CHỮ A</t>
  </si>
  <si>
    <t>D87</t>
  </si>
  <si>
    <t>CHỮ S</t>
  </si>
  <si>
    <t>D88</t>
  </si>
  <si>
    <t>NGƯỜI TUYẾT NGẠI NGÙNG</t>
  </si>
  <si>
    <t>D89</t>
  </si>
  <si>
    <t>NGƯỜI TUYẾT ĐÁNG YÊU</t>
  </si>
  <si>
    <t>D90</t>
  </si>
  <si>
    <t>CHỮ CHÚC</t>
  </si>
  <si>
    <t>D91</t>
  </si>
  <si>
    <t>CHỮ MỪNG</t>
  </si>
  <si>
    <t>D92</t>
  </si>
  <si>
    <t>CHỮ NĂM</t>
  </si>
  <si>
    <t>D93</t>
  </si>
  <si>
    <t>CHỮ MỚI</t>
  </si>
  <si>
    <t>D94</t>
  </si>
  <si>
    <t>QUẢ CẦU MAI</t>
  </si>
  <si>
    <t>D95</t>
  </si>
  <si>
    <t>QUẢ CẦU ĐÀO</t>
  </si>
  <si>
    <t>D96</t>
  </si>
  <si>
    <t>BAO TAY NOEL</t>
  </si>
  <si>
    <t>D97</t>
  </si>
  <si>
    <t>QUẢ THÔNG NOEL</t>
  </si>
  <si>
    <t>D98</t>
  </si>
  <si>
    <t>BẢNG GỖ NOEL</t>
  </si>
  <si>
    <t>D99</t>
  </si>
  <si>
    <t>NÓN NOEL</t>
  </si>
  <si>
    <t>D100</t>
  </si>
  <si>
    <t>GIÀY TRƯỢT BĂNG</t>
  </si>
  <si>
    <t>D101</t>
  </si>
  <si>
    <t>LỤC LẠC NOEL</t>
  </si>
  <si>
    <t>D102</t>
  </si>
  <si>
    <t>KHỈ PHÁT TÀI</t>
  </si>
  <si>
    <t>D103</t>
  </si>
  <si>
    <t>KHỈ PHÁT LỘC</t>
  </si>
  <si>
    <t>D104</t>
  </si>
  <si>
    <t>DÂY PHÁO</t>
  </si>
  <si>
    <t>D105</t>
  </si>
  <si>
    <t>LỒNG ĐÈN ĐỎ</t>
  </si>
  <si>
    <t>D106</t>
  </si>
  <si>
    <t>THỎI VÀNG PHÁT TÀI</t>
  </si>
  <si>
    <t>D107</t>
  </si>
  <si>
    <t>TIỀN XU MAY MẮN</t>
  </si>
  <si>
    <t>D108</t>
  </si>
  <si>
    <t>BÓNG TRÁI TIM</t>
  </si>
  <si>
    <t>D109</t>
  </si>
  <si>
    <t>HỘP QUÀ</t>
  </si>
  <si>
    <t>D110</t>
  </si>
  <si>
    <t>BÁNH CUPCAKE</t>
  </si>
  <si>
    <t>D111</t>
  </si>
  <si>
    <t>KẸO NGỌT</t>
  </si>
  <si>
    <t>D112</t>
  </si>
  <si>
    <t>NÓN PARTY</t>
  </si>
  <si>
    <t>D113</t>
  </si>
  <si>
    <t>PHÁO GIẤY</t>
  </si>
  <si>
    <t>D114</t>
  </si>
  <si>
    <t>GÀ DÂN CHƠI</t>
  </si>
  <si>
    <t>D115</t>
  </si>
  <si>
    <t>GÀ HỌA SĨ</t>
  </si>
  <si>
    <t>D116</t>
  </si>
  <si>
    <t>GÀ CÔNG NGHỆ</t>
  </si>
  <si>
    <t>D117</t>
  </si>
  <si>
    <t>GÀ VÕ SĨ</t>
  </si>
  <si>
    <t>D118</t>
  </si>
  <si>
    <t>GÀ DOANH NHÂN</t>
  </si>
  <si>
    <t>D119</t>
  </si>
  <si>
    <t>GÀ BÁC HỌC</t>
  </si>
  <si>
    <t>D120</t>
  </si>
  <si>
    <t>PHÁO HOA ĐỎ</t>
  </si>
  <si>
    <t>D121</t>
  </si>
  <si>
    <t>PHÁO HOA CAM</t>
  </si>
  <si>
    <t>D122</t>
  </si>
  <si>
    <t>PHÁO HOA VÀNG</t>
  </si>
  <si>
    <t>D123</t>
  </si>
  <si>
    <t>PHÁO HOA LỤC</t>
  </si>
  <si>
    <t>D124</t>
  </si>
  <si>
    <t>PHÁO HOA LAM</t>
  </si>
  <si>
    <t>D125</t>
  </si>
  <si>
    <t>PHÁO HOA TÍM</t>
  </si>
  <si>
    <t>D126</t>
  </si>
  <si>
    <t>CỜ VIỆT NAM</t>
  </si>
  <si>
    <t>D127</t>
  </si>
  <si>
    <t>CHIM LẠC BẠC</t>
  </si>
  <si>
    <t>D128</t>
  </si>
  <si>
    <t>CHIM LẠC VÀNG</t>
  </si>
  <si>
    <t>D129</t>
  </si>
  <si>
    <t>ĐẬU THẦN VIP</t>
  </si>
  <si>
    <t>D130</t>
  </si>
  <si>
    <t>TRANG TRÍ CÁNH CAM</t>
  </si>
  <si>
    <t>DO_FREE_UNLOCK</t>
  </si>
  <si>
    <t>DO_PAID_UNLOCK</t>
  </si>
  <si>
    <t>NEW_ORDER_WAIT_TIME</t>
  </si>
  <si>
    <t>DO_PLANT_PER_ORDER</t>
  </si>
  <si>
    <t>DO_FREE_PLANT_MAX</t>
  </si>
  <si>
    <t>DO_PAID_PLANT_MAX</t>
  </si>
  <si>
    <t>DO_RANDOM_PLANT_NAME</t>
  </si>
  <si>
    <t>ORDER_BUG_PEARL_RATE</t>
  </si>
  <si>
    <t>ORDER_BUG_RATE</t>
  </si>
  <si>
    <t>ORDER_PEARL_RATE</t>
  </si>
  <si>
    <t>BUG_PEARL_PER_ORDER</t>
  </si>
  <si>
    <t>ORDER_BUG_PEARL_MAX</t>
  </si>
  <si>
    <t>NO_PLANT_RATE</t>
  </si>
  <si>
    <t>NO_PRODUCT_RATE</t>
  </si>
  <si>
    <t>NO_ITEM_PER_ORDER</t>
  </si>
  <si>
    <t>NO_ITEM_MAX</t>
  </si>
  <si>
    <t>ORDER_CONTROL_ENOUGH</t>
  </si>
  <si>
    <t>ORDER_CONTROL_MISS</t>
  </si>
  <si>
    <t>DAILY_ORDER_DIAMOND_RATIO</t>
  </si>
  <si>
    <t>DO_FREE_GOLD_COEFFICIENT_RATIO</t>
  </si>
  <si>
    <t>DO_FREE_EXP_COEFFICIENT_RATIO</t>
  </si>
  <si>
    <t>DO_PAID_GOLD_COEFFICIENT_RATIO</t>
  </si>
  <si>
    <t>DO_PAID_EXP_COEFFICIENT_RATIO</t>
  </si>
  <si>
    <t>BUG_PEARL_COEFFICIENT_RATIO</t>
  </si>
  <si>
    <t>NO_GOLD_COEFFICIENT_RATIO</t>
  </si>
  <si>
    <t>NO_XP_COEFFICIENT_RATIO</t>
  </si>
  <si>
    <t>TRADE_GOLD_DAY_LIMIT</t>
  </si>
  <si>
    <t>REPUTATION_COLLECT_MAX</t>
  </si>
  <si>
    <t>PS_ITEM_EXPIRED_TIME</t>
  </si>
  <si>
    <t>MAX_AIRSHIP_PER_DAY</t>
  </si>
  <si>
    <t>AIRSHIP_STAY_RATIO</t>
  </si>
  <si>
    <t>AIRSHIP_MIN_ITEM_TYPE</t>
  </si>
  <si>
    <t>AIRSHIP_MAX_ITEM_TYPE</t>
  </si>
  <si>
    <t>AIRSHIP_MIN_CARGO_NUM_PER_ITEM_TYPE</t>
  </si>
  <si>
    <t>AIRSHIP_MAX_CARGO_NUM_PER_ITEM_TYPE</t>
  </si>
  <si>
    <t>AIRSHIP_EASY_REQUEST</t>
  </si>
  <si>
    <t>AIRSHIP_MEDIUM_REQUEST</t>
  </si>
  <si>
    <t>AIRSHIP_HARD_REQUEST</t>
  </si>
  <si>
    <t>AIRSHIP_MIN_NUM_REQUIRE_ITEM_EASY</t>
  </si>
  <si>
    <t>AIRSHIP_MAX_NUM_REQUIRE_ITEM_EASY</t>
  </si>
  <si>
    <t>AIRSHIP_MIN_NUM_REQUIRE_ITEM_MEDIUM</t>
  </si>
  <si>
    <t>AIRSHIP_MAX_NUM_REQUIRE_ITEM_MEDIUM</t>
  </si>
  <si>
    <t>AIRSHIP_MIN_NUM_REQUIRE_ITEM_HARD</t>
  </si>
  <si>
    <t>AIRSHIP_MAX_NUM_REQUIRE_ITEM_HARD</t>
  </si>
  <si>
    <t>AIRSHIP_REPUTATION</t>
  </si>
  <si>
    <t>AIRSHIP_REWARD</t>
  </si>
  <si>
    <t>FRIEND_REPU_DAILY_LIMIT</t>
  </si>
  <si>
    <t>NPC_MACHINE_CORRUPT</t>
  </si>
  <si>
    <t>EXP_REPAIR_MACHINE</t>
  </si>
  <si>
    <t>EXP_CATCH_BUG</t>
  </si>
  <si>
    <t>USER</t>
  </si>
  <si>
    <t>Hồng:25</t>
  </si>
  <si>
    <t>Hồng Sấy:25</t>
  </si>
  <si>
    <t>Hồng:Táo</t>
  </si>
  <si>
    <t>Hồng:25:Táo:30</t>
  </si>
  <si>
    <t>Hồng Sấy:25:Nước Táo:25</t>
  </si>
  <si>
    <t>Hồng:25:Táo:25:Bông:30</t>
  </si>
  <si>
    <t>Hồng:Táo:Bông</t>
  </si>
  <si>
    <t>Hồng:25:Táo:25:Bông:25:Tuyết:30</t>
  </si>
  <si>
    <t>Vải Đỏ:25:Vải Vàng:25</t>
  </si>
  <si>
    <t>Hồng:Táo:Bông:Tuyết</t>
  </si>
  <si>
    <t>Hồng:25:Táo:25:Bông:25:Tuyết:25:Oải Hương:30</t>
  </si>
  <si>
    <t>Hồng:25:Táo:25:Bông:25:Tuyết:25:Oải Hương:25:Dừa:30</t>
  </si>
  <si>
    <t>Hồng Sấy:25:Nước Táo:25:Táo Sấy:25:Nước Tinh Khiết:25:Oải Hương Sấy:25:Nước Dừa:25:Dừa Sấy:25</t>
  </si>
  <si>
    <t>Hồng:Táo:Bông:Tuyết:Oải Hương</t>
  </si>
  <si>
    <t>Hồng:20:Táo:20:Bông:20:Tuyết:20:Oải Hương:20:Dừa:20:Chanh:25</t>
  </si>
  <si>
    <t>Vải Đỏ:25:Vải Vàng:25:Vải Tím:25</t>
  </si>
  <si>
    <t>Hồng Sấy:20:Nước Táo:20:Táo Sấy:20:Nước Tinh Khiết:20:Oải Hương Sấy:20:Nước Dừa:20:Dừa Sấy:25</t>
  </si>
  <si>
    <t>Hồng Sấy:20:Nước Táo:20:Táo Sấy:20:Nước Tinh Khiết:20:Oải Hương Sấy:20:Nước Dừa:20:Dừa Sấy:25:Nước Chanh:25</t>
  </si>
  <si>
    <t>Hồng:Táo:Bông:Tuyết:Oải Hương:Dừa</t>
  </si>
  <si>
    <t>Hồng:20:Táo:20:Bông:20:Tuyết:20:Oải Hương:20:Dừa:20:Chanh:20:Dưa Hấu:25</t>
  </si>
  <si>
    <t>Hồng Sấy:20:Nước Táo:20:Táo Sấy:20:Nước Tinh Khiết:20:Oải Hương Sấy:20:Nước Dừa:20:Dừa Sấy:25:Nước Chanh:25:Nước Dưa Hấu:25</t>
  </si>
  <si>
    <t>Hồng Sấy:20:Nước Táo:20:Táo Sấy:20:Nước Tinh Khiết:20:Oải Hương Sấy:20:Nước Dừa:20:Dừa Sấy:25:Nước Chanh:25:Nước Dưa Hấu:25:Vải Xanh Lá:25</t>
  </si>
  <si>
    <t>Vải Đỏ:25:Vải Vàng:25:Vải Tím:25:Vải Xanh Lá:25</t>
  </si>
  <si>
    <t>Hồng Sấy:20:Nước Táo:20:Táo Sấy:20:Nước Tinh Khiết:20:Oải Hương Sấy:20:Nước Dừa:20:Dừa Sấy:25:Nước Chanh:25:Nước Dưa Hấu:25:Vải Xanh Lá:25:Hạt Dưa Sấy:25</t>
  </si>
  <si>
    <t>Hồng:15:Táo:15:Bông:15:Tuyết:15:Oải Hương:15:Dừa:20:Chanh:20:Dưa Hấu:20</t>
  </si>
  <si>
    <t>Hồng Sấy:20:Nước Táo:20:Táo Sấy:20:Nước Tinh Khiết:20:Oải Hương Sấy:20:Nước Dừa:20:Dừa Sấy:25:Nước Chanh:25:Nước Dưa Hấu:25:Hạt Dưa Sấy:25</t>
  </si>
  <si>
    <t>Hồng:15:Táo:15:Bông:15:Tuyết:15:Oải Hương:15:Dừa:20:Chanh:20:Dưa Hấu:20:Trà:20</t>
  </si>
  <si>
    <t>Hồng:15:Táo:15:Bông:15:Tuyết:15:Oải Hương:15:Dừa:20:Chanh:20:Dưa Hấu:20:Trà:20:Mít:20</t>
  </si>
  <si>
    <t>Hồng Sấy:20:Nước Táo:20:Táo Sấy:20:Nước Tinh Khiết:20:Oải Hương Sấy:20:Nước Dừa:20:Dừa Sấy:25:Nước Chanh:25:Nước Dưa Hấu:25:Hạt Dưa Sấy:25:Trà Sấy:25:Mít Sấy:25:Sinh Tố Mít:25</t>
  </si>
  <si>
    <t>Hồng:15:Táo:15:Bông:15:Tuyết:15:Oải Hương:15:Dừa:20:Chanh:20:Dưa Hấu:20:Trà:20:Mít:20:Dứa:20</t>
  </si>
  <si>
    <t>Hồng Sấy:20:Nước Táo:20:Táo Sấy:20:Nước Tinh Khiết:20:Oải Hương Sấy:20:Nước Dừa:20:Dừa Sấy:25:Nước Chanh:25:Nước Dưa Hấu:25:Hạt Dưa Sấy:25:Trà Sấy:25:Mít Sấy:25:Sinh Tố Mít:25:Dứa Sấy:25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</si>
  <si>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</t>
  </si>
  <si>
    <t>Vải Đỏ:25:Vải Vàng:25:Vải Tím:25:Vải Xanh Lá:25:Tinh Dầu Hoa Hồng:25</t>
  </si>
  <si>
    <t>Hồng:15:Táo:15:Bông:15:Tuyết:15:Oải Hương:15:Dừa:20:Chanh:20:Dưa Hấu:20:Trà:20:Mít:20:Dứa:20:Xoài:20</t>
  </si>
  <si>
    <t>Vải Đỏ:25:Vải Vàng:25:Vải Tím:25:Vải Xanh Lá:25:Tinh Dầu Hoa Hồng:25:Tinh Dầu Táo:25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</si>
  <si>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</si>
  <si>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</t>
  </si>
  <si>
    <t>Hồng:15:Táo:15:Bông:15:Tuyết:15:Oải Hương:15:Dừa:20:Chanh:20:Dưa Hấu:20:Trà:20:Mít:20:Dứa:20:Xoài:20:Nho:20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</si>
  <si>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Xoài:25:Nước Nho:25</t>
  </si>
  <si>
    <t>Hồng:15:Táo:15:Bông:15:Tuyết:15:Oải Hương:15:Dừa:20:Chanh:20:Dưa Hấu:20:Trà:20:Mít:20:Dứa:20:Xoài:20:Nho:20:Lài:20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</si>
  <si>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Xoài:25:Nước Nho:25:Lài Sấy:25</t>
  </si>
  <si>
    <t>Hồng Sấy:20:Nước Táo:20:Táo Sấy:20:Vải Đỏ:20:Nước Tinh Khiết:20:Vải Vàng:20:Oải Hương Sấy:20:Nước Dừa:20:Dừa Sấy:25:Vải Tím:20:Nước Chanh:25:Nước Dưa Hấu:25:Vải Xanh Lá:25:Hạt Dưa Sấy:25:Trà Sấy:25:Mít Sấy:25:Sinh Tố Mít:25:Dứa Sấy:25:Nước Dứa:25:Xoài Sấy:25:Sinh Tố Xoài:25:Nước Nho:25:Lài Sấy:25</t>
  </si>
  <si>
    <t>Hồng:15:Táo:15:Bông:15:Tuyết:15:Oải Hương:15:Dừa:20:Chanh:20:Dưa Hấu:20:Trà:20:Mít:20:Dứa:20:Xoài:20:Nho:20:Lài:20:Cúc:20</t>
  </si>
  <si>
    <t>Hồng:10:Táo:10:Bông:10:Tuyết:10:Oải Hương:10:Dừa:15:Chanh:15:Dưa Hấu:15:Trà:15:Mít:15:Dứa:15:Xoài:20:Nho:20:Lài:20:Cúc:20</t>
  </si>
  <si>
    <t>Hồng Sấy:20:Nước Táo:20:Táo Sấy:20:Vải Đỏ:20:Nước Tinh Khiết:20:Vải Vàng:20:Oải Hương Sấy:20:Nước Dừa:20:Dừa Sấy:25:Vải Tím:20:Nước Chanh:25:Nước Dưa Hấu:25:Vải Xanh Lá:25:Hạt Dưa Sấy:25:Trà Sấy:25:Mít Sấy:25:Sinh Tố Mít:25:Dứa Sấy:25:Nước Dứa:25:Xoài Sấy:25:Sinh Tố Xoài:25:Nước Nho:25:Lài Sấy:25:Cúc Sấy:25</t>
  </si>
  <si>
    <t>Hồng:10:Táo:10:Bông:10:Tuyết:10:Oải Hương:10:Dừa:15:Chanh:15:Dưa Hấu:15:Trà:15:Mít:15:Dứa:15:Xoài:20:Nho:20:Lài:20:Cúc:20:Bi:20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</si>
  <si>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</si>
  <si>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</t>
  </si>
  <si>
    <t>Hồng:10:Táo:10:Bông:10:Tuyết:10:Oải Hương:10:Dừa:15:Chanh:15:Dưa Hấu:15:Trà:15:Mít:15:Dứa:15:Xoài:20:Nho:20:Lài:20:Cúc:20:Bi:20:Sen:20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</si>
  <si>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Trắng:25:Hạt Sen:25</t>
  </si>
  <si>
    <t>Hồng:10:Táo:10:Bông:10:Tuyết:10:Oải Hương:10:Dừa:15:Chanh:15:Dưa Hấu:15:Trà:15:Mít:15:Dứa:15:Xoài:15:Nho:15:Lài:20:Cúc:20:Bi:20:Sen:20</t>
  </si>
  <si>
    <t>Hồng:10:Táo:10:Bông:10:Tuyết:10:Oải Hương:10:Dừa:15:Chanh:15:Dưa Hấu:15:Trà:15:Mít:15:Dứa:15:Xoài:15:Nho:15:Lài:20:Cúc:20:Bi:20:Sen:20:Hướng Dương:20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</si>
  <si>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Trắng:25:Hạt Sen:25:Nho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</si>
  <si>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</t>
  </si>
  <si>
    <t>Hồng:10:Táo:10:Bông:10:Tuyết:10:Oải Hương:10:Dừa:15:Chanh:15:Dưa Hấu:15:Trà:15:Mít:15:Dứa:15:Xoài:15:Nho:15:Lài:20:Cúc:20:Bi:20:Sen:20:Hướng Dương:20:Việt Quất:20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</si>
  <si>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</si>
  <si>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</si>
  <si>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</t>
  </si>
  <si>
    <t>Hồng:10:Táo:10:Bông:10:Tuyết:10:Oải Hương:10:Dừa:15:Chanh:15:Dưa Hấu:15:Trà:15:Mít:15:Dứa:15:Xoài:15:Nho:15:Lài:20:Cúc:20:Bi:20:Sen:20:Hướng Dương:20:Việt Quất:20:Dâu:20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</si>
  <si>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Biển:25:Việt Quất Sấy:25</t>
  </si>
  <si>
    <t>Hồng:5:Táo:5:Bông:5:Tuyết:5:Oải Hương:10:Dừa:15:Chanh:15:Dưa Hấu:15:Trà:15:Mít:15:Dứa:15:Xoài:15:Nho:15:Lài:20:Cúc:20:Bi:20:Sen:20:Hướng Dương:20:Việt Quất:20:Dâu:20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</si>
  <si>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Biển:25:Việt Quất Sấy:25:Nước Dâu:25</t>
  </si>
  <si>
    <t>Táo Sấy:25</t>
  </si>
  <si>
    <t>Nước Táo:25</t>
  </si>
  <si>
    <t>Táo Sấy:25:Nước Tinh Khiết:25</t>
  </si>
  <si>
    <t>RATE_C</t>
  </si>
  <si>
    <t>RATE_B</t>
  </si>
  <si>
    <t>RATE_A</t>
  </si>
  <si>
    <t>BALANCING</t>
  </si>
  <si>
    <t>Lọ Mây Hoa</t>
  </si>
  <si>
    <t>Lọ Mây Dấu Chân Mèo</t>
  </si>
  <si>
    <t>item_cloud_skin_06.png</t>
  </si>
  <si>
    <t>06</t>
  </si>
  <si>
    <t>STOCK_5</t>
  </si>
  <si>
    <t>UPGRADE_GOLD_EDIT</t>
  </si>
  <si>
    <t>Thu hoạch Dừa %s lần</t>
  </si>
  <si>
    <t>Thu hoạch Dưa Hấu %s lần</t>
  </si>
  <si>
    <t>Thu hoạch Mít %s lần</t>
  </si>
  <si>
    <t>Thu hoạch Dứa %s lần</t>
  </si>
  <si>
    <t>Thu hoạch Xoài %s lần</t>
  </si>
  <si>
    <t>Thu hoạch Lài %s lần</t>
  </si>
  <si>
    <t>Nâng cấp Bọ Sấy %s lần</t>
  </si>
  <si>
    <t>Nâng cấp Bọ Nước Ép %s lần</t>
  </si>
  <si>
    <t>Nâng cấp Bọ Dệt %s lần</t>
  </si>
  <si>
    <t>Nâng cấp Bọ Chế Ngọc %s lần</t>
  </si>
  <si>
    <t>Nâng cấp Bọ Tinh Dầu %s lần</t>
  </si>
  <si>
    <t>Nâng cấp Bọ Pha Trà  %s lần</t>
  </si>
  <si>
    <t>Nâng cấp Bọ Hoa Tươi %s lần</t>
  </si>
  <si>
    <t>Nâng cấp Bọ Nước Hoa %s lần</t>
  </si>
  <si>
    <t>Nâng cấp Bọ Túi Hương %s lần</t>
  </si>
  <si>
    <t>Nâng cấp Bọ Thợ May %s lần</t>
  </si>
  <si>
    <t>53</t>
  </si>
  <si>
    <t>56</t>
  </si>
  <si>
    <t>58</t>
  </si>
  <si>
    <t>59</t>
  </si>
  <si>
    <t>61</t>
  </si>
  <si>
    <t>62</t>
  </si>
  <si>
    <t>64</t>
  </si>
  <si>
    <t>67</t>
  </si>
  <si>
    <t>68</t>
  </si>
  <si>
    <t>71</t>
  </si>
  <si>
    <t>73</t>
  </si>
  <si>
    <t>74</t>
  </si>
  <si>
    <t>76</t>
  </si>
  <si>
    <t>77</t>
  </si>
  <si>
    <t>Nâng cấp Kho Nông Sản %s lần</t>
  </si>
  <si>
    <t>Nâng cấp Kho Thành Phẩm %s lần</t>
  </si>
  <si>
    <t>Nâng cấp Kho Vật Dụng  %s lần</t>
  </si>
  <si>
    <t>Nâng cấp Kho Khoáng Sản %s lần</t>
  </si>
  <si>
    <t>Mở Rương Đồng %s lần</t>
  </si>
  <si>
    <t>Mở Rương Bạc %s lần</t>
  </si>
  <si>
    <t>Mở Rương Vàng %s lần</t>
  </si>
  <si>
    <t>Mở Rương Bạch Kim %s lần</t>
  </si>
  <si>
    <t>Thuê Tôm %s lần</t>
  </si>
  <si>
    <t>Đóng %s thùng khinh khí cầu</t>
  </si>
  <si>
    <t>Nhuộm màu Tầng mây %s lần</t>
  </si>
  <si>
    <t>balance lv9</t>
  </si>
  <si>
    <t>OFFER_SUPER_17</t>
  </si>
  <si>
    <t>OFFER_SUPER_18</t>
  </si>
  <si>
    <t>OFFER_SUPER_19</t>
  </si>
  <si>
    <t>OFFER_SUPER_20</t>
  </si>
  <si>
    <t>OFFER_SUPER_21</t>
  </si>
  <si>
    <t>CHẬU TIÊN TINH NGHỊCH:1</t>
  </si>
  <si>
    <t>CHẬU TIÊN CÁ TÍNH:1</t>
  </si>
  <si>
    <t>RATE_VND_TO_COIN</t>
  </si>
  <si>
    <t>CHÚ Ý: KHÔNG ĐƯỢC ĐỔI TỈ LỆ NÀY</t>
  </si>
  <si>
    <t>RATE_SMS_PERCENT</t>
  </si>
  <si>
    <t>RATE_COIN_TO_GOLD</t>
  </si>
  <si>
    <t>RATE_LOCAL_TO_VND</t>
  </si>
  <si>
    <t>CHÚ Ý: KHÔNG ĐƯỢC ĐỔI GIÁ TRỊ NÀY</t>
  </si>
  <si>
    <t>USE_PRICE_CENT</t>
  </si>
  <si>
    <t>ACTIVE_IAP</t>
  </si>
  <si>
    <t>ACTIVE_SMS</t>
  </si>
  <si>
    <t>MOBI,VIETTEL</t>
  </si>
  <si>
    <t>Danh sách nhà mạng đang mở</t>
  </si>
  <si>
    <t>ACTIVE_CARD_ZING</t>
  </si>
  <si>
    <t>ACTIVE_CARD</t>
  </si>
  <si>
    <t>ACTIVE_ATM</t>
  </si>
  <si>
    <t>FIRST_CHARGE_ITEM_ACTIVE</t>
  </si>
  <si>
    <t>FIRST_CHARGE_ITEM_IAP</t>
  </si>
  <si>
    <t>quà tặng nạp lần đầu của kênh IAP</t>
  </si>
  <si>
    <t>FIRST_CHARGE_ITEM_SMS</t>
  </si>
  <si>
    <t>quà tặng nạp lần đầu của kênh SMS</t>
  </si>
  <si>
    <t>FIRST_CHARGE_ITEM_ZING</t>
  </si>
  <si>
    <t>quà tặng nạp lần đầu của kênh ZING</t>
  </si>
  <si>
    <t>FIRST_CHARGE_ITEM_CARD</t>
  </si>
  <si>
    <t xml:space="preserve">quà tặng nạp lần đầu của kênh CARD </t>
  </si>
  <si>
    <t>FIRST_CHARGE_ITEM_ATM</t>
  </si>
  <si>
    <t>quà tặng nạp lần đầu của kênh ATM</t>
  </si>
  <si>
    <t>Kim Cương:100:Vàng:50000:Nước Thần:5:Keo Dán Mây:5:Gạch:5:Sơn Đỏ:5:Gỗ:5</t>
  </si>
  <si>
    <t>Kim Cương:100:Vàng:50000:Nước Thần:5:Keo Dán Mây:5:Ngói:5:Sơn Đen:5:Sắt:5</t>
  </si>
  <si>
    <t>Kim Cương:100:Vàng:50000:Nước Thần:5:Keo Dán Mây:5:Đá:5:Sơn Vàng:5:Đinh:5</t>
  </si>
  <si>
    <t>Ngọc Đỏ:10:Ngọc Xanh Biển:10:Ngọc Vàng:10:Ngọc Tím:8:Tinh Dầu Hoa Hồng:25:Tinh Dầu Táo:25:Ngọc Cam:25:Tinh Dầu Oải Hương:25:Tinh Dầu Dừa:25:Trà Hoa Hồng:25</t>
  </si>
  <si>
    <t>Ngọc Đỏ:10:Ngọc Xanh Biển:10:Ngọc Vàng:10:Ngọc Tím:8:Tinh Dầu Hoa Hồng:25:Tinh Dầu Táo:25:Ngọc Cam:25:Tinh Dầu Oải Hương:25:Tinh Dầu Dừa:25:Trà Hoa Hồng:25:Trà Đá:25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</si>
  <si>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</si>
  <si>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Vồng:5:Trà Chanh:25:Trà Nho:25:Tinh Dầu Chanh:25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</si>
  <si>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Vồng:5:Trà Chanh:25:Trà Nho:25:Tinh Dầu Chanh:25:Bó Hồng:25:Bó Oải Hương:25</t>
  </si>
  <si>
    <t>Ngọc Đỏ:10:Ngọc Xanh Biển:10:Ngọc Vàng:10:Ngọc Tím:8:Ngọc Cam:8:Vải Đỏ:25:Vải Vàng:25:Vải Tím:25:Vải Xanh Lá:25:Tinh Dầu Hoa Hồng:25:Tinh Dầu Táo:25</t>
  </si>
  <si>
    <t>Ngọc Đỏ:10:Ngọc Xanh Biển:10:Ngọc Vàng:10:Ngọc Tím:8:Ngọc Cam:8:Vải Đỏ:25:Vải Vàng:25:Vải Tím:25:Vải Xanh Lá:25:Tinh Dầu Hoa Hồng:25:Tinh Dầu Táo:25:Tinh Dầu Oải Hương:25</t>
  </si>
  <si>
    <t>Ngọc Đỏ:10:Ngọc Xanh Biển:10:Ngọc Vàng:10:Ngọc Tím:8:Vải Đỏ:25:Vải Vàng:25:Vải Tím:25:Vải Xanh Lá:25:Tinh Dầu Hoa Hồng:25:Tinh Dầu Táo:25:Ngọc Cam:8:Tinh Dầu Oải Hương:25</t>
  </si>
  <si>
    <t>Ngọc Đỏ:10:Ngọc Xanh Biển:10:Ngọc Vàng:10:Ngọc Tím:8:Vải Đỏ:25:Vải Vàng:25:Vải Tím:25:Vải Xanh Lá:25:Tinh Dầu Hoa Hồng:25:Tinh Dầu Táo:25:Ngọc Cam:8:Tinh Dầu Oải Hương:25:Tinh Dầu Dừa:25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</si>
  <si>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</si>
  <si>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</si>
  <si>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</si>
  <si>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</si>
  <si>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</si>
  <si>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Sen:25:Trà Việt Quất:25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</si>
  <si>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Sen:25:Trà Việt Quất:25:Nước Hoa Hương Chanh:25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</si>
  <si>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Sen:25:Trà Việt Quất:25:Nước Hoa Hương Chanh:25:Tinh Dầu Việt Quất:25:Trà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</si>
  <si>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</si>
  <si>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</si>
  <si>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</si>
  <si>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</si>
  <si>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</si>
  <si>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Chúa:25:Bó Lài:25:Túi Vải:25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</si>
  <si>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Chúa:25:Bó Lài:25:Túi Vải:25:Nước Hoa Hương Dâu:25:Áo Choàng:25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</si>
  <si>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Tuyết:25:Thảm Bay:25:Tinh Dầu Dâu:25:Nước Hoa Hương Sen:25:Nón Bá Tước:25:Túi Hương Sen:25:Nơ Công Chúa:25:Bó Lài:25:Túi Vải:25:Nước Hoa Hương Dâu:25:Áo Choàng:25:Giày Đi Hia:25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</si>
  <si>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Tuyết:20:Thảm Bay:20:Tinh Dầu Dâu:20:Nước Hoa Hương Sen:20:Nón Bá Tước:20:Túi Hương Sen:20:Nơ Công Chúa:20:Bó Lài:20:Túi Vải:20:Nước Hoa Hương Dâu:20:Áo Choàng:20:Giày Đi Hia:20</t>
  </si>
  <si>
    <t>Ngọc Đỏ:10:Ngọc Xanh Biển:10:Ngọc Vàng:10:Ngọc Tím:8:Tinh Dầu Hoa Hồng:20:Tinh Dầu Táo:20:Ngọc Cam:8:Tinh Dầu Oải Hương:20:Tinh Dầu Dừa:20:Trà Hoa Hồng:20:Trà Đá:20:Ngọc Xanh Lá:8:Trà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Tuyết:25:Thảm Bay:25:Tinh Dầu Dâu:25:Nước Hoa Hương Sen:25:Nón Bá Tước:25:Túi Hương Sen:25:Nơ Công Chúa:25:Bó Lài:25:Túi Vải:25:Nước Hoa Hương Dâu:25:Áo Choàng:25:Giày Đi Hia:25</t>
  </si>
  <si>
    <t>KHO NÔNG SẢN</t>
  </si>
  <si>
    <t>KHO THÀNH PHẨM</t>
  </si>
  <si>
    <t>KHO KHOÁNG SẢN</t>
  </si>
  <si>
    <t>KHO VẬT DỤNG</t>
  </si>
  <si>
    <t>Mua hàng từ bảng tin &amp; quầy nhà bạn bè</t>
  </si>
  <si>
    <t>newsboard</t>
  </si>
  <si>
    <t xml:space="preserve">RƯƠNG ĐỒNG </t>
  </si>
  <si>
    <t xml:space="preserve">RƯƠNG BẠC </t>
  </si>
  <si>
    <t xml:space="preserve">RƯƠNG VÀNG </t>
  </si>
  <si>
    <t>RƯƠNG BẠCH KIM</t>
  </si>
  <si>
    <t>chest đồng,bạc,vàng</t>
  </si>
  <si>
    <t>chest bạch kim</t>
  </si>
  <si>
    <t>Tom hire</t>
  </si>
  <si>
    <t>airship pack</t>
  </si>
  <si>
    <t>Skin</t>
  </si>
  <si>
    <t xml:space="preserve">Action </t>
  </si>
  <si>
    <t>Chủ vườn thuộc top 100 %s lần khi kết thúc các sự kiện</t>
  </si>
  <si>
    <t>Chủ vườn được vinh danh %s lần khi kết thúc tuần thi đua năng động</t>
  </si>
  <si>
    <t>Value</t>
  </si>
  <si>
    <t>KIM CƯƠNG:500:Vàng:500000:Chuông Gió Hồng:1:Chuông Gió Lục:1:Chuông Gió Vàng:1:Chuông Gió Đỏ:1:Chuông Gió Tím:1:Chuông Gió Cam:1</t>
  </si>
  <si>
    <t>action week</t>
  </si>
  <si>
    <t>Evt top 100</t>
  </si>
  <si>
    <t>Lọ Mây Trăng Sao</t>
  </si>
  <si>
    <t>item_cloud_skin_07.png</t>
  </si>
  <si>
    <t>07</t>
  </si>
  <si>
    <t>Lọ Mây Halloween</t>
  </si>
  <si>
    <t>Lọ Mây Tình Yêu</t>
  </si>
  <si>
    <t>Lọ Mây Âm Nhạc</t>
  </si>
  <si>
    <t>08</t>
  </si>
  <si>
    <t>09</t>
  </si>
  <si>
    <t>CONVERT_GOLD_BONUS</t>
  </si>
  <si>
    <t>DAILY_LOGIN_REWARD</t>
  </si>
  <si>
    <t>UPGRADE_POT_RATE</t>
  </si>
  <si>
    <t>BLACKSMITH_RATE</t>
  </si>
  <si>
    <t>AIRSHIP_GOLD_BONUS</t>
  </si>
  <si>
    <t>BUG_RATE</t>
  </si>
  <si>
    <t>INACTIVE</t>
  </si>
  <si>
    <t>OFFER_VIP_0</t>
  </si>
  <si>
    <t>OFFER_VIP_1</t>
  </si>
  <si>
    <t>Vàng:12000</t>
  </si>
  <si>
    <t>OFFER_VIP_2</t>
  </si>
  <si>
    <t>Vàng:15000</t>
  </si>
  <si>
    <t>06/08/2019 00:00 =&gt; 30/08/2019 18:00
22/08/2019 00:00 =&gt; 23/09/2019 18:00</t>
  </si>
  <si>
    <t>MG01</t>
  </si>
  <si>
    <t>item_cloud_skin_08.png</t>
  </si>
  <si>
    <t>PRICE</t>
  </si>
  <si>
    <t>edit</t>
  </si>
  <si>
    <t>vàng instant</t>
  </si>
  <si>
    <t>PREVIOUS</t>
  </si>
  <si>
    <t>OFFER_VIP_3</t>
  </si>
  <si>
    <t>OFFER_VIP_4</t>
  </si>
  <si>
    <t>OFFER_VIP_5</t>
  </si>
  <si>
    <t>Kim Cương:100:Vàng:12000</t>
  </si>
  <si>
    <t>Kim Cương:200:Vàng:25000</t>
  </si>
  <si>
    <t>Kim Cương:500:Vàng:50000</t>
  </si>
  <si>
    <t>item_cloud_skin_09.png</t>
  </si>
  <si>
    <t>KIM CƯƠNG:100:VÀNG:75000</t>
  </si>
  <si>
    <t>KIM CƯƠNG:200:VÀNG:200000</t>
  </si>
  <si>
    <t>KIM CƯƠNG:500:VÀNG:625000</t>
  </si>
  <si>
    <t>KIM CƯƠNG:2000:VÀNG:4000000</t>
  </si>
  <si>
    <t>KIM CƯƠNG:200:Vàng:25000:CHẬU HỒNG NGỌC:3:Vợt Trắng:10:Chuồn Chuồn:5:Bướm:5:Ong:5:Gạch:5:Sơn Đỏ:5:Gỗ:5</t>
  </si>
  <si>
    <t>KIM CƯƠNG:300:Vàng:25000:CHẬU HỒNG NGỌC:3:Vợt Trắng:10:Gạch:5:Sơn Đỏ:5:Gỗ:5:Đá:5:Sơn Vàng:5:Đinh:5</t>
  </si>
  <si>
    <t>KIM CƯƠNG:500:Vàng:100000:CHẬU SAN HÔ:1:CHẬU SÓNG BIỂN:1:CHẬU TẢO XANH:1:CHẬU HOA BIỂN:1:CHẬU SAO BIỂN:1:CHẬU MÂY BIỂN:1</t>
  </si>
  <si>
    <t>KIM CƯƠNG:1000:Vàng:125000:CHẬU TRÂU:1:CHẬU HEO:1:CHẬU DÊ:1:CHẬU CỪU:1:CHẬU NGỰA:1:CHẬU BÒ:1</t>
  </si>
  <si>
    <t>KIM CƯƠNG:1500:Vàng:125000:CHẬU TRĂNG NON:1:CHẬU NGUYỆT THỰC:1:CHẬU TRĂNG NGŨ SẮC:1:CHẬU TRĂNG TÍM:1:CHẬU TRĂNG THANH:1:CHẬU TRĂNG ĐỎ:1</t>
  </si>
  <si>
    <t>KIM CƯƠNG:2000:Vàng:250000:Vòng Giấc Mơ Gió:1:Vòng Giấc Mơ Sét:1:Vòng Giấc Mơ Nước:1:Vòng Giấc Mơ Trăng:1:Vòng Giấc Mơ Sao:1:Vòng Giấc Mơ Mặt Trời:1</t>
  </si>
  <si>
    <t>KIM CƯƠNG:2500:Vàng:250000:CHẬU MẶT TRỜI:1:CHẬU THỦY TINH:1:CHẬU KIM TINH:1:CHẬU HỎA TINH:1:CHẬU MỘC TINH:1:CHẬU THỔ TINH:1</t>
  </si>
  <si>
    <t>KIM CƯƠNG:4000:Vàng:1000000:CHẬU HOA TUYẾT:1:CHẬU HOA BÚP:1:CHẬU HOA ÁNH KIM:1:CHẬU HOA LỒNG ĐÈN:1:CHẬU HOA ĐÀI SEN:1:CHẬU HOA BỌT BIỂN:1</t>
  </si>
  <si>
    <t>CÂY MẶT TRỜI</t>
  </si>
  <si>
    <t>item_cloud_skin_10.png</t>
  </si>
  <si>
    <t>Lọ Mây Giáng Sinh</t>
  </si>
  <si>
    <t>CK7</t>
  </si>
  <si>
    <t>CK8</t>
  </si>
  <si>
    <t>CK9</t>
  </si>
  <si>
    <t>CK10</t>
  </si>
  <si>
    <t>KIM CƯƠNG:1000:VÀNG:2000000</t>
  </si>
  <si>
    <t>Lọ Mây Năm Mới</t>
  </si>
  <si>
    <t>item_cloud_skin_11.png</t>
  </si>
  <si>
    <t>CK11</t>
  </si>
  <si>
    <t>KIM CƯƠNG:200:Vàng:100000:NGỌC ĐỎ:20:NGỌC XANH BIỂN:20:NGỌC VÀNG:20:NGỌC TÍM:20</t>
  </si>
  <si>
    <t>KIM CƯƠNG:200:Vàng:50000:NGỌC ĐỎ:20:NGỌC XANH BIỂN:20:NGỌC VÀNG:20:NGỌC TÍM:20</t>
  </si>
  <si>
    <t>KIM CƯƠNG:1000:Vàng:750000:CHẬU HOA TUYẾT:1:CHẬU HOA BÚP:1:CHẬU HOA ÁNH KIM:1:CHẬU HOA LỒNG ĐÈN:1:CHẬU HOA ĐÀI SEN:1:CHẬU HOA BỌT BIỂN:1</t>
  </si>
  <si>
    <t>KIM CƯƠNG:100:Vàng:25000:Gạch:10:Sơn Đỏ:10:Gỗ:10:Đá:10:Sơn Vàng:10:Đinh:10</t>
  </si>
  <si>
    <t>KIM CƯƠNG:200:Vàng:50000:Gạch:15:Sơn Đỏ:15:Gỗ:15:Đá:15:Sơn Vàng:15:Đinh:15</t>
  </si>
  <si>
    <t>KIM CƯƠNG:500:Vàng:500000:Gạch:15:Sơn Đỏ:15:Gỗ:15:Đá:15:Sơn Vàng:15:Đinh:15:Ngói:15:Sơn Đen:15:Sắt:15</t>
  </si>
  <si>
    <t>KIM CƯƠNG:2000:Vàng:1000000:CHẬU CHU TƯỚC:1:CHẬU THANH LONG:1:CHẬU BẠCH HỔ:1:CHẬU HUYỀN VŨ:1:CHẬU HOÀNG NGHÊ:1:CHẬU CỬU TƯỢNG:1</t>
  </si>
  <si>
    <t>KIM CƯƠNG:100:Vàng:25000:Gạch:10:Sơn Đỏ:10:Gỗ:10:Ngói:10:Sơn Đen:10:Sắt:10</t>
  </si>
  <si>
    <t>KIM CƯƠNG:100:Vàng:25000:Bọ Rùa:10:Ốc Sên:10:Đom Đóm:10:Bướm:10:Ong:10:Chuồn Chuồn:10</t>
  </si>
  <si>
    <t>KIM CƯƠNG:200:Vàng:50000:Gạch:10:Sơn Đỏ:10:Gỗ:10:Ngói:10:Sơn Đen:10:Sắt:10</t>
  </si>
  <si>
    <t>KIM CƯƠNG:1000:Vàng:750000:NGỌC ĐỎ:15:NGỌC XANH BIỂN:15:NGỌC VÀNG:15:NGỌC TÍM:15:NGỌC CAM:15:NGỌC XANH LÁ:15</t>
  </si>
  <si>
    <t>KIM CƯƠNG:1000:Vàng:750000:CHẬU HOA TUYẾT:1:CHẬU HOA BÚP:1:CHẬU HOA ÁNH KIM:1</t>
  </si>
  <si>
    <t>COIN:1250</t>
  </si>
  <si>
    <t>COIN:900</t>
  </si>
  <si>
    <t>COIN:700</t>
  </si>
  <si>
    <t>KIM CƯƠNG:100:Vàng:50000:Nước Thần:10:Keo Dán Mây:10:Gạch:10:Sơn Đỏ:10:Gỗ:10</t>
  </si>
  <si>
    <t>KIM CƯƠNG:100:Vàng:50000:Nước Thần:10:Keo Dán Mây:10:Đá:10:Sơn Vàng:10:Đinh:10</t>
  </si>
  <si>
    <t>KIM CƯƠNG:100:Vàng:50000:Nước Thần:10:Keo Dán Mây:10:Ngói:10:Sơn Đen:10:Sắt:10</t>
  </si>
  <si>
    <t>KIM CƯƠNG:100:Vàng:50000:Bọ Rùa:10:Ốc Sên:10:Đom Đóm:10:Bướm:10:Ong:10:Chuồn Chuồn:10</t>
  </si>
  <si>
    <t>COIN:1665</t>
  </si>
  <si>
    <t>CHECK_ACTIVE</t>
  </si>
  <si>
    <t>KIM CƯƠNG:150:Vàng:25000:CHẬU HỒNG NGỌC:3:Vợt Trắng:10:Chuồn Chuồn:5:Bướm:5:Ong:5:Gạch:5:Sơn Đỏ:5:Gỗ:5</t>
  </si>
  <si>
    <t>KIM CƯƠNG:200:Vàng:25000:CHẬU HỒNG NGỌC:3:Vợt Trắng:10:Gạch:5:Sơn Đỏ:5:Gỗ:5:Đá:5:Sơn Vàng:5:Đinh:5</t>
  </si>
  <si>
    <t>KIM CƯƠNG:300:Vàng:80000:CHẬU SAN HÔ:1:CHẬU SÓNG BIỂN:1:CHẬU TẢO XANH:1:CHẬU HOA BIỂN:1:CHẬU SAO BIỂN:1:CHẬU MÂY BIỂN:1</t>
  </si>
  <si>
    <t>KIM CƯƠNG:400:Vàng:100000:CHẬU SAN HÔ:1:CHẬU SÓNG BIỂN:1:CHẬU TẢO XANH:1:CHẬU HOA BIỂN:1:CHẬU SAO BIỂN:1:CHẬU MÂY BIỂN:1</t>
  </si>
  <si>
    <t>KIM CƯƠNG:900:Vàng:125000:CHẬU TRÂU:1:CHẬU HEO:1:CHẬU DÊ:1:CHẬU CỪU:1:CHẬU NGỰA:1:CHẬU BÒ:1</t>
  </si>
  <si>
    <t>KIM CƯƠNG:1000:Vàng:125000:CHẬU TRĂNG NON:1:CHẬU NGUYỆT THỰC:1:CHẬU TRĂNG NGŨ SẮC:1:CHẬU TRĂNG TÍM:1:CHẬU TRĂNG THANH:1:CHẬU TRĂNG ĐỎ:1</t>
  </si>
  <si>
    <t>KIM CƯƠNG:1500:Vàng:250000:Vòng Giấc Mơ Gió:1:Vòng Giấc Mơ Sét:1:Vòng Giấc Mơ Nước:1:Vòng Giấc Mơ Trăng:1:Vòng Giấc Mơ Sao:1:Vòng Giấc Mơ Mặt Trời:1</t>
  </si>
  <si>
    <t>KIM CƯƠNG:2000:Vàng:250000:CHẬU MẶT TRỜI:1:CHẬU THỦY TINH:1:CHẬU KIM TINH:1:CHẬU HỎA TINH:1:CHẬU MỘC TINH:1:CHẬU THỔ TINH:1</t>
  </si>
  <si>
    <t>KIM CƯƠNG:3000:Vàng:1000000:CHẬU HOA TUYẾT:1:CHẬU HOA BÚP:1:CHẬU HOA ÁNH KIM:1:CHẬU HOA LỒNG ĐÈN:1:CHẬU HOA ĐÀI SEN:1:CHẬU HOA BỌT BIỂN:1</t>
  </si>
  <si>
    <t>KIM CƯƠNG:150:Vàng:100000:CHẬU TRÂU:1:CHẬU HEO:1:CHẬU DÊ:1:CHẬU CỪU:1:CHẬU NGỰA:1:CHẬU BÒ:1</t>
  </si>
  <si>
    <t>KIM CƯƠNG:450:Vàng:250000:Chong Chóng Trơn:1:Chong Chóng Sọc:1:Chong Chóng Xoắn:1:Chong Chóng Bi:1:Chong Chóng Hoa:1:Chong Chóng Viền:1</t>
  </si>
  <si>
    <t>KIM CƯƠNG:150:Vàng:100000:NGỌC ĐỎ:20:NGỌC XANH BIỂN:20:NGỌC VÀNG:20:NGỌC TÍM:20</t>
  </si>
  <si>
    <t>KIM CƯƠNG:150:Vàng:50000:CHẬU MÙA HÈ 1:1:CHẬU MÙA HÈ 2:1:CHẬU MÙA HÈ 3:1:CHẬU MÙA HÈ 4:1:CHẬU MÙA HÈ 5:1:CHẬU MÙA HÈ 6:1</t>
  </si>
  <si>
    <t>KIM CƯƠNG:450:Vàng:500000:Vòng Giấc Mơ Gió:1:Vòng Giấc Mơ Sét:1:Vòng Giấc Mơ Nước:1:Vòng Giấc Mơ Trăng:1:Vòng Giấc Mơ Sao:1:Vòng Giấc Mơ Mặt Trời:1</t>
  </si>
  <si>
    <t>KIM CƯƠNG:450:Vàng:500000:Chuông Gió Hồng:1:Chuông Gió Lục:1:Chuông Gió Vàng:1:Chuông Gió Đỏ:1:Chuông Gió Tím:1:Chuông Gió Cam:1</t>
  </si>
  <si>
    <t>KIM CƯƠNG:150:Vàng:50000:NGỌC ĐỎ:20:NGỌC XANH BIỂN:20:NGỌC VÀNG:20:NGỌC TÍM:20</t>
  </si>
  <si>
    <t>KIM CƯƠNG:450:Vàng:500000:Bọ Rùa:15:Ốc Sên:15:Đom Đóm:15:Sâu Xanh:15:Bướm:15:Ong:15:Chuồn Chuồn:15</t>
  </si>
  <si>
    <t>KIM CƯƠNG:75:VÀNG:75000</t>
  </si>
  <si>
    <t>KIM CƯƠNG:150:VÀNG:200000</t>
  </si>
  <si>
    <t>KIM CƯƠNG:450:VÀNG:625000</t>
  </si>
  <si>
    <t>KIM CƯƠNG:750:VÀNG:1500000</t>
  </si>
  <si>
    <t>KIM CƯƠNG:1500:VÀNG:4000000</t>
  </si>
  <si>
    <t>OFFER_PIG_BANK</t>
  </si>
  <si>
    <t>Kim Cương:250:Vàng:60000</t>
  </si>
  <si>
    <t>Kim Cương:500:Vàng:125000</t>
  </si>
  <si>
    <t>Kim Cương:1000:Vàng:250000</t>
  </si>
  <si>
    <t>Kim Cương:75:Vàng:12000</t>
  </si>
  <si>
    <t>Kim Cương:150:Vàng:25000</t>
  </si>
  <si>
    <t>Kim Cương:450:Vàng:50000</t>
  </si>
  <si>
    <t>COIN:940</t>
  </si>
  <si>
    <t>KIM CƯƠNG:75:Vàng:50000:Nước Thần:10:Keo Dán Mây:10:Gạch:10:Sơn Đỏ:10:Gỗ:10</t>
  </si>
  <si>
    <t>KIM CƯƠNG:75:Vàng:50000:Nước Thần:10:Keo Dán Mây:10:Đá:10:Sơn Vàng:10:Đinh:10</t>
  </si>
  <si>
    <t>KIM CƯƠNG:75:Vàng:50000:Nước Thần:10:Keo Dán Mây:10:Ngói:10:Sơn Đen:10:Sắt:10</t>
  </si>
  <si>
    <t>KIM CƯƠNG:75:Vàng:50000:Bọ Rùa:10:Ốc Sên:10:Đom Đóm:10:Bướm:10:Ong:10:Chuồn Chuồn:10</t>
  </si>
  <si>
    <t>KIM CƯƠNG:750:Vàng:750000:CHẬU HOA TUYẾT:1:CHẬU HOA BÚP:1:CHẬU HOA ÁNH KIM:1:CHẬU HOA LỒNG ĐÈN:1:CHẬU HOA ĐÀI SEN:1:CHẬU HOA BỌT BIỂN:1</t>
  </si>
  <si>
    <t>KIM CƯƠNG:1500:Vàng:1000000:CHẬU CHU TƯỚC:1:CHẬU THANH LONG:1:CHẬU BẠCH HỔ:1:CHẬU HUYỀN VŨ:1:CHẬU HOÀNG NGHÊ:1:CHẬU CỬU TƯỢNG:1</t>
  </si>
  <si>
    <t>KIM CƯƠNG:75:Vàng:25000:Gạch:10:Sơn Đỏ:10:Gỗ:10:Đá:10:Sơn Vàng:10:Đinh:10</t>
  </si>
  <si>
    <t>KIM CƯƠNG:150:Vàng:50000:Gạch:15:Sơn Đỏ:15:Gỗ:15:Đá:15:Sơn Vàng:15:Đinh:15</t>
  </si>
  <si>
    <t>KIM CƯƠNG:450:Vàng:500000:Gạch:15:Sơn Đỏ:15:Gỗ:15:Đá:15:Sơn Vàng:15:Đinh:15:Ngói:15:Sơn Đen:15:Sắt:15</t>
  </si>
  <si>
    <t>KIM CƯƠNG:750:Vàng:750000:CHẬU HOA TUYẾT:1:CHẬU HOA BÚP:1:CHẬU HOA ÁNH KIM:1</t>
  </si>
  <si>
    <t>KIM CƯƠNG:1500:Vàng:1500000:THỎI ĐỒNG:15:THỎI BẠCH KIM:15:CHẬU CHU TƯỚC:6</t>
  </si>
  <si>
    <t>KIM CƯƠNG:75:Vàng:25000:Gạch:10:Sơn Đỏ:10:Gỗ:10:Ngói:10:Sơn Đen:10:Sắt:10</t>
  </si>
  <si>
    <t>KIM CƯƠNG:75:Vàng:25000:Bọ Rùa:10:Ốc Sên:10:Đom Đóm:10:Bướm:10:Ong:10:Chuồn Chuồn:10</t>
  </si>
  <si>
    <t>KIM CƯƠNG:150:Vàng:50000:Gạch:10:Sơn Đỏ:10:Gỗ:10:Ngói:10:Sơn Đen:10:Sắt:10</t>
  </si>
  <si>
    <t>KIM CƯƠNG:750:Vàng:750000:NGỌC ĐỎ:15:NGỌC XANH BIỂN:15:NGỌC VÀNG:15:NGỌC TÍM:15:NGỌC CAM:15:NGỌC XANH LÁ:15</t>
  </si>
  <si>
    <t>KIM CƯƠNG:1500:Vàng:1000000:CHẬU CHU TƯỚC:3:CHẬU THANH LONG:3</t>
  </si>
  <si>
    <t>COIN:630</t>
  </si>
  <si>
    <t>COIN:540</t>
  </si>
  <si>
    <t>KIM CƯƠNG:2000:Vàng:1500000:THỎI ĐỒNG:15:THỎI BẠCH KIM:15:CHẬU CHU TƯỚC:6</t>
  </si>
  <si>
    <t>KIM CƯƠNG:2000:Vàng:1000000:CHẬU CHU TƯỚC:3:CHẬU THANH LONG:3</t>
  </si>
  <si>
    <t>OFFER_RARE_NEWBIE_1</t>
  </si>
  <si>
    <t>OFFER_RARE_NEWBIE_2</t>
  </si>
  <si>
    <t>OFFER_RARE_NEWBIE_3</t>
  </si>
  <si>
    <t>OFFER_RARE_NEWBIE_4</t>
  </si>
  <si>
    <t>OFFER_RARE_NEWBIE_5</t>
  </si>
  <si>
    <t>OFFER_RARE_SPECIAL_1</t>
  </si>
  <si>
    <t>OFFER_RARE_SPECIAL_2</t>
  </si>
  <si>
    <t>OFFER_RARE_SPECIAL_3</t>
  </si>
  <si>
    <t>OFFER_RARE_SPECIAL_4</t>
  </si>
  <si>
    <t>OFFER_RARE_SPECIAL_5</t>
  </si>
  <si>
    <t>OFFER_RARE_SUPER_1</t>
  </si>
  <si>
    <t>OFFER_RARE_SUPER_2</t>
  </si>
  <si>
    <t>OFFER_RARE_SUPER_3</t>
  </si>
  <si>
    <t>OFFER_RARE_SUPER_4</t>
  </si>
  <si>
    <t>OFFER_RARE_SUPER_5</t>
  </si>
  <si>
    <t>Mốc xu đã nạp vào game, thấp &amp; lớn hơn hoặc bằng mốc này</t>
  </si>
  <si>
    <t>OFFER_SPECIAL_1:15:OFFER_SPECIAL_2:15:OFFER_SPECIAL_6:15:OFFER_SPECIAL_7:10:OFFER_SPECIAL_8:10:OFFER_SPECIAL_9:15:OFFER_SPECIAL_10:20</t>
  </si>
  <si>
    <t>OFFER_SPECIAL_3:20:OFFER_SPECIAL_4:10:OFFER_SPECIAL_11:20:OFFER_SPECIAL_12:20:OFFER_SPECIAL_13:15:OFFER_SPECIAL_15:15</t>
  </si>
  <si>
    <t>OFFER_SUPER_1:10:OFFER_SUPER_2:10:OFFER_SUPER_3:10:OFFER_SUPER_8:10:OFFER_SUPER_9:10:OFFER_SUPER_10:10:OFFER_SUPER_11:10:OFFER_SUPER_12:5:OFFER_SUPER_17:10:OFFER_SUPER_18:10:OFFER_SUPER_19:5</t>
  </si>
  <si>
    <t>OFFER_SUPER_3:15:OFFER_SUPER_4:5:OFFER_SUPER_5:10:OFFER_SUPER_6:5:OFFER_SUPER_7:10:OFFER_SUPER_12:10:OFFER_SUPER_13:5:OFFER_SUPER_14:5:OFFER_SUPER_15:5:OFFER_SUPER_16:5:OFFER_SUPER_19:10:OFFER_SUPER_20:10:OFFER_SUPER_21:5</t>
  </si>
  <si>
    <t>OFFER_SUPER_3:10:OFFER_SUPER_4:10:OFFER_SUPER_5:10:OFFER_SUPER_6:5:OFFER_SUPER_7:10:OFFER_SUPER_12:5:OFFER_SUPER_13:10:OFFER_SUPER_14:10:OFFER_SUPER_15:5:OFFER_SUPER_16:5:OFFER_SUPER_19:5:OFFER_SUPER_20:5:OFFER_SUPER_21:10</t>
  </si>
  <si>
    <t>OFFER_SPECIAL_RESET_MIN</t>
  </si>
  <si>
    <t>OFFER_SPECIAL_RESET_MAX</t>
  </si>
  <si>
    <t>OFFER_RARE_PERIOD_DAY_MIN</t>
  </si>
  <si>
    <t>OFFER_RARE_PERIOD_DAY_MAX</t>
  </si>
  <si>
    <t>OFFER_RARE_NEWBIE_PERIOD_PURCHASE</t>
  </si>
  <si>
    <t>OFFER_RARE_NEWBIE_NO_PURCHASE</t>
  </si>
  <si>
    <t>OFFER_RARE_NEWBIE_LOW_PURCHASE</t>
  </si>
  <si>
    <t>OFFER_RARE_NEWBIE_HIGH_PURCHASE</t>
  </si>
  <si>
    <t>OFFER_RARE_NEWBIE_RESET_MIN</t>
  </si>
  <si>
    <t>OFFER_RARE_NEWBIE_RESET_MAX</t>
  </si>
  <si>
    <t>OFFER_RARE_SPECIAL_PERIOD_PURCHASE</t>
  </si>
  <si>
    <t>OFFER_RARE_SPECIAL_NO_PURCHASE</t>
  </si>
  <si>
    <t>OFFER_RARE_SPECIAL_LOW_PURCHASE</t>
  </si>
  <si>
    <t>OFFER_RARE_SPECIAL_HIGH_PURCHASE</t>
  </si>
  <si>
    <t>OFFER_RARE_SPECIAL_RESET_MIN</t>
  </si>
  <si>
    <t>OFFER_RARE_SPECIAL_RESET_MAX</t>
  </si>
  <si>
    <t>OFFER_RARE_SUPER_PERIOD_PURCHASE</t>
  </si>
  <si>
    <t>OFFER_RARE_SUPER_NO_PURCHASE</t>
  </si>
  <si>
    <t>OFFER_RARE_SUPER_LOW_PURCHASE</t>
  </si>
  <si>
    <t>OFFER_RARE_SUPER_HIGH_PURCHASE</t>
  </si>
  <si>
    <t>OFFER_RARE_SUPER_RESET_MIN</t>
  </si>
  <si>
    <t>OFFER_RARE_SUPER_RESET_MAX</t>
  </si>
  <si>
    <t>Nếu chưa từng nạp, quay về flow offer newbie đã có</t>
  </si>
  <si>
    <t>Nạp bằng hoặc cao hơn mốc đưa ra</t>
  </si>
  <si>
    <t>Chưa từng nạp, random trong list này</t>
  </si>
  <si>
    <t>Nạp thấp hơn, random trong list này</t>
  </si>
  <si>
    <t>Nạp bằng hoặc cao hơn random trong list này</t>
  </si>
  <si>
    <t>Check tổng kim cương đã nạp vào game từ lúc tạo acc, thấp &amp; lớn hơn hoặc bằng mốc này</t>
  </si>
  <si>
    <t>thời gian reset offer SPECIAL, user có thanh toán hay không thanh toán. Chú ý: số này phải lớn hơn duration</t>
  </si>
  <si>
    <t>Số ngày random MIN hệ thống check lùi về trước, xác định user có thuộc tập nhận OFFER RARE hay không</t>
  </si>
  <si>
    <t>Số ngày random MAX hệ thống check lùi về trước, xác định user có thuộc tập nhận OFFER RARE hay không</t>
  </si>
  <si>
    <t>Newbie - CHECK TỔNG NẠP TRƯỚC ĐÓ - 500 COIN</t>
  </si>
  <si>
    <t>Nạp lớn hơn, offer mệnh giá 50k, 100k, 200k</t>
  </si>
  <si>
    <t>SPECIAL - CHECK TỔNG NẠP TRƯỚC ĐÓ - 1000 COIN</t>
  </si>
  <si>
    <t>Nạp thấp hơn, offer mệnh giá 10K, 20K, 50K (THẤP)</t>
  </si>
  <si>
    <t>SUPER - CHECK TỔNG NẠP TRƯỚC ĐÓ - 2000 COIN</t>
  </si>
  <si>
    <t>RARE - check lịch sử thanh toán trong random x ngày, nếu không có sẽ nhận OFFER RARE THEO TỪNG TẬP USER</t>
  </si>
  <si>
    <t>Nạp thấp hơn, offer mệnh giá 10K, 20K, 50K, 100K</t>
  </si>
  <si>
    <t>KIM CƯƠNG:200:VÀNG:150000</t>
  </si>
  <si>
    <t>KIM CƯƠNG:400:VÀNG:400000</t>
  </si>
  <si>
    <t>KIM CƯƠNG:1000:VÀNG:1200000</t>
  </si>
  <si>
    <t>KIM CƯƠNG:2000:VÀNG:3000000</t>
  </si>
  <si>
    <t>KIM CƯƠNG:4000:VÀNG:6000000</t>
  </si>
  <si>
    <t>KIM CƯƠNG:150:VÀNG:100000</t>
  </si>
  <si>
    <t>KIM CƯƠNG:300:VÀNG:250000</t>
  </si>
  <si>
    <t>KIM CƯƠNG:750:VÀNG:800000</t>
  </si>
  <si>
    <t>KIM CƯƠNG:1500:VÀNG:2500000</t>
  </si>
  <si>
    <t>KIM CƯƠNG:2500:VÀNG:4500000</t>
  </si>
  <si>
    <t>KIM CƯƠNG:300:VÀNG:150000</t>
  </si>
  <si>
    <t>KIM CƯƠNG:600:VÀNG:400000</t>
  </si>
  <si>
    <t>KIM CƯƠNG:1500:VÀNG:1200000</t>
  </si>
  <si>
    <t>KIM CƯƠNG:3000:VÀNG:3000000</t>
  </si>
  <si>
    <t>KIM CƯƠNG:6000:VÀNG:6000000</t>
  </si>
  <si>
    <t>Nạp thấp hơn mốc đưa ra, random trong list này</t>
  </si>
  <si>
    <t>C1_EDIT</t>
  </si>
  <si>
    <t>Vàng:200</t>
  </si>
  <si>
    <t>Vàng:150</t>
  </si>
  <si>
    <t>Kinh Nghiệm:150</t>
  </si>
  <si>
    <t>Kinh Nghiệm:180</t>
  </si>
  <si>
    <t>Vàng:250</t>
  </si>
  <si>
    <t>Kinh Nghiệm:200</t>
  </si>
  <si>
    <t>Vợt Xanh:1</t>
  </si>
  <si>
    <t>Kinh Nghiệm:250</t>
  </si>
  <si>
    <t>Vàng:120</t>
  </si>
  <si>
    <t>item_cloud_skin_12.png</t>
  </si>
  <si>
    <t>CK12</t>
  </si>
  <si>
    <t>Táo:12</t>
  </si>
  <si>
    <t>Bông:12</t>
  </si>
  <si>
    <t>Tuyết:6</t>
  </si>
  <si>
    <t>Oải Hương:6</t>
  </si>
  <si>
    <t>Chậu Hồng Ngọc:3:Chậu Vàng:3:CHẬU THỦY SINH:3</t>
  </si>
  <si>
    <t>CHẬU SAN HÔ:3</t>
  </si>
  <si>
    <t>CHẬU TRÂU:3</t>
  </si>
  <si>
    <t>CHẬU MÙA HÈ 1:3</t>
  </si>
  <si>
    <t>Nước Dứa:1:Tinh Dầu Hoa Hồng:1</t>
  </si>
  <si>
    <t>Tinh Dầu Táo:1:SÂU XANH:1</t>
  </si>
  <si>
    <t>Lài Sấy:1:Trà Hoa Hồng:1</t>
  </si>
  <si>
    <t>Vải Đen:1</t>
  </si>
  <si>
    <t>CHẬU CHU TƯỚC:3</t>
  </si>
  <si>
    <t>Trà Việt Quất:1</t>
  </si>
  <si>
    <t>CHẬU THANH LONG:3</t>
  </si>
  <si>
    <t>CHẬU BẠCH HỔ:3</t>
  </si>
  <si>
    <t>REWARD_ITEM_NEW</t>
  </si>
  <si>
    <t>Chậu Hồng Ngọc:3:CHẬU MÙA HÈ 1:1:CHẬU MÙA HÈ 2:1</t>
  </si>
  <si>
    <t>CHẬU MÙA HÈ 4:1:Nước Thần:2:Keo Dán Mây:2</t>
  </si>
  <si>
    <t>CHẬU MÙA HÈ 5:1</t>
  </si>
  <si>
    <t>CHẬU MÙA HÈ 5:6</t>
  </si>
  <si>
    <t>CHẬU SAN HÔ:3:CHONG CHÓNG SỌC:1</t>
  </si>
  <si>
    <t>CHONG CHÓNG XOẮN:1</t>
  </si>
  <si>
    <t>CHONG CHÓNG BI:1</t>
  </si>
  <si>
    <t>Lọ Mây Hồng:1:CHONG CHÓNG HOA:1</t>
  </si>
  <si>
    <t>CHONG CHÓNG VIỀN:1</t>
  </si>
  <si>
    <t>Vàng:100</t>
  </si>
  <si>
    <t>Vàng:80</t>
  </si>
  <si>
    <t>Kinh Nghiệm:90</t>
  </si>
  <si>
    <t>Kinh Nghiệm:120</t>
  </si>
  <si>
    <t>OFFER_SUPER_22</t>
  </si>
  <si>
    <t>OFFER_SUPER_23</t>
  </si>
  <si>
    <t>KIM CƯƠNG:1000:Vàng:750000:THỎI ĐỒNG:25:THỎI BẠC:25:THỎI VÀNG:25:THỎI BẠCH KIM:25</t>
  </si>
  <si>
    <t>KIM CƯƠNG:2000:Vàng:1500000:THỎI ĐỒNG:40:THỎI BẠC:40:THỎI VÀNG:40:THỎI BẠCH KIM:40</t>
  </si>
  <si>
    <t>KIM CƯƠNG:500:Vàng:750000:Gạch:15:Sơn Đỏ:15:Gỗ:15:Đá:15:Sơn Vàng:15:Đinh:15:Ngói:15:Sơn Đen:15:Sắt:15</t>
  </si>
  <si>
    <t>Value thỏi</t>
  </si>
  <si>
    <t xml:space="preserve">Value Ngọc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</si>
</sst>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0_);_(* \(#,##0.00\);_(* &quot;-&quot;&quot;?&quot;&quot;?&quot;_);_(@_)"/>
    <numFmt numFmtId="167" formatCode="#,##0.0"/>
    <numFmt numFmtId="168" formatCode="_(* #,##0.0_);_(* \(#,##0.0\);_(* &quot;-&quot;??_);_(@_)"/>
    <numFmt numFmtId="169" formatCode="0.0000"/>
    <numFmt numFmtId="170" formatCode="_(* #,##0_);_(* \(#,##0\);_(* &quot;-&quot;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499984740745262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indexed="81"/>
      <name val="Tahoma"/>
      <family val="2"/>
    </font>
    <font>
      <b/>
      <sz val="14"/>
      <color indexed="81"/>
      <name val="Tahoma"/>
      <family val="2"/>
    </font>
    <font>
      <sz val="11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4" fillId="38" borderId="0" applyNumberFormat="0" applyBorder="0" applyAlignment="0" applyProtection="0"/>
    <xf numFmtId="0" fontId="35" fillId="39" borderId="0" applyNumberFormat="0" applyBorder="0" applyAlignment="0" applyProtection="0"/>
    <xf numFmtId="0" fontId="36" fillId="40" borderId="11" applyNumberFormat="0" applyAlignment="0" applyProtection="0"/>
    <xf numFmtId="0" fontId="37" fillId="41" borderId="12" applyNumberFormat="0" applyAlignment="0" applyProtection="0"/>
  </cellStyleXfs>
  <cellXfs count="593">
    <xf numFmtId="0" fontId="0" fillId="0" borderId="0" xfId="0"/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0" fontId="0" fillId="0" borderId="2" xfId="0" applyFill="1" applyBorder="1"/>
    <xf numFmtId="49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3" fillId="0" borderId="2" xfId="0" applyFont="1" applyFill="1" applyBorder="1"/>
    <xf numFmtId="0" fontId="3" fillId="0" borderId="2" xfId="0" applyFont="1" applyFill="1" applyBorder="1" applyAlignment="1"/>
    <xf numFmtId="0" fontId="3" fillId="3" borderId="2" xfId="0" applyFont="1" applyFill="1" applyBorder="1"/>
    <xf numFmtId="0" fontId="3" fillId="4" borderId="2" xfId="0" applyFont="1" applyFill="1" applyBorder="1"/>
    <xf numFmtId="0" fontId="0" fillId="0" borderId="0" xfId="0" applyFill="1"/>
    <xf numFmtId="3" fontId="4" fillId="0" borderId="2" xfId="0" applyNumberFormat="1" applyFon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right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65" fontId="0" fillId="0" borderId="3" xfId="0" applyNumberForma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right"/>
    </xf>
    <xf numFmtId="165" fontId="0" fillId="0" borderId="0" xfId="0" applyNumberFormat="1" applyFill="1"/>
    <xf numFmtId="49" fontId="0" fillId="0" borderId="3" xfId="0" applyNumberForma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2" xfId="0" applyNumberForma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0" fontId="0" fillId="6" borderId="0" xfId="0" applyFill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2" xfId="0" applyNumberFormat="1" applyFont="1" applyFill="1" applyBorder="1"/>
    <xf numFmtId="0" fontId="4" fillId="0" borderId="2" xfId="0" applyNumberFormat="1" applyFont="1" applyFill="1" applyBorder="1"/>
    <xf numFmtId="49" fontId="4" fillId="0" borderId="2" xfId="0" applyNumberFormat="1" applyFont="1" applyFill="1" applyBorder="1" applyAlignment="1">
      <alignment horizontal="left"/>
    </xf>
    <xf numFmtId="0" fontId="4" fillId="0" borderId="0" xfId="0" applyFont="1" applyFill="1"/>
    <xf numFmtId="164" fontId="4" fillId="0" borderId="2" xfId="2" applyNumberFormat="1" applyFont="1" applyFill="1" applyBorder="1"/>
    <xf numFmtId="3" fontId="4" fillId="0" borderId="0" xfId="0" applyNumberFormat="1" applyFont="1" applyFill="1"/>
    <xf numFmtId="3" fontId="0" fillId="0" borderId="0" xfId="0" applyNumberFormat="1" applyFill="1"/>
    <xf numFmtId="0" fontId="0" fillId="0" borderId="0" xfId="0" applyBorder="1"/>
    <xf numFmtId="164" fontId="4" fillId="0" borderId="0" xfId="1" applyNumberFormat="1" applyFont="1" applyFill="1"/>
    <xf numFmtId="49" fontId="2" fillId="7" borderId="2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0" fillId="0" borderId="2" xfId="0" applyBorder="1"/>
    <xf numFmtId="49" fontId="0" fillId="0" borderId="2" xfId="0" applyNumberFormat="1" applyFill="1" applyBorder="1" applyAlignment="1">
      <alignment horizontal="right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Border="1"/>
    <xf numFmtId="0" fontId="0" fillId="0" borderId="2" xfId="0" applyBorder="1" applyAlignment="1">
      <alignment horizontal="center"/>
    </xf>
    <xf numFmtId="49" fontId="0" fillId="0" borderId="0" xfId="0" applyNumberFormat="1"/>
    <xf numFmtId="0" fontId="4" fillId="0" borderId="2" xfId="0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righ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49" fontId="0" fillId="8" borderId="2" xfId="0" applyNumberFormat="1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left"/>
    </xf>
    <xf numFmtId="49" fontId="0" fillId="0" borderId="2" xfId="0" applyNumberFormat="1" applyFill="1" applyBorder="1"/>
    <xf numFmtId="3" fontId="0" fillId="0" borderId="2" xfId="0" applyNumberFormat="1" applyFill="1" applyBorder="1" applyAlignment="1">
      <alignment horizontal="right"/>
    </xf>
    <xf numFmtId="0" fontId="0" fillId="8" borderId="2" xfId="0" applyFill="1" applyBorder="1"/>
    <xf numFmtId="0" fontId="0" fillId="11" borderId="0" xfId="0" applyFill="1"/>
    <xf numFmtId="3" fontId="0" fillId="13" borderId="2" xfId="0" applyNumberFormat="1" applyFill="1" applyBorder="1" applyAlignment="1">
      <alignment horizontal="right"/>
    </xf>
    <xf numFmtId="49" fontId="0" fillId="13" borderId="2" xfId="0" applyNumberFormat="1" applyFill="1" applyBorder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/>
    <xf numFmtId="44" fontId="0" fillId="0" borderId="2" xfId="0" applyNumberForma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/>
    <xf numFmtId="49" fontId="3" fillId="5" borderId="2" xfId="0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/>
    <xf numFmtId="1" fontId="0" fillId="5" borderId="2" xfId="0" applyNumberFormat="1" applyFont="1" applyFill="1" applyBorder="1" applyAlignment="1">
      <alignment horizontal="right"/>
    </xf>
    <xf numFmtId="0" fontId="0" fillId="5" borderId="2" xfId="0" applyFont="1" applyFill="1" applyBorder="1"/>
    <xf numFmtId="0" fontId="0" fillId="0" borderId="0" xfId="0" applyFont="1" applyFill="1"/>
    <xf numFmtId="1" fontId="0" fillId="0" borderId="2" xfId="0" applyNumberFormat="1" applyFont="1" applyFill="1" applyBorder="1"/>
    <xf numFmtId="168" fontId="0" fillId="12" borderId="0" xfId="1" applyNumberFormat="1" applyFont="1" applyFill="1" applyAlignment="1">
      <alignment horizontal="center"/>
    </xf>
    <xf numFmtId="164" fontId="9" fillId="0" borderId="0" xfId="1" applyNumberFormat="1" applyFont="1" applyFill="1" applyBorder="1" applyAlignment="1">
      <alignment horizontal="center" vertical="center"/>
    </xf>
    <xf numFmtId="164" fontId="0" fillId="12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49" fontId="8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" fontId="0" fillId="8" borderId="2" xfId="0" applyNumberFormat="1" applyFont="1" applyFill="1" applyBorder="1" applyAlignment="1">
      <alignment horizontal="right"/>
    </xf>
    <xf numFmtId="1" fontId="0" fillId="14" borderId="2" xfId="0" applyNumberFormat="1" applyFont="1" applyFill="1" applyBorder="1" applyAlignment="1">
      <alignment horizontal="right"/>
    </xf>
    <xf numFmtId="0" fontId="0" fillId="14" borderId="2" xfId="0" applyFont="1" applyFill="1" applyBorder="1"/>
    <xf numFmtId="1" fontId="0" fillId="16" borderId="2" xfId="0" applyNumberFormat="1" applyFont="1" applyFill="1" applyBorder="1" applyAlignment="1">
      <alignment horizontal="right"/>
    </xf>
    <xf numFmtId="0" fontId="0" fillId="16" borderId="2" xfId="0" applyFont="1" applyFill="1" applyBorder="1"/>
    <xf numFmtId="1" fontId="0" fillId="10" borderId="2" xfId="0" applyNumberFormat="1" applyFont="1" applyFill="1" applyBorder="1" applyAlignment="1">
      <alignment horizontal="right"/>
    </xf>
    <xf numFmtId="1" fontId="0" fillId="17" borderId="2" xfId="0" applyNumberFormat="1" applyFont="1" applyFill="1" applyBorder="1" applyAlignment="1">
      <alignment horizontal="right"/>
    </xf>
    <xf numFmtId="1" fontId="0" fillId="18" borderId="2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0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0" fillId="5" borderId="2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3" fontId="0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49" fontId="0" fillId="5" borderId="2" xfId="0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8" borderId="2" xfId="0" applyFont="1" applyFill="1" applyBorder="1"/>
    <xf numFmtId="3" fontId="3" fillId="0" borderId="2" xfId="0" applyNumberFormat="1" applyFont="1" applyFill="1" applyBorder="1" applyAlignment="1">
      <alignment horizontal="right"/>
    </xf>
    <xf numFmtId="49" fontId="3" fillId="8" borderId="2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/>
    </xf>
    <xf numFmtId="0" fontId="0" fillId="14" borderId="0" xfId="0" applyFont="1" applyFill="1" applyAlignment="1">
      <alignment horizontal="center"/>
    </xf>
    <xf numFmtId="49" fontId="3" fillId="14" borderId="2" xfId="0" applyNumberFormat="1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/>
    </xf>
    <xf numFmtId="49" fontId="3" fillId="19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right"/>
    </xf>
    <xf numFmtId="168" fontId="0" fillId="0" borderId="0" xfId="1" applyNumberFormat="1" applyFont="1" applyFill="1" applyAlignment="1">
      <alignment horizontal="center"/>
    </xf>
    <xf numFmtId="0" fontId="0" fillId="0" borderId="0" xfId="0" applyFont="1" applyAlignment="1">
      <alignment horizontal="right"/>
    </xf>
    <xf numFmtId="49" fontId="2" fillId="2" borderId="2" xfId="0" applyNumberFormat="1" applyFont="1" applyFill="1" applyBorder="1" applyAlignment="1">
      <alignment horizontal="center" vertical="center"/>
    </xf>
    <xf numFmtId="1" fontId="0" fillId="15" borderId="2" xfId="0" applyNumberFormat="1" applyFont="1" applyFill="1" applyBorder="1" applyAlignment="1">
      <alignment horizontal="right"/>
    </xf>
    <xf numFmtId="0" fontId="0" fillId="15" borderId="2" xfId="0" applyFont="1" applyFill="1" applyBorder="1"/>
    <xf numFmtId="0" fontId="8" fillId="0" borderId="0" xfId="0" applyFont="1" applyAlignment="1">
      <alignment wrapText="1"/>
    </xf>
    <xf numFmtId="0" fontId="3" fillId="20" borderId="2" xfId="0" applyFont="1" applyFill="1" applyBorder="1"/>
    <xf numFmtId="49" fontId="0" fillId="21" borderId="2" xfId="0" applyNumberFormat="1" applyFont="1" applyFill="1" applyBorder="1" applyAlignment="1">
      <alignment horizontal="left"/>
    </xf>
    <xf numFmtId="0" fontId="3" fillId="21" borderId="2" xfId="0" applyFont="1" applyFill="1" applyBorder="1"/>
    <xf numFmtId="49" fontId="3" fillId="21" borderId="2" xfId="0" applyNumberFormat="1" applyFont="1" applyFill="1" applyBorder="1" applyAlignment="1">
      <alignment horizontal="left"/>
    </xf>
    <xf numFmtId="0" fontId="0" fillId="21" borderId="2" xfId="0" applyFill="1" applyBorder="1"/>
    <xf numFmtId="49" fontId="0" fillId="0" borderId="2" xfId="0" applyNumberFormat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22" borderId="2" xfId="0" applyFont="1" applyFill="1" applyBorder="1"/>
    <xf numFmtId="49" fontId="0" fillId="22" borderId="2" xfId="0" applyNumberFormat="1" applyFill="1" applyBorder="1" applyAlignment="1">
      <alignment horizontal="center"/>
    </xf>
    <xf numFmtId="0" fontId="0" fillId="22" borderId="0" xfId="0" applyFill="1"/>
    <xf numFmtId="0" fontId="11" fillId="22" borderId="0" xfId="0" applyFont="1" applyFill="1"/>
    <xf numFmtId="164" fontId="2" fillId="24" borderId="0" xfId="1" applyNumberFormat="1" applyFont="1" applyFill="1" applyAlignment="1">
      <alignment horizontal="center"/>
    </xf>
    <xf numFmtId="164" fontId="0" fillId="22" borderId="0" xfId="1" applyNumberFormat="1" applyFont="1" applyFill="1"/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right"/>
    </xf>
    <xf numFmtId="0" fontId="12" fillId="0" borderId="0" xfId="0" applyFont="1"/>
    <xf numFmtId="0" fontId="0" fillId="0" borderId="2" xfId="0" applyBorder="1" applyAlignment="1">
      <alignment horizontal="left" wrapText="1"/>
    </xf>
    <xf numFmtId="0" fontId="13" fillId="0" borderId="0" xfId="0" applyFont="1"/>
    <xf numFmtId="0" fontId="0" fillId="0" borderId="2" xfId="0" applyBorder="1" applyAlignment="1">
      <alignment wrapText="1"/>
    </xf>
    <xf numFmtId="0" fontId="0" fillId="0" borderId="2" xfId="0" quotePrefix="1" applyFill="1" applyBorder="1"/>
    <xf numFmtId="0" fontId="11" fillId="7" borderId="2" xfId="0" quotePrefix="1" applyFont="1" applyFill="1" applyBorder="1"/>
    <xf numFmtId="0" fontId="11" fillId="18" borderId="2" xfId="0" quotePrefix="1" applyFont="1" applyFill="1" applyBorder="1"/>
    <xf numFmtId="0" fontId="11" fillId="18" borderId="2" xfId="0" applyFont="1" applyFill="1" applyBorder="1"/>
    <xf numFmtId="0" fontId="11" fillId="24" borderId="2" xfId="0" quotePrefix="1" applyFont="1" applyFill="1" applyBorder="1"/>
    <xf numFmtId="0" fontId="11" fillId="24" borderId="2" xfId="0" applyFont="1" applyFill="1" applyBorder="1"/>
    <xf numFmtId="49" fontId="11" fillId="2" borderId="2" xfId="0" applyNumberFormat="1" applyFont="1" applyFill="1" applyBorder="1"/>
    <xf numFmtId="0" fontId="0" fillId="17" borderId="2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0" fillId="0" borderId="2" xfId="0" applyNumberFormat="1" applyBorder="1"/>
    <xf numFmtId="0" fontId="0" fillId="0" borderId="4" xfId="0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18" borderId="2" xfId="0" applyFont="1" applyFill="1" applyBorder="1" applyAlignment="1">
      <alignment horizontal="center"/>
    </xf>
    <xf numFmtId="0" fontId="11" fillId="24" borderId="2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9" fontId="11" fillId="2" borderId="6" xfId="0" applyNumberFormat="1" applyFont="1" applyFill="1" applyBorder="1"/>
    <xf numFmtId="0" fontId="0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 applyBorder="1"/>
    <xf numFmtId="0" fontId="3" fillId="17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1" fillId="7" borderId="1" xfId="0" quotePrefix="1" applyFont="1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  <xf numFmtId="49" fontId="0" fillId="25" borderId="2" xfId="0" applyNumberFormat="1" applyFill="1" applyBorder="1" applyAlignment="1">
      <alignment horizontal="center" vertical="center"/>
    </xf>
    <xf numFmtId="49" fontId="0" fillId="26" borderId="2" xfId="0" applyNumberFormat="1" applyFill="1" applyBorder="1" applyAlignment="1">
      <alignment horizontal="center" vertical="center"/>
    </xf>
    <xf numFmtId="49" fontId="0" fillId="27" borderId="2" xfId="0" applyNumberForma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2" fillId="24" borderId="2" xfId="0" applyNumberFormat="1" applyFont="1" applyFill="1" applyBorder="1" applyAlignment="1">
      <alignment horizontal="center" vertical="center"/>
    </xf>
    <xf numFmtId="3" fontId="0" fillId="25" borderId="2" xfId="0" applyNumberFormat="1" applyFill="1" applyBorder="1" applyAlignment="1">
      <alignment horizontal="right"/>
    </xf>
    <xf numFmtId="2" fontId="0" fillId="25" borderId="2" xfId="0" applyNumberFormat="1" applyFill="1" applyBorder="1"/>
    <xf numFmtId="3" fontId="0" fillId="25" borderId="2" xfId="0" applyNumberFormat="1" applyFill="1" applyBorder="1"/>
    <xf numFmtId="3" fontId="0" fillId="26" borderId="2" xfId="0" applyNumberFormat="1" applyFill="1" applyBorder="1" applyAlignment="1">
      <alignment horizontal="right"/>
    </xf>
    <xf numFmtId="2" fontId="0" fillId="26" borderId="2" xfId="0" applyNumberFormat="1" applyFill="1" applyBorder="1"/>
    <xf numFmtId="3" fontId="0" fillId="26" borderId="2" xfId="0" applyNumberFormat="1" applyFill="1" applyBorder="1"/>
    <xf numFmtId="3" fontId="0" fillId="27" borderId="2" xfId="0" applyNumberFormat="1" applyFill="1" applyBorder="1" applyAlignment="1">
      <alignment horizontal="right"/>
    </xf>
    <xf numFmtId="4" fontId="0" fillId="27" borderId="2" xfId="0" applyNumberFormat="1" applyFill="1" applyBorder="1"/>
    <xf numFmtId="3" fontId="0" fillId="27" borderId="2" xfId="0" applyNumberFormat="1" applyFill="1" applyBorder="1"/>
    <xf numFmtId="3" fontId="0" fillId="5" borderId="2" xfId="0" applyNumberFormat="1" applyFill="1" applyBorder="1"/>
    <xf numFmtId="4" fontId="0" fillId="5" borderId="2" xfId="0" applyNumberFormat="1" applyFill="1" applyBorder="1"/>
    <xf numFmtId="3" fontId="0" fillId="16" borderId="2" xfId="0" applyNumberFormat="1" applyFill="1" applyBorder="1"/>
    <xf numFmtId="4" fontId="0" fillId="16" borderId="2" xfId="0" applyNumberFormat="1" applyFill="1" applyBorder="1"/>
    <xf numFmtId="3" fontId="0" fillId="6" borderId="2" xfId="0" applyNumberFormat="1" applyFill="1" applyBorder="1"/>
    <xf numFmtId="4" fontId="0" fillId="6" borderId="2" xfId="0" applyNumberFormat="1" applyFill="1" applyBorder="1"/>
    <xf numFmtId="2" fontId="0" fillId="0" borderId="2" xfId="0" applyNumberFormat="1" applyFill="1" applyBorder="1"/>
    <xf numFmtId="3" fontId="0" fillId="0" borderId="2" xfId="0" applyNumberFormat="1" applyFill="1" applyBorder="1"/>
    <xf numFmtId="169" fontId="0" fillId="0" borderId="0" xfId="0" applyNumberFormat="1"/>
    <xf numFmtId="0" fontId="0" fillId="9" borderId="2" xfId="0" applyFill="1" applyBorder="1"/>
    <xf numFmtId="49" fontId="0" fillId="9" borderId="2" xfId="0" applyNumberFormat="1" applyFill="1" applyBorder="1" applyAlignment="1">
      <alignment horizontal="right"/>
    </xf>
    <xf numFmtId="1" fontId="0" fillId="9" borderId="2" xfId="0" applyNumberFormat="1" applyFill="1" applyBorder="1" applyAlignment="1">
      <alignment horizontal="right"/>
    </xf>
    <xf numFmtId="0" fontId="0" fillId="5" borderId="2" xfId="0" applyFill="1" applyBorder="1"/>
    <xf numFmtId="49" fontId="0" fillId="5" borderId="2" xfId="0" applyNumberFormat="1" applyFill="1" applyBorder="1" applyAlignment="1">
      <alignment horizontal="right"/>
    </xf>
    <xf numFmtId="0" fontId="2" fillId="21" borderId="2" xfId="0" applyFont="1" applyFill="1" applyBorder="1" applyAlignment="1">
      <alignment horizontal="center"/>
    </xf>
    <xf numFmtId="1" fontId="0" fillId="21" borderId="2" xfId="0" applyNumberFormat="1" applyFill="1" applyBorder="1" applyAlignment="1">
      <alignment horizontal="right"/>
    </xf>
    <xf numFmtId="49" fontId="0" fillId="21" borderId="2" xfId="0" applyNumberFormat="1" applyFill="1" applyBorder="1" applyAlignment="1">
      <alignment horizontal="right"/>
    </xf>
    <xf numFmtId="0" fontId="0" fillId="21" borderId="2" xfId="0" applyNumberFormat="1" applyFill="1" applyBorder="1" applyAlignment="1">
      <alignment horizontal="right"/>
    </xf>
    <xf numFmtId="0" fontId="0" fillId="21" borderId="0" xfId="0" applyFill="1"/>
    <xf numFmtId="0" fontId="0" fillId="18" borderId="2" xfId="0" applyFill="1" applyBorder="1"/>
    <xf numFmtId="49" fontId="0" fillId="18" borderId="2" xfId="0" applyNumberFormat="1" applyFill="1" applyBorder="1" applyAlignment="1">
      <alignment horizontal="right"/>
    </xf>
    <xf numFmtId="49" fontId="2" fillId="0" borderId="2" xfId="0" applyNumberFormat="1" applyFont="1" applyFill="1" applyBorder="1"/>
    <xf numFmtId="49" fontId="8" fillId="0" borderId="2" xfId="0" applyNumberFormat="1" applyFont="1" applyFill="1" applyBorder="1"/>
    <xf numFmtId="0" fontId="8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/>
    <xf numFmtId="2" fontId="8" fillId="0" borderId="2" xfId="0" applyNumberFormat="1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/>
    <xf numFmtId="2" fontId="0" fillId="21" borderId="2" xfId="0" applyNumberFormat="1" applyFill="1" applyBorder="1" applyAlignment="1">
      <alignment horizontal="right"/>
    </xf>
    <xf numFmtId="2" fontId="0" fillId="0" borderId="0" xfId="0" applyNumberFormat="1"/>
    <xf numFmtId="2" fontId="0" fillId="0" borderId="0" xfId="0" applyNumberFormat="1" applyBorder="1"/>
    <xf numFmtId="165" fontId="8" fillId="0" borderId="2" xfId="0" applyNumberFormat="1" applyFont="1" applyFill="1" applyBorder="1" applyAlignment="1">
      <alignment horizontal="center"/>
    </xf>
    <xf numFmtId="1" fontId="0" fillId="0" borderId="0" xfId="0" applyNumberFormat="1"/>
    <xf numFmtId="49" fontId="0" fillId="0" borderId="2" xfId="0" applyNumberFormat="1" applyBorder="1" applyAlignment="1">
      <alignment horizontal="right"/>
    </xf>
    <xf numFmtId="0" fontId="0" fillId="9" borderId="0" xfId="0" applyFill="1"/>
    <xf numFmtId="3" fontId="4" fillId="9" borderId="2" xfId="0" applyNumberFormat="1" applyFont="1" applyFill="1" applyBorder="1" applyAlignment="1">
      <alignment horizontal="right"/>
    </xf>
    <xf numFmtId="3" fontId="5" fillId="9" borderId="2" xfId="0" applyNumberFormat="1" applyFont="1" applyFill="1" applyBorder="1" applyAlignment="1">
      <alignment horizontal="right"/>
    </xf>
    <xf numFmtId="3" fontId="14" fillId="0" borderId="0" xfId="0" applyNumberFormat="1" applyFont="1" applyFill="1"/>
    <xf numFmtId="164" fontId="14" fillId="0" borderId="0" xfId="0" applyNumberFormat="1" applyFont="1" applyFill="1"/>
    <xf numFmtId="164" fontId="15" fillId="0" borderId="0" xfId="0" applyNumberFormat="1" applyFont="1" applyFill="1"/>
    <xf numFmtId="3" fontId="16" fillId="0" borderId="0" xfId="0" applyNumberFormat="1" applyFont="1" applyFill="1"/>
    <xf numFmtId="164" fontId="16" fillId="0" borderId="0" xfId="0" applyNumberFormat="1" applyFont="1"/>
    <xf numFmtId="0" fontId="0" fillId="9" borderId="2" xfId="0" applyFill="1" applyBorder="1" applyAlignment="1">
      <alignment horizontal="center"/>
    </xf>
    <xf numFmtId="164" fontId="0" fillId="0" borderId="2" xfId="1" applyNumberFormat="1" applyFont="1" applyBorder="1"/>
    <xf numFmtId="3" fontId="0" fillId="0" borderId="2" xfId="0" applyNumberFormat="1" applyBorder="1"/>
    <xf numFmtId="164" fontId="18" fillId="0" borderId="2" xfId="0" applyNumberFormat="1" applyFont="1" applyBorder="1"/>
    <xf numFmtId="164" fontId="0" fillId="0" borderId="0" xfId="1" applyNumberFormat="1" applyFont="1" applyFill="1" applyAlignment="1"/>
    <xf numFmtId="164" fontId="0" fillId="0" borderId="0" xfId="0" applyNumberFormat="1" applyFill="1"/>
    <xf numFmtId="0" fontId="11" fillId="18" borderId="0" xfId="0" applyFont="1" applyFill="1"/>
    <xf numFmtId="0" fontId="19" fillId="0" borderId="0" xfId="0" applyFont="1"/>
    <xf numFmtId="0" fontId="11" fillId="30" borderId="2" xfId="0" quotePrefix="1" applyFont="1" applyFill="1" applyBorder="1"/>
    <xf numFmtId="1" fontId="11" fillId="30" borderId="2" xfId="0" quotePrefix="1" applyNumberFormat="1" applyFont="1" applyFill="1" applyBorder="1"/>
    <xf numFmtId="0" fontId="11" fillId="30" borderId="0" xfId="0" quotePrefix="1" applyFont="1" applyFill="1" applyBorder="1"/>
    <xf numFmtId="0" fontId="20" fillId="0" borderId="2" xfId="0" applyFont="1" applyFill="1" applyBorder="1" applyAlignment="1">
      <alignment horizontal="center"/>
    </xf>
    <xf numFmtId="1" fontId="20" fillId="0" borderId="2" xfId="0" applyNumberFormat="1" applyFont="1" applyFill="1" applyBorder="1" applyAlignment="1">
      <alignment horizontal="center"/>
    </xf>
    <xf numFmtId="0" fontId="11" fillId="30" borderId="1" xfId="0" quotePrefix="1" applyFont="1" applyFill="1" applyBorder="1"/>
    <xf numFmtId="0" fontId="0" fillId="31" borderId="0" xfId="0" applyFill="1"/>
    <xf numFmtId="43" fontId="0" fillId="0" borderId="0" xfId="0" applyNumberFormat="1"/>
    <xf numFmtId="49" fontId="0" fillId="21" borderId="2" xfId="0" applyNumberFormat="1" applyFill="1" applyBorder="1" applyAlignment="1">
      <alignment horizontal="left"/>
    </xf>
    <xf numFmtId="3" fontId="4" fillId="21" borderId="2" xfId="0" applyNumberFormat="1" applyFont="1" applyFill="1" applyBorder="1" applyAlignment="1">
      <alignment horizontal="right"/>
    </xf>
    <xf numFmtId="1" fontId="4" fillId="21" borderId="2" xfId="0" applyNumberFormat="1" applyFont="1" applyFill="1" applyBorder="1" applyAlignment="1">
      <alignment horizontal="right"/>
    </xf>
    <xf numFmtId="165" fontId="4" fillId="21" borderId="0" xfId="0" applyNumberFormat="1" applyFont="1" applyFill="1" applyBorder="1" applyAlignment="1">
      <alignment horizontal="right"/>
    </xf>
    <xf numFmtId="164" fontId="0" fillId="21" borderId="0" xfId="1" applyNumberFormat="1" applyFont="1" applyFill="1"/>
    <xf numFmtId="1" fontId="0" fillId="21" borderId="0" xfId="0" applyNumberFormat="1" applyFill="1"/>
    <xf numFmtId="49" fontId="0" fillId="28" borderId="2" xfId="0" applyNumberFormat="1" applyFill="1" applyBorder="1" applyAlignment="1">
      <alignment horizontal="left"/>
    </xf>
    <xf numFmtId="3" fontId="4" fillId="28" borderId="2" xfId="0" applyNumberFormat="1" applyFont="1" applyFill="1" applyBorder="1" applyAlignment="1">
      <alignment horizontal="right"/>
    </xf>
    <xf numFmtId="1" fontId="4" fillId="28" borderId="2" xfId="0" applyNumberFormat="1" applyFont="1" applyFill="1" applyBorder="1" applyAlignment="1">
      <alignment horizontal="right"/>
    </xf>
    <xf numFmtId="165" fontId="4" fillId="28" borderId="0" xfId="0" applyNumberFormat="1" applyFont="1" applyFill="1" applyBorder="1" applyAlignment="1">
      <alignment horizontal="right"/>
    </xf>
    <xf numFmtId="164" fontId="0" fillId="28" borderId="0" xfId="1" applyNumberFormat="1" applyFont="1" applyFill="1"/>
    <xf numFmtId="0" fontId="0" fillId="28" borderId="0" xfId="0" applyFill="1"/>
    <xf numFmtId="0" fontId="0" fillId="29" borderId="0" xfId="0" applyFill="1"/>
    <xf numFmtId="1" fontId="0" fillId="29" borderId="0" xfId="0" applyNumberFormat="1" applyFill="1"/>
    <xf numFmtId="49" fontId="0" fillId="28" borderId="2" xfId="0" applyNumberFormat="1" applyFill="1" applyBorder="1" applyAlignment="1">
      <alignment horizontal="center"/>
    </xf>
    <xf numFmtId="164" fontId="0" fillId="28" borderId="0" xfId="0" applyNumberFormat="1" applyFill="1"/>
    <xf numFmtId="43" fontId="17" fillId="0" borderId="0" xfId="0" applyNumberFormat="1" applyFont="1"/>
    <xf numFmtId="164" fontId="0" fillId="9" borderId="0" xfId="0" applyNumberFormat="1" applyFill="1"/>
    <xf numFmtId="9" fontId="21" fillId="0" borderId="0" xfId="0" applyNumberFormat="1" applyFont="1"/>
    <xf numFmtId="0" fontId="2" fillId="2" borderId="0" xfId="0" applyFont="1" applyFill="1"/>
    <xf numFmtId="1" fontId="19" fillId="0" borderId="0" xfId="0" applyNumberFormat="1" applyFont="1"/>
    <xf numFmtId="0" fontId="22" fillId="0" borderId="0" xfId="0" applyFont="1"/>
    <xf numFmtId="3" fontId="0" fillId="0" borderId="0" xfId="0" applyNumberFormat="1"/>
    <xf numFmtId="3" fontId="3" fillId="23" borderId="2" xfId="0" applyNumberFormat="1" applyFont="1" applyFill="1" applyBorder="1" applyAlignment="1">
      <alignment horizontal="center"/>
    </xf>
    <xf numFmtId="3" fontId="3" fillId="14" borderId="2" xfId="0" applyNumberFormat="1" applyFont="1" applyFill="1" applyBorder="1" applyAlignment="1">
      <alignment horizontal="center"/>
    </xf>
    <xf numFmtId="3" fontId="3" fillId="32" borderId="2" xfId="0" applyNumberFormat="1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3" fontId="3" fillId="10" borderId="2" xfId="0" applyNumberFormat="1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/>
    </xf>
    <xf numFmtId="3" fontId="3" fillId="7" borderId="2" xfId="0" applyNumberFormat="1" applyFont="1" applyFill="1" applyBorder="1" applyAlignment="1">
      <alignment horizontal="center"/>
    </xf>
    <xf numFmtId="3" fontId="3" fillId="9" borderId="2" xfId="0" applyNumberFormat="1" applyFont="1" applyFill="1" applyBorder="1" applyAlignment="1">
      <alignment horizontal="center"/>
    </xf>
    <xf numFmtId="3" fontId="3" fillId="1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3" fontId="3" fillId="5" borderId="2" xfId="0" applyNumberFormat="1" applyFont="1" applyFill="1" applyBorder="1" applyAlignment="1">
      <alignment horizontal="right"/>
    </xf>
    <xf numFmtId="3" fontId="3" fillId="10" borderId="2" xfId="0" applyNumberFormat="1" applyFont="1" applyFill="1" applyBorder="1" applyAlignment="1">
      <alignment horizontal="right"/>
    </xf>
    <xf numFmtId="3" fontId="3" fillId="32" borderId="2" xfId="0" applyNumberFormat="1" applyFont="1" applyFill="1" applyBorder="1" applyAlignment="1">
      <alignment horizontal="right"/>
    </xf>
    <xf numFmtId="3" fontId="3" fillId="23" borderId="2" xfId="0" applyNumberFormat="1" applyFont="1" applyFill="1" applyBorder="1" applyAlignment="1">
      <alignment horizontal="right"/>
    </xf>
    <xf numFmtId="3" fontId="3" fillId="6" borderId="2" xfId="0" applyNumberFormat="1" applyFont="1" applyFill="1" applyBorder="1" applyAlignment="1">
      <alignment horizontal="right"/>
    </xf>
    <xf numFmtId="3" fontId="3" fillId="7" borderId="2" xfId="0" applyNumberFormat="1" applyFont="1" applyFill="1" applyBorder="1" applyAlignment="1">
      <alignment horizontal="right"/>
    </xf>
    <xf numFmtId="3" fontId="3" fillId="9" borderId="2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right"/>
    </xf>
    <xf numFmtId="0" fontId="4" fillId="5" borderId="2" xfId="0" applyFont="1" applyFill="1" applyBorder="1"/>
    <xf numFmtId="0" fontId="4" fillId="5" borderId="0" xfId="0" applyFont="1" applyFill="1" applyBorder="1"/>
    <xf numFmtId="43" fontId="0" fillId="0" borderId="0" xfId="0" applyNumberFormat="1" applyFill="1"/>
    <xf numFmtId="43" fontId="0" fillId="0" borderId="0" xfId="1" applyNumberFormat="1" applyFont="1" applyFill="1"/>
    <xf numFmtId="164" fontId="0" fillId="0" borderId="0" xfId="1" applyNumberFormat="1" applyFont="1" applyFill="1"/>
    <xf numFmtId="3" fontId="0" fillId="0" borderId="0" xfId="0" applyNumberFormat="1" applyFill="1" applyBorder="1"/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16" borderId="2" xfId="0" applyFill="1" applyBorder="1"/>
    <xf numFmtId="3" fontId="0" fillId="0" borderId="0" xfId="0" applyNumberFormat="1" applyFont="1" applyFill="1" applyBorder="1"/>
    <xf numFmtId="3" fontId="0" fillId="0" borderId="2" xfId="0" applyNumberFormat="1" applyFont="1" applyFill="1" applyBorder="1"/>
    <xf numFmtId="0" fontId="0" fillId="14" borderId="2" xfId="0" applyFill="1" applyBorder="1"/>
    <xf numFmtId="49" fontId="23" fillId="0" borderId="2" xfId="0" applyNumberFormat="1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0" borderId="0" xfId="0" applyFont="1" applyFill="1"/>
    <xf numFmtId="164" fontId="12" fillId="0" borderId="0" xfId="1" applyNumberFormat="1" applyFont="1" applyFill="1"/>
    <xf numFmtId="164" fontId="12" fillId="0" borderId="0" xfId="0" applyNumberFormat="1" applyFont="1" applyFill="1"/>
    <xf numFmtId="43" fontId="12" fillId="0" borderId="0" xfId="0" applyNumberFormat="1" applyFont="1" applyFill="1"/>
    <xf numFmtId="170" fontId="0" fillId="0" borderId="0" xfId="0" applyNumberFormat="1" applyFill="1"/>
    <xf numFmtId="3" fontId="12" fillId="0" borderId="0" xfId="0" applyNumberFormat="1" applyFont="1" applyFill="1"/>
    <xf numFmtId="1" fontId="0" fillId="0" borderId="2" xfId="0" applyNumberFormat="1" applyFill="1" applyBorder="1"/>
    <xf numFmtId="3" fontId="24" fillId="0" borderId="0" xfId="0" applyNumberFormat="1" applyFont="1" applyFill="1"/>
    <xf numFmtId="0" fontId="25" fillId="18" borderId="8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0" borderId="0" xfId="0" applyNumberFormat="1"/>
    <xf numFmtId="0" fontId="8" fillId="5" borderId="2" xfId="0" applyFont="1" applyFill="1" applyBorder="1" applyAlignment="1">
      <alignment horizontal="center"/>
    </xf>
    <xf numFmtId="0" fontId="8" fillId="34" borderId="2" xfId="0" applyFont="1" applyFill="1" applyBorder="1" applyAlignment="1">
      <alignment horizontal="center"/>
    </xf>
    <xf numFmtId="49" fontId="0" fillId="11" borderId="2" xfId="0" applyNumberFormat="1" applyFill="1" applyBorder="1" applyAlignment="1">
      <alignment horizontal="center" vertical="center" wrapText="1"/>
    </xf>
    <xf numFmtId="49" fontId="0" fillId="9" borderId="2" xfId="0" applyNumberFormat="1" applyFill="1" applyBorder="1"/>
    <xf numFmtId="9" fontId="0" fillId="0" borderId="0" xfId="4" applyFont="1"/>
    <xf numFmtId="0" fontId="0" fillId="21" borderId="3" xfId="0" applyNumberFormat="1" applyFill="1" applyBorder="1" applyAlignment="1">
      <alignment horizontal="center" vertical="center"/>
    </xf>
    <xf numFmtId="9" fontId="0" fillId="21" borderId="0" xfId="0" applyNumberFormat="1" applyFill="1"/>
    <xf numFmtId="3" fontId="0" fillId="0" borderId="0" xfId="0" applyNumberFormat="1" applyFill="1" applyAlignment="1">
      <alignment horizontal="right"/>
    </xf>
    <xf numFmtId="0" fontId="0" fillId="3" borderId="2" xfId="0" applyFont="1" applyFill="1" applyBorder="1"/>
    <xf numFmtId="49" fontId="0" fillId="9" borderId="2" xfId="0" applyNumberFormat="1" applyFill="1" applyBorder="1" applyAlignment="1">
      <alignment horizontal="center" vertical="center" wrapText="1"/>
    </xf>
    <xf numFmtId="0" fontId="0" fillId="9" borderId="0" xfId="0" applyFill="1" applyAlignment="1">
      <alignment horizontal="right"/>
    </xf>
    <xf numFmtId="3" fontId="0" fillId="9" borderId="0" xfId="0" applyNumberFormat="1" applyFill="1"/>
    <xf numFmtId="49" fontId="8" fillId="8" borderId="2" xfId="0" applyNumberFormat="1" applyFont="1" applyFill="1" applyBorder="1" applyAlignment="1">
      <alignment horizontal="center" vertical="center"/>
    </xf>
    <xf numFmtId="0" fontId="8" fillId="32" borderId="2" xfId="0" applyFont="1" applyFill="1" applyBorder="1" applyAlignment="1">
      <alignment horizontal="center"/>
    </xf>
    <xf numFmtId="0" fontId="8" fillId="3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0" fillId="0" borderId="2" xfId="0" applyNumberFormat="1" applyFill="1" applyBorder="1"/>
    <xf numFmtId="49" fontId="0" fillId="29" borderId="2" xfId="0" applyNumberFormat="1" applyFill="1" applyBorder="1"/>
    <xf numFmtId="49" fontId="0" fillId="14" borderId="2" xfId="0" applyNumberFormat="1" applyFill="1" applyBorder="1"/>
    <xf numFmtId="0" fontId="0" fillId="6" borderId="2" xfId="0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right" vertical="center"/>
    </xf>
    <xf numFmtId="0" fontId="0" fillId="0" borderId="2" xfId="0" applyBorder="1" applyAlignment="1">
      <alignment horizontal="right"/>
    </xf>
    <xf numFmtId="49" fontId="0" fillId="34" borderId="2" xfId="0" applyNumberFormat="1" applyFill="1" applyBorder="1"/>
    <xf numFmtId="49" fontId="0" fillId="10" borderId="2" xfId="0" applyNumberFormat="1" applyFill="1" applyBorder="1"/>
    <xf numFmtId="49" fontId="0" fillId="7" borderId="2" xfId="0" applyNumberFormat="1" applyFill="1" applyBorder="1"/>
    <xf numFmtId="49" fontId="0" fillId="17" borderId="2" xfId="0" applyNumberFormat="1" applyFill="1" applyBorder="1"/>
    <xf numFmtId="0" fontId="0" fillId="0" borderId="5" xfId="0" applyNumberFormat="1" applyFill="1" applyBorder="1"/>
    <xf numFmtId="43" fontId="0" fillId="0" borderId="0" xfId="1" applyFont="1" applyFill="1"/>
    <xf numFmtId="0" fontId="8" fillId="14" borderId="2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49" fontId="23" fillId="6" borderId="2" xfId="0" applyNumberFormat="1" applyFont="1" applyFill="1" applyBorder="1" applyAlignment="1">
      <alignment horizontal="center" vertical="center"/>
    </xf>
    <xf numFmtId="49" fontId="23" fillId="6" borderId="1" xfId="0" applyNumberFormat="1" applyFont="1" applyFill="1" applyBorder="1" applyAlignment="1">
      <alignment horizontal="center" vertical="center" wrapText="1"/>
    </xf>
    <xf numFmtId="49" fontId="23" fillId="6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/>
    </xf>
    <xf numFmtId="3" fontId="4" fillId="0" borderId="2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3" fontId="4" fillId="9" borderId="2" xfId="0" applyNumberFormat="1" applyFont="1" applyFill="1" applyBorder="1"/>
    <xf numFmtId="37" fontId="1" fillId="9" borderId="2" xfId="3" applyNumberFormat="1" applyFont="1" applyFill="1" applyBorder="1"/>
    <xf numFmtId="0" fontId="0" fillId="0" borderId="2" xfId="0" quotePrefix="1" applyFont="1" applyFill="1" applyBorder="1" applyAlignment="1">
      <alignment horizontal="center"/>
    </xf>
    <xf numFmtId="1" fontId="0" fillId="20" borderId="2" xfId="0" applyNumberFormat="1" applyFill="1" applyBorder="1" applyAlignment="1">
      <alignment horizontal="right"/>
    </xf>
    <xf numFmtId="3" fontId="4" fillId="20" borderId="2" xfId="0" applyNumberFormat="1" applyFont="1" applyFill="1" applyBorder="1"/>
    <xf numFmtId="49" fontId="0" fillId="20" borderId="2" xfId="0" applyNumberFormat="1" applyFill="1" applyBorder="1" applyAlignment="1">
      <alignment horizontal="center"/>
    </xf>
    <xf numFmtId="49" fontId="0" fillId="20" borderId="2" xfId="0" applyNumberFormat="1" applyFont="1" applyFill="1" applyBorder="1" applyAlignment="1">
      <alignment horizontal="center"/>
    </xf>
    <xf numFmtId="1" fontId="0" fillId="20" borderId="2" xfId="0" applyNumberFormat="1" applyFill="1" applyBorder="1" applyAlignment="1">
      <alignment horizontal="center"/>
    </xf>
    <xf numFmtId="1" fontId="5" fillId="20" borderId="2" xfId="0" applyNumberFormat="1" applyFont="1" applyFill="1" applyBorder="1" applyAlignment="1">
      <alignment horizontal="right"/>
    </xf>
    <xf numFmtId="1" fontId="0" fillId="20" borderId="2" xfId="0" applyNumberFormat="1" applyFont="1" applyFill="1" applyBorder="1" applyAlignment="1">
      <alignment horizontal="right"/>
    </xf>
    <xf numFmtId="49" fontId="0" fillId="20" borderId="1" xfId="0" applyNumberFormat="1" applyFont="1" applyFill="1" applyBorder="1" applyAlignment="1">
      <alignment horizontal="center" vertical="center"/>
    </xf>
    <xf numFmtId="0" fontId="0" fillId="20" borderId="0" xfId="0" applyFill="1"/>
    <xf numFmtId="49" fontId="2" fillId="2" borderId="1" xfId="0" applyNumberFormat="1" applyFont="1" applyFill="1" applyBorder="1" applyAlignment="1">
      <alignment horizontal="center" vertical="center"/>
    </xf>
    <xf numFmtId="0" fontId="0" fillId="10" borderId="0" xfId="0" applyFill="1"/>
    <xf numFmtId="1" fontId="0" fillId="9" borderId="2" xfId="0" applyNumberFormat="1" applyFont="1" applyFill="1" applyBorder="1" applyAlignment="1">
      <alignment horizontal="right"/>
    </xf>
    <xf numFmtId="49" fontId="0" fillId="18" borderId="2" xfId="0" applyNumberForma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right"/>
    </xf>
    <xf numFmtId="0" fontId="0" fillId="35" borderId="2" xfId="0" applyFill="1" applyBorder="1" applyAlignment="1">
      <alignment wrapText="1"/>
    </xf>
    <xf numFmtId="0" fontId="0" fillId="35" borderId="0" xfId="0" applyFill="1"/>
    <xf numFmtId="164" fontId="0" fillId="0" borderId="2" xfId="1" applyNumberFormat="1" applyFont="1" applyFill="1" applyBorder="1"/>
    <xf numFmtId="49" fontId="2" fillId="2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  <xf numFmtId="49" fontId="0" fillId="0" borderId="2" xfId="0" applyNumberFormat="1" applyFont="1" applyFill="1" applyBorder="1"/>
    <xf numFmtId="0" fontId="0" fillId="0" borderId="2" xfId="0" applyNumberFormat="1" applyFont="1" applyFill="1" applyBorder="1"/>
    <xf numFmtId="49" fontId="0" fillId="0" borderId="2" xfId="0" applyNumberFormat="1" applyFont="1" applyFill="1" applyBorder="1" applyAlignment="1">
      <alignment horizontal="left"/>
    </xf>
    <xf numFmtId="1" fontId="5" fillId="0" borderId="2" xfId="0" applyNumberFormat="1" applyFont="1" applyFill="1" applyBorder="1"/>
    <xf numFmtId="49" fontId="5" fillId="0" borderId="2" xfId="0" applyNumberFormat="1" applyFont="1" applyFill="1" applyBorder="1" applyAlignment="1">
      <alignment horizontal="right"/>
    </xf>
    <xf numFmtId="49" fontId="5" fillId="0" borderId="2" xfId="0" applyNumberFormat="1" applyFont="1" applyFill="1" applyBorder="1" applyAlignment="1">
      <alignment horizontal="left"/>
    </xf>
    <xf numFmtId="0" fontId="26" fillId="0" borderId="0" xfId="0" applyFont="1" applyFill="1"/>
    <xf numFmtId="49" fontId="0" fillId="0" borderId="2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left" vertical="center"/>
    </xf>
    <xf numFmtId="49" fontId="0" fillId="28" borderId="2" xfId="0" applyNumberFormat="1" applyFont="1" applyFill="1" applyBorder="1"/>
    <xf numFmtId="0" fontId="0" fillId="28" borderId="2" xfId="0" applyNumberFormat="1" applyFont="1" applyFill="1" applyBorder="1"/>
    <xf numFmtId="0" fontId="0" fillId="28" borderId="2" xfId="0" applyFont="1" applyFill="1" applyBorder="1"/>
    <xf numFmtId="0" fontId="19" fillId="0" borderId="0" xfId="0" applyFont="1" applyFill="1"/>
    <xf numFmtId="49" fontId="0" fillId="28" borderId="2" xfId="0" applyNumberFormat="1" applyFont="1" applyFill="1" applyBorder="1" applyAlignment="1">
      <alignment horizontal="left"/>
    </xf>
    <xf numFmtId="1" fontId="0" fillId="28" borderId="2" xfId="0" applyNumberFormat="1" applyFont="1" applyFill="1" applyBorder="1" applyAlignment="1">
      <alignment horizontal="left" vertical="center"/>
    </xf>
    <xf numFmtId="0" fontId="3" fillId="0" borderId="0" xfId="0" applyFont="1" applyFill="1"/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27" fillId="31" borderId="2" xfId="0" applyNumberFormat="1" applyFont="1" applyFill="1" applyBorder="1" applyAlignment="1">
      <alignment horizontal="center" vertical="center" wrapText="1"/>
    </xf>
    <xf numFmtId="49" fontId="27" fillId="36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35" borderId="2" xfId="0" applyNumberForma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vertical="center"/>
    </xf>
    <xf numFmtId="49" fontId="0" fillId="5" borderId="2" xfId="0" applyNumberForma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vertical="center"/>
    </xf>
    <xf numFmtId="0" fontId="27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vertical="center"/>
    </xf>
    <xf numFmtId="0" fontId="4" fillId="0" borderId="2" xfId="0" applyFont="1" applyFill="1" applyBorder="1"/>
    <xf numFmtId="1" fontId="4" fillId="13" borderId="2" xfId="0" applyNumberFormat="1" applyFont="1" applyFill="1" applyBorder="1"/>
    <xf numFmtId="1" fontId="0" fillId="13" borderId="2" xfId="0" applyNumberFormat="1" applyFont="1" applyFill="1" applyBorder="1"/>
    <xf numFmtId="1" fontId="4" fillId="13" borderId="2" xfId="0" applyNumberFormat="1" applyFont="1" applyFill="1" applyBorder="1" applyAlignment="1">
      <alignment horizontal="right" vertical="center"/>
    </xf>
    <xf numFmtId="49" fontId="0" fillId="13" borderId="2" xfId="0" applyNumberFormat="1" applyFill="1" applyBorder="1" applyAlignment="1">
      <alignment horizontal="center"/>
    </xf>
    <xf numFmtId="1" fontId="4" fillId="13" borderId="2" xfId="0" applyNumberFormat="1" applyFont="1" applyFill="1" applyBorder="1" applyAlignment="1"/>
    <xf numFmtId="1" fontId="0" fillId="13" borderId="2" xfId="0" applyNumberFormat="1" applyFill="1" applyBorder="1"/>
    <xf numFmtId="2" fontId="4" fillId="13" borderId="2" xfId="0" applyNumberFormat="1" applyFont="1" applyFill="1" applyBorder="1"/>
    <xf numFmtId="165" fontId="4" fillId="13" borderId="2" xfId="0" applyNumberFormat="1" applyFont="1" applyFill="1" applyBorder="1"/>
    <xf numFmtId="165" fontId="26" fillId="13" borderId="2" xfId="0" applyNumberFormat="1" applyFont="1" applyFill="1" applyBorder="1"/>
    <xf numFmtId="1" fontId="4" fillId="13" borderId="2" xfId="0" applyNumberFormat="1" applyFont="1" applyFill="1" applyBorder="1" applyAlignment="1">
      <alignment horizontal="center"/>
    </xf>
    <xf numFmtId="49" fontId="0" fillId="13" borderId="2" xfId="0" applyNumberFormat="1" applyFill="1" applyBorder="1" applyAlignment="1">
      <alignment horizontal="left"/>
    </xf>
    <xf numFmtId="1" fontId="4" fillId="29" borderId="2" xfId="0" applyNumberFormat="1" applyFont="1" applyFill="1" applyBorder="1"/>
    <xf numFmtId="1" fontId="4" fillId="13" borderId="2" xfId="0" applyNumberFormat="1" applyFont="1" applyFill="1" applyBorder="1" applyAlignment="1">
      <alignment horizontal="right"/>
    </xf>
    <xf numFmtId="1" fontId="0" fillId="13" borderId="2" xfId="0" applyNumberFormat="1" applyFill="1" applyBorder="1" applyAlignment="1">
      <alignment horizontal="right"/>
    </xf>
    <xf numFmtId="165" fontId="5" fillId="13" borderId="2" xfId="0" applyNumberFormat="1" applyFont="1" applyFill="1" applyBorder="1"/>
    <xf numFmtId="3" fontId="0" fillId="13" borderId="2" xfId="0" applyNumberFormat="1" applyFill="1" applyBorder="1" applyAlignment="1">
      <alignment horizontal="center" wrapText="1"/>
    </xf>
    <xf numFmtId="1" fontId="4" fillId="0" borderId="2" xfId="0" applyNumberFormat="1" applyFont="1" applyFill="1" applyBorder="1"/>
    <xf numFmtId="1" fontId="4" fillId="0" borderId="2" xfId="0" applyNumberFormat="1" applyFont="1" applyFill="1" applyBorder="1" applyAlignment="1"/>
    <xf numFmtId="2" fontId="4" fillId="0" borderId="2" xfId="0" applyNumberFormat="1" applyFont="1" applyFill="1" applyBorder="1"/>
    <xf numFmtId="165" fontId="4" fillId="0" borderId="2" xfId="0" applyNumberFormat="1" applyFont="1" applyFill="1" applyBorder="1"/>
    <xf numFmtId="165" fontId="5" fillId="0" borderId="2" xfId="0" applyNumberFormat="1" applyFont="1" applyFill="1" applyBorder="1"/>
    <xf numFmtId="3" fontId="0" fillId="0" borderId="2" xfId="0" applyNumberFormat="1" applyFill="1" applyBorder="1" applyAlignment="1">
      <alignment horizontal="center" wrapText="1"/>
    </xf>
    <xf numFmtId="1" fontId="4" fillId="9" borderId="2" xfId="0" applyNumberFormat="1" applyFont="1" applyFill="1" applyBorder="1"/>
    <xf numFmtId="1" fontId="4" fillId="14" borderId="2" xfId="0" applyNumberFormat="1" applyFont="1" applyFill="1" applyBorder="1" applyAlignment="1"/>
    <xf numFmtId="1" fontId="4" fillId="14" borderId="2" xfId="0" applyNumberFormat="1" applyFont="1" applyFill="1" applyBorder="1"/>
    <xf numFmtId="49" fontId="4" fillId="13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1" fontId="4" fillId="21" borderId="2" xfId="0" applyNumberFormat="1" applyFont="1" applyFill="1" applyBorder="1"/>
    <xf numFmtId="165" fontId="26" fillId="0" borderId="2" xfId="0" applyNumberFormat="1" applyFont="1" applyFill="1" applyBorder="1"/>
    <xf numFmtId="49" fontId="0" fillId="9" borderId="2" xfId="0" applyNumberFormat="1" applyFill="1" applyBorder="1" applyAlignment="1">
      <alignment horizontal="left"/>
    </xf>
    <xf numFmtId="165" fontId="28" fillId="0" borderId="2" xfId="0" applyNumberFormat="1" applyFont="1" applyFill="1" applyBorder="1"/>
    <xf numFmtId="0" fontId="4" fillId="0" borderId="2" xfId="0" applyFont="1" applyFill="1" applyBorder="1" applyAlignment="1">
      <alignment horizontal="center"/>
    </xf>
    <xf numFmtId="165" fontId="4" fillId="0" borderId="0" xfId="0" applyNumberFormat="1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29" borderId="0" xfId="0" applyFont="1" applyFill="1"/>
    <xf numFmtId="0" fontId="4" fillId="9" borderId="2" xfId="0" applyFont="1" applyFill="1" applyBorder="1"/>
    <xf numFmtId="0" fontId="4" fillId="9" borderId="2" xfId="0" applyNumberFormat="1" applyFont="1" applyFill="1" applyBorder="1"/>
    <xf numFmtId="1" fontId="0" fillId="37" borderId="2" xfId="0" applyNumberFormat="1" applyFill="1" applyBorder="1" applyAlignment="1">
      <alignment horizontal="right"/>
    </xf>
    <xf numFmtId="165" fontId="0" fillId="0" borderId="0" xfId="0" applyNumberFormat="1"/>
    <xf numFmtId="165" fontId="0" fillId="9" borderId="2" xfId="0" applyNumberFormat="1" applyFill="1" applyBorder="1"/>
    <xf numFmtId="49" fontId="0" fillId="0" borderId="2" xfId="0" quotePrefix="1" applyNumberFormat="1" applyFill="1" applyBorder="1" applyAlignment="1">
      <alignment horizontal="left"/>
    </xf>
    <xf numFmtId="0" fontId="0" fillId="0" borderId="2" xfId="0" quotePrefix="1" applyNumberFormat="1" applyFill="1" applyBorder="1" applyAlignment="1">
      <alignment horizontal="right"/>
    </xf>
    <xf numFmtId="0" fontId="4" fillId="0" borderId="2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right"/>
    </xf>
    <xf numFmtId="0" fontId="0" fillId="0" borderId="0" xfId="0" applyNumberFormat="1" applyFill="1"/>
    <xf numFmtId="49" fontId="0" fillId="9" borderId="1" xfId="0" applyNumberForma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right"/>
    </xf>
    <xf numFmtId="0" fontId="2" fillId="35" borderId="2" xfId="0" applyFont="1" applyFill="1" applyBorder="1" applyAlignment="1">
      <alignment horizontal="center"/>
    </xf>
    <xf numFmtId="0" fontId="2" fillId="24" borderId="2" xfId="0" applyFont="1" applyFill="1" applyBorder="1" applyAlignment="1">
      <alignment horizontal="center"/>
    </xf>
    <xf numFmtId="164" fontId="2" fillId="24" borderId="2" xfId="1" applyNumberFormat="1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right"/>
    </xf>
    <xf numFmtId="1" fontId="0" fillId="5" borderId="4" xfId="0" applyNumberFormat="1" applyFill="1" applyBorder="1" applyAlignment="1">
      <alignment horizontal="right"/>
    </xf>
    <xf numFmtId="1" fontId="0" fillId="18" borderId="4" xfId="0" applyNumberFormat="1" applyFill="1" applyBorder="1" applyAlignment="1">
      <alignment horizontal="right"/>
    </xf>
    <xf numFmtId="49" fontId="0" fillId="9" borderId="4" xfId="0" applyNumberFormat="1" applyFill="1" applyBorder="1" applyAlignment="1">
      <alignment horizontal="right"/>
    </xf>
    <xf numFmtId="1" fontId="8" fillId="0" borderId="4" xfId="0" applyNumberFormat="1" applyFont="1" applyFill="1" applyBorder="1" applyAlignment="1">
      <alignment horizontal="center"/>
    </xf>
    <xf numFmtId="1" fontId="0" fillId="9" borderId="4" xfId="0" applyNumberFormat="1" applyFill="1" applyBorder="1" applyAlignment="1">
      <alignment horizontal="right"/>
    </xf>
    <xf numFmtId="49" fontId="0" fillId="0" borderId="4" xfId="0" applyNumberFormat="1" applyFill="1" applyBorder="1" applyAlignment="1">
      <alignment horizontal="right"/>
    </xf>
    <xf numFmtId="49" fontId="0" fillId="5" borderId="4" xfId="0" applyNumberFormat="1" applyFill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9" borderId="4" xfId="0" applyNumberFormat="1" applyFill="1" applyBorder="1" applyAlignment="1">
      <alignment horizontal="right"/>
    </xf>
    <xf numFmtId="164" fontId="8" fillId="0" borderId="2" xfId="1" applyNumberFormat="1" applyFont="1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right"/>
    </xf>
    <xf numFmtId="49" fontId="0" fillId="24" borderId="2" xfId="0" applyNumberFormat="1" applyFill="1" applyBorder="1"/>
    <xf numFmtId="3" fontId="0" fillId="9" borderId="2" xfId="0" applyNumberFormat="1" applyFill="1" applyBorder="1" applyAlignment="1">
      <alignment horizontal="right"/>
    </xf>
    <xf numFmtId="49" fontId="0" fillId="2" borderId="2" xfId="0" applyNumberFormat="1" applyFill="1" applyBorder="1"/>
    <xf numFmtId="49" fontId="0" fillId="35" borderId="2" xfId="0" applyNumberFormat="1" applyFill="1" applyBorder="1"/>
    <xf numFmtId="0" fontId="0" fillId="13" borderId="0" xfId="0" applyFill="1"/>
    <xf numFmtId="1" fontId="11" fillId="30" borderId="0" xfId="0" quotePrefix="1" applyNumberFormat="1" applyFont="1" applyFill="1" applyBorder="1"/>
    <xf numFmtId="0" fontId="4" fillId="9" borderId="0" xfId="0" applyFont="1" applyFill="1" applyAlignment="1">
      <alignment vertical="center"/>
    </xf>
    <xf numFmtId="49" fontId="0" fillId="32" borderId="2" xfId="0" applyNumberFormat="1" applyFill="1" applyBorder="1"/>
    <xf numFmtId="0" fontId="0" fillId="32" borderId="2" xfId="0" applyFill="1" applyBorder="1" applyAlignment="1">
      <alignment horizontal="right"/>
    </xf>
    <xf numFmtId="0" fontId="19" fillId="32" borderId="2" xfId="0" applyFont="1" applyFill="1" applyBorder="1"/>
    <xf numFmtId="164" fontId="12" fillId="0" borderId="0" xfId="1" applyNumberFormat="1" applyFont="1"/>
    <xf numFmtId="164" fontId="12" fillId="0" borderId="0" xfId="0" applyNumberFormat="1" applyFont="1"/>
    <xf numFmtId="0" fontId="0" fillId="0" borderId="2" xfId="0" applyNumberFormat="1" applyFill="1" applyBorder="1" applyAlignment="1">
      <alignment horizontal="left"/>
    </xf>
    <xf numFmtId="49" fontId="8" fillId="8" borderId="1" xfId="0" applyNumberFormat="1" applyFont="1" applyFill="1" applyBorder="1" applyAlignment="1">
      <alignment horizontal="center" vertical="center"/>
    </xf>
    <xf numFmtId="0" fontId="11" fillId="42" borderId="13" xfId="7" applyFont="1" applyFill="1" applyBorder="1" applyAlignment="1">
      <alignment horizontal="center"/>
    </xf>
    <xf numFmtId="0" fontId="11" fillId="42" borderId="13" xfId="6" applyFont="1" applyFill="1" applyBorder="1" applyAlignment="1">
      <alignment horizontal="center"/>
    </xf>
    <xf numFmtId="0" fontId="37" fillId="0" borderId="2" xfId="8" applyFill="1" applyBorder="1"/>
    <xf numFmtId="1" fontId="37" fillId="0" borderId="2" xfId="8" applyNumberFormat="1" applyFill="1" applyBorder="1"/>
    <xf numFmtId="0" fontId="1" fillId="0" borderId="2" xfId="8" applyFont="1" applyFill="1" applyBorder="1"/>
    <xf numFmtId="1" fontId="1" fillId="0" borderId="2" xfId="8" applyNumberFormat="1" applyFont="1" applyFill="1" applyBorder="1"/>
    <xf numFmtId="0" fontId="0" fillId="0" borderId="2" xfId="8" applyFont="1" applyFill="1" applyBorder="1"/>
    <xf numFmtId="0" fontId="0" fillId="6" borderId="2" xfId="0" applyFont="1" applyFill="1" applyBorder="1"/>
    <xf numFmtId="0" fontId="0" fillId="9" borderId="2" xfId="5" applyFont="1" applyFill="1" applyBorder="1"/>
    <xf numFmtId="0" fontId="1" fillId="0" borderId="2" xfId="5" applyFont="1" applyFill="1" applyBorder="1"/>
    <xf numFmtId="1" fontId="1" fillId="0" borderId="2" xfId="5" applyNumberFormat="1" applyFont="1" applyFill="1" applyBorder="1"/>
    <xf numFmtId="0" fontId="0" fillId="0" borderId="2" xfId="5" applyFont="1" applyFill="1" applyBorder="1"/>
    <xf numFmtId="0" fontId="34" fillId="38" borderId="0" xfId="5"/>
    <xf numFmtId="1" fontId="1" fillId="0" borderId="0" xfId="5" applyNumberFormat="1" applyFont="1" applyFill="1" applyBorder="1"/>
    <xf numFmtId="1" fontId="4" fillId="5" borderId="2" xfId="0" applyNumberFormat="1" applyFont="1" applyFill="1" applyBorder="1"/>
    <xf numFmtId="3" fontId="0" fillId="9" borderId="0" xfId="0" applyNumberFormat="1" applyFill="1" applyAlignment="1">
      <alignment horizontal="right"/>
    </xf>
    <xf numFmtId="170" fontId="0" fillId="9" borderId="0" xfId="0" applyNumberFormat="1" applyFill="1"/>
    <xf numFmtId="0" fontId="0" fillId="17" borderId="2" xfId="0" applyFill="1" applyBorder="1"/>
    <xf numFmtId="0" fontId="0" fillId="17" borderId="2" xfId="0" applyFill="1" applyBorder="1" applyAlignment="1">
      <alignment horizontal="right"/>
    </xf>
    <xf numFmtId="49" fontId="0" fillId="17" borderId="2" xfId="0" applyNumberFormat="1" applyFill="1" applyBorder="1" applyAlignment="1">
      <alignment horizontal="left"/>
    </xf>
    <xf numFmtId="3" fontId="0" fillId="17" borderId="2" xfId="0" applyNumberFormat="1" applyFill="1" applyBorder="1"/>
    <xf numFmtId="0" fontId="0" fillId="17" borderId="2" xfId="0" applyFill="1" applyBorder="1" applyAlignment="1">
      <alignment horizontal="left" vertical="center"/>
    </xf>
    <xf numFmtId="0" fontId="0" fillId="17" borderId="2" xfId="0" applyFill="1" applyBorder="1" applyAlignment="1">
      <alignment horizontal="left"/>
    </xf>
    <xf numFmtId="3" fontId="0" fillId="17" borderId="0" xfId="0" applyNumberFormat="1" applyFill="1" applyBorder="1"/>
    <xf numFmtId="3" fontId="0" fillId="17" borderId="0" xfId="0" applyNumberFormat="1" applyFill="1" applyAlignment="1">
      <alignment horizontal="right"/>
    </xf>
    <xf numFmtId="170" fontId="0" fillId="17" borderId="0" xfId="0" applyNumberFormat="1" applyFill="1"/>
    <xf numFmtId="0" fontId="0" fillId="17" borderId="0" xfId="0" applyFill="1"/>
    <xf numFmtId="164" fontId="0" fillId="17" borderId="0" xfId="0" applyNumberFormat="1" applyFill="1"/>
    <xf numFmtId="1" fontId="0" fillId="17" borderId="0" xfId="0" applyNumberFormat="1" applyFill="1"/>
    <xf numFmtId="3" fontId="2" fillId="2" borderId="2" xfId="0" applyNumberFormat="1" applyFont="1" applyFill="1" applyBorder="1"/>
    <xf numFmtId="49" fontId="0" fillId="9" borderId="2" xfId="0" quotePrefix="1" applyNumberFormat="1" applyFill="1" applyBorder="1" applyAlignment="1">
      <alignment horizontal="left"/>
    </xf>
    <xf numFmtId="0" fontId="0" fillId="9" borderId="2" xfId="0" quotePrefix="1" applyNumberFormat="1" applyFill="1" applyBorder="1" applyAlignment="1">
      <alignment horizontal="right"/>
    </xf>
    <xf numFmtId="0" fontId="4" fillId="9" borderId="2" xfId="0" applyNumberFormat="1" applyFont="1" applyFill="1" applyBorder="1" applyAlignment="1">
      <alignment horizontal="left"/>
    </xf>
    <xf numFmtId="0" fontId="4" fillId="9" borderId="2" xfId="0" applyNumberFormat="1" applyFont="1" applyFill="1" applyBorder="1" applyAlignment="1">
      <alignment horizontal="right"/>
    </xf>
    <xf numFmtId="0" fontId="0" fillId="9" borderId="0" xfId="0" applyNumberFormat="1" applyFill="1"/>
    <xf numFmtId="1" fontId="1" fillId="0" borderId="3" xfId="8" applyNumberFormat="1" applyFont="1" applyFill="1" applyBorder="1"/>
    <xf numFmtId="0" fontId="11" fillId="42" borderId="14" xfId="6" applyFont="1" applyFill="1" applyBorder="1" applyAlignment="1">
      <alignment horizontal="center"/>
    </xf>
    <xf numFmtId="1" fontId="37" fillId="0" borderId="4" xfId="8" applyNumberFormat="1" applyFill="1" applyBorder="1"/>
    <xf numFmtId="1" fontId="1" fillId="0" borderId="4" xfId="8" applyNumberFormat="1" applyFont="1" applyFill="1" applyBorder="1"/>
    <xf numFmtId="1" fontId="1" fillId="0" borderId="4" xfId="5" applyNumberFormat="1" applyFont="1" applyFill="1" applyBorder="1"/>
    <xf numFmtId="0" fontId="11" fillId="43" borderId="2" xfId="6" applyFont="1" applyFill="1" applyBorder="1" applyAlignment="1">
      <alignment horizontal="center"/>
    </xf>
    <xf numFmtId="0" fontId="0" fillId="9" borderId="2" xfId="0" applyNumberFormat="1" applyFill="1" applyBorder="1"/>
    <xf numFmtId="43" fontId="0" fillId="0" borderId="0" xfId="1" applyFont="1"/>
    <xf numFmtId="0" fontId="0" fillId="4" borderId="2" xfId="0" applyFill="1" applyBorder="1"/>
    <xf numFmtId="49" fontId="0" fillId="4" borderId="2" xfId="0" applyNumberFormat="1" applyFill="1" applyBorder="1"/>
    <xf numFmtId="0" fontId="0" fillId="32" borderId="2" xfId="0" applyNumberFormat="1" applyFill="1" applyBorder="1"/>
    <xf numFmtId="49" fontId="0" fillId="44" borderId="2" xfId="0" applyNumberFormat="1" applyFill="1" applyBorder="1"/>
    <xf numFmtId="0" fontId="0" fillId="44" borderId="2" xfId="0" applyFill="1" applyBorder="1"/>
    <xf numFmtId="164" fontId="0" fillId="44" borderId="2" xfId="1" applyNumberFormat="1" applyFont="1" applyFill="1" applyBorder="1"/>
    <xf numFmtId="0" fontId="0" fillId="44" borderId="0" xfId="0" applyFill="1"/>
    <xf numFmtId="3" fontId="0" fillId="9" borderId="2" xfId="0" applyNumberFormat="1" applyFill="1" applyBorder="1"/>
    <xf numFmtId="1" fontId="0" fillId="9" borderId="2" xfId="0" applyNumberFormat="1" applyFill="1" applyBorder="1"/>
    <xf numFmtId="0" fontId="0" fillId="10" borderId="2" xfId="0" applyFill="1" applyBorder="1"/>
    <xf numFmtId="164" fontId="0" fillId="10" borderId="2" xfId="1" applyNumberFormat="1" applyFont="1" applyFill="1" applyBorder="1"/>
    <xf numFmtId="3" fontId="0" fillId="8" borderId="2" xfId="0" applyNumberFormat="1" applyFill="1" applyBorder="1"/>
    <xf numFmtId="1" fontId="0" fillId="8" borderId="2" xfId="0" applyNumberFormat="1" applyFill="1" applyBorder="1"/>
    <xf numFmtId="0" fontId="0" fillId="8" borderId="0" xfId="0" applyFill="1"/>
    <xf numFmtId="3" fontId="0" fillId="14" borderId="2" xfId="0" applyNumberFormat="1" applyFill="1" applyBorder="1"/>
    <xf numFmtId="1" fontId="0" fillId="14" borderId="2" xfId="0" applyNumberFormat="1" applyFill="1" applyBorder="1"/>
    <xf numFmtId="0" fontId="0" fillId="14" borderId="0" xfId="0" applyFill="1"/>
    <xf numFmtId="3" fontId="0" fillId="3" borderId="2" xfId="0" applyNumberFormat="1" applyFill="1" applyBorder="1"/>
    <xf numFmtId="1" fontId="0" fillId="3" borderId="2" xfId="0" applyNumberFormat="1" applyFill="1" applyBorder="1"/>
    <xf numFmtId="0" fontId="0" fillId="3" borderId="0" xfId="0" applyFill="1"/>
    <xf numFmtId="49" fontId="0" fillId="3" borderId="2" xfId="0" applyNumberFormat="1" applyFill="1" applyBorder="1"/>
    <xf numFmtId="49" fontId="0" fillId="8" borderId="2" xfId="0" applyNumberFormat="1" applyFill="1" applyBorder="1"/>
    <xf numFmtId="0" fontId="0" fillId="32" borderId="2" xfId="0" applyFill="1" applyBorder="1"/>
    <xf numFmtId="0" fontId="0" fillId="3" borderId="2" xfId="0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32" borderId="0" xfId="0" applyFill="1"/>
    <xf numFmtId="0" fontId="0" fillId="35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1" fillId="18" borderId="4" xfId="0" quotePrefix="1" applyFont="1" applyFill="1" applyBorder="1"/>
    <xf numFmtId="49" fontId="0" fillId="9" borderId="2" xfId="0" applyNumberFormat="1" applyFont="1" applyFill="1" applyBorder="1" applyAlignment="1">
      <alignment horizontal="center"/>
    </xf>
    <xf numFmtId="37" fontId="1" fillId="0" borderId="2" xfId="3" applyNumberFormat="1" applyFont="1" applyFill="1" applyBorder="1"/>
    <xf numFmtId="49" fontId="0" fillId="9" borderId="1" xfId="0" applyNumberFormat="1" applyFont="1" applyFill="1" applyBorder="1" applyAlignment="1">
      <alignment horizontal="center" vertical="center"/>
    </xf>
    <xf numFmtId="49" fontId="0" fillId="9" borderId="2" xfId="0" applyNumberFormat="1" applyFill="1" applyBorder="1" applyAlignment="1">
      <alignment horizontal="center"/>
    </xf>
    <xf numFmtId="164" fontId="0" fillId="19" borderId="2" xfId="1" applyNumberFormat="1" applyFont="1" applyFill="1" applyBorder="1"/>
    <xf numFmtId="0" fontId="0" fillId="19" borderId="2" xfId="0" applyFill="1" applyBorder="1"/>
    <xf numFmtId="0" fontId="0" fillId="19" borderId="0" xfId="0" applyFill="1"/>
    <xf numFmtId="0" fontId="0" fillId="9" borderId="2" xfId="0" applyFill="1" applyBorder="1" applyAlignment="1">
      <alignment wrapText="1"/>
    </xf>
    <xf numFmtId="0" fontId="18" fillId="10" borderId="0" xfId="0" applyFont="1" applyFill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9" borderId="0" xfId="0" applyFill="1" applyAlignment="1">
      <alignment horizontal="center"/>
    </xf>
  </cellXfs>
  <cellStyles count="9">
    <cellStyle name="Bad" xfId="5" builtinId="27"/>
    <cellStyle name="Comma" xfId="1" builtinId="3"/>
    <cellStyle name="Comma 2 2" xfId="3"/>
    <cellStyle name="Comma 5" xfId="2"/>
    <cellStyle name="Input" xfId="7" builtinId="20"/>
    <cellStyle name="Neutral" xfId="6" builtinId="28"/>
    <cellStyle name="Normal" xfId="0" builtinId="0"/>
    <cellStyle name="Output" xfId="8" builtinId="21"/>
    <cellStyle name="Percent" xfId="4" builtinId="5"/>
  </cellStyles>
  <dxfs count="1348">
    <dxf>
      <font>
        <u val="doubl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84"/>
  <sheetViews>
    <sheetView zoomScaleNormal="100" workbookViewId="0">
      <selection activeCell="H6" sqref="H6"/>
    </sheetView>
  </sheetViews>
  <sheetFormatPr defaultRowHeight="15" x14ac:dyDescent="0.25"/>
  <cols>
    <col min="1" max="1" width="27.28515625" style="11" bestFit="1" customWidth="1"/>
    <col min="2" max="2" width="15.42578125" style="11" customWidth="1"/>
    <col min="3" max="3" width="20.42578125" style="11" bestFit="1" customWidth="1"/>
    <col min="4" max="4" width="16" style="11" bestFit="1" customWidth="1"/>
    <col min="5" max="5" width="16" style="19" customWidth="1"/>
    <col min="6" max="6" width="25.28515625" style="15" bestFit="1" customWidth="1"/>
    <col min="7" max="7" width="15.85546875" customWidth="1"/>
    <col min="8" max="8" width="29" customWidth="1"/>
    <col min="9" max="9" width="17.42578125" bestFit="1" customWidth="1"/>
    <col min="10" max="10" width="15.7109375" bestFit="1" customWidth="1"/>
    <col min="11" max="11" width="16.7109375" style="269" bestFit="1" customWidth="1"/>
  </cols>
  <sheetData>
    <row r="1" spans="1:11" ht="45" x14ac:dyDescent="0.25">
      <c r="A1" s="1" t="s">
        <v>0</v>
      </c>
      <c r="B1" s="1" t="s">
        <v>84</v>
      </c>
      <c r="C1" s="475" t="s">
        <v>2274</v>
      </c>
      <c r="D1" s="1" t="s">
        <v>85</v>
      </c>
      <c r="E1" s="17" t="s">
        <v>86</v>
      </c>
      <c r="F1" s="14" t="s">
        <v>1238</v>
      </c>
      <c r="G1" s="20" t="s">
        <v>1239</v>
      </c>
      <c r="H1" s="20" t="s">
        <v>87</v>
      </c>
      <c r="I1" t="s">
        <v>1029</v>
      </c>
      <c r="J1" s="124" t="s">
        <v>1030</v>
      </c>
      <c r="K1" s="233" t="s">
        <v>1287</v>
      </c>
    </row>
    <row r="2" spans="1:11" s="216" customFormat="1" x14ac:dyDescent="0.25">
      <c r="A2" s="257" t="s">
        <v>1</v>
      </c>
      <c r="B2" s="258">
        <v>100</v>
      </c>
      <c r="C2" s="258">
        <v>100</v>
      </c>
      <c r="D2" s="259">
        <v>100</v>
      </c>
      <c r="E2" s="260">
        <f>100/D2</f>
        <v>1</v>
      </c>
      <c r="F2" s="261">
        <f>B2*E2</f>
        <v>100</v>
      </c>
      <c r="K2" s="262">
        <f>F2/500</f>
        <v>0.2</v>
      </c>
    </row>
    <row r="3" spans="1:11" x14ac:dyDescent="0.25">
      <c r="A3" s="2" t="s">
        <v>2</v>
      </c>
      <c r="B3" s="12">
        <v>250</v>
      </c>
      <c r="C3" s="12">
        <v>250</v>
      </c>
      <c r="D3" s="13">
        <v>100</v>
      </c>
      <c r="E3" s="18">
        <f>100/D2</f>
        <v>1</v>
      </c>
      <c r="F3" s="15">
        <f t="shared" ref="F3:F34" si="0">B2*E2</f>
        <v>100</v>
      </c>
      <c r="I3" s="16">
        <f>F5*12</f>
        <v>6000</v>
      </c>
      <c r="J3" s="16">
        <f>I3+Floor!D4+Machine!G4</f>
        <v>7520</v>
      </c>
      <c r="K3" s="270">
        <f t="shared" ref="K3:K66" si="1">F3/500</f>
        <v>0.2</v>
      </c>
    </row>
    <row r="4" spans="1:11" x14ac:dyDescent="0.25">
      <c r="A4" s="2" t="s">
        <v>3</v>
      </c>
      <c r="B4" s="12">
        <v>500</v>
      </c>
      <c r="C4" s="12">
        <v>500</v>
      </c>
      <c r="D4" s="13">
        <v>100</v>
      </c>
      <c r="E4" s="18">
        <f>100/D3</f>
        <v>1</v>
      </c>
      <c r="F4" s="15">
        <f t="shared" si="0"/>
        <v>250</v>
      </c>
      <c r="K4" s="270">
        <f>F4/500</f>
        <v>0.5</v>
      </c>
    </row>
    <row r="5" spans="1:11" x14ac:dyDescent="0.25">
      <c r="A5" s="2" t="s">
        <v>4</v>
      </c>
      <c r="B5" s="12">
        <v>1000</v>
      </c>
      <c r="C5" s="12">
        <v>1000</v>
      </c>
      <c r="D5" s="13">
        <v>100</v>
      </c>
      <c r="E5" s="18">
        <f t="shared" ref="E5:E66" si="2">100/D4</f>
        <v>1</v>
      </c>
      <c r="F5" s="15">
        <f t="shared" si="0"/>
        <v>500</v>
      </c>
      <c r="K5" s="270">
        <f t="shared" si="1"/>
        <v>1</v>
      </c>
    </row>
    <row r="6" spans="1:11" x14ac:dyDescent="0.25">
      <c r="A6" s="3" t="s">
        <v>5</v>
      </c>
      <c r="B6" s="12">
        <v>7000</v>
      </c>
      <c r="C6" s="12">
        <v>4500</v>
      </c>
      <c r="D6" s="13">
        <v>70</v>
      </c>
      <c r="E6" s="18">
        <f t="shared" si="2"/>
        <v>1</v>
      </c>
      <c r="F6" s="15">
        <f t="shared" si="0"/>
        <v>1000</v>
      </c>
      <c r="K6" s="270">
        <f>F6/500</f>
        <v>2</v>
      </c>
    </row>
    <row r="7" spans="1:11" x14ac:dyDescent="0.25">
      <c r="A7" s="2" t="s">
        <v>6</v>
      </c>
      <c r="B7" s="12">
        <v>15000</v>
      </c>
      <c r="C7" s="12">
        <f>B7-7000</f>
        <v>8000</v>
      </c>
      <c r="D7" s="13">
        <v>65</v>
      </c>
      <c r="E7" s="18">
        <f t="shared" si="2"/>
        <v>1.4285714285714286</v>
      </c>
      <c r="F7" s="15">
        <f t="shared" si="0"/>
        <v>7000</v>
      </c>
      <c r="K7" s="270">
        <f t="shared" si="1"/>
        <v>14</v>
      </c>
    </row>
    <row r="8" spans="1:11" x14ac:dyDescent="0.25">
      <c r="A8" s="2" t="s">
        <v>7</v>
      </c>
      <c r="B8" s="12">
        <v>17000</v>
      </c>
      <c r="C8" s="12">
        <f t="shared" ref="C8:C36" si="3">B8-7000</f>
        <v>10000</v>
      </c>
      <c r="D8" s="13">
        <v>65</v>
      </c>
      <c r="E8" s="18">
        <f t="shared" si="2"/>
        <v>1.5384615384615385</v>
      </c>
      <c r="F8" s="15">
        <f t="shared" si="0"/>
        <v>21428.571428571428</v>
      </c>
      <c r="K8" s="270">
        <f t="shared" si="1"/>
        <v>42.857142857142854</v>
      </c>
    </row>
    <row r="9" spans="1:11" x14ac:dyDescent="0.25">
      <c r="A9" s="2" t="s">
        <v>8</v>
      </c>
      <c r="B9" s="12">
        <v>19000</v>
      </c>
      <c r="C9" s="12">
        <f t="shared" si="3"/>
        <v>12000</v>
      </c>
      <c r="D9" s="13">
        <v>65</v>
      </c>
      <c r="E9" s="18">
        <f t="shared" si="2"/>
        <v>1.5384615384615385</v>
      </c>
      <c r="F9" s="15">
        <f t="shared" si="0"/>
        <v>26153.846153846156</v>
      </c>
      <c r="K9" s="270">
        <f>F9/500</f>
        <v>52.307692307692314</v>
      </c>
    </row>
    <row r="10" spans="1:11" x14ac:dyDescent="0.25">
      <c r="A10" s="4" t="s">
        <v>9</v>
      </c>
      <c r="B10" s="12">
        <v>21000</v>
      </c>
      <c r="C10" s="12">
        <f t="shared" si="3"/>
        <v>14000</v>
      </c>
      <c r="D10" s="13">
        <v>65</v>
      </c>
      <c r="E10" s="18">
        <f t="shared" si="2"/>
        <v>1.5384615384615385</v>
      </c>
      <c r="F10" s="15">
        <f t="shared" si="0"/>
        <v>29230.769230769234</v>
      </c>
      <c r="K10" s="270">
        <f t="shared" si="1"/>
        <v>58.461538461538467</v>
      </c>
    </row>
    <row r="11" spans="1:11" x14ac:dyDescent="0.25">
      <c r="A11" s="4" t="s">
        <v>10</v>
      </c>
      <c r="B11" s="12">
        <v>23000</v>
      </c>
      <c r="C11" s="12">
        <f t="shared" si="3"/>
        <v>16000</v>
      </c>
      <c r="D11" s="13">
        <v>65</v>
      </c>
      <c r="E11" s="18">
        <f t="shared" si="2"/>
        <v>1.5384615384615385</v>
      </c>
      <c r="F11" s="15">
        <f t="shared" si="0"/>
        <v>32307.692307692309</v>
      </c>
      <c r="K11" s="270">
        <f t="shared" si="1"/>
        <v>64.615384615384613</v>
      </c>
    </row>
    <row r="12" spans="1:11" x14ac:dyDescent="0.25">
      <c r="A12" s="4" t="s">
        <v>11</v>
      </c>
      <c r="B12" s="12">
        <v>25000</v>
      </c>
      <c r="C12" s="12">
        <f t="shared" si="3"/>
        <v>18000</v>
      </c>
      <c r="D12" s="13">
        <v>65</v>
      </c>
      <c r="E12" s="18">
        <f t="shared" si="2"/>
        <v>1.5384615384615385</v>
      </c>
      <c r="F12" s="15">
        <f t="shared" si="0"/>
        <v>35384.61538461539</v>
      </c>
      <c r="K12" s="270">
        <f t="shared" si="1"/>
        <v>70.769230769230774</v>
      </c>
    </row>
    <row r="13" spans="1:11" x14ac:dyDescent="0.25">
      <c r="A13" s="5" t="s">
        <v>12</v>
      </c>
      <c r="B13" s="12">
        <v>30000</v>
      </c>
      <c r="C13" s="12">
        <f t="shared" si="3"/>
        <v>23000</v>
      </c>
      <c r="D13" s="13">
        <v>65</v>
      </c>
      <c r="E13" s="18">
        <f t="shared" si="2"/>
        <v>1.5384615384615385</v>
      </c>
      <c r="F13" s="15">
        <f t="shared" si="0"/>
        <v>38461.538461538461</v>
      </c>
      <c r="K13" s="270">
        <f t="shared" si="1"/>
        <v>76.92307692307692</v>
      </c>
    </row>
    <row r="14" spans="1:11" x14ac:dyDescent="0.25">
      <c r="A14" s="5" t="s">
        <v>13</v>
      </c>
      <c r="B14" s="12">
        <v>32000</v>
      </c>
      <c r="C14" s="12">
        <f t="shared" si="3"/>
        <v>25000</v>
      </c>
      <c r="D14" s="13">
        <v>65</v>
      </c>
      <c r="E14" s="18">
        <f t="shared" si="2"/>
        <v>1.5384615384615385</v>
      </c>
      <c r="F14" s="15">
        <f t="shared" si="0"/>
        <v>46153.846153846156</v>
      </c>
      <c r="K14" s="270">
        <f t="shared" si="1"/>
        <v>92.307692307692307</v>
      </c>
    </row>
    <row r="15" spans="1:11" x14ac:dyDescent="0.25">
      <c r="A15" s="6" t="s">
        <v>14</v>
      </c>
      <c r="B15" s="12">
        <v>34000</v>
      </c>
      <c r="C15" s="12">
        <f t="shared" si="3"/>
        <v>27000</v>
      </c>
      <c r="D15" s="13">
        <v>65</v>
      </c>
      <c r="E15" s="18">
        <f t="shared" si="2"/>
        <v>1.5384615384615385</v>
      </c>
      <c r="F15" s="15">
        <f t="shared" si="0"/>
        <v>49230.769230769234</v>
      </c>
      <c r="K15" s="270">
        <f t="shared" si="1"/>
        <v>98.461538461538467</v>
      </c>
    </row>
    <row r="16" spans="1:11" x14ac:dyDescent="0.25">
      <c r="A16" s="6" t="s">
        <v>15</v>
      </c>
      <c r="B16" s="12">
        <v>36000</v>
      </c>
      <c r="C16" s="12">
        <f t="shared" si="3"/>
        <v>29000</v>
      </c>
      <c r="D16" s="13">
        <v>65</v>
      </c>
      <c r="E16" s="18">
        <f t="shared" si="2"/>
        <v>1.5384615384615385</v>
      </c>
      <c r="F16" s="15">
        <f t="shared" si="0"/>
        <v>52307.692307692312</v>
      </c>
      <c r="K16" s="270">
        <f t="shared" si="1"/>
        <v>104.61538461538463</v>
      </c>
    </row>
    <row r="17" spans="1:11" x14ac:dyDescent="0.25">
      <c r="A17" s="6" t="s">
        <v>16</v>
      </c>
      <c r="B17" s="12">
        <v>38000</v>
      </c>
      <c r="C17" s="12">
        <f t="shared" si="3"/>
        <v>31000</v>
      </c>
      <c r="D17" s="13">
        <v>65</v>
      </c>
      <c r="E17" s="18">
        <f t="shared" si="2"/>
        <v>1.5384615384615385</v>
      </c>
      <c r="F17" s="15">
        <f t="shared" si="0"/>
        <v>55384.61538461539</v>
      </c>
      <c r="K17" s="270">
        <f t="shared" si="1"/>
        <v>110.76923076923077</v>
      </c>
    </row>
    <row r="18" spans="1:11" x14ac:dyDescent="0.25">
      <c r="A18" s="6" t="s">
        <v>17</v>
      </c>
      <c r="B18" s="12">
        <v>40000</v>
      </c>
      <c r="C18" s="12">
        <f t="shared" si="3"/>
        <v>33000</v>
      </c>
      <c r="D18" s="13">
        <v>65</v>
      </c>
      <c r="E18" s="18">
        <f t="shared" si="2"/>
        <v>1.5384615384615385</v>
      </c>
      <c r="F18" s="15">
        <f t="shared" si="0"/>
        <v>58461.538461538468</v>
      </c>
      <c r="K18" s="270">
        <f t="shared" si="1"/>
        <v>116.92307692307693</v>
      </c>
    </row>
    <row r="19" spans="1:11" x14ac:dyDescent="0.25">
      <c r="A19" s="4" t="s">
        <v>18</v>
      </c>
      <c r="B19" s="12">
        <v>41000</v>
      </c>
      <c r="C19" s="12">
        <f t="shared" si="3"/>
        <v>34000</v>
      </c>
      <c r="D19" s="13">
        <v>60</v>
      </c>
      <c r="E19" s="18">
        <f t="shared" si="2"/>
        <v>1.5384615384615385</v>
      </c>
      <c r="F19" s="15">
        <f t="shared" si="0"/>
        <v>61538.461538461539</v>
      </c>
      <c r="K19" s="270">
        <f t="shared" si="1"/>
        <v>123.07692307692308</v>
      </c>
    </row>
    <row r="20" spans="1:11" x14ac:dyDescent="0.25">
      <c r="A20" s="4" t="s">
        <v>19</v>
      </c>
      <c r="B20" s="12">
        <v>42000</v>
      </c>
      <c r="C20" s="12">
        <f t="shared" si="3"/>
        <v>35000</v>
      </c>
      <c r="D20" s="13">
        <v>60</v>
      </c>
      <c r="E20" s="18">
        <f t="shared" si="2"/>
        <v>1.6666666666666667</v>
      </c>
      <c r="F20" s="15">
        <f t="shared" si="0"/>
        <v>63076.923076923078</v>
      </c>
      <c r="K20" s="270">
        <f t="shared" si="1"/>
        <v>126.15384615384616</v>
      </c>
    </row>
    <row r="21" spans="1:11" x14ac:dyDescent="0.25">
      <c r="A21" s="4" t="s">
        <v>20</v>
      </c>
      <c r="B21" s="12">
        <v>43000</v>
      </c>
      <c r="C21" s="12">
        <f t="shared" si="3"/>
        <v>36000</v>
      </c>
      <c r="D21" s="13">
        <v>60</v>
      </c>
      <c r="E21" s="18">
        <f t="shared" si="2"/>
        <v>1.6666666666666667</v>
      </c>
      <c r="F21" s="15">
        <f t="shared" si="0"/>
        <v>70000</v>
      </c>
      <c r="K21" s="270">
        <f t="shared" si="1"/>
        <v>140</v>
      </c>
    </row>
    <row r="22" spans="1:11" x14ac:dyDescent="0.25">
      <c r="A22" s="4" t="s">
        <v>21</v>
      </c>
      <c r="B22" s="12">
        <v>44000</v>
      </c>
      <c r="C22" s="12">
        <f t="shared" si="3"/>
        <v>37000</v>
      </c>
      <c r="D22" s="13">
        <v>60</v>
      </c>
      <c r="E22" s="18">
        <f t="shared" si="2"/>
        <v>1.6666666666666667</v>
      </c>
      <c r="F22" s="15">
        <f t="shared" si="0"/>
        <v>71666.666666666672</v>
      </c>
      <c r="K22" s="270">
        <f t="shared" si="1"/>
        <v>143.33333333333334</v>
      </c>
    </row>
    <row r="23" spans="1:11" x14ac:dyDescent="0.25">
      <c r="A23" s="4" t="s">
        <v>22</v>
      </c>
      <c r="B23" s="12">
        <v>45000</v>
      </c>
      <c r="C23" s="12">
        <f t="shared" si="3"/>
        <v>38000</v>
      </c>
      <c r="D23" s="13">
        <v>60</v>
      </c>
      <c r="E23" s="18">
        <f t="shared" si="2"/>
        <v>1.6666666666666667</v>
      </c>
      <c r="F23" s="15">
        <f t="shared" si="0"/>
        <v>73333.333333333343</v>
      </c>
      <c r="K23" s="270">
        <f t="shared" si="1"/>
        <v>146.66666666666669</v>
      </c>
    </row>
    <row r="24" spans="1:11" x14ac:dyDescent="0.25">
      <c r="A24" s="4" t="s">
        <v>23</v>
      </c>
      <c r="B24" s="12">
        <v>46000</v>
      </c>
      <c r="C24" s="12">
        <f t="shared" si="3"/>
        <v>39000</v>
      </c>
      <c r="D24" s="13">
        <v>60</v>
      </c>
      <c r="E24" s="18">
        <f t="shared" si="2"/>
        <v>1.6666666666666667</v>
      </c>
      <c r="F24" s="15">
        <f t="shared" si="0"/>
        <v>75000</v>
      </c>
      <c r="K24" s="270">
        <f t="shared" si="1"/>
        <v>150</v>
      </c>
    </row>
    <row r="25" spans="1:11" x14ac:dyDescent="0.25">
      <c r="A25" s="5" t="s">
        <v>24</v>
      </c>
      <c r="B25" s="12">
        <v>50000</v>
      </c>
      <c r="C25" s="12">
        <f t="shared" ref="C25:C30" si="4">B25-8000</f>
        <v>42000</v>
      </c>
      <c r="D25" s="13">
        <v>55</v>
      </c>
      <c r="E25" s="18">
        <f t="shared" si="2"/>
        <v>1.6666666666666667</v>
      </c>
      <c r="F25" s="15">
        <f t="shared" si="0"/>
        <v>76666.666666666672</v>
      </c>
      <c r="K25" s="270">
        <f t="shared" si="1"/>
        <v>153.33333333333334</v>
      </c>
    </row>
    <row r="26" spans="1:11" x14ac:dyDescent="0.25">
      <c r="A26" s="5" t="s">
        <v>25</v>
      </c>
      <c r="B26" s="12">
        <v>53000</v>
      </c>
      <c r="C26" s="12">
        <f t="shared" si="4"/>
        <v>45000</v>
      </c>
      <c r="D26" s="13">
        <v>55</v>
      </c>
      <c r="E26" s="18">
        <f t="shared" si="2"/>
        <v>1.8181818181818181</v>
      </c>
      <c r="F26" s="15">
        <f t="shared" si="0"/>
        <v>83333.333333333343</v>
      </c>
      <c r="K26" s="270">
        <f t="shared" si="1"/>
        <v>166.66666666666669</v>
      </c>
    </row>
    <row r="27" spans="1:11" x14ac:dyDescent="0.25">
      <c r="A27" s="5" t="s">
        <v>26</v>
      </c>
      <c r="B27" s="12">
        <v>56000</v>
      </c>
      <c r="C27" s="12">
        <f t="shared" si="4"/>
        <v>48000</v>
      </c>
      <c r="D27" s="13">
        <v>55</v>
      </c>
      <c r="E27" s="18">
        <f t="shared" si="2"/>
        <v>1.8181818181818181</v>
      </c>
      <c r="F27" s="15">
        <f t="shared" si="0"/>
        <v>96363.636363636368</v>
      </c>
      <c r="K27" s="270">
        <f t="shared" si="1"/>
        <v>192.72727272727275</v>
      </c>
    </row>
    <row r="28" spans="1:11" x14ac:dyDescent="0.25">
      <c r="A28" s="5" t="s">
        <v>27</v>
      </c>
      <c r="B28" s="12">
        <v>59000</v>
      </c>
      <c r="C28" s="12">
        <f t="shared" si="4"/>
        <v>51000</v>
      </c>
      <c r="D28" s="13">
        <v>55</v>
      </c>
      <c r="E28" s="18">
        <f t="shared" si="2"/>
        <v>1.8181818181818181</v>
      </c>
      <c r="F28" s="15">
        <f t="shared" si="0"/>
        <v>101818.18181818181</v>
      </c>
      <c r="K28" s="270">
        <f t="shared" si="1"/>
        <v>203.63636363636363</v>
      </c>
    </row>
    <row r="29" spans="1:11" x14ac:dyDescent="0.25">
      <c r="A29" s="5" t="s">
        <v>28</v>
      </c>
      <c r="B29" s="12">
        <v>62000</v>
      </c>
      <c r="C29" s="12">
        <f t="shared" si="4"/>
        <v>54000</v>
      </c>
      <c r="D29" s="13">
        <v>55</v>
      </c>
      <c r="E29" s="18">
        <f t="shared" si="2"/>
        <v>1.8181818181818181</v>
      </c>
      <c r="F29" s="15">
        <f t="shared" si="0"/>
        <v>107272.72727272726</v>
      </c>
      <c r="K29" s="270">
        <f t="shared" si="1"/>
        <v>214.54545454545453</v>
      </c>
    </row>
    <row r="30" spans="1:11" x14ac:dyDescent="0.25">
      <c r="A30" s="5" t="s">
        <v>29</v>
      </c>
      <c r="B30" s="12">
        <v>65000</v>
      </c>
      <c r="C30" s="12">
        <f t="shared" si="4"/>
        <v>57000</v>
      </c>
      <c r="D30" s="13">
        <v>55</v>
      </c>
      <c r="E30" s="18">
        <f t="shared" si="2"/>
        <v>1.8181818181818181</v>
      </c>
      <c r="F30" s="15">
        <f t="shared" si="0"/>
        <v>112727.27272727272</v>
      </c>
      <c r="K30" s="270">
        <f t="shared" si="1"/>
        <v>225.45454545454544</v>
      </c>
    </row>
    <row r="31" spans="1:11" x14ac:dyDescent="0.25">
      <c r="A31" s="2" t="s">
        <v>30</v>
      </c>
      <c r="B31" s="12">
        <v>66000</v>
      </c>
      <c r="C31" s="12">
        <f t="shared" si="3"/>
        <v>59000</v>
      </c>
      <c r="D31" s="13">
        <v>50</v>
      </c>
      <c r="E31" s="18">
        <f t="shared" si="2"/>
        <v>1.8181818181818181</v>
      </c>
      <c r="F31" s="15">
        <f t="shared" si="0"/>
        <v>118181.81818181818</v>
      </c>
      <c r="K31" s="270">
        <f t="shared" si="1"/>
        <v>236.36363636363635</v>
      </c>
    </row>
    <row r="32" spans="1:11" x14ac:dyDescent="0.25">
      <c r="A32" s="2" t="s">
        <v>31</v>
      </c>
      <c r="B32" s="12">
        <v>67000</v>
      </c>
      <c r="C32" s="12">
        <f t="shared" si="3"/>
        <v>60000</v>
      </c>
      <c r="D32" s="13">
        <v>50</v>
      </c>
      <c r="E32" s="18">
        <f t="shared" si="2"/>
        <v>2</v>
      </c>
      <c r="F32" s="15">
        <f t="shared" si="0"/>
        <v>120000</v>
      </c>
      <c r="K32" s="270">
        <f t="shared" si="1"/>
        <v>240</v>
      </c>
    </row>
    <row r="33" spans="1:11" x14ac:dyDescent="0.25">
      <c r="A33" s="7" t="s">
        <v>32</v>
      </c>
      <c r="B33" s="12">
        <v>68000</v>
      </c>
      <c r="C33" s="12">
        <f t="shared" si="3"/>
        <v>61000</v>
      </c>
      <c r="D33" s="13">
        <v>50</v>
      </c>
      <c r="E33" s="18">
        <f t="shared" si="2"/>
        <v>2</v>
      </c>
      <c r="F33" s="15">
        <f t="shared" si="0"/>
        <v>134000</v>
      </c>
      <c r="K33" s="270">
        <f t="shared" si="1"/>
        <v>268</v>
      </c>
    </row>
    <row r="34" spans="1:11" x14ac:dyDescent="0.25">
      <c r="A34" s="7" t="s">
        <v>33</v>
      </c>
      <c r="B34" s="12">
        <v>69000</v>
      </c>
      <c r="C34" s="12">
        <f t="shared" si="3"/>
        <v>62000</v>
      </c>
      <c r="D34" s="13">
        <v>50</v>
      </c>
      <c r="E34" s="18">
        <f t="shared" si="2"/>
        <v>2</v>
      </c>
      <c r="F34" s="15">
        <f t="shared" si="0"/>
        <v>136000</v>
      </c>
      <c r="K34" s="270">
        <f t="shared" si="1"/>
        <v>272</v>
      </c>
    </row>
    <row r="35" spans="1:11" x14ac:dyDescent="0.25">
      <c r="A35" s="7" t="s">
        <v>34</v>
      </c>
      <c r="B35" s="12">
        <v>70000</v>
      </c>
      <c r="C35" s="12">
        <f t="shared" si="3"/>
        <v>63000</v>
      </c>
      <c r="D35" s="13">
        <v>50</v>
      </c>
      <c r="E35" s="18">
        <f t="shared" si="2"/>
        <v>2</v>
      </c>
      <c r="F35" s="15">
        <f t="shared" ref="F35:F66" si="5">B34*E34</f>
        <v>138000</v>
      </c>
      <c r="K35" s="270">
        <f t="shared" si="1"/>
        <v>276</v>
      </c>
    </row>
    <row r="36" spans="1:11" x14ac:dyDescent="0.25">
      <c r="A36" s="4" t="s">
        <v>35</v>
      </c>
      <c r="B36" s="12">
        <v>71000</v>
      </c>
      <c r="C36" s="12">
        <f t="shared" si="3"/>
        <v>64000</v>
      </c>
      <c r="D36" s="13">
        <v>50</v>
      </c>
      <c r="E36" s="18">
        <f t="shared" si="2"/>
        <v>2</v>
      </c>
      <c r="F36" s="15">
        <f t="shared" si="5"/>
        <v>140000</v>
      </c>
      <c r="K36" s="270">
        <f t="shared" si="1"/>
        <v>280</v>
      </c>
    </row>
    <row r="37" spans="1:11" x14ac:dyDescent="0.25">
      <c r="A37" s="5" t="s">
        <v>36</v>
      </c>
      <c r="B37" s="12">
        <v>80000</v>
      </c>
      <c r="C37" s="12">
        <f t="shared" ref="C37:C42" si="6">B37-10000</f>
        <v>70000</v>
      </c>
      <c r="D37" s="13">
        <v>50</v>
      </c>
      <c r="E37" s="18">
        <f t="shared" si="2"/>
        <v>2</v>
      </c>
      <c r="F37" s="15">
        <f t="shared" si="5"/>
        <v>142000</v>
      </c>
      <c r="K37" s="270">
        <f t="shared" si="1"/>
        <v>284</v>
      </c>
    </row>
    <row r="38" spans="1:11" x14ac:dyDescent="0.25">
      <c r="A38" s="6" t="s">
        <v>37</v>
      </c>
      <c r="B38" s="12">
        <v>81000</v>
      </c>
      <c r="C38" s="12">
        <f t="shared" si="6"/>
        <v>71000</v>
      </c>
      <c r="D38" s="13">
        <v>50</v>
      </c>
      <c r="E38" s="18">
        <f t="shared" si="2"/>
        <v>2</v>
      </c>
      <c r="F38" s="15">
        <f t="shared" si="5"/>
        <v>160000</v>
      </c>
      <c r="K38" s="270">
        <f t="shared" si="1"/>
        <v>320</v>
      </c>
    </row>
    <row r="39" spans="1:11" x14ac:dyDescent="0.25">
      <c r="A39" s="6" t="s">
        <v>38</v>
      </c>
      <c r="B39" s="12">
        <v>82000</v>
      </c>
      <c r="C39" s="12">
        <f t="shared" si="6"/>
        <v>72000</v>
      </c>
      <c r="D39" s="13">
        <v>50</v>
      </c>
      <c r="E39" s="18">
        <f t="shared" si="2"/>
        <v>2</v>
      </c>
      <c r="F39" s="15">
        <f t="shared" si="5"/>
        <v>162000</v>
      </c>
      <c r="K39" s="270">
        <f t="shared" si="1"/>
        <v>324</v>
      </c>
    </row>
    <row r="40" spans="1:11" x14ac:dyDescent="0.25">
      <c r="A40" s="6" t="s">
        <v>39</v>
      </c>
      <c r="B40" s="12">
        <v>83000</v>
      </c>
      <c r="C40" s="12">
        <f t="shared" si="6"/>
        <v>73000</v>
      </c>
      <c r="D40" s="13">
        <v>50</v>
      </c>
      <c r="E40" s="18">
        <f t="shared" si="2"/>
        <v>2</v>
      </c>
      <c r="F40" s="15">
        <f t="shared" si="5"/>
        <v>164000</v>
      </c>
      <c r="K40" s="270">
        <f t="shared" si="1"/>
        <v>328</v>
      </c>
    </row>
    <row r="41" spans="1:11" x14ac:dyDescent="0.25">
      <c r="A41" s="6" t="s">
        <v>40</v>
      </c>
      <c r="B41" s="12">
        <v>84000</v>
      </c>
      <c r="C41" s="12">
        <f t="shared" si="6"/>
        <v>74000</v>
      </c>
      <c r="D41" s="13">
        <v>50</v>
      </c>
      <c r="E41" s="18">
        <f t="shared" si="2"/>
        <v>2</v>
      </c>
      <c r="F41" s="15">
        <f t="shared" si="5"/>
        <v>166000</v>
      </c>
      <c r="K41" s="270">
        <f t="shared" si="1"/>
        <v>332</v>
      </c>
    </row>
    <row r="42" spans="1:11" x14ac:dyDescent="0.25">
      <c r="A42" s="6" t="s">
        <v>41</v>
      </c>
      <c r="B42" s="12">
        <v>85000</v>
      </c>
      <c r="C42" s="12">
        <f t="shared" si="6"/>
        <v>75000</v>
      </c>
      <c r="D42" s="13">
        <v>50</v>
      </c>
      <c r="E42" s="18">
        <f t="shared" si="2"/>
        <v>2</v>
      </c>
      <c r="F42" s="15">
        <f t="shared" si="5"/>
        <v>168000</v>
      </c>
      <c r="K42" s="270">
        <f t="shared" si="1"/>
        <v>336</v>
      </c>
    </row>
    <row r="43" spans="1:11" x14ac:dyDescent="0.25">
      <c r="A43" s="2" t="s">
        <v>42</v>
      </c>
      <c r="B43" s="12">
        <v>105000</v>
      </c>
      <c r="C43" s="12">
        <f t="shared" ref="C43:C48" si="7">B43-20000</f>
        <v>85000</v>
      </c>
      <c r="D43" s="13">
        <v>40</v>
      </c>
      <c r="E43" s="18">
        <f t="shared" si="2"/>
        <v>2</v>
      </c>
      <c r="F43" s="15">
        <f t="shared" si="5"/>
        <v>170000</v>
      </c>
      <c r="K43" s="270">
        <f t="shared" si="1"/>
        <v>340</v>
      </c>
    </row>
    <row r="44" spans="1:11" x14ac:dyDescent="0.25">
      <c r="A44" s="8" t="s">
        <v>43</v>
      </c>
      <c r="B44" s="12">
        <v>107000</v>
      </c>
      <c r="C44" s="12">
        <f t="shared" si="7"/>
        <v>87000</v>
      </c>
      <c r="D44" s="13">
        <v>40</v>
      </c>
      <c r="E44" s="18">
        <f t="shared" si="2"/>
        <v>2.5</v>
      </c>
      <c r="F44" s="15">
        <f t="shared" si="5"/>
        <v>210000</v>
      </c>
      <c r="K44" s="270">
        <f t="shared" si="1"/>
        <v>420</v>
      </c>
    </row>
    <row r="45" spans="1:11" x14ac:dyDescent="0.25">
      <c r="A45" s="8" t="s">
        <v>44</v>
      </c>
      <c r="B45" s="12">
        <v>109000</v>
      </c>
      <c r="C45" s="12">
        <f t="shared" si="7"/>
        <v>89000</v>
      </c>
      <c r="D45" s="13">
        <v>40</v>
      </c>
      <c r="E45" s="18">
        <f t="shared" si="2"/>
        <v>2.5</v>
      </c>
      <c r="F45" s="15">
        <f t="shared" si="5"/>
        <v>267500</v>
      </c>
      <c r="K45" s="270">
        <f t="shared" si="1"/>
        <v>535</v>
      </c>
    </row>
    <row r="46" spans="1:11" x14ac:dyDescent="0.25">
      <c r="A46" s="8" t="s">
        <v>45</v>
      </c>
      <c r="B46" s="12">
        <v>111000</v>
      </c>
      <c r="C46" s="12">
        <f t="shared" si="7"/>
        <v>91000</v>
      </c>
      <c r="D46" s="13">
        <v>40</v>
      </c>
      <c r="E46" s="18">
        <f t="shared" si="2"/>
        <v>2.5</v>
      </c>
      <c r="F46" s="15">
        <f t="shared" si="5"/>
        <v>272500</v>
      </c>
      <c r="K46" s="270">
        <f t="shared" si="1"/>
        <v>545</v>
      </c>
    </row>
    <row r="47" spans="1:11" x14ac:dyDescent="0.25">
      <c r="A47" s="8" t="s">
        <v>46</v>
      </c>
      <c r="B47" s="12">
        <v>113000</v>
      </c>
      <c r="C47" s="12">
        <f t="shared" si="7"/>
        <v>93000</v>
      </c>
      <c r="D47" s="13">
        <v>40</v>
      </c>
      <c r="E47" s="18">
        <f t="shared" si="2"/>
        <v>2.5</v>
      </c>
      <c r="F47" s="15">
        <f t="shared" si="5"/>
        <v>277500</v>
      </c>
      <c r="K47" s="270">
        <f t="shared" si="1"/>
        <v>555</v>
      </c>
    </row>
    <row r="48" spans="1:11" x14ac:dyDescent="0.25">
      <c r="A48" s="8" t="s">
        <v>47</v>
      </c>
      <c r="B48" s="12">
        <v>115000</v>
      </c>
      <c r="C48" s="12">
        <f t="shared" si="7"/>
        <v>95000</v>
      </c>
      <c r="D48" s="13">
        <v>40</v>
      </c>
      <c r="E48" s="18">
        <f t="shared" si="2"/>
        <v>2.5</v>
      </c>
      <c r="F48" s="15">
        <f t="shared" si="5"/>
        <v>282500</v>
      </c>
      <c r="K48" s="270">
        <f t="shared" si="1"/>
        <v>565</v>
      </c>
    </row>
    <row r="49" spans="1:11" x14ac:dyDescent="0.25">
      <c r="A49" s="5" t="s">
        <v>48</v>
      </c>
      <c r="B49" s="12">
        <v>125000</v>
      </c>
      <c r="C49" s="12"/>
      <c r="D49" s="13">
        <v>35</v>
      </c>
      <c r="E49" s="18">
        <f t="shared" si="2"/>
        <v>2.5</v>
      </c>
      <c r="F49" s="15">
        <f t="shared" si="5"/>
        <v>287500</v>
      </c>
      <c r="K49" s="270">
        <f t="shared" si="1"/>
        <v>575</v>
      </c>
    </row>
    <row r="50" spans="1:11" x14ac:dyDescent="0.25">
      <c r="A50" s="5" t="s">
        <v>49</v>
      </c>
      <c r="B50" s="12">
        <v>130000</v>
      </c>
      <c r="C50" s="12"/>
      <c r="D50" s="13">
        <v>35</v>
      </c>
      <c r="E50" s="18">
        <f t="shared" si="2"/>
        <v>2.8571428571428572</v>
      </c>
      <c r="F50" s="15">
        <f t="shared" si="5"/>
        <v>312500</v>
      </c>
      <c r="K50" s="270">
        <f t="shared" si="1"/>
        <v>625</v>
      </c>
    </row>
    <row r="51" spans="1:11" x14ac:dyDescent="0.25">
      <c r="A51" s="6" t="s">
        <v>50</v>
      </c>
      <c r="B51" s="12">
        <v>135000</v>
      </c>
      <c r="C51" s="12"/>
      <c r="D51" s="13">
        <v>35</v>
      </c>
      <c r="E51" s="18">
        <f t="shared" si="2"/>
        <v>2.8571428571428572</v>
      </c>
      <c r="F51" s="15">
        <f t="shared" si="5"/>
        <v>371428.57142857142</v>
      </c>
      <c r="K51" s="270">
        <f t="shared" si="1"/>
        <v>742.85714285714289</v>
      </c>
    </row>
    <row r="52" spans="1:11" x14ac:dyDescent="0.25">
      <c r="A52" s="6" t="s">
        <v>51</v>
      </c>
      <c r="B52" s="12">
        <v>140000</v>
      </c>
      <c r="C52" s="12"/>
      <c r="D52" s="13">
        <v>35</v>
      </c>
      <c r="E52" s="18">
        <f t="shared" si="2"/>
        <v>2.8571428571428572</v>
      </c>
      <c r="F52" s="15">
        <f t="shared" si="5"/>
        <v>385714.28571428574</v>
      </c>
      <c r="K52" s="270">
        <f t="shared" si="1"/>
        <v>771.42857142857144</v>
      </c>
    </row>
    <row r="53" spans="1:11" x14ac:dyDescent="0.25">
      <c r="A53" s="6" t="s">
        <v>52</v>
      </c>
      <c r="B53" s="12">
        <v>145000</v>
      </c>
      <c r="C53" s="12"/>
      <c r="D53" s="13">
        <v>35</v>
      </c>
      <c r="E53" s="18">
        <f t="shared" si="2"/>
        <v>2.8571428571428572</v>
      </c>
      <c r="F53" s="15">
        <f t="shared" si="5"/>
        <v>400000</v>
      </c>
      <c r="K53" s="270">
        <f t="shared" si="1"/>
        <v>800</v>
      </c>
    </row>
    <row r="54" spans="1:11" x14ac:dyDescent="0.25">
      <c r="A54" s="6" t="s">
        <v>53</v>
      </c>
      <c r="B54" s="12">
        <v>150000</v>
      </c>
      <c r="C54" s="12"/>
      <c r="D54" s="13">
        <v>35</v>
      </c>
      <c r="E54" s="18">
        <f t="shared" si="2"/>
        <v>2.8571428571428572</v>
      </c>
      <c r="F54" s="15">
        <f t="shared" si="5"/>
        <v>414285.71428571432</v>
      </c>
      <c r="K54" s="270">
        <f t="shared" si="1"/>
        <v>828.57142857142867</v>
      </c>
    </row>
    <row r="55" spans="1:11" x14ac:dyDescent="0.25">
      <c r="A55" s="7" t="s">
        <v>54</v>
      </c>
      <c r="B55" s="12">
        <v>200000</v>
      </c>
      <c r="C55" s="12"/>
      <c r="D55" s="13">
        <v>30</v>
      </c>
      <c r="E55" s="18">
        <f t="shared" si="2"/>
        <v>2.8571428571428572</v>
      </c>
      <c r="F55" s="15">
        <f t="shared" si="5"/>
        <v>428571.42857142858</v>
      </c>
      <c r="K55" s="270">
        <f t="shared" si="1"/>
        <v>857.14285714285711</v>
      </c>
    </row>
    <row r="56" spans="1:11" x14ac:dyDescent="0.25">
      <c r="A56" s="7" t="s">
        <v>55</v>
      </c>
      <c r="B56" s="12">
        <v>220000</v>
      </c>
      <c r="C56" s="12"/>
      <c r="D56" s="13">
        <v>30</v>
      </c>
      <c r="E56" s="18">
        <f t="shared" si="2"/>
        <v>3.3333333333333335</v>
      </c>
      <c r="F56" s="15">
        <f t="shared" si="5"/>
        <v>571428.57142857148</v>
      </c>
      <c r="K56" s="270">
        <f t="shared" si="1"/>
        <v>1142.8571428571429</v>
      </c>
    </row>
    <row r="57" spans="1:11" x14ac:dyDescent="0.25">
      <c r="A57" s="7" t="s">
        <v>56</v>
      </c>
      <c r="B57" s="12">
        <v>240000</v>
      </c>
      <c r="C57" s="12"/>
      <c r="D57" s="13">
        <v>30</v>
      </c>
      <c r="E57" s="18">
        <f t="shared" si="2"/>
        <v>3.3333333333333335</v>
      </c>
      <c r="F57" s="15">
        <f t="shared" si="5"/>
        <v>733333.33333333337</v>
      </c>
      <c r="K57" s="270">
        <f t="shared" si="1"/>
        <v>1466.6666666666667</v>
      </c>
    </row>
    <row r="58" spans="1:11" x14ac:dyDescent="0.25">
      <c r="A58" s="7" t="s">
        <v>57</v>
      </c>
      <c r="B58" s="12">
        <v>260000</v>
      </c>
      <c r="C58" s="12"/>
      <c r="D58" s="13">
        <v>30</v>
      </c>
      <c r="E58" s="18">
        <f t="shared" si="2"/>
        <v>3.3333333333333335</v>
      </c>
      <c r="F58" s="15">
        <f t="shared" si="5"/>
        <v>800000</v>
      </c>
      <c r="K58" s="270">
        <f t="shared" si="1"/>
        <v>1600</v>
      </c>
    </row>
    <row r="59" spans="1:11" x14ac:dyDescent="0.25">
      <c r="A59" s="7" t="s">
        <v>58</v>
      </c>
      <c r="B59" s="12">
        <v>280000</v>
      </c>
      <c r="C59" s="12"/>
      <c r="D59" s="13">
        <v>30</v>
      </c>
      <c r="E59" s="18">
        <f t="shared" si="2"/>
        <v>3.3333333333333335</v>
      </c>
      <c r="F59" s="15">
        <f t="shared" si="5"/>
        <v>866666.66666666674</v>
      </c>
      <c r="K59" s="270">
        <f t="shared" si="1"/>
        <v>1733.3333333333335</v>
      </c>
    </row>
    <row r="60" spans="1:11" x14ac:dyDescent="0.25">
      <c r="A60" s="7" t="s">
        <v>59</v>
      </c>
      <c r="B60" s="12">
        <v>300000</v>
      </c>
      <c r="C60" s="12"/>
      <c r="D60" s="13">
        <v>30</v>
      </c>
      <c r="E60" s="18">
        <f t="shared" si="2"/>
        <v>3.3333333333333335</v>
      </c>
      <c r="F60" s="15">
        <f t="shared" si="5"/>
        <v>933333.33333333337</v>
      </c>
      <c r="K60" s="270">
        <f t="shared" si="1"/>
        <v>1866.6666666666667</v>
      </c>
    </row>
    <row r="61" spans="1:11" x14ac:dyDescent="0.25">
      <c r="A61" s="9" t="s">
        <v>60</v>
      </c>
      <c r="B61" s="12">
        <v>400000</v>
      </c>
      <c r="C61" s="12"/>
      <c r="D61" s="13">
        <v>25</v>
      </c>
      <c r="E61" s="18">
        <f t="shared" si="2"/>
        <v>3.3333333333333335</v>
      </c>
      <c r="F61" s="15">
        <f t="shared" si="5"/>
        <v>1000000</v>
      </c>
      <c r="K61" s="270">
        <f t="shared" si="1"/>
        <v>2000</v>
      </c>
    </row>
    <row r="62" spans="1:11" x14ac:dyDescent="0.25">
      <c r="A62" s="9" t="s">
        <v>61</v>
      </c>
      <c r="B62" s="12">
        <v>420000</v>
      </c>
      <c r="C62" s="12"/>
      <c r="D62" s="13">
        <v>20</v>
      </c>
      <c r="E62" s="18">
        <f t="shared" si="2"/>
        <v>4</v>
      </c>
      <c r="F62" s="15">
        <f t="shared" si="5"/>
        <v>1333333.3333333335</v>
      </c>
      <c r="K62" s="270">
        <f t="shared" si="1"/>
        <v>2666.666666666667</v>
      </c>
    </row>
    <row r="63" spans="1:11" x14ac:dyDescent="0.25">
      <c r="A63" s="9" t="s">
        <v>62</v>
      </c>
      <c r="B63" s="12">
        <v>440000</v>
      </c>
      <c r="C63" s="12"/>
      <c r="D63" s="13">
        <v>15</v>
      </c>
      <c r="E63" s="18">
        <f t="shared" si="2"/>
        <v>5</v>
      </c>
      <c r="F63" s="15">
        <f t="shared" si="5"/>
        <v>1680000</v>
      </c>
      <c r="K63" s="270">
        <f t="shared" si="1"/>
        <v>3360</v>
      </c>
    </row>
    <row r="64" spans="1:11" x14ac:dyDescent="0.25">
      <c r="A64" s="9" t="s">
        <v>63</v>
      </c>
      <c r="B64" s="12">
        <v>460000</v>
      </c>
      <c r="C64" s="12"/>
      <c r="D64" s="13">
        <v>10</v>
      </c>
      <c r="E64" s="18">
        <f t="shared" si="2"/>
        <v>6.666666666666667</v>
      </c>
      <c r="F64" s="15">
        <f t="shared" si="5"/>
        <v>2200000</v>
      </c>
      <c r="K64" s="270">
        <f t="shared" si="1"/>
        <v>4400</v>
      </c>
    </row>
    <row r="65" spans="1:11" x14ac:dyDescent="0.25">
      <c r="A65" s="9" t="s">
        <v>64</v>
      </c>
      <c r="B65" s="12">
        <v>480000</v>
      </c>
      <c r="C65" s="12"/>
      <c r="D65" s="13">
        <v>10</v>
      </c>
      <c r="E65" s="18">
        <f t="shared" si="2"/>
        <v>10</v>
      </c>
      <c r="F65" s="15">
        <f t="shared" si="5"/>
        <v>3066666.666666667</v>
      </c>
      <c r="K65" s="270">
        <f t="shared" si="1"/>
        <v>6133.3333333333339</v>
      </c>
    </row>
    <row r="66" spans="1:11" x14ac:dyDescent="0.25">
      <c r="A66" s="9" t="s">
        <v>65</v>
      </c>
      <c r="B66" s="12">
        <v>500000</v>
      </c>
      <c r="C66" s="12"/>
      <c r="D66" s="13">
        <v>10</v>
      </c>
      <c r="E66" s="18">
        <f t="shared" si="2"/>
        <v>10</v>
      </c>
      <c r="F66" s="15">
        <f t="shared" si="5"/>
        <v>4800000</v>
      </c>
      <c r="K66" s="270">
        <f t="shared" si="1"/>
        <v>9600</v>
      </c>
    </row>
    <row r="67" spans="1:11" x14ac:dyDescent="0.25">
      <c r="A67" s="7" t="s">
        <v>66</v>
      </c>
      <c r="B67" s="12">
        <v>1000000</v>
      </c>
      <c r="C67" s="12"/>
      <c r="D67" s="13">
        <v>10</v>
      </c>
      <c r="E67" s="18">
        <f>100/D66</f>
        <v>10</v>
      </c>
      <c r="F67" s="15">
        <f t="shared" ref="F67:F72" si="8">B66*E66</f>
        <v>5000000</v>
      </c>
      <c r="K67" s="270">
        <f t="shared" ref="K67:K84" si="9">F67/500</f>
        <v>10000</v>
      </c>
    </row>
    <row r="68" spans="1:11" x14ac:dyDescent="0.25">
      <c r="A68" s="7" t="s">
        <v>67</v>
      </c>
      <c r="B68" s="12">
        <v>1050000</v>
      </c>
      <c r="C68" s="12"/>
      <c r="D68" s="13">
        <v>10</v>
      </c>
      <c r="E68" s="18">
        <f>100/D67</f>
        <v>10</v>
      </c>
      <c r="F68" s="15">
        <f t="shared" si="8"/>
        <v>10000000</v>
      </c>
      <c r="K68" s="270">
        <f t="shared" si="9"/>
        <v>20000</v>
      </c>
    </row>
    <row r="69" spans="1:11" x14ac:dyDescent="0.25">
      <c r="A69" s="7" t="s">
        <v>68</v>
      </c>
      <c r="B69" s="12">
        <v>1100000</v>
      </c>
      <c r="C69" s="12"/>
      <c r="D69" s="13">
        <v>10</v>
      </c>
      <c r="E69" s="18">
        <f>100/D68</f>
        <v>10</v>
      </c>
      <c r="F69" s="15">
        <f t="shared" si="8"/>
        <v>10500000</v>
      </c>
      <c r="K69" s="270">
        <f t="shared" si="9"/>
        <v>21000</v>
      </c>
    </row>
    <row r="70" spans="1:11" x14ac:dyDescent="0.25">
      <c r="A70" s="7" t="s">
        <v>69</v>
      </c>
      <c r="B70" s="12">
        <v>1150000</v>
      </c>
      <c r="C70" s="12"/>
      <c r="D70" s="13">
        <v>10</v>
      </c>
      <c r="E70" s="18">
        <f>100/D69</f>
        <v>10</v>
      </c>
      <c r="F70" s="15">
        <f t="shared" si="8"/>
        <v>11000000</v>
      </c>
      <c r="K70" s="270">
        <f t="shared" si="9"/>
        <v>22000</v>
      </c>
    </row>
    <row r="71" spans="1:11" x14ac:dyDescent="0.25">
      <c r="A71" s="7" t="s">
        <v>70</v>
      </c>
      <c r="B71" s="12">
        <v>1200000</v>
      </c>
      <c r="C71" s="12"/>
      <c r="D71" s="13">
        <v>5</v>
      </c>
      <c r="E71" s="18">
        <f>100/D70</f>
        <v>10</v>
      </c>
      <c r="F71" s="15">
        <f t="shared" si="8"/>
        <v>11500000</v>
      </c>
      <c r="G71" s="256"/>
      <c r="H71" s="16"/>
      <c r="K71" s="270">
        <f t="shared" si="9"/>
        <v>23000</v>
      </c>
    </row>
    <row r="72" spans="1:11" x14ac:dyDescent="0.25">
      <c r="A72" s="7" t="s">
        <v>71</v>
      </c>
      <c r="B72" s="264">
        <v>1250000</v>
      </c>
      <c r="C72" s="12"/>
      <c r="D72" s="265"/>
      <c r="E72" s="266"/>
      <c r="F72" s="15">
        <f t="shared" si="8"/>
        <v>12000000</v>
      </c>
      <c r="G72" s="273">
        <f>SUM(F2:F72)*6</f>
        <v>511555178.52147853</v>
      </c>
      <c r="H72" s="16"/>
      <c r="K72" s="270">
        <f t="shared" si="9"/>
        <v>24000</v>
      </c>
    </row>
    <row r="73" spans="1:11" x14ac:dyDescent="0.25">
      <c r="A73" s="10" t="s">
        <v>72</v>
      </c>
      <c r="B73" s="12">
        <v>0</v>
      </c>
      <c r="C73" s="12">
        <f t="shared" ref="C73:C84" si="10">B73-30%*B73</f>
        <v>0</v>
      </c>
      <c r="D73" s="13">
        <v>10</v>
      </c>
      <c r="E73" s="18">
        <f>100/D73</f>
        <v>10</v>
      </c>
      <c r="F73" s="15">
        <f t="shared" ref="F73:F84" si="11">B73*E73</f>
        <v>0</v>
      </c>
      <c r="G73" s="274">
        <f>(F73+$G$72)*10</f>
        <v>5115551785.2147856</v>
      </c>
      <c r="K73" s="270">
        <f t="shared" si="9"/>
        <v>0</v>
      </c>
    </row>
    <row r="74" spans="1:11" x14ac:dyDescent="0.25">
      <c r="A74" s="10" t="s">
        <v>73</v>
      </c>
      <c r="B74" s="12">
        <v>0</v>
      </c>
      <c r="C74" s="12">
        <f t="shared" si="10"/>
        <v>0</v>
      </c>
      <c r="D74" s="13">
        <v>10</v>
      </c>
      <c r="E74" s="18">
        <f t="shared" ref="E74:E84" si="12">100/D74</f>
        <v>10</v>
      </c>
      <c r="F74" s="15">
        <f t="shared" si="11"/>
        <v>0</v>
      </c>
      <c r="G74" s="274">
        <f t="shared" ref="G74:G83" si="13">(F74+$G$72)*10</f>
        <v>5115551785.2147856</v>
      </c>
      <c r="K74" s="270">
        <f t="shared" si="9"/>
        <v>0</v>
      </c>
    </row>
    <row r="75" spans="1:11" x14ac:dyDescent="0.25">
      <c r="A75" s="10" t="s">
        <v>74</v>
      </c>
      <c r="B75" s="12">
        <v>0</v>
      </c>
      <c r="C75" s="12">
        <f t="shared" si="10"/>
        <v>0</v>
      </c>
      <c r="D75" s="13">
        <v>10</v>
      </c>
      <c r="E75" s="18">
        <f t="shared" si="12"/>
        <v>10</v>
      </c>
      <c r="F75" s="15">
        <f t="shared" si="11"/>
        <v>0</v>
      </c>
      <c r="G75" s="274">
        <f t="shared" si="13"/>
        <v>5115551785.2147856</v>
      </c>
      <c r="K75" s="270">
        <f t="shared" si="9"/>
        <v>0</v>
      </c>
    </row>
    <row r="76" spans="1:11" x14ac:dyDescent="0.25">
      <c r="A76" s="10" t="s">
        <v>75</v>
      </c>
      <c r="B76" s="12">
        <v>0</v>
      </c>
      <c r="C76" s="12">
        <f t="shared" si="10"/>
        <v>0</v>
      </c>
      <c r="D76" s="13">
        <v>10</v>
      </c>
      <c r="E76" s="18">
        <f t="shared" si="12"/>
        <v>10</v>
      </c>
      <c r="F76" s="15">
        <f t="shared" si="11"/>
        <v>0</v>
      </c>
      <c r="G76" s="274">
        <f t="shared" si="13"/>
        <v>5115551785.2147856</v>
      </c>
      <c r="K76" s="270">
        <f t="shared" si="9"/>
        <v>0</v>
      </c>
    </row>
    <row r="77" spans="1:11" x14ac:dyDescent="0.25">
      <c r="A77" s="10" t="s">
        <v>76</v>
      </c>
      <c r="B77" s="12">
        <v>0</v>
      </c>
      <c r="C77" s="12">
        <f t="shared" si="10"/>
        <v>0</v>
      </c>
      <c r="D77" s="13">
        <v>10</v>
      </c>
      <c r="E77" s="18">
        <f t="shared" si="12"/>
        <v>10</v>
      </c>
      <c r="F77" s="15">
        <f t="shared" si="11"/>
        <v>0</v>
      </c>
      <c r="G77" s="274">
        <f t="shared" si="13"/>
        <v>5115551785.2147856</v>
      </c>
      <c r="K77" s="270">
        <f t="shared" si="9"/>
        <v>0</v>
      </c>
    </row>
    <row r="78" spans="1:11" x14ac:dyDescent="0.25">
      <c r="A78" s="10" t="s">
        <v>77</v>
      </c>
      <c r="B78" s="12">
        <v>0</v>
      </c>
      <c r="C78" s="12">
        <f t="shared" si="10"/>
        <v>0</v>
      </c>
      <c r="D78" s="13">
        <v>10</v>
      </c>
      <c r="E78" s="18">
        <f t="shared" si="12"/>
        <v>10</v>
      </c>
      <c r="F78" s="15">
        <f t="shared" si="11"/>
        <v>0</v>
      </c>
      <c r="G78" s="274">
        <f t="shared" si="13"/>
        <v>5115551785.2147856</v>
      </c>
      <c r="K78" s="270">
        <f t="shared" si="9"/>
        <v>0</v>
      </c>
    </row>
    <row r="79" spans="1:11" x14ac:dyDescent="0.25">
      <c r="A79" s="10" t="s">
        <v>78</v>
      </c>
      <c r="B79" s="12">
        <v>0</v>
      </c>
      <c r="C79" s="12">
        <f t="shared" si="10"/>
        <v>0</v>
      </c>
      <c r="D79" s="13">
        <v>10</v>
      </c>
      <c r="E79" s="18">
        <f t="shared" si="12"/>
        <v>10</v>
      </c>
      <c r="F79" s="15">
        <f t="shared" si="11"/>
        <v>0</v>
      </c>
      <c r="G79" s="274">
        <f>(F79+$G$72)*10</f>
        <v>5115551785.2147856</v>
      </c>
      <c r="H79" s="16"/>
      <c r="K79" s="270">
        <f t="shared" si="9"/>
        <v>0</v>
      </c>
    </row>
    <row r="80" spans="1:11" x14ac:dyDescent="0.25">
      <c r="A80" s="10" t="s">
        <v>79</v>
      </c>
      <c r="B80" s="12">
        <v>0</v>
      </c>
      <c r="C80" s="12">
        <f t="shared" si="10"/>
        <v>0</v>
      </c>
      <c r="D80" s="13">
        <v>10</v>
      </c>
      <c r="E80" s="18">
        <f t="shared" si="12"/>
        <v>10</v>
      </c>
      <c r="F80" s="15">
        <f t="shared" si="11"/>
        <v>0</v>
      </c>
      <c r="G80" s="274">
        <f t="shared" si="13"/>
        <v>5115551785.2147856</v>
      </c>
      <c r="K80" s="270">
        <f t="shared" si="9"/>
        <v>0</v>
      </c>
    </row>
    <row r="81" spans="1:11" x14ac:dyDescent="0.25">
      <c r="A81" s="10" t="s">
        <v>80</v>
      </c>
      <c r="B81" s="12">
        <v>0</v>
      </c>
      <c r="C81" s="12">
        <f t="shared" si="10"/>
        <v>0</v>
      </c>
      <c r="D81" s="13">
        <v>10</v>
      </c>
      <c r="E81" s="18">
        <f t="shared" si="12"/>
        <v>10</v>
      </c>
      <c r="F81" s="15">
        <f t="shared" si="11"/>
        <v>0</v>
      </c>
      <c r="G81" s="274">
        <f t="shared" si="13"/>
        <v>5115551785.2147856</v>
      </c>
      <c r="K81" s="270">
        <f t="shared" si="9"/>
        <v>0</v>
      </c>
    </row>
    <row r="82" spans="1:11" x14ac:dyDescent="0.25">
      <c r="A82" s="10" t="s">
        <v>81</v>
      </c>
      <c r="B82" s="12">
        <v>0</v>
      </c>
      <c r="C82" s="12">
        <f t="shared" si="10"/>
        <v>0</v>
      </c>
      <c r="D82" s="13">
        <v>10</v>
      </c>
      <c r="E82" s="18">
        <f t="shared" si="12"/>
        <v>10</v>
      </c>
      <c r="F82" s="15">
        <f t="shared" si="11"/>
        <v>0</v>
      </c>
      <c r="G82" s="274">
        <f t="shared" si="13"/>
        <v>5115551785.2147856</v>
      </c>
      <c r="K82" s="270">
        <f t="shared" si="9"/>
        <v>0</v>
      </c>
    </row>
    <row r="83" spans="1:11" x14ac:dyDescent="0.25">
      <c r="A83" s="10" t="s">
        <v>82</v>
      </c>
      <c r="B83" s="12">
        <v>0</v>
      </c>
      <c r="C83" s="12">
        <f t="shared" si="10"/>
        <v>0</v>
      </c>
      <c r="D83" s="13">
        <v>10</v>
      </c>
      <c r="E83" s="18">
        <f t="shared" si="12"/>
        <v>10</v>
      </c>
      <c r="F83" s="15">
        <f t="shared" si="11"/>
        <v>0</v>
      </c>
      <c r="G83" s="274">
        <f t="shared" si="13"/>
        <v>5115551785.2147856</v>
      </c>
      <c r="K83" s="270">
        <f t="shared" si="9"/>
        <v>0</v>
      </c>
    </row>
    <row r="84" spans="1:11" x14ac:dyDescent="0.25">
      <c r="A84" s="10" t="s">
        <v>83</v>
      </c>
      <c r="B84" s="12">
        <v>0</v>
      </c>
      <c r="C84" s="12">
        <f t="shared" si="10"/>
        <v>0</v>
      </c>
      <c r="D84" s="13">
        <v>10</v>
      </c>
      <c r="E84" s="18">
        <f t="shared" si="12"/>
        <v>10</v>
      </c>
      <c r="F84" s="15">
        <f t="shared" si="11"/>
        <v>0</v>
      </c>
      <c r="G84" s="274">
        <f>(F84+$G$72)*10</f>
        <v>5115551785.2147856</v>
      </c>
      <c r="H84" s="240">
        <f>SUM(G79:G84)</f>
        <v>30693310711.288715</v>
      </c>
      <c r="K84" s="270">
        <f t="shared" si="9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C113"/>
  <sheetViews>
    <sheetView topLeftCell="N1" zoomScaleNormal="100" workbookViewId="0">
      <selection activeCell="U9" sqref="U9"/>
    </sheetView>
  </sheetViews>
  <sheetFormatPr defaultRowHeight="15" x14ac:dyDescent="0.25"/>
  <cols>
    <col min="1" max="1" width="25.85546875" style="72" bestFit="1" customWidth="1"/>
    <col min="2" max="2" width="14.7109375" style="72" customWidth="1"/>
    <col min="3" max="3" width="18.28515625" style="107" customWidth="1"/>
    <col min="4" max="4" width="57.85546875" style="108" customWidth="1"/>
    <col min="5" max="5" width="18.42578125" style="108" bestFit="1" customWidth="1"/>
    <col min="6" max="6" width="11.28515625" style="108" customWidth="1"/>
    <col min="7" max="7" width="8.28515625" style="108" customWidth="1"/>
    <col min="8" max="8" width="23.140625" style="108" customWidth="1"/>
    <col min="9" max="9" width="22.5703125" style="82" bestFit="1" customWidth="1"/>
    <col min="10" max="10" width="16.42578125" style="82" customWidth="1"/>
    <col min="11" max="11" width="12.5703125" style="82" customWidth="1"/>
    <col min="12" max="12" width="18.85546875" style="82" bestFit="1" customWidth="1"/>
    <col min="13" max="13" width="14.140625" style="82" customWidth="1"/>
    <col min="14" max="14" width="9.140625" style="82"/>
    <col min="15" max="15" width="14.85546875" style="82" customWidth="1"/>
    <col min="16" max="16" width="14.7109375" style="82" customWidth="1"/>
    <col min="17" max="17" width="9.140625" style="82"/>
    <col min="18" max="18" width="14.85546875" style="82" bestFit="1" customWidth="1"/>
    <col min="19" max="19" width="13" style="82" customWidth="1"/>
    <col min="20" max="20" width="9.140625" style="82"/>
    <col min="21" max="21" width="15" style="82" bestFit="1" customWidth="1"/>
    <col min="22" max="22" width="15" style="82" customWidth="1"/>
    <col min="23" max="23" width="9.140625" style="82"/>
    <col min="24" max="24" width="14.85546875" style="82" bestFit="1" customWidth="1"/>
    <col min="25" max="25" width="9.140625" style="82"/>
    <col min="26" max="26" width="14.85546875" style="82" bestFit="1" customWidth="1"/>
    <col min="27" max="27" width="9.140625" style="82"/>
    <col min="28" max="28" width="14.85546875" style="82" bestFit="1" customWidth="1"/>
    <col min="29" max="29" width="24.7109375" style="82" bestFit="1" customWidth="1"/>
    <col min="30" max="16384" width="9.140625" style="82"/>
  </cols>
  <sheetData>
    <row r="1" spans="1:29" ht="13.5" customHeight="1" x14ac:dyDescent="0.25">
      <c r="A1" s="65" t="s">
        <v>0</v>
      </c>
      <c r="B1" s="78" t="s">
        <v>93</v>
      </c>
      <c r="C1" s="65" t="s">
        <v>834</v>
      </c>
      <c r="D1" s="79" t="s">
        <v>835</v>
      </c>
      <c r="E1" s="65" t="s">
        <v>1003</v>
      </c>
      <c r="F1" s="65" t="s">
        <v>754</v>
      </c>
      <c r="G1" s="65" t="s">
        <v>755</v>
      </c>
      <c r="H1" s="121" t="s">
        <v>753</v>
      </c>
      <c r="I1" s="80" t="s">
        <v>914</v>
      </c>
      <c r="J1" s="80" t="s">
        <v>1020</v>
      </c>
      <c r="K1" s="81" t="s">
        <v>1008</v>
      </c>
      <c r="L1" s="112" t="s">
        <v>915</v>
      </c>
      <c r="M1" s="112" t="s">
        <v>1021</v>
      </c>
      <c r="N1" s="81" t="s">
        <v>1009</v>
      </c>
      <c r="O1" s="114" t="s">
        <v>916</v>
      </c>
      <c r="P1" s="114" t="s">
        <v>1022</v>
      </c>
      <c r="Q1" s="81" t="s">
        <v>1010</v>
      </c>
      <c r="R1" s="116" t="s">
        <v>917</v>
      </c>
      <c r="S1" s="116" t="s">
        <v>1023</v>
      </c>
      <c r="T1" s="81" t="s">
        <v>1011</v>
      </c>
      <c r="U1" s="111" t="s">
        <v>1004</v>
      </c>
      <c r="V1" s="111" t="s">
        <v>1025</v>
      </c>
      <c r="W1" s="113" t="s">
        <v>1005</v>
      </c>
      <c r="X1" s="113" t="s">
        <v>1026</v>
      </c>
      <c r="Y1" s="115" t="s">
        <v>1006</v>
      </c>
      <c r="Z1" s="115" t="s">
        <v>1027</v>
      </c>
      <c r="AA1" s="117" t="s">
        <v>1007</v>
      </c>
      <c r="AB1" s="117" t="s">
        <v>1028</v>
      </c>
      <c r="AC1" s="276" t="s">
        <v>1290</v>
      </c>
    </row>
    <row r="2" spans="1:29" s="15" customFormat="1" ht="13.5" customHeight="1" x14ac:dyDescent="0.25">
      <c r="A2" s="109" t="s">
        <v>733</v>
      </c>
      <c r="B2" s="68">
        <v>1</v>
      </c>
      <c r="C2" s="91" t="s">
        <v>1024</v>
      </c>
      <c r="D2" s="92"/>
      <c r="E2" s="281">
        <v>120</v>
      </c>
      <c r="F2" s="94">
        <f t="shared" ref="F2:F22" si="0">E2/60</f>
        <v>2</v>
      </c>
      <c r="G2" s="95">
        <f t="shared" ref="G2:G9" si="1">F2/60</f>
        <v>3.3333333333333333E-2</v>
      </c>
      <c r="H2" s="68">
        <v>1</v>
      </c>
      <c r="I2" s="76"/>
      <c r="J2" s="74"/>
      <c r="K2" s="77"/>
      <c r="L2" s="76"/>
      <c r="M2" s="76"/>
      <c r="N2" s="77"/>
      <c r="O2" s="76"/>
      <c r="P2" s="76"/>
      <c r="Q2" s="77"/>
      <c r="R2" s="76"/>
      <c r="S2" s="76"/>
      <c r="T2" s="77"/>
      <c r="U2" s="75"/>
      <c r="V2" s="75"/>
    </row>
    <row r="3" spans="1:29" s="15" customFormat="1" ht="13.5" customHeight="1" x14ac:dyDescent="0.25">
      <c r="A3" s="109" t="s">
        <v>734</v>
      </c>
      <c r="B3" s="68">
        <v>6</v>
      </c>
      <c r="C3" s="91" t="s">
        <v>1024</v>
      </c>
      <c r="D3" s="92"/>
      <c r="E3" s="281">
        <v>180</v>
      </c>
      <c r="F3" s="94">
        <f t="shared" si="0"/>
        <v>3</v>
      </c>
      <c r="G3" s="95">
        <f t="shared" si="1"/>
        <v>0.05</v>
      </c>
      <c r="H3" s="68">
        <v>1</v>
      </c>
      <c r="I3" s="76"/>
      <c r="J3" s="76"/>
      <c r="K3" s="77"/>
      <c r="L3" s="76"/>
      <c r="M3" s="76"/>
      <c r="N3" s="77"/>
      <c r="O3" s="76"/>
      <c r="P3" s="76"/>
      <c r="Q3" s="77"/>
      <c r="R3" s="76"/>
      <c r="S3" s="76"/>
      <c r="T3" s="77"/>
      <c r="U3" s="75"/>
      <c r="V3" s="75"/>
    </row>
    <row r="4" spans="1:29" s="15" customFormat="1" ht="13.5" customHeight="1" x14ac:dyDescent="0.25">
      <c r="A4" s="109" t="s">
        <v>735</v>
      </c>
      <c r="B4" s="68">
        <v>9</v>
      </c>
      <c r="C4" s="91" t="s">
        <v>1024</v>
      </c>
      <c r="D4" s="92"/>
      <c r="E4" s="281">
        <v>600</v>
      </c>
      <c r="F4" s="94">
        <f t="shared" si="0"/>
        <v>10</v>
      </c>
      <c r="G4" s="95">
        <f t="shared" si="1"/>
        <v>0.16666666666666666</v>
      </c>
      <c r="H4" s="83">
        <v>2</v>
      </c>
      <c r="I4" s="76"/>
      <c r="J4" s="76"/>
      <c r="K4" s="77"/>
      <c r="L4" s="76"/>
      <c r="M4" s="76"/>
      <c r="N4" s="77"/>
      <c r="O4" s="76"/>
      <c r="P4" s="76"/>
      <c r="Q4" s="77"/>
      <c r="R4" s="76"/>
      <c r="S4" s="76"/>
      <c r="T4" s="77"/>
      <c r="U4" s="75"/>
      <c r="V4" s="75"/>
    </row>
    <row r="5" spans="1:29" s="15" customFormat="1" ht="13.5" customHeight="1" x14ac:dyDescent="0.25">
      <c r="A5" s="109" t="s">
        <v>736</v>
      </c>
      <c r="B5" s="68">
        <v>12</v>
      </c>
      <c r="C5" s="91" t="s">
        <v>1024</v>
      </c>
      <c r="D5" s="92"/>
      <c r="E5" s="281">
        <v>900</v>
      </c>
      <c r="F5" s="94">
        <f t="shared" si="0"/>
        <v>15</v>
      </c>
      <c r="G5" s="95">
        <f t="shared" si="1"/>
        <v>0.25</v>
      </c>
      <c r="H5" s="122">
        <v>3</v>
      </c>
      <c r="I5" s="76"/>
      <c r="J5" s="76"/>
      <c r="K5" s="77"/>
      <c r="L5" s="76"/>
      <c r="M5" s="76"/>
      <c r="N5" s="77"/>
      <c r="O5" s="76"/>
      <c r="P5" s="76"/>
      <c r="Q5" s="77"/>
      <c r="R5" s="76"/>
      <c r="S5" s="76"/>
      <c r="T5" s="77"/>
      <c r="U5" s="75"/>
      <c r="V5" s="75"/>
    </row>
    <row r="6" spans="1:29" s="15" customFormat="1" ht="13.5" customHeight="1" x14ac:dyDescent="0.25">
      <c r="A6" s="109" t="s">
        <v>737</v>
      </c>
      <c r="B6" s="68">
        <v>15</v>
      </c>
      <c r="C6" s="91" t="s">
        <v>1024</v>
      </c>
      <c r="D6" s="92"/>
      <c r="E6" s="283">
        <v>1200</v>
      </c>
      <c r="F6" s="94">
        <f t="shared" si="0"/>
        <v>20</v>
      </c>
      <c r="G6" s="95">
        <f>F6/60</f>
        <v>0.33333333333333331</v>
      </c>
      <c r="H6" s="122">
        <v>3</v>
      </c>
      <c r="I6" s="76"/>
      <c r="J6" s="76"/>
      <c r="K6" s="77"/>
      <c r="L6" s="76"/>
      <c r="M6" s="76"/>
      <c r="N6" s="77"/>
      <c r="O6" s="76"/>
      <c r="P6" s="76"/>
      <c r="Q6" s="77"/>
      <c r="R6" s="76"/>
      <c r="S6" s="76"/>
      <c r="T6" s="77"/>
      <c r="U6" s="75"/>
      <c r="V6" s="75"/>
    </row>
    <row r="7" spans="1:29" s="15" customFormat="1" ht="13.5" customHeight="1" x14ac:dyDescent="0.25">
      <c r="A7" s="109" t="s">
        <v>738</v>
      </c>
      <c r="B7" s="68">
        <v>17</v>
      </c>
      <c r="C7" s="91" t="s">
        <v>1024</v>
      </c>
      <c r="D7" s="92"/>
      <c r="E7" s="283">
        <v>1500</v>
      </c>
      <c r="F7" s="94">
        <f t="shared" si="0"/>
        <v>25</v>
      </c>
      <c r="G7" s="95">
        <f t="shared" si="1"/>
        <v>0.41666666666666669</v>
      </c>
      <c r="H7" s="123">
        <v>3</v>
      </c>
      <c r="I7" s="76"/>
      <c r="J7" s="76"/>
      <c r="K7" s="77"/>
      <c r="L7" s="76"/>
      <c r="M7" s="76"/>
      <c r="N7" s="77"/>
      <c r="O7" s="76"/>
      <c r="P7" s="76"/>
      <c r="Q7" s="77"/>
      <c r="R7" s="76"/>
      <c r="S7" s="76"/>
      <c r="T7" s="77"/>
      <c r="U7" s="75"/>
      <c r="V7" s="75"/>
    </row>
    <row r="8" spans="1:29" s="15" customFormat="1" ht="13.5" customHeight="1" x14ac:dyDescent="0.25">
      <c r="A8" s="109" t="s">
        <v>739</v>
      </c>
      <c r="B8" s="68">
        <v>20</v>
      </c>
      <c r="C8" s="91" t="s">
        <v>1024</v>
      </c>
      <c r="D8" s="92"/>
      <c r="E8" s="102">
        <v>2100</v>
      </c>
      <c r="F8" s="94">
        <f t="shared" si="0"/>
        <v>35</v>
      </c>
      <c r="G8" s="95">
        <f t="shared" si="1"/>
        <v>0.58333333333333337</v>
      </c>
      <c r="H8" s="84">
        <v>4</v>
      </c>
      <c r="I8" s="76"/>
      <c r="J8" s="76"/>
      <c r="K8" s="77"/>
      <c r="L8" s="76"/>
      <c r="M8" s="76"/>
      <c r="N8" s="77"/>
      <c r="O8" s="76"/>
      <c r="P8" s="76"/>
      <c r="Q8" s="77"/>
      <c r="R8" s="76"/>
      <c r="S8" s="76"/>
      <c r="T8" s="77"/>
      <c r="U8" s="75"/>
      <c r="V8" s="75"/>
    </row>
    <row r="9" spans="1:29" s="15" customFormat="1" ht="13.5" customHeight="1" x14ac:dyDescent="0.25">
      <c r="A9" s="109" t="s">
        <v>740</v>
      </c>
      <c r="B9" s="68">
        <v>25</v>
      </c>
      <c r="C9" s="91" t="s">
        <v>1024</v>
      </c>
      <c r="D9" s="92"/>
      <c r="E9" s="284">
        <v>2700</v>
      </c>
      <c r="F9" s="94">
        <f t="shared" si="0"/>
        <v>45</v>
      </c>
      <c r="G9" s="95">
        <f t="shared" si="1"/>
        <v>0.75</v>
      </c>
      <c r="H9" s="85">
        <v>4</v>
      </c>
      <c r="I9" s="76"/>
      <c r="J9" s="76"/>
      <c r="K9" s="77"/>
      <c r="L9" s="76"/>
      <c r="M9" s="76"/>
      <c r="N9" s="77"/>
      <c r="O9" s="76"/>
      <c r="P9" s="76"/>
      <c r="Q9" s="77"/>
      <c r="R9" s="76"/>
      <c r="S9" s="76"/>
      <c r="T9" s="77"/>
      <c r="U9" s="75"/>
      <c r="V9" s="75"/>
    </row>
    <row r="10" spans="1:29" s="15" customFormat="1" ht="13.5" customHeight="1" x14ac:dyDescent="0.25">
      <c r="A10" s="109" t="s">
        <v>741</v>
      </c>
      <c r="B10" s="68">
        <v>33</v>
      </c>
      <c r="C10" s="91" t="s">
        <v>1024</v>
      </c>
      <c r="D10" s="92"/>
      <c r="E10" s="284">
        <v>3600</v>
      </c>
      <c r="F10" s="94">
        <f t="shared" si="0"/>
        <v>60</v>
      </c>
      <c r="G10" s="95">
        <f t="shared" ref="G10:G22" si="2">F10/60</f>
        <v>1</v>
      </c>
      <c r="H10" s="86">
        <v>5</v>
      </c>
      <c r="I10" s="76"/>
      <c r="J10" s="76"/>
      <c r="K10" s="77"/>
      <c r="L10" s="76"/>
      <c r="M10" s="76"/>
      <c r="N10" s="77"/>
      <c r="O10" s="76"/>
      <c r="P10" s="76"/>
      <c r="Q10" s="77"/>
      <c r="R10" s="76"/>
      <c r="S10" s="76"/>
      <c r="T10" s="77"/>
      <c r="U10" s="75"/>
      <c r="V10" s="75"/>
    </row>
    <row r="11" spans="1:29" s="15" customFormat="1" ht="13.5" customHeight="1" x14ac:dyDescent="0.25">
      <c r="A11" s="109" t="s">
        <v>742</v>
      </c>
      <c r="B11" s="68">
        <v>35</v>
      </c>
      <c r="C11" s="91" t="s">
        <v>1024</v>
      </c>
      <c r="D11" s="92"/>
      <c r="E11" s="282">
        <v>4200</v>
      </c>
      <c r="F11" s="94">
        <f t="shared" si="0"/>
        <v>70</v>
      </c>
      <c r="G11" s="95">
        <f t="shared" si="2"/>
        <v>1.1666666666666667</v>
      </c>
      <c r="H11" s="87">
        <v>5</v>
      </c>
      <c r="I11" s="76"/>
      <c r="J11" s="76"/>
      <c r="K11" s="77"/>
      <c r="L11" s="76"/>
      <c r="M11" s="76"/>
      <c r="N11" s="77"/>
      <c r="O11" s="76"/>
      <c r="P11" s="76"/>
      <c r="Q11" s="77"/>
      <c r="R11" s="76"/>
      <c r="S11" s="76"/>
      <c r="T11" s="77"/>
      <c r="U11" s="75"/>
      <c r="V11" s="75"/>
    </row>
    <row r="12" spans="1:29" s="15" customFormat="1" ht="13.5" customHeight="1" x14ac:dyDescent="0.25">
      <c r="A12" s="109" t="s">
        <v>743</v>
      </c>
      <c r="B12" s="68">
        <v>37</v>
      </c>
      <c r="C12" s="91" t="s">
        <v>1024</v>
      </c>
      <c r="D12" s="92"/>
      <c r="E12" s="282">
        <v>4800</v>
      </c>
      <c r="F12" s="94">
        <f t="shared" si="0"/>
        <v>80</v>
      </c>
      <c r="G12" s="95">
        <f t="shared" si="2"/>
        <v>1.3333333333333333</v>
      </c>
      <c r="H12" s="87">
        <v>5</v>
      </c>
      <c r="I12" s="76"/>
      <c r="J12" s="76"/>
      <c r="K12" s="77"/>
      <c r="L12" s="76"/>
      <c r="M12" s="76"/>
      <c r="N12" s="77"/>
      <c r="O12" s="76"/>
      <c r="P12" s="76"/>
      <c r="Q12" s="77"/>
      <c r="R12" s="76"/>
      <c r="S12" s="76"/>
      <c r="T12" s="77"/>
      <c r="U12" s="75"/>
      <c r="V12" s="75"/>
    </row>
    <row r="13" spans="1:29" s="15" customFormat="1" ht="13.5" customHeight="1" x14ac:dyDescent="0.25">
      <c r="A13" s="109" t="s">
        <v>744</v>
      </c>
      <c r="B13" s="68">
        <v>40</v>
      </c>
      <c r="C13" s="91" t="s">
        <v>1024</v>
      </c>
      <c r="D13" s="92"/>
      <c r="E13" s="282">
        <v>5100</v>
      </c>
      <c r="F13" s="94">
        <f t="shared" si="0"/>
        <v>85</v>
      </c>
      <c r="G13" s="95">
        <f t="shared" si="2"/>
        <v>1.4166666666666667</v>
      </c>
      <c r="H13" s="87">
        <v>5</v>
      </c>
      <c r="I13" s="76"/>
      <c r="J13" s="76"/>
      <c r="K13" s="77"/>
      <c r="L13" s="76"/>
      <c r="M13" s="76"/>
      <c r="N13" s="77"/>
      <c r="O13" s="76"/>
      <c r="P13" s="76"/>
      <c r="Q13" s="77"/>
      <c r="R13" s="76"/>
      <c r="S13" s="76"/>
      <c r="T13" s="77"/>
      <c r="U13" s="75"/>
      <c r="V13" s="75"/>
    </row>
    <row r="14" spans="1:29" s="15" customFormat="1" ht="13.5" customHeight="1" x14ac:dyDescent="0.25">
      <c r="A14" s="109" t="s">
        <v>745</v>
      </c>
      <c r="B14" s="68">
        <v>46</v>
      </c>
      <c r="C14" s="91" t="s">
        <v>1024</v>
      </c>
      <c r="D14" s="92"/>
      <c r="E14" s="282">
        <v>5400</v>
      </c>
      <c r="F14" s="94">
        <f t="shared" si="0"/>
        <v>90</v>
      </c>
      <c r="G14" s="95">
        <f t="shared" si="2"/>
        <v>1.5</v>
      </c>
      <c r="H14" s="87">
        <v>5</v>
      </c>
      <c r="I14" s="76"/>
      <c r="J14" s="76"/>
      <c r="K14" s="77"/>
      <c r="L14" s="76"/>
      <c r="M14" s="76"/>
      <c r="N14" s="77"/>
      <c r="O14" s="76"/>
      <c r="P14" s="76"/>
      <c r="Q14" s="77"/>
      <c r="R14" s="76"/>
      <c r="S14" s="76"/>
      <c r="T14" s="77"/>
      <c r="U14" s="75"/>
      <c r="V14" s="75"/>
    </row>
    <row r="15" spans="1:29" s="15" customFormat="1" ht="13.5" customHeight="1" x14ac:dyDescent="0.25">
      <c r="A15" s="109" t="s">
        <v>746</v>
      </c>
      <c r="B15" s="68">
        <v>49</v>
      </c>
      <c r="C15" s="91" t="s">
        <v>1024</v>
      </c>
      <c r="D15" s="92"/>
      <c r="E15" s="282">
        <v>6300</v>
      </c>
      <c r="F15" s="94">
        <f t="shared" si="0"/>
        <v>105</v>
      </c>
      <c r="G15" s="95">
        <f t="shared" si="2"/>
        <v>1.75</v>
      </c>
      <c r="H15" s="87">
        <v>5</v>
      </c>
      <c r="I15" s="76"/>
      <c r="J15" s="76"/>
      <c r="K15" s="77"/>
      <c r="L15" s="76"/>
      <c r="M15" s="76"/>
      <c r="N15" s="77"/>
      <c r="O15" s="76"/>
      <c r="P15" s="76"/>
      <c r="Q15" s="77"/>
      <c r="R15" s="76"/>
      <c r="S15" s="76"/>
      <c r="T15" s="77"/>
      <c r="U15" s="75"/>
      <c r="V15" s="75"/>
    </row>
    <row r="16" spans="1:29" s="15" customFormat="1" ht="13.5" customHeight="1" x14ac:dyDescent="0.25">
      <c r="A16" s="109" t="s">
        <v>747</v>
      </c>
      <c r="B16" s="68">
        <v>58</v>
      </c>
      <c r="C16" s="91" t="s">
        <v>1024</v>
      </c>
      <c r="D16" s="92"/>
      <c r="E16" s="280">
        <v>7200</v>
      </c>
      <c r="F16" s="94">
        <f t="shared" si="0"/>
        <v>120</v>
      </c>
      <c r="G16" s="95">
        <f t="shared" si="2"/>
        <v>2</v>
      </c>
      <c r="H16" s="88">
        <v>6</v>
      </c>
      <c r="I16" s="76"/>
      <c r="J16" s="76"/>
      <c r="K16" s="77"/>
      <c r="L16" s="76"/>
      <c r="M16" s="76"/>
      <c r="N16" s="77"/>
      <c r="O16" s="76"/>
      <c r="P16" s="76"/>
      <c r="Q16" s="77"/>
      <c r="R16" s="76"/>
      <c r="S16" s="76"/>
      <c r="T16" s="77"/>
      <c r="U16" s="75"/>
      <c r="V16" s="75"/>
    </row>
    <row r="17" spans="1:24" s="15" customFormat="1" ht="13.5" customHeight="1" x14ac:dyDescent="0.25">
      <c r="A17" s="109" t="s">
        <v>748</v>
      </c>
      <c r="B17" s="68">
        <v>62</v>
      </c>
      <c r="C17" s="91" t="s">
        <v>1024</v>
      </c>
      <c r="D17" s="92"/>
      <c r="E17" s="285">
        <v>9000</v>
      </c>
      <c r="F17" s="94">
        <f t="shared" si="0"/>
        <v>150</v>
      </c>
      <c r="G17" s="95">
        <f t="shared" si="2"/>
        <v>2.5</v>
      </c>
      <c r="H17" s="88">
        <v>6</v>
      </c>
      <c r="I17" s="76"/>
      <c r="J17" s="76"/>
      <c r="K17" s="77"/>
      <c r="L17" s="76"/>
      <c r="M17" s="76"/>
      <c r="N17" s="77"/>
      <c r="O17" s="76"/>
      <c r="P17" s="76"/>
      <c r="Q17" s="77"/>
      <c r="R17" s="76"/>
      <c r="S17" s="76"/>
      <c r="T17" s="77"/>
      <c r="U17" s="75"/>
      <c r="V17" s="75"/>
    </row>
    <row r="18" spans="1:24" s="15" customFormat="1" x14ac:dyDescent="0.25">
      <c r="A18" s="109" t="s">
        <v>749</v>
      </c>
      <c r="B18" s="68">
        <v>74</v>
      </c>
      <c r="C18" s="91" t="s">
        <v>1024</v>
      </c>
      <c r="D18" s="92"/>
      <c r="E18" s="285">
        <v>10800</v>
      </c>
      <c r="F18" s="94">
        <f t="shared" si="0"/>
        <v>180</v>
      </c>
      <c r="G18" s="95">
        <f t="shared" si="2"/>
        <v>3</v>
      </c>
      <c r="H18" s="89">
        <v>7</v>
      </c>
      <c r="I18" s="76"/>
      <c r="J18" s="76"/>
      <c r="K18" s="77"/>
      <c r="L18" s="76"/>
      <c r="M18" s="76"/>
      <c r="N18" s="77"/>
      <c r="O18" s="76"/>
      <c r="P18" s="76"/>
      <c r="Q18" s="77"/>
      <c r="R18" s="76"/>
      <c r="S18" s="76"/>
      <c r="T18" s="77"/>
      <c r="U18" s="75"/>
      <c r="V18" s="75"/>
    </row>
    <row r="19" spans="1:24" s="15" customFormat="1" x14ac:dyDescent="0.25">
      <c r="A19" s="109" t="s">
        <v>750</v>
      </c>
      <c r="B19" s="68">
        <v>83</v>
      </c>
      <c r="C19" s="91" t="s">
        <v>1024</v>
      </c>
      <c r="D19" s="92"/>
      <c r="E19" s="285">
        <v>12600</v>
      </c>
      <c r="F19" s="94">
        <f t="shared" si="0"/>
        <v>210</v>
      </c>
      <c r="G19" s="95">
        <f t="shared" si="2"/>
        <v>3.5</v>
      </c>
      <c r="H19" s="89">
        <v>7</v>
      </c>
      <c r="I19" s="76"/>
      <c r="J19" s="76"/>
      <c r="K19" s="77"/>
      <c r="L19" s="76"/>
      <c r="M19" s="76"/>
      <c r="N19" s="77"/>
      <c r="O19" s="76"/>
      <c r="P19" s="76"/>
      <c r="Q19" s="77"/>
      <c r="R19" s="76"/>
      <c r="S19" s="76"/>
      <c r="T19" s="77"/>
      <c r="U19" s="75"/>
      <c r="V19" s="75"/>
    </row>
    <row r="20" spans="1:24" s="15" customFormat="1" x14ac:dyDescent="0.25">
      <c r="A20" s="109" t="s">
        <v>751</v>
      </c>
      <c r="B20" s="68">
        <v>95</v>
      </c>
      <c r="C20" s="91" t="s">
        <v>1024</v>
      </c>
      <c r="D20" s="92"/>
      <c r="E20" s="286">
        <v>14400</v>
      </c>
      <c r="F20" s="94">
        <f t="shared" si="0"/>
        <v>240</v>
      </c>
      <c r="G20" s="95">
        <f t="shared" si="2"/>
        <v>4</v>
      </c>
      <c r="H20" s="90">
        <v>8</v>
      </c>
      <c r="I20" s="76"/>
      <c r="J20" s="76"/>
      <c r="K20" s="77"/>
      <c r="L20" s="76"/>
      <c r="M20" s="76"/>
      <c r="N20" s="77"/>
      <c r="O20" s="76"/>
      <c r="P20" s="76"/>
      <c r="Q20" s="77"/>
      <c r="R20" s="76"/>
      <c r="S20" s="76"/>
      <c r="T20" s="77"/>
      <c r="U20" s="75"/>
      <c r="V20" s="75"/>
    </row>
    <row r="21" spans="1:24" s="15" customFormat="1" x14ac:dyDescent="0.25">
      <c r="A21" s="109" t="s">
        <v>752</v>
      </c>
      <c r="B21" s="68">
        <v>106</v>
      </c>
      <c r="C21" s="91" t="s">
        <v>1024</v>
      </c>
      <c r="D21" s="92"/>
      <c r="E21" s="287">
        <v>16200</v>
      </c>
      <c r="F21" s="94">
        <f t="shared" si="0"/>
        <v>270</v>
      </c>
      <c r="G21" s="95">
        <f t="shared" si="2"/>
        <v>4.5</v>
      </c>
      <c r="H21" s="90">
        <v>8</v>
      </c>
      <c r="I21" s="76"/>
      <c r="J21" s="76"/>
      <c r="K21" s="77"/>
      <c r="L21" s="76"/>
      <c r="M21" s="76"/>
      <c r="N21" s="77"/>
      <c r="O21" s="76"/>
      <c r="P21" s="76"/>
      <c r="Q21" s="77"/>
      <c r="R21" s="76"/>
      <c r="S21" s="76"/>
      <c r="T21" s="77"/>
      <c r="U21" s="75"/>
      <c r="V21" s="75"/>
    </row>
    <row r="22" spans="1:24" x14ac:dyDescent="0.25">
      <c r="A22" s="7" t="s">
        <v>756</v>
      </c>
      <c r="B22" s="68">
        <v>3</v>
      </c>
      <c r="C22" s="91" t="s">
        <v>97</v>
      </c>
      <c r="D22" s="92" t="s">
        <v>836</v>
      </c>
      <c r="E22" s="93">
        <v>300</v>
      </c>
      <c r="F22" s="94">
        <f t="shared" si="0"/>
        <v>5</v>
      </c>
      <c r="G22" s="95">
        <f t="shared" si="2"/>
        <v>8.3333333333333329E-2</v>
      </c>
      <c r="H22" s="110">
        <f>U22*K22+V22+N22*W22+X22+Q22*Y22+Z22+T22*AA22+AB22</f>
        <v>3</v>
      </c>
      <c r="I22" s="82" t="s">
        <v>932</v>
      </c>
      <c r="J22" s="119">
        <f>VLOOKUP(I22,$A$2:$G$106,7,0)</f>
        <v>3.3333333333333333E-2</v>
      </c>
      <c r="K22" s="82">
        <v>3</v>
      </c>
      <c r="M22" s="119"/>
      <c r="U22" s="82">
        <f>VLOOKUP(I22,$A$2:$H$21,8,0)</f>
        <v>1</v>
      </c>
      <c r="V22" s="120"/>
    </row>
    <row r="23" spans="1:24" x14ac:dyDescent="0.25">
      <c r="A23" s="7" t="s">
        <v>757</v>
      </c>
      <c r="B23" s="68">
        <v>6</v>
      </c>
      <c r="C23" s="91" t="s">
        <v>99</v>
      </c>
      <c r="D23" s="92" t="s">
        <v>837</v>
      </c>
      <c r="E23" s="96">
        <v>480</v>
      </c>
      <c r="F23" s="94">
        <f t="shared" ref="F23:G86" si="3">E23/60</f>
        <v>8</v>
      </c>
      <c r="G23" s="95">
        <f t="shared" si="3"/>
        <v>0.13333333333333333</v>
      </c>
      <c r="H23" s="110">
        <f>U23*K23+V23+N23*W23+X23+Q23*Y23+Z23+T23*AA23+AB23</f>
        <v>4</v>
      </c>
      <c r="I23" s="82" t="s">
        <v>933</v>
      </c>
      <c r="J23" s="119">
        <f t="shared" ref="J23:J86" si="4">VLOOKUP(I23,$A$2:$G$106,7,0)</f>
        <v>0.05</v>
      </c>
      <c r="K23" s="82">
        <v>4</v>
      </c>
      <c r="U23" s="82">
        <f>VLOOKUP(I23,$A$2:$H$21,8,0)</f>
        <v>1</v>
      </c>
      <c r="V23" s="120"/>
    </row>
    <row r="24" spans="1:24" x14ac:dyDescent="0.25">
      <c r="A24" s="7" t="s">
        <v>758</v>
      </c>
      <c r="B24" s="68">
        <v>8</v>
      </c>
      <c r="C24" s="91" t="s">
        <v>97</v>
      </c>
      <c r="D24" s="97" t="s">
        <v>838</v>
      </c>
      <c r="E24" s="93">
        <v>600</v>
      </c>
      <c r="F24" s="94">
        <f t="shared" si="3"/>
        <v>10</v>
      </c>
      <c r="G24" s="95">
        <f t="shared" si="3"/>
        <v>0.16666666666666666</v>
      </c>
      <c r="H24" s="110">
        <f t="shared" ref="H24:H86" si="5">U24*K24+V24+N24*W24+X24+Q24*Y24+Z24+T24*AA24+AB24</f>
        <v>3</v>
      </c>
      <c r="I24" s="82" t="s">
        <v>933</v>
      </c>
      <c r="J24" s="119">
        <f t="shared" si="4"/>
        <v>0.05</v>
      </c>
      <c r="K24" s="82">
        <v>3</v>
      </c>
      <c r="U24" s="82">
        <f>VLOOKUP(I24,$A$2:$H$21,8,0)</f>
        <v>1</v>
      </c>
      <c r="V24" s="120"/>
    </row>
    <row r="25" spans="1:24" x14ac:dyDescent="0.25">
      <c r="A25" s="7" t="s">
        <v>759</v>
      </c>
      <c r="B25" s="68">
        <v>9</v>
      </c>
      <c r="C25" s="91" t="s">
        <v>101</v>
      </c>
      <c r="D25" s="92" t="s">
        <v>839</v>
      </c>
      <c r="E25" s="93">
        <v>600</v>
      </c>
      <c r="F25" s="94">
        <f t="shared" si="3"/>
        <v>10</v>
      </c>
      <c r="G25" s="95">
        <f t="shared" si="3"/>
        <v>0.16666666666666666</v>
      </c>
      <c r="H25" s="110">
        <f>U25*K25+V25+N25*W25+X25+Q25*Y25+Z25+T25*AA25+AB25</f>
        <v>10</v>
      </c>
      <c r="I25" s="82" t="s">
        <v>946</v>
      </c>
      <c r="J25" s="119">
        <f>VLOOKUP(I25,$A$2:$G$106,7,0)</f>
        <v>8.3333333333333329E-2</v>
      </c>
      <c r="K25" s="82">
        <v>1</v>
      </c>
      <c r="L25" s="82" t="s">
        <v>954</v>
      </c>
      <c r="M25" s="119">
        <f>VLOOKUP(L25,$A$2:$G$106,7,0)</f>
        <v>0.16666666666666666</v>
      </c>
      <c r="N25" s="82">
        <v>3</v>
      </c>
      <c r="U25" s="82">
        <f>VLOOKUP(I25,$A$22:$H$86,8,0)</f>
        <v>3</v>
      </c>
      <c r="V25" s="120" t="str">
        <f>IF(J25&gt;=4,"8",IF(J25&gt;=3,"7",IF(J25&gt;=2,"6",IF(J25&gt;=1,"5",IF(J25&gt;=0.6,"4",IF(J25&gt;=0.3,"3",IF(J25&gt;=0.2,"2","1")))))))</f>
        <v>1</v>
      </c>
      <c r="W25" s="82">
        <f>VLOOKUP(L25,$A$2:$H$21,8,0)</f>
        <v>2</v>
      </c>
      <c r="X25" s="120"/>
    </row>
    <row r="26" spans="1:24" x14ac:dyDescent="0.25">
      <c r="A26" s="7" t="s">
        <v>760</v>
      </c>
      <c r="B26" s="68">
        <v>13</v>
      </c>
      <c r="C26" s="91" t="s">
        <v>99</v>
      </c>
      <c r="D26" s="92" t="s">
        <v>840</v>
      </c>
      <c r="E26" s="96">
        <v>720</v>
      </c>
      <c r="F26" s="94">
        <f t="shared" si="3"/>
        <v>12</v>
      </c>
      <c r="G26" s="95">
        <f t="shared" si="3"/>
        <v>0.2</v>
      </c>
      <c r="H26" s="110">
        <f t="shared" si="5"/>
        <v>12</v>
      </c>
      <c r="I26" s="82" t="s">
        <v>934</v>
      </c>
      <c r="J26" s="119">
        <f t="shared" si="4"/>
        <v>0.25</v>
      </c>
      <c r="K26" s="82">
        <v>4</v>
      </c>
      <c r="U26" s="82">
        <f>VLOOKUP(I26,$A$2:$H$21,8,0)</f>
        <v>3</v>
      </c>
      <c r="V26" s="120"/>
    </row>
    <row r="27" spans="1:24" x14ac:dyDescent="0.25">
      <c r="A27" s="7" t="s">
        <v>761</v>
      </c>
      <c r="B27" s="68">
        <v>14</v>
      </c>
      <c r="C27" s="91" t="s">
        <v>101</v>
      </c>
      <c r="D27" s="92" t="s">
        <v>841</v>
      </c>
      <c r="E27" s="93">
        <v>900</v>
      </c>
      <c r="F27" s="94">
        <f t="shared" si="3"/>
        <v>15</v>
      </c>
      <c r="G27" s="95">
        <f t="shared" si="3"/>
        <v>0.25</v>
      </c>
      <c r="H27" s="110">
        <f t="shared" si="5"/>
        <v>11</v>
      </c>
      <c r="I27" s="82" t="s">
        <v>947</v>
      </c>
      <c r="J27" s="119">
        <f t="shared" si="4"/>
        <v>0.13333333333333333</v>
      </c>
      <c r="K27" s="82">
        <v>1</v>
      </c>
      <c r="L27" s="82" t="s">
        <v>954</v>
      </c>
      <c r="M27" s="119">
        <f>VLOOKUP(L27,$A$2:$G$106,7,0)</f>
        <v>0.16666666666666666</v>
      </c>
      <c r="N27" s="82">
        <v>3</v>
      </c>
      <c r="U27" s="82">
        <f>VLOOKUP(I27,$A$22:$H$86,8,0)</f>
        <v>4</v>
      </c>
      <c r="V27" s="120" t="str">
        <f>IF(J27&gt;=4,"8",IF(J27&gt;=3,"7",IF(J27&gt;=2,"6",IF(J27&gt;=1,"5",IF(J27&gt;=0.6,"4",IF(J27&gt;=0.3,"3",IF(J27&gt;=0.2,"2","1")))))))</f>
        <v>1</v>
      </c>
      <c r="W27" s="82">
        <f>VLOOKUP(L27,$A$2:$H$21,8,0)</f>
        <v>2</v>
      </c>
      <c r="X27" s="120"/>
    </row>
    <row r="28" spans="1:24" x14ac:dyDescent="0.25">
      <c r="A28" s="7" t="s">
        <v>762</v>
      </c>
      <c r="B28" s="68">
        <v>16</v>
      </c>
      <c r="C28" s="91" t="s">
        <v>97</v>
      </c>
      <c r="D28" s="92" t="s">
        <v>842</v>
      </c>
      <c r="E28" s="93">
        <v>900</v>
      </c>
      <c r="F28" s="94">
        <f t="shared" si="3"/>
        <v>15</v>
      </c>
      <c r="G28" s="95">
        <f t="shared" si="3"/>
        <v>0.25</v>
      </c>
      <c r="H28" s="110">
        <f t="shared" si="5"/>
        <v>9</v>
      </c>
      <c r="I28" s="82" t="s">
        <v>935</v>
      </c>
      <c r="J28" s="119">
        <f t="shared" si="4"/>
        <v>0.33333333333333331</v>
      </c>
      <c r="K28" s="82">
        <v>3</v>
      </c>
      <c r="U28" s="82">
        <f>VLOOKUP(I28,$A$2:$H$21,8,0)</f>
        <v>3</v>
      </c>
      <c r="V28" s="120"/>
    </row>
    <row r="29" spans="1:24" x14ac:dyDescent="0.25">
      <c r="A29" s="7" t="s">
        <v>763</v>
      </c>
      <c r="B29" s="69">
        <v>18</v>
      </c>
      <c r="C29" s="98" t="s">
        <v>99</v>
      </c>
      <c r="D29" s="99" t="s">
        <v>843</v>
      </c>
      <c r="E29" s="98">
        <v>900</v>
      </c>
      <c r="F29" s="94">
        <f t="shared" si="3"/>
        <v>15</v>
      </c>
      <c r="G29" s="95">
        <f t="shared" si="3"/>
        <v>0.25</v>
      </c>
      <c r="H29" s="110">
        <f t="shared" si="5"/>
        <v>12</v>
      </c>
      <c r="I29" s="82" t="s">
        <v>936</v>
      </c>
      <c r="J29" s="119">
        <f t="shared" si="4"/>
        <v>0.41666666666666669</v>
      </c>
      <c r="K29" s="82">
        <v>4</v>
      </c>
      <c r="U29" s="82">
        <f>VLOOKUP(I29,$A$2:$H$21,8,0)</f>
        <v>3</v>
      </c>
      <c r="V29" s="120"/>
    </row>
    <row r="30" spans="1:24" x14ac:dyDescent="0.25">
      <c r="A30" s="7" t="s">
        <v>764</v>
      </c>
      <c r="B30" s="69">
        <v>19</v>
      </c>
      <c r="C30" s="98" t="s">
        <v>97</v>
      </c>
      <c r="D30" s="99" t="s">
        <v>844</v>
      </c>
      <c r="E30" s="99">
        <v>720</v>
      </c>
      <c r="F30" s="94">
        <f t="shared" si="3"/>
        <v>12</v>
      </c>
      <c r="G30" s="95">
        <f t="shared" si="3"/>
        <v>0.2</v>
      </c>
      <c r="H30" s="110">
        <f t="shared" si="5"/>
        <v>9</v>
      </c>
      <c r="I30" s="82" t="s">
        <v>936</v>
      </c>
      <c r="J30" s="119">
        <f t="shared" si="4"/>
        <v>0.41666666666666669</v>
      </c>
      <c r="K30" s="82">
        <v>3</v>
      </c>
      <c r="U30" s="82">
        <f>VLOOKUP(I30,$A$2:$H$21,8,0)</f>
        <v>3</v>
      </c>
      <c r="V30" s="120"/>
    </row>
    <row r="31" spans="1:24" x14ac:dyDescent="0.25">
      <c r="A31" s="7" t="s">
        <v>765</v>
      </c>
      <c r="B31" s="68">
        <v>20</v>
      </c>
      <c r="C31" s="91" t="s">
        <v>101</v>
      </c>
      <c r="D31" s="92" t="s">
        <v>845</v>
      </c>
      <c r="E31" s="96">
        <v>1500</v>
      </c>
      <c r="F31" s="94">
        <f t="shared" si="3"/>
        <v>25</v>
      </c>
      <c r="G31" s="95">
        <f t="shared" si="3"/>
        <v>0.41666666666666669</v>
      </c>
      <c r="H31" s="110">
        <f t="shared" si="5"/>
        <v>17</v>
      </c>
      <c r="I31" s="82" t="s">
        <v>948</v>
      </c>
      <c r="J31" s="119">
        <f t="shared" si="4"/>
        <v>0.25</v>
      </c>
      <c r="K31" s="82">
        <v>1</v>
      </c>
      <c r="L31" s="82" t="s">
        <v>954</v>
      </c>
      <c r="M31" s="119">
        <f>VLOOKUP(L31,$A$2:$G$106,7,0)</f>
        <v>0.16666666666666666</v>
      </c>
      <c r="N31" s="82">
        <v>3</v>
      </c>
      <c r="U31" s="82">
        <f>VLOOKUP(I31,$A$22:$H$86,8,0)</f>
        <v>9</v>
      </c>
      <c r="V31" s="120" t="str">
        <f>IF(J31&gt;=4,"8",IF(J31&gt;=3,"7",IF(J31&gt;=2,"6",IF(J31&gt;=1,"5",IF(J31&gt;=0.6,"4",IF(J31&gt;=0.3,"3",IF(J31&gt;=0.2,"2","1")))))))</f>
        <v>2</v>
      </c>
      <c r="W31" s="82">
        <f>VLOOKUP(L31,$A$2:$H$21,8,0)</f>
        <v>2</v>
      </c>
      <c r="X31" s="120"/>
    </row>
    <row r="32" spans="1:24" x14ac:dyDescent="0.25">
      <c r="A32" s="7" t="s">
        <v>766</v>
      </c>
      <c r="B32" s="68">
        <v>24</v>
      </c>
      <c r="C32" s="91" t="s">
        <v>99</v>
      </c>
      <c r="D32" s="92" t="s">
        <v>846</v>
      </c>
      <c r="E32" s="96">
        <v>1380</v>
      </c>
      <c r="F32" s="94">
        <f t="shared" si="3"/>
        <v>23</v>
      </c>
      <c r="G32" s="95">
        <f t="shared" si="3"/>
        <v>0.38333333333333336</v>
      </c>
      <c r="H32" s="110">
        <f t="shared" si="5"/>
        <v>16</v>
      </c>
      <c r="I32" s="82" t="s">
        <v>937</v>
      </c>
      <c r="J32" s="119">
        <f t="shared" si="4"/>
        <v>0.58333333333333337</v>
      </c>
      <c r="K32" s="82">
        <v>4</v>
      </c>
      <c r="U32" s="82">
        <f>VLOOKUP(I32,$A$2:$H$21,8,0)</f>
        <v>4</v>
      </c>
      <c r="V32" s="120"/>
    </row>
    <row r="33" spans="1:24" x14ac:dyDescent="0.25">
      <c r="A33" s="7" t="s">
        <v>767</v>
      </c>
      <c r="B33" s="69">
        <v>28</v>
      </c>
      <c r="C33" s="98" t="s">
        <v>99</v>
      </c>
      <c r="D33" s="99" t="s">
        <v>847</v>
      </c>
      <c r="E33" s="96">
        <v>1680</v>
      </c>
      <c r="F33" s="94">
        <f t="shared" si="3"/>
        <v>28</v>
      </c>
      <c r="G33" s="95">
        <f t="shared" si="3"/>
        <v>0.46666666666666667</v>
      </c>
      <c r="H33" s="110">
        <f t="shared" si="5"/>
        <v>16</v>
      </c>
      <c r="I33" s="82" t="s">
        <v>938</v>
      </c>
      <c r="J33" s="119">
        <f t="shared" si="4"/>
        <v>0.75</v>
      </c>
      <c r="K33" s="82">
        <v>4</v>
      </c>
      <c r="U33" s="82">
        <f>VLOOKUP(I33,$A$2:$H$21,8,0)</f>
        <v>4</v>
      </c>
      <c r="V33" s="120"/>
    </row>
    <row r="34" spans="1:24" x14ac:dyDescent="0.25">
      <c r="A34" s="7" t="s">
        <v>768</v>
      </c>
      <c r="B34" s="68">
        <v>29</v>
      </c>
      <c r="C34" s="91" t="s">
        <v>101</v>
      </c>
      <c r="D34" s="92" t="s">
        <v>848</v>
      </c>
      <c r="E34" s="93">
        <v>4500</v>
      </c>
      <c r="F34" s="94">
        <f t="shared" si="3"/>
        <v>75</v>
      </c>
      <c r="G34" s="95">
        <f t="shared" si="3"/>
        <v>1.25</v>
      </c>
      <c r="H34" s="110">
        <f>U34*K34+V34+N34*W34+X34+Q34*Y34+Z34+T34*AA34+AB34</f>
        <v>25</v>
      </c>
      <c r="I34" s="82" t="s">
        <v>949</v>
      </c>
      <c r="J34" s="119">
        <f t="shared" si="4"/>
        <v>0.38333333333333336</v>
      </c>
      <c r="K34" s="82">
        <v>1</v>
      </c>
      <c r="L34" s="82" t="s">
        <v>954</v>
      </c>
      <c r="M34" s="119">
        <f>VLOOKUP(L34,$A$2:$G$106,7,0)</f>
        <v>0.16666666666666666</v>
      </c>
      <c r="N34" s="82">
        <v>3</v>
      </c>
      <c r="U34" s="82">
        <f>VLOOKUP(I34,$A$22:$H$86,8,0)</f>
        <v>16</v>
      </c>
      <c r="V34" s="120" t="str">
        <f>IF(J34&gt;=4,"8",IF(J34&gt;=3,"7",IF(J34&gt;=2,"6",IF(J34&gt;=1,"5",IF(J34&gt;=0.6,"4",IF(J34&gt;=0.3,"3",IF(J34&gt;=0.2,"2","1")))))))</f>
        <v>3</v>
      </c>
      <c r="W34" s="82">
        <f>VLOOKUP(L34,$A$2:$H$21,8,0)</f>
        <v>2</v>
      </c>
      <c r="X34" s="120"/>
    </row>
    <row r="35" spans="1:24" x14ac:dyDescent="0.25">
      <c r="A35" s="7" t="s">
        <v>769</v>
      </c>
      <c r="B35" s="69">
        <v>30</v>
      </c>
      <c r="C35" s="98" t="s">
        <v>97</v>
      </c>
      <c r="D35" s="99" t="s">
        <v>849</v>
      </c>
      <c r="E35" s="96">
        <v>1200</v>
      </c>
      <c r="F35" s="94">
        <f t="shared" si="3"/>
        <v>20</v>
      </c>
      <c r="G35" s="95">
        <f t="shared" si="3"/>
        <v>0.33333333333333331</v>
      </c>
      <c r="H35" s="110">
        <f t="shared" si="5"/>
        <v>12</v>
      </c>
      <c r="I35" s="82" t="s">
        <v>938</v>
      </c>
      <c r="J35" s="119">
        <f t="shared" si="4"/>
        <v>0.75</v>
      </c>
      <c r="K35" s="82">
        <v>3</v>
      </c>
      <c r="U35" s="82">
        <f t="shared" ref="U35:U41" si="6">VLOOKUP(I35,$A$2:$H$21,8,0)</f>
        <v>4</v>
      </c>
      <c r="V35" s="120"/>
    </row>
    <row r="36" spans="1:24" x14ac:dyDescent="0.25">
      <c r="A36" s="7" t="s">
        <v>770</v>
      </c>
      <c r="B36" s="68">
        <v>34</v>
      </c>
      <c r="C36" s="91" t="s">
        <v>97</v>
      </c>
      <c r="D36" s="92" t="s">
        <v>850</v>
      </c>
      <c r="E36" s="96">
        <v>1500</v>
      </c>
      <c r="F36" s="94">
        <f t="shared" si="3"/>
        <v>25</v>
      </c>
      <c r="G36" s="95">
        <f t="shared" si="3"/>
        <v>0.41666666666666669</v>
      </c>
      <c r="H36" s="110">
        <f t="shared" si="5"/>
        <v>15</v>
      </c>
      <c r="I36" s="82" t="s">
        <v>939</v>
      </c>
      <c r="J36" s="119">
        <f t="shared" si="4"/>
        <v>1</v>
      </c>
      <c r="K36" s="82">
        <v>3</v>
      </c>
      <c r="U36" s="82">
        <f t="shared" si="6"/>
        <v>5</v>
      </c>
      <c r="V36" s="120"/>
    </row>
    <row r="37" spans="1:24" x14ac:dyDescent="0.25">
      <c r="A37" s="7" t="s">
        <v>771</v>
      </c>
      <c r="B37" s="69">
        <v>35</v>
      </c>
      <c r="C37" s="98" t="s">
        <v>97</v>
      </c>
      <c r="D37" s="99" t="s">
        <v>851</v>
      </c>
      <c r="E37" s="96">
        <v>1620</v>
      </c>
      <c r="F37" s="94">
        <f t="shared" si="3"/>
        <v>27</v>
      </c>
      <c r="G37" s="95">
        <f t="shared" si="3"/>
        <v>0.45</v>
      </c>
      <c r="H37" s="110">
        <f t="shared" si="5"/>
        <v>15</v>
      </c>
      <c r="I37" s="82" t="s">
        <v>940</v>
      </c>
      <c r="J37" s="119">
        <f t="shared" si="4"/>
        <v>1.1666666666666667</v>
      </c>
      <c r="K37" s="82">
        <v>3</v>
      </c>
      <c r="U37" s="82">
        <f t="shared" si="6"/>
        <v>5</v>
      </c>
      <c r="V37" s="120"/>
    </row>
    <row r="38" spans="1:24" x14ac:dyDescent="0.25">
      <c r="A38" s="7" t="s">
        <v>772</v>
      </c>
      <c r="B38" s="69">
        <v>35</v>
      </c>
      <c r="C38" s="98" t="s">
        <v>99</v>
      </c>
      <c r="D38" s="99" t="s">
        <v>852</v>
      </c>
      <c r="E38" s="96">
        <v>1800</v>
      </c>
      <c r="F38" s="94">
        <f t="shared" si="3"/>
        <v>30</v>
      </c>
      <c r="G38" s="95">
        <f t="shared" si="3"/>
        <v>0.5</v>
      </c>
      <c r="H38" s="110">
        <f t="shared" si="5"/>
        <v>20</v>
      </c>
      <c r="I38" s="82" t="s">
        <v>940</v>
      </c>
      <c r="J38" s="119">
        <f t="shared" si="4"/>
        <v>1.1666666666666667</v>
      </c>
      <c r="K38" s="82">
        <v>4</v>
      </c>
      <c r="U38" s="82">
        <f t="shared" si="6"/>
        <v>5</v>
      </c>
      <c r="V38" s="120"/>
    </row>
    <row r="39" spans="1:24" x14ac:dyDescent="0.25">
      <c r="A39" s="7" t="s">
        <v>773</v>
      </c>
      <c r="B39" s="68">
        <v>36</v>
      </c>
      <c r="C39" s="91" t="s">
        <v>105</v>
      </c>
      <c r="D39" s="92" t="s">
        <v>853</v>
      </c>
      <c r="E39" s="96">
        <v>1380</v>
      </c>
      <c r="F39" s="94">
        <f t="shared" si="3"/>
        <v>23</v>
      </c>
      <c r="G39" s="95">
        <f t="shared" si="3"/>
        <v>0.38333333333333336</v>
      </c>
      <c r="H39" s="110">
        <f t="shared" si="5"/>
        <v>17</v>
      </c>
      <c r="I39" s="82" t="s">
        <v>934</v>
      </c>
      <c r="J39" s="119">
        <f t="shared" si="4"/>
        <v>0.25</v>
      </c>
      <c r="K39" s="82">
        <v>4</v>
      </c>
      <c r="L39" s="82" t="s">
        <v>932</v>
      </c>
      <c r="M39" s="119">
        <f>VLOOKUP(L39,$A$2:$G$106,7,0)</f>
        <v>3.3333333333333333E-2</v>
      </c>
      <c r="N39" s="82">
        <v>5</v>
      </c>
      <c r="U39" s="82">
        <f t="shared" si="6"/>
        <v>3</v>
      </c>
      <c r="V39" s="120"/>
      <c r="W39" s="82">
        <f>VLOOKUP(L39,$A$2:$H$21,8,0)</f>
        <v>1</v>
      </c>
      <c r="X39" s="120"/>
    </row>
    <row r="40" spans="1:24" x14ac:dyDescent="0.25">
      <c r="A40" s="7" t="s">
        <v>774</v>
      </c>
      <c r="B40" s="69">
        <v>37</v>
      </c>
      <c r="C40" s="98" t="s">
        <v>97</v>
      </c>
      <c r="D40" s="99" t="s">
        <v>854</v>
      </c>
      <c r="E40" s="96">
        <v>1800</v>
      </c>
      <c r="F40" s="94">
        <f t="shared" si="3"/>
        <v>30</v>
      </c>
      <c r="G40" s="95">
        <f t="shared" si="3"/>
        <v>0.5</v>
      </c>
      <c r="H40" s="110">
        <f t="shared" si="5"/>
        <v>15</v>
      </c>
      <c r="I40" s="82" t="s">
        <v>941</v>
      </c>
      <c r="J40" s="119">
        <f t="shared" si="4"/>
        <v>1.3333333333333333</v>
      </c>
      <c r="K40" s="82">
        <v>3</v>
      </c>
      <c r="U40" s="82">
        <f t="shared" si="6"/>
        <v>5</v>
      </c>
      <c r="V40" s="120"/>
    </row>
    <row r="41" spans="1:24" x14ac:dyDescent="0.25">
      <c r="A41" s="7" t="s">
        <v>775</v>
      </c>
      <c r="B41" s="69">
        <v>38</v>
      </c>
      <c r="C41" s="98" t="s">
        <v>99</v>
      </c>
      <c r="D41" s="99" t="s">
        <v>855</v>
      </c>
      <c r="E41" s="96">
        <v>1980</v>
      </c>
      <c r="F41" s="94">
        <f t="shared" si="3"/>
        <v>33</v>
      </c>
      <c r="G41" s="95">
        <f t="shared" si="3"/>
        <v>0.55000000000000004</v>
      </c>
      <c r="H41" s="110">
        <f t="shared" si="5"/>
        <v>20</v>
      </c>
      <c r="I41" s="82" t="s">
        <v>941</v>
      </c>
      <c r="J41" s="119">
        <f t="shared" si="4"/>
        <v>1.3333333333333333</v>
      </c>
      <c r="K41" s="82">
        <v>4</v>
      </c>
      <c r="U41" s="82">
        <f t="shared" si="6"/>
        <v>5</v>
      </c>
      <c r="V41" s="120"/>
    </row>
    <row r="42" spans="1:24" x14ac:dyDescent="0.25">
      <c r="A42" s="7" t="s">
        <v>776</v>
      </c>
      <c r="B42" s="68">
        <v>40</v>
      </c>
      <c r="C42" s="91" t="s">
        <v>105</v>
      </c>
      <c r="D42" s="92" t="s">
        <v>856</v>
      </c>
      <c r="E42" s="96">
        <v>1980</v>
      </c>
      <c r="F42" s="94">
        <f t="shared" si="3"/>
        <v>33</v>
      </c>
      <c r="G42" s="95">
        <f t="shared" si="3"/>
        <v>0.55000000000000004</v>
      </c>
      <c r="H42" s="110">
        <f t="shared" si="5"/>
        <v>17</v>
      </c>
      <c r="I42" s="82" t="s">
        <v>934</v>
      </c>
      <c r="J42" s="119">
        <f t="shared" si="4"/>
        <v>0.25</v>
      </c>
      <c r="K42" s="82">
        <v>4</v>
      </c>
      <c r="L42" s="82" t="s">
        <v>933</v>
      </c>
      <c r="M42" s="119">
        <f>VLOOKUP(L42,$A$2:$G$106,7,0)</f>
        <v>0.05</v>
      </c>
      <c r="N42" s="82">
        <v>5</v>
      </c>
      <c r="U42" s="82">
        <f t="shared" ref="U42:U48" si="7">VLOOKUP(I42,$A$2:$H$21,8,0)</f>
        <v>3</v>
      </c>
      <c r="V42" s="120"/>
      <c r="W42" s="82">
        <f>VLOOKUP(L42,$A$2:$H$21,8,0)</f>
        <v>1</v>
      </c>
      <c r="X42" s="120"/>
    </row>
    <row r="43" spans="1:24" x14ac:dyDescent="0.25">
      <c r="A43" s="7" t="s">
        <v>777</v>
      </c>
      <c r="B43" s="68">
        <v>42</v>
      </c>
      <c r="C43" s="91" t="s">
        <v>105</v>
      </c>
      <c r="D43" s="92" t="s">
        <v>857</v>
      </c>
      <c r="E43" s="96">
        <v>2580</v>
      </c>
      <c r="F43" s="94">
        <f t="shared" si="3"/>
        <v>43</v>
      </c>
      <c r="G43" s="95">
        <f t="shared" si="3"/>
        <v>0.71666666666666667</v>
      </c>
      <c r="H43" s="110">
        <f t="shared" si="5"/>
        <v>27</v>
      </c>
      <c r="I43" s="82" t="s">
        <v>934</v>
      </c>
      <c r="J43" s="119">
        <f t="shared" si="4"/>
        <v>0.25</v>
      </c>
      <c r="K43" s="82">
        <v>4</v>
      </c>
      <c r="L43" s="82" t="s">
        <v>935</v>
      </c>
      <c r="M43" s="119">
        <f>VLOOKUP(L43,$A$2:$G$106,7,0)</f>
        <v>0.33333333333333331</v>
      </c>
      <c r="N43" s="82">
        <v>5</v>
      </c>
      <c r="U43" s="82">
        <f t="shared" si="7"/>
        <v>3</v>
      </c>
      <c r="V43" s="120"/>
      <c r="W43" s="82">
        <f>VLOOKUP(L43,$A$2:$H$21,8,0)</f>
        <v>3</v>
      </c>
      <c r="X43" s="120"/>
    </row>
    <row r="44" spans="1:24" x14ac:dyDescent="0.25">
      <c r="A44" s="7" t="s">
        <v>778</v>
      </c>
      <c r="B44" s="69">
        <v>43</v>
      </c>
      <c r="C44" s="98" t="s">
        <v>97</v>
      </c>
      <c r="D44" s="99" t="s">
        <v>858</v>
      </c>
      <c r="E44" s="96">
        <v>1980</v>
      </c>
      <c r="F44" s="94">
        <f t="shared" si="3"/>
        <v>33</v>
      </c>
      <c r="G44" s="95">
        <f t="shared" si="3"/>
        <v>0.55000000000000004</v>
      </c>
      <c r="H44" s="110">
        <f t="shared" si="5"/>
        <v>15</v>
      </c>
      <c r="I44" s="82" t="s">
        <v>942</v>
      </c>
      <c r="J44" s="119">
        <f t="shared" si="4"/>
        <v>1.4166666666666667</v>
      </c>
      <c r="K44" s="82">
        <v>3</v>
      </c>
      <c r="U44" s="82">
        <f t="shared" si="7"/>
        <v>5</v>
      </c>
      <c r="V44" s="120"/>
    </row>
    <row r="45" spans="1:24" x14ac:dyDescent="0.25">
      <c r="A45" s="7" t="s">
        <v>779</v>
      </c>
      <c r="B45" s="69">
        <v>44</v>
      </c>
      <c r="C45" s="98" t="s">
        <v>99</v>
      </c>
      <c r="D45" s="99" t="s">
        <v>859</v>
      </c>
      <c r="E45" s="96">
        <v>2220</v>
      </c>
      <c r="F45" s="94">
        <f t="shared" si="3"/>
        <v>37</v>
      </c>
      <c r="G45" s="95">
        <f t="shared" si="3"/>
        <v>0.6166666666666667</v>
      </c>
      <c r="H45" s="110">
        <f t="shared" si="5"/>
        <v>20</v>
      </c>
      <c r="I45" s="82" t="s">
        <v>942</v>
      </c>
      <c r="J45" s="119">
        <f t="shared" si="4"/>
        <v>1.4166666666666667</v>
      </c>
      <c r="K45" s="82">
        <v>4</v>
      </c>
      <c r="U45" s="82">
        <f t="shared" si="7"/>
        <v>5</v>
      </c>
      <c r="V45" s="120"/>
    </row>
    <row r="46" spans="1:24" x14ac:dyDescent="0.25">
      <c r="A46" s="7" t="s">
        <v>780</v>
      </c>
      <c r="B46" s="68">
        <v>48</v>
      </c>
      <c r="C46" s="91" t="s">
        <v>99</v>
      </c>
      <c r="D46" s="92" t="s">
        <v>860</v>
      </c>
      <c r="E46" s="96">
        <v>2400</v>
      </c>
      <c r="F46" s="94">
        <f t="shared" si="3"/>
        <v>40</v>
      </c>
      <c r="G46" s="95">
        <f t="shared" si="3"/>
        <v>0.66666666666666663</v>
      </c>
      <c r="H46" s="110">
        <f t="shared" si="5"/>
        <v>20</v>
      </c>
      <c r="I46" s="82" t="s">
        <v>943</v>
      </c>
      <c r="J46" s="119">
        <f t="shared" si="4"/>
        <v>1.5</v>
      </c>
      <c r="K46" s="82">
        <v>4</v>
      </c>
      <c r="U46" s="82">
        <f t="shared" si="7"/>
        <v>5</v>
      </c>
      <c r="V46" s="120"/>
    </row>
    <row r="47" spans="1:24" x14ac:dyDescent="0.25">
      <c r="A47" s="69" t="s">
        <v>781</v>
      </c>
      <c r="B47" s="69">
        <v>49</v>
      </c>
      <c r="C47" s="98" t="s">
        <v>105</v>
      </c>
      <c r="D47" s="99" t="s">
        <v>861</v>
      </c>
      <c r="E47" s="96">
        <v>2280</v>
      </c>
      <c r="F47" s="94">
        <f t="shared" si="3"/>
        <v>38</v>
      </c>
      <c r="G47" s="95">
        <f t="shared" si="3"/>
        <v>0.6333333333333333</v>
      </c>
      <c r="H47" s="110">
        <f t="shared" si="5"/>
        <v>27</v>
      </c>
      <c r="I47" s="82" t="s">
        <v>934</v>
      </c>
      <c r="J47" s="119">
        <f t="shared" si="4"/>
        <v>0.25</v>
      </c>
      <c r="K47" s="82">
        <v>4</v>
      </c>
      <c r="L47" s="82" t="s">
        <v>936</v>
      </c>
      <c r="M47" s="119">
        <f>VLOOKUP(L47,$A$2:$G$106,7,0)</f>
        <v>0.41666666666666669</v>
      </c>
      <c r="N47" s="82">
        <v>5</v>
      </c>
      <c r="U47" s="82">
        <f t="shared" si="7"/>
        <v>3</v>
      </c>
      <c r="V47" s="120"/>
      <c r="W47" s="82">
        <f>VLOOKUP(L47,$A$2:$H$21,8,0)</f>
        <v>3</v>
      </c>
      <c r="X47" s="120"/>
    </row>
    <row r="48" spans="1:24" x14ac:dyDescent="0.25">
      <c r="A48" s="7" t="s">
        <v>782</v>
      </c>
      <c r="B48" s="69">
        <v>50</v>
      </c>
      <c r="C48" s="98" t="s">
        <v>97</v>
      </c>
      <c r="D48" s="99" t="s">
        <v>862</v>
      </c>
      <c r="E48" s="96">
        <v>2100</v>
      </c>
      <c r="F48" s="94">
        <f t="shared" si="3"/>
        <v>35</v>
      </c>
      <c r="G48" s="95">
        <f t="shared" si="3"/>
        <v>0.58333333333333337</v>
      </c>
      <c r="H48" s="110">
        <f t="shared" si="5"/>
        <v>15</v>
      </c>
      <c r="I48" s="82" t="s">
        <v>944</v>
      </c>
      <c r="J48" s="119">
        <f t="shared" si="4"/>
        <v>1.75</v>
      </c>
      <c r="K48" s="82">
        <v>3</v>
      </c>
      <c r="U48" s="82">
        <f t="shared" si="7"/>
        <v>5</v>
      </c>
      <c r="V48" s="120"/>
    </row>
    <row r="49" spans="1:26" x14ac:dyDescent="0.25">
      <c r="A49" s="7" t="s">
        <v>783</v>
      </c>
      <c r="B49" s="68">
        <v>51</v>
      </c>
      <c r="C49" s="91" t="s">
        <v>107</v>
      </c>
      <c r="D49" s="92" t="s">
        <v>863</v>
      </c>
      <c r="E49" s="96">
        <v>1800</v>
      </c>
      <c r="F49" s="94">
        <f t="shared" si="3"/>
        <v>30</v>
      </c>
      <c r="G49" s="95">
        <f t="shared" si="3"/>
        <v>0.5</v>
      </c>
      <c r="H49" s="110">
        <f t="shared" si="5"/>
        <v>21</v>
      </c>
      <c r="I49" s="82" t="s">
        <v>950</v>
      </c>
      <c r="J49" s="119">
        <f t="shared" si="4"/>
        <v>0.2</v>
      </c>
      <c r="K49" s="82">
        <v>1</v>
      </c>
      <c r="L49" s="82" t="s">
        <v>946</v>
      </c>
      <c r="M49" s="119">
        <f t="shared" ref="M49:M54" si="8">VLOOKUP(L49,$A$2:$G$106,7,0)</f>
        <v>8.3333333333333329E-2</v>
      </c>
      <c r="N49" s="82">
        <v>2</v>
      </c>
      <c r="U49" s="82">
        <f>VLOOKUP(I49,$A$23:$H$77,8,0)</f>
        <v>12</v>
      </c>
      <c r="V49" s="120" t="str">
        <f>IF(J49&gt;=4,"8",IF(J49&gt;=3,"7",IF(J49&gt;=2,"6",IF(J49&gt;=1,"5",IF(J49&gt;=0.6,"4",IF(J49&gt;=0.3,"3",IF(J49&gt;=0.2,"2","1")))))))</f>
        <v>2</v>
      </c>
      <c r="W49" s="82">
        <f>VLOOKUP(L49,$A$22:$H$86,8,0)</f>
        <v>3</v>
      </c>
      <c r="X49" s="120" t="str">
        <f>IF(M49&gt;=4,"8",IF(M49&gt;=3,"7",IF(M49&gt;=2,"6",IF(M49&gt;=1,"5",IF(M49&gt;=0.6,"4",IF(M49&gt;=0.3,"3",IF(M49&gt;=0.2,"2","1")))))))</f>
        <v>1</v>
      </c>
    </row>
    <row r="50" spans="1:26" x14ac:dyDescent="0.25">
      <c r="A50" s="7" t="s">
        <v>784</v>
      </c>
      <c r="B50" s="68">
        <v>52</v>
      </c>
      <c r="C50" s="91" t="s">
        <v>107</v>
      </c>
      <c r="D50" s="92" t="s">
        <v>864</v>
      </c>
      <c r="E50" s="96">
        <v>2400</v>
      </c>
      <c r="F50" s="94">
        <f t="shared" si="3"/>
        <v>40</v>
      </c>
      <c r="G50" s="95">
        <f t="shared" si="3"/>
        <v>0.66666666666666663</v>
      </c>
      <c r="H50" s="110">
        <f t="shared" si="5"/>
        <v>30</v>
      </c>
      <c r="I50" s="82" t="s">
        <v>934</v>
      </c>
      <c r="J50" s="119">
        <f t="shared" si="4"/>
        <v>0.25</v>
      </c>
      <c r="K50" s="82">
        <v>4</v>
      </c>
      <c r="L50" s="82" t="s">
        <v>955</v>
      </c>
      <c r="M50" s="119">
        <f t="shared" si="8"/>
        <v>0.41666666666666669</v>
      </c>
      <c r="N50" s="82">
        <v>1</v>
      </c>
      <c r="U50" s="82">
        <f>VLOOKUP(I50,$A$2:$H$21,8,0)</f>
        <v>3</v>
      </c>
      <c r="V50" s="120"/>
      <c r="W50" s="82">
        <f>VLOOKUP(L50,$A$22:$H$86,8,0)</f>
        <v>15</v>
      </c>
      <c r="X50" s="120" t="str">
        <f>IF(M50&gt;=4,"8",IF(M50&gt;=3,"7",IF(M50&gt;=2,"6",IF(M50&gt;=1,"5",IF(M50&gt;=0.6,"4",IF(M50&gt;=0.3,"3",IF(M50&gt;=0.2,"2","1")))))))</f>
        <v>3</v>
      </c>
    </row>
    <row r="51" spans="1:26" x14ac:dyDescent="0.25">
      <c r="A51" s="7" t="s">
        <v>785</v>
      </c>
      <c r="B51" s="68">
        <v>54</v>
      </c>
      <c r="C51" s="91" t="s">
        <v>107</v>
      </c>
      <c r="D51" s="92" t="s">
        <v>865</v>
      </c>
      <c r="E51" s="96">
        <v>3600</v>
      </c>
      <c r="F51" s="94">
        <f t="shared" si="3"/>
        <v>60</v>
      </c>
      <c r="G51" s="95">
        <f t="shared" si="3"/>
        <v>1</v>
      </c>
      <c r="H51" s="110">
        <f t="shared" si="5"/>
        <v>35</v>
      </c>
      <c r="I51" s="82" t="s">
        <v>947</v>
      </c>
      <c r="J51" s="119">
        <f t="shared" si="4"/>
        <v>0.13333333333333333</v>
      </c>
      <c r="K51" s="82">
        <v>1</v>
      </c>
      <c r="L51" s="82" t="s">
        <v>955</v>
      </c>
      <c r="M51" s="119">
        <f t="shared" si="8"/>
        <v>0.41666666666666669</v>
      </c>
      <c r="N51" s="82">
        <v>1</v>
      </c>
      <c r="O51" s="82" t="s">
        <v>934</v>
      </c>
      <c r="P51" s="119">
        <f>VLOOKUP(O51,$A$2:$G$106,7,0)</f>
        <v>0.25</v>
      </c>
      <c r="Q51" s="82">
        <v>4</v>
      </c>
      <c r="S51" s="119"/>
      <c r="U51" s="82">
        <f>VLOOKUP(I51,$A$23:$H$77,8,0)</f>
        <v>4</v>
      </c>
      <c r="V51" s="120" t="str">
        <f>IF(J51&gt;=4,"8",IF(J51&gt;=3,"7",IF(J51&gt;=2,"6",IF(J51&gt;=1,"5",IF(J51&gt;=0.6,"4",IF(J51&gt;=0.3,"3",IF(J51&gt;=0.2,"2","1")))))))</f>
        <v>1</v>
      </c>
      <c r="W51" s="82">
        <f>VLOOKUP(L51,$A$22:$H$86,8,0)</f>
        <v>15</v>
      </c>
      <c r="X51" s="120" t="str">
        <f>IF(M51&gt;=4,"8",IF(M51&gt;=3,"7",IF(M51&gt;=2,"6",IF(M51&gt;=1,"5",IF(M51&gt;=0.6,"4",IF(M51&gt;=0.3,"3",IF(M51&gt;=0.2,"2","1")))))))</f>
        <v>3</v>
      </c>
      <c r="Y51" s="82">
        <f>VLOOKUP(O51,$A$2:$H$21,8,0)</f>
        <v>3</v>
      </c>
      <c r="Z51" s="120"/>
    </row>
    <row r="52" spans="1:26" x14ac:dyDescent="0.25">
      <c r="A52" s="7" t="s">
        <v>786</v>
      </c>
      <c r="B52" s="68">
        <v>56</v>
      </c>
      <c r="C52" s="91" t="s">
        <v>107</v>
      </c>
      <c r="D52" s="92" t="s">
        <v>866</v>
      </c>
      <c r="E52" s="96">
        <v>6300</v>
      </c>
      <c r="F52" s="94">
        <f t="shared" si="3"/>
        <v>105</v>
      </c>
      <c r="G52" s="95">
        <f t="shared" si="3"/>
        <v>1.75</v>
      </c>
      <c r="H52" s="110">
        <f t="shared" si="5"/>
        <v>49</v>
      </c>
      <c r="I52" s="82" t="s">
        <v>949</v>
      </c>
      <c r="J52" s="119">
        <f t="shared" si="4"/>
        <v>0.38333333333333336</v>
      </c>
      <c r="K52" s="82">
        <v>1</v>
      </c>
      <c r="L52" s="82" t="s">
        <v>955</v>
      </c>
      <c r="M52" s="119">
        <f t="shared" si="8"/>
        <v>0.41666666666666669</v>
      </c>
      <c r="N52" s="82">
        <v>1</v>
      </c>
      <c r="O52" s="82" t="s">
        <v>934</v>
      </c>
      <c r="P52" s="119">
        <f>VLOOKUP(O52,$A$2:$G$106,7,0)</f>
        <v>0.25</v>
      </c>
      <c r="Q52" s="82">
        <v>4</v>
      </c>
      <c r="U52" s="82">
        <f>VLOOKUP(I52,$A$23:$H$77,8,0)</f>
        <v>16</v>
      </c>
      <c r="V52" s="120" t="str">
        <f>IF(J52&gt;=4,"8",IF(J52&gt;=3,"7",IF(J52&gt;=2,"6",IF(J52&gt;=1,"5",IF(J52&gt;=0.6,"4",IF(J52&gt;=0.3,"3",IF(J52&gt;=0.2,"2","1")))))))</f>
        <v>3</v>
      </c>
      <c r="W52" s="82">
        <f>VLOOKUP(L52,$A$22:$H$86,8,0)</f>
        <v>15</v>
      </c>
      <c r="X52" s="120" t="str">
        <f>IF(M52&gt;=4,"8",IF(M52&gt;=3,"7",IF(M52&gt;=2,"6",IF(M52&gt;=1,"5",IF(M52&gt;=0.6,"4",IF(M52&gt;=0.3,"3",IF(M52&gt;=0.2,"2","1")))))))</f>
        <v>3</v>
      </c>
      <c r="Y52" s="82">
        <f>VLOOKUP(O52,$A$2:$H$21,8,0)</f>
        <v>3</v>
      </c>
      <c r="Z52" s="120"/>
    </row>
    <row r="53" spans="1:26" x14ac:dyDescent="0.25">
      <c r="A53" s="7" t="s">
        <v>787</v>
      </c>
      <c r="B53" s="68">
        <v>59</v>
      </c>
      <c r="C53" s="91" t="s">
        <v>107</v>
      </c>
      <c r="D53" s="92" t="s">
        <v>867</v>
      </c>
      <c r="E53" s="96">
        <v>7200</v>
      </c>
      <c r="F53" s="94">
        <f t="shared" si="3"/>
        <v>120</v>
      </c>
      <c r="G53" s="95">
        <f t="shared" si="3"/>
        <v>2</v>
      </c>
      <c r="H53" s="110">
        <f t="shared" si="5"/>
        <v>54</v>
      </c>
      <c r="I53" s="82" t="s">
        <v>951</v>
      </c>
      <c r="J53" s="119">
        <f t="shared" si="4"/>
        <v>0.66666666666666663</v>
      </c>
      <c r="K53" s="82">
        <v>1</v>
      </c>
      <c r="L53" s="82" t="s">
        <v>955</v>
      </c>
      <c r="M53" s="119">
        <f t="shared" si="8"/>
        <v>0.41666666666666669</v>
      </c>
      <c r="N53" s="82">
        <v>1</v>
      </c>
      <c r="O53" s="82" t="s">
        <v>934</v>
      </c>
      <c r="P53" s="119">
        <f>VLOOKUP(O53,$A$2:$G$106,7,0)</f>
        <v>0.25</v>
      </c>
      <c r="Q53" s="82">
        <v>4</v>
      </c>
      <c r="U53" s="82">
        <f>VLOOKUP(I53,$A$23:$H$77,8,0)</f>
        <v>20</v>
      </c>
      <c r="V53" s="120" t="str">
        <f>IF(J53&gt;=4,"8",IF(J53&gt;=3,"7",IF(J53&gt;=2,"6",IF(J53&gt;=1,"5",IF(J53&gt;=0.6,"4",IF(J53&gt;=0.3,"3",IF(J53&gt;=0.2,"2","1")))))))</f>
        <v>4</v>
      </c>
      <c r="W53" s="82">
        <f>VLOOKUP(L53,$A$22:$H$86,8,0)</f>
        <v>15</v>
      </c>
      <c r="X53" s="120" t="str">
        <f>IF(M53&gt;=4,"8",IF(M53&gt;=3,"7",IF(M53&gt;=2,"6",IF(M53&gt;=1,"5",IF(M53&gt;=0.6,"4",IF(M53&gt;=0.3,"3",IF(M53&gt;=0.2,"2","1")))))))</f>
        <v>3</v>
      </c>
      <c r="Y53" s="82">
        <f>VLOOKUP(O53,$A$2:$H$21,8,0)</f>
        <v>3</v>
      </c>
      <c r="Z53" s="120"/>
    </row>
    <row r="54" spans="1:26" x14ac:dyDescent="0.25">
      <c r="A54" s="7" t="s">
        <v>788</v>
      </c>
      <c r="B54" s="68">
        <v>60</v>
      </c>
      <c r="C54" s="91" t="s">
        <v>105</v>
      </c>
      <c r="D54" s="92" t="s">
        <v>868</v>
      </c>
      <c r="E54" s="93">
        <v>3180</v>
      </c>
      <c r="F54" s="94">
        <f t="shared" si="3"/>
        <v>53</v>
      </c>
      <c r="G54" s="95">
        <f t="shared" si="3"/>
        <v>0.8833333333333333</v>
      </c>
      <c r="H54" s="110">
        <f t="shared" si="5"/>
        <v>32</v>
      </c>
      <c r="I54" s="82" t="s">
        <v>934</v>
      </c>
      <c r="J54" s="119">
        <f t="shared" si="4"/>
        <v>0.25</v>
      </c>
      <c r="K54" s="82">
        <v>4</v>
      </c>
      <c r="L54" s="82" t="s">
        <v>937</v>
      </c>
      <c r="M54" s="119">
        <f t="shared" si="8"/>
        <v>0.58333333333333337</v>
      </c>
      <c r="N54" s="82">
        <v>5</v>
      </c>
      <c r="U54" s="82">
        <f>VLOOKUP(I54,$A$2:$H$21,8,0)</f>
        <v>3</v>
      </c>
      <c r="V54" s="120"/>
      <c r="W54" s="82">
        <f>VLOOKUP(L54,$A$2:$H$21,8,0)</f>
        <v>4</v>
      </c>
      <c r="X54" s="120"/>
    </row>
    <row r="55" spans="1:26" x14ac:dyDescent="0.25">
      <c r="A55" s="7" t="s">
        <v>789</v>
      </c>
      <c r="B55" s="68">
        <v>61</v>
      </c>
      <c r="C55" s="91" t="s">
        <v>97</v>
      </c>
      <c r="D55" s="92" t="s">
        <v>869</v>
      </c>
      <c r="E55" s="96">
        <v>2280</v>
      </c>
      <c r="F55" s="94">
        <f t="shared" si="3"/>
        <v>38</v>
      </c>
      <c r="G55" s="95">
        <f t="shared" si="3"/>
        <v>0.6333333333333333</v>
      </c>
      <c r="H55" s="110">
        <f t="shared" si="5"/>
        <v>18</v>
      </c>
      <c r="I55" s="82" t="s">
        <v>945</v>
      </c>
      <c r="J55" s="119">
        <f t="shared" si="4"/>
        <v>2</v>
      </c>
      <c r="K55" s="82">
        <v>3</v>
      </c>
      <c r="U55" s="82">
        <f>VLOOKUP(I55,$A$2:$H$21,8,0)</f>
        <v>6</v>
      </c>
      <c r="V55" s="120"/>
    </row>
    <row r="56" spans="1:26" x14ac:dyDescent="0.25">
      <c r="A56" s="7" t="s">
        <v>790</v>
      </c>
      <c r="B56" s="68">
        <v>63</v>
      </c>
      <c r="C56" s="91" t="s">
        <v>109</v>
      </c>
      <c r="D56" s="92" t="s">
        <v>870</v>
      </c>
      <c r="E56" s="93">
        <v>3600</v>
      </c>
      <c r="F56" s="94">
        <f t="shared" si="3"/>
        <v>60</v>
      </c>
      <c r="G56" s="95">
        <f t="shared" si="3"/>
        <v>1</v>
      </c>
      <c r="H56" s="110">
        <f t="shared" si="5"/>
        <v>35</v>
      </c>
      <c r="I56" s="82" t="s">
        <v>952</v>
      </c>
      <c r="J56" s="119">
        <f t="shared" si="4"/>
        <v>2.5</v>
      </c>
      <c r="K56" s="82">
        <v>3</v>
      </c>
      <c r="L56" s="82" t="s">
        <v>932</v>
      </c>
      <c r="M56" s="119">
        <f t="shared" ref="M56:M62" si="9">VLOOKUP(L56,$A$2:$G$106,7,0)</f>
        <v>3.3333333333333333E-2</v>
      </c>
      <c r="N56" s="82">
        <v>6</v>
      </c>
      <c r="O56" s="82" t="s">
        <v>956</v>
      </c>
      <c r="P56" s="119">
        <f>VLOOKUP(O56,$A$2:$G$106,7,0)</f>
        <v>0.16666666666666666</v>
      </c>
      <c r="Q56" s="82">
        <v>1</v>
      </c>
      <c r="U56" s="82">
        <f>VLOOKUP(I56,$A$2:$H$21,8,0)</f>
        <v>6</v>
      </c>
      <c r="V56" s="120"/>
      <c r="W56" s="82">
        <f>VLOOKUP(L56,$A$2:$H$21,8,0)</f>
        <v>1</v>
      </c>
      <c r="X56" s="120"/>
      <c r="Y56" s="82">
        <f>VLOOKUP(O56,$A$25:$H$79,8,0)</f>
        <v>10</v>
      </c>
      <c r="Z56" s="120" t="str">
        <f>IF(P56&gt;=4,"8",IF(P56&gt;=3,"7",IF(P56&gt;=2,"6",IF(P56&gt;=1,"5",IF(P56&gt;=0.6,"4",IF(P56&gt;=0.3,"3",IF(P56&gt;=0.2,"2","1")))))))</f>
        <v>1</v>
      </c>
    </row>
    <row r="57" spans="1:26" x14ac:dyDescent="0.25">
      <c r="A57" s="7" t="s">
        <v>791</v>
      </c>
      <c r="B57" s="68">
        <v>65</v>
      </c>
      <c r="C57" s="91" t="s">
        <v>101</v>
      </c>
      <c r="D57" s="97" t="s">
        <v>871</v>
      </c>
      <c r="E57" s="93">
        <v>6000</v>
      </c>
      <c r="F57" s="94">
        <f t="shared" si="3"/>
        <v>100</v>
      </c>
      <c r="G57" s="95">
        <f t="shared" si="3"/>
        <v>1.6666666666666667</v>
      </c>
      <c r="H57" s="110">
        <f t="shared" si="5"/>
        <v>28</v>
      </c>
      <c r="I57" s="82" t="s">
        <v>953</v>
      </c>
      <c r="J57" s="119">
        <f t="shared" si="4"/>
        <v>0.6333333333333333</v>
      </c>
      <c r="K57" s="82">
        <v>1</v>
      </c>
      <c r="L57" s="82" t="s">
        <v>954</v>
      </c>
      <c r="M57" s="119">
        <f t="shared" si="9"/>
        <v>0.16666666666666666</v>
      </c>
      <c r="N57" s="82">
        <v>3</v>
      </c>
      <c r="U57" s="82">
        <f>VLOOKUP(I57,$A$22:$H$86,8,0)</f>
        <v>18</v>
      </c>
      <c r="V57" s="120" t="str">
        <f>IF(J57&gt;=4,"8",IF(J57&gt;=3,"7",IF(J57&gt;=2,"6",IF(J57&gt;=1,"5",IF(J57&gt;=0.6,"4",IF(J57&gt;=0.3,"3",IF(J57&gt;=0.2,"2","1")))))))</f>
        <v>4</v>
      </c>
      <c r="W57" s="82">
        <f>VLOOKUP(L57,$A$2:$H$21,8,0)</f>
        <v>2</v>
      </c>
      <c r="X57" s="120"/>
    </row>
    <row r="58" spans="1:26" x14ac:dyDescent="0.25">
      <c r="A58" s="7" t="s">
        <v>792</v>
      </c>
      <c r="B58" s="68">
        <v>66</v>
      </c>
      <c r="C58" s="91" t="s">
        <v>109</v>
      </c>
      <c r="D58" s="92" t="s">
        <v>872</v>
      </c>
      <c r="E58" s="93">
        <v>5400</v>
      </c>
      <c r="F58" s="94">
        <f t="shared" si="3"/>
        <v>90</v>
      </c>
      <c r="G58" s="95">
        <f t="shared" si="3"/>
        <v>1.5</v>
      </c>
      <c r="H58" s="110">
        <f t="shared" si="5"/>
        <v>56</v>
      </c>
      <c r="I58" s="82" t="s">
        <v>952</v>
      </c>
      <c r="J58" s="119">
        <f t="shared" si="4"/>
        <v>2.5</v>
      </c>
      <c r="K58" s="82">
        <v>3</v>
      </c>
      <c r="L58" s="82" t="s">
        <v>935</v>
      </c>
      <c r="M58" s="119">
        <f t="shared" si="9"/>
        <v>0.33333333333333331</v>
      </c>
      <c r="N58" s="82">
        <v>6</v>
      </c>
      <c r="O58" s="82" t="s">
        <v>957</v>
      </c>
      <c r="P58" s="119">
        <f>VLOOKUP(O58,$A$2:$G$106,7,0)</f>
        <v>0.41666666666666669</v>
      </c>
      <c r="Q58" s="82">
        <v>1</v>
      </c>
      <c r="U58" s="82">
        <f>VLOOKUP(I58,$A$2:$H$21,8,0)</f>
        <v>6</v>
      </c>
      <c r="V58" s="120"/>
      <c r="W58" s="82">
        <f>VLOOKUP(L58,$A$2:$H$21,8,0)</f>
        <v>3</v>
      </c>
      <c r="X58" s="120"/>
      <c r="Y58" s="82">
        <f>VLOOKUP(O58,$A$25:$H$79,8,0)</f>
        <v>17</v>
      </c>
      <c r="Z58" s="120" t="str">
        <f>IF(P58&gt;=4,"8",IF(P58&gt;=3,"7",IF(P58&gt;=2,"6",IF(P58&gt;=1,"5",IF(P58&gt;=0.6,"4",IF(P58&gt;=0.3,"3",IF(P58&gt;=0.2,"2","1")))))))</f>
        <v>3</v>
      </c>
    </row>
    <row r="59" spans="1:26" x14ac:dyDescent="0.25">
      <c r="A59" s="7" t="s">
        <v>793</v>
      </c>
      <c r="B59" s="68">
        <v>69</v>
      </c>
      <c r="C59" s="91" t="s">
        <v>109</v>
      </c>
      <c r="D59" s="92" t="s">
        <v>873</v>
      </c>
      <c r="E59" s="93">
        <v>7200</v>
      </c>
      <c r="F59" s="94">
        <f t="shared" si="3"/>
        <v>120</v>
      </c>
      <c r="G59" s="95">
        <f t="shared" si="3"/>
        <v>2</v>
      </c>
      <c r="H59" s="110">
        <f t="shared" si="5"/>
        <v>87</v>
      </c>
      <c r="I59" s="82" t="s">
        <v>952</v>
      </c>
      <c r="J59" s="119">
        <f t="shared" si="4"/>
        <v>2.5</v>
      </c>
      <c r="K59" s="82">
        <v>3</v>
      </c>
      <c r="L59" s="82" t="s">
        <v>945</v>
      </c>
      <c r="M59" s="119">
        <f t="shared" si="9"/>
        <v>2</v>
      </c>
      <c r="N59" s="82">
        <v>6</v>
      </c>
      <c r="O59" s="82" t="s">
        <v>958</v>
      </c>
      <c r="P59" s="119">
        <f>VLOOKUP(O59,$A$2:$G$106,7,0)</f>
        <v>1.6666666666666667</v>
      </c>
      <c r="Q59" s="82">
        <v>1</v>
      </c>
      <c r="U59" s="82">
        <f>VLOOKUP(I59,$A$2:$H$21,8,0)</f>
        <v>6</v>
      </c>
      <c r="V59" s="120"/>
      <c r="W59" s="82">
        <f>VLOOKUP(L59,$A$2:$H$21,8,0)</f>
        <v>6</v>
      </c>
      <c r="X59" s="120"/>
      <c r="Y59" s="82">
        <f>VLOOKUP(O59,$A$25:$H$79,8,0)</f>
        <v>28</v>
      </c>
      <c r="Z59" s="120" t="str">
        <f>IF(P59&gt;=4,"8",IF(P59&gt;=3,"7",IF(P59&gt;=2,"6",IF(P59&gt;=1,"5",IF(P59&gt;=0.6,"4",IF(P59&gt;=0.3,"3",IF(P59&gt;=0.2,"2","1")))))))</f>
        <v>5</v>
      </c>
    </row>
    <row r="60" spans="1:26" x14ac:dyDescent="0.25">
      <c r="A60" s="7" t="s">
        <v>794</v>
      </c>
      <c r="B60" s="68">
        <v>70</v>
      </c>
      <c r="C60" s="91" t="s">
        <v>107</v>
      </c>
      <c r="D60" s="92" t="s">
        <v>874</v>
      </c>
      <c r="E60" s="96">
        <v>8100</v>
      </c>
      <c r="F60" s="94">
        <f t="shared" si="3"/>
        <v>135</v>
      </c>
      <c r="G60" s="95">
        <f t="shared" si="3"/>
        <v>2.25</v>
      </c>
      <c r="H60" s="110">
        <f t="shared" si="5"/>
        <v>54</v>
      </c>
      <c r="I60" s="82" t="s">
        <v>950</v>
      </c>
      <c r="J60" s="119">
        <f t="shared" si="4"/>
        <v>0.2</v>
      </c>
      <c r="K60" s="82">
        <v>1</v>
      </c>
      <c r="L60" s="82" t="s">
        <v>953</v>
      </c>
      <c r="M60" s="119">
        <f t="shared" si="9"/>
        <v>0.6333333333333333</v>
      </c>
      <c r="N60" s="82">
        <v>2</v>
      </c>
      <c r="U60" s="82">
        <f>VLOOKUP(I60,$A$23:$H$77,8,0)</f>
        <v>12</v>
      </c>
      <c r="V60" s="120" t="str">
        <f>IF(J60&gt;=4,"8",IF(J60&gt;=3,"7",IF(J60&gt;=2,"6",IF(J60&gt;=1,"5",IF(J60&gt;=0.6,"4",IF(J60&gt;=0.3,"3",IF(J60&gt;=0.2,"2","1")))))))</f>
        <v>2</v>
      </c>
      <c r="W60" s="82">
        <f>VLOOKUP(L60,$A$22:$H$86,8,0)</f>
        <v>18</v>
      </c>
      <c r="X60" s="120" t="str">
        <f>IF(M60&gt;=4,"8",IF(M60&gt;=3,"7",IF(M60&gt;=2,"6",IF(M60&gt;=1,"5",IF(M60&gt;=0.6,"4",IF(M60&gt;=0.3,"3",IF(M60&gt;=0.2,"2","1")))))))</f>
        <v>4</v>
      </c>
    </row>
    <row r="61" spans="1:26" x14ac:dyDescent="0.25">
      <c r="A61" s="7" t="s">
        <v>795</v>
      </c>
      <c r="B61" s="68">
        <v>73</v>
      </c>
      <c r="C61" s="91" t="s">
        <v>111</v>
      </c>
      <c r="D61" s="92" t="s">
        <v>875</v>
      </c>
      <c r="E61" s="96">
        <v>2700</v>
      </c>
      <c r="F61" s="94">
        <f t="shared" si="3"/>
        <v>45</v>
      </c>
      <c r="G61" s="95">
        <f t="shared" si="3"/>
        <v>0.75</v>
      </c>
      <c r="H61" s="110">
        <f t="shared" si="5"/>
        <v>24</v>
      </c>
      <c r="I61" s="82" t="s">
        <v>932</v>
      </c>
      <c r="J61" s="119">
        <f t="shared" si="4"/>
        <v>3.3333333333333333E-2</v>
      </c>
      <c r="K61" s="82">
        <v>4</v>
      </c>
      <c r="L61" s="82" t="s">
        <v>959</v>
      </c>
      <c r="M61" s="119">
        <f t="shared" si="9"/>
        <v>0.38333333333333336</v>
      </c>
      <c r="N61" s="82">
        <v>1</v>
      </c>
      <c r="U61" s="82">
        <f>VLOOKUP(I61,$A$2:$H$86,8,0)</f>
        <v>1</v>
      </c>
      <c r="V61" s="120"/>
      <c r="W61" s="82">
        <f>VLOOKUP(L61,$A$39:$H$90,8,0)</f>
        <v>17</v>
      </c>
      <c r="X61" s="120" t="str">
        <f>IF(M61&gt;=4,"8",IF(M61&gt;=3,"7",IF(M61&gt;=2,"6",IF(M61&gt;=1,"5",IF(M61&gt;=0.6,"4",IF(M61&gt;=0.3,"3",IF(M61&gt;=0.2,"2","1")))))))</f>
        <v>3</v>
      </c>
    </row>
    <row r="62" spans="1:26" x14ac:dyDescent="0.25">
      <c r="A62" s="66" t="s">
        <v>796</v>
      </c>
      <c r="B62" s="70">
        <v>74</v>
      </c>
      <c r="C62" s="100" t="s">
        <v>105</v>
      </c>
      <c r="D62" s="101" t="s">
        <v>876</v>
      </c>
      <c r="E62" s="102">
        <v>4500</v>
      </c>
      <c r="F62" s="94">
        <f t="shared" si="3"/>
        <v>75</v>
      </c>
      <c r="G62" s="95">
        <f t="shared" si="3"/>
        <v>1.25</v>
      </c>
      <c r="H62" s="110">
        <f t="shared" si="5"/>
        <v>47</v>
      </c>
      <c r="I62" s="82" t="s">
        <v>934</v>
      </c>
      <c r="J62" s="119">
        <f t="shared" si="4"/>
        <v>0.25</v>
      </c>
      <c r="K62" s="82">
        <v>4</v>
      </c>
      <c r="L62" s="82" t="s">
        <v>960</v>
      </c>
      <c r="M62" s="119">
        <f t="shared" si="9"/>
        <v>3</v>
      </c>
      <c r="N62" s="82">
        <v>5</v>
      </c>
      <c r="U62" s="82">
        <f>VLOOKUP(I62,$A$2:$H$21,8,0)</f>
        <v>3</v>
      </c>
      <c r="V62" s="120"/>
      <c r="W62" s="82">
        <f>VLOOKUP(L62,$A$2:$H$21,8,0)</f>
        <v>7</v>
      </c>
      <c r="X62" s="120"/>
    </row>
    <row r="63" spans="1:26" x14ac:dyDescent="0.25">
      <c r="A63" s="7" t="s">
        <v>797</v>
      </c>
      <c r="B63" s="68">
        <v>76</v>
      </c>
      <c r="C63" s="91" t="s">
        <v>97</v>
      </c>
      <c r="D63" s="92" t="s">
        <v>877</v>
      </c>
      <c r="E63" s="93">
        <v>2700</v>
      </c>
      <c r="F63" s="94">
        <f t="shared" si="3"/>
        <v>45</v>
      </c>
      <c r="G63" s="95">
        <f t="shared" si="3"/>
        <v>0.75</v>
      </c>
      <c r="H63" s="110">
        <f t="shared" si="5"/>
        <v>21</v>
      </c>
      <c r="I63" s="82" t="s">
        <v>960</v>
      </c>
      <c r="J63" s="119">
        <f t="shared" si="4"/>
        <v>3</v>
      </c>
      <c r="K63" s="82">
        <v>3</v>
      </c>
      <c r="U63" s="82">
        <f>VLOOKUP(I63,$A$2:$H$21,8,0)</f>
        <v>7</v>
      </c>
      <c r="V63" s="120"/>
    </row>
    <row r="64" spans="1:26" x14ac:dyDescent="0.25">
      <c r="A64" s="7" t="s">
        <v>798</v>
      </c>
      <c r="B64" s="68">
        <v>77</v>
      </c>
      <c r="C64" s="91" t="s">
        <v>111</v>
      </c>
      <c r="D64" s="92" t="s">
        <v>878</v>
      </c>
      <c r="E64" s="93">
        <v>3600</v>
      </c>
      <c r="F64" s="94">
        <f t="shared" si="3"/>
        <v>60</v>
      </c>
      <c r="G64" s="95">
        <f t="shared" si="3"/>
        <v>1</v>
      </c>
      <c r="H64" s="110">
        <f t="shared" si="5"/>
        <v>25</v>
      </c>
      <c r="I64" s="82" t="s">
        <v>947</v>
      </c>
      <c r="J64" s="119">
        <f t="shared" si="4"/>
        <v>0.13333333333333333</v>
      </c>
      <c r="K64" s="82">
        <v>1</v>
      </c>
      <c r="L64" s="82" t="s">
        <v>961</v>
      </c>
      <c r="M64" s="119">
        <f>VLOOKUP(L64,$A$2:$G$106,7,0)</f>
        <v>0.55000000000000004</v>
      </c>
      <c r="N64" s="82">
        <v>1</v>
      </c>
      <c r="U64" s="82">
        <f>VLOOKUP(I64,$A$2:$H$86,8,0)</f>
        <v>4</v>
      </c>
      <c r="V64" s="120" t="str">
        <f>IF(J64&gt;=4,"8",IF(J64&gt;=3,"7",IF(J64&gt;=2,"6",IF(J64&gt;=1,"5",IF(J64&gt;=0.6,"4",IF(J64&gt;=0.3,"3",IF(J64&gt;=0.2,"2","1")))))))</f>
        <v>1</v>
      </c>
      <c r="W64" s="82">
        <f>VLOOKUP(L64,$A$39:$H$90,8,0)</f>
        <v>17</v>
      </c>
      <c r="X64" s="120" t="str">
        <f>IF(M64&gt;=4,"8",IF(M64&gt;=3,"7",IF(M64&gt;=2,"6",IF(M64&gt;=1,"5",IF(M64&gt;=0.6,"4",IF(M64&gt;=0.3,"3",IF(M64&gt;=0.2,"2","1")))))))</f>
        <v>3</v>
      </c>
    </row>
    <row r="65" spans="1:28" x14ac:dyDescent="0.25">
      <c r="A65" s="69" t="s">
        <v>799</v>
      </c>
      <c r="B65" s="69">
        <v>80</v>
      </c>
      <c r="C65" s="98" t="s">
        <v>107</v>
      </c>
      <c r="D65" s="99" t="s">
        <v>879</v>
      </c>
      <c r="E65" s="96">
        <v>8400</v>
      </c>
      <c r="F65" s="94">
        <f t="shared" si="3"/>
        <v>140</v>
      </c>
      <c r="G65" s="95">
        <f t="shared" si="3"/>
        <v>2.3333333333333335</v>
      </c>
      <c r="H65" s="110">
        <f t="shared" si="5"/>
        <v>60</v>
      </c>
      <c r="I65" s="82" t="s">
        <v>962</v>
      </c>
      <c r="J65" s="119">
        <f t="shared" si="4"/>
        <v>0.46666666666666667</v>
      </c>
      <c r="K65" s="82">
        <v>1</v>
      </c>
      <c r="L65" s="82" t="s">
        <v>963</v>
      </c>
      <c r="M65" s="119">
        <f>VLOOKUP(L65,$A$2:$G$106,7,0)</f>
        <v>0.55000000000000004</v>
      </c>
      <c r="N65" s="82">
        <v>1</v>
      </c>
      <c r="O65" s="82" t="s">
        <v>955</v>
      </c>
      <c r="P65" s="119">
        <f>VLOOKUP(O65,$A$2:$G$106,7,0)</f>
        <v>0.41666666666666669</v>
      </c>
      <c r="Q65" s="82">
        <v>1</v>
      </c>
      <c r="U65" s="82">
        <f>VLOOKUP(I65,$A$23:$H$77,8,0)</f>
        <v>16</v>
      </c>
      <c r="V65" s="120" t="str">
        <f>IF(J65&gt;=4,"8",IF(J65&gt;=3,"7",IF(J65&gt;=2,"6",IF(J65&gt;=1,"5",IF(J65&gt;=0.6,"4",IF(J65&gt;=0.3,"3",IF(J65&gt;=0.2,"2","1")))))))</f>
        <v>3</v>
      </c>
      <c r="W65" s="82">
        <f>VLOOKUP(L65,$A$22:$H$86,8,0)</f>
        <v>20</v>
      </c>
      <c r="X65" s="120" t="str">
        <f>IF(M65&gt;=4,"8",IF(M65&gt;=3,"7",IF(M65&gt;=2,"6",IF(M65&gt;=1,"5",IF(M65&gt;=0.6,"4",IF(M65&gt;=0.3,"3",IF(M65&gt;=0.2,"2","1")))))))</f>
        <v>3</v>
      </c>
      <c r="Y65" s="82">
        <f>VLOOKUP(O65,$A$22:$H$86,8,0)</f>
        <v>15</v>
      </c>
      <c r="Z65" s="120" t="str">
        <f>IF(P65&gt;=4,"8",IF(P65&gt;=3,"7",IF(P65&gt;=2,"6",IF(P65&gt;=1,"5",IF(P65&gt;=0.6,"4",IF(P65&gt;=0.3,"3",IF(P65&gt;=0.2,"2","1")))))))</f>
        <v>3</v>
      </c>
    </row>
    <row r="66" spans="1:28" x14ac:dyDescent="0.25">
      <c r="A66" s="7" t="s">
        <v>800</v>
      </c>
      <c r="B66" s="68">
        <v>81</v>
      </c>
      <c r="C66" s="91" t="s">
        <v>111</v>
      </c>
      <c r="D66" s="92" t="s">
        <v>880</v>
      </c>
      <c r="E66" s="93">
        <v>5100</v>
      </c>
      <c r="F66" s="94">
        <f t="shared" si="3"/>
        <v>85</v>
      </c>
      <c r="G66" s="95">
        <f t="shared" si="3"/>
        <v>1.4166666666666667</v>
      </c>
      <c r="H66" s="110">
        <f t="shared" si="5"/>
        <v>43</v>
      </c>
      <c r="I66" s="82" t="s">
        <v>935</v>
      </c>
      <c r="J66" s="119">
        <f t="shared" si="4"/>
        <v>0.33333333333333331</v>
      </c>
      <c r="K66" s="82">
        <v>4</v>
      </c>
      <c r="L66" s="82" t="s">
        <v>964</v>
      </c>
      <c r="M66" s="119">
        <f>VLOOKUP(L66,$A$2:$G$106,7,0)</f>
        <v>0.71666666666666667</v>
      </c>
      <c r="N66" s="82">
        <v>1</v>
      </c>
      <c r="U66" s="82">
        <f>VLOOKUP(I66,$A$2:$H$86,8,0)</f>
        <v>3</v>
      </c>
      <c r="V66" s="120"/>
      <c r="W66" s="82">
        <f>VLOOKUP(L66,$A$39:$H$90,8,0)</f>
        <v>27</v>
      </c>
      <c r="X66" s="120" t="str">
        <f>IF(M66&gt;=4,"8",IF(M66&gt;=3,"7",IF(M66&gt;=2,"6",IF(M66&gt;=1,"5",IF(M66&gt;=0.6,"4",IF(M66&gt;=0.3,"3",IF(M66&gt;=0.2,"2","1")))))))</f>
        <v>4</v>
      </c>
    </row>
    <row r="67" spans="1:28" x14ac:dyDescent="0.25">
      <c r="A67" s="66" t="s">
        <v>801</v>
      </c>
      <c r="B67" s="70">
        <v>82</v>
      </c>
      <c r="C67" s="100" t="s">
        <v>97</v>
      </c>
      <c r="D67" s="101" t="s">
        <v>881</v>
      </c>
      <c r="E67" s="102">
        <v>3000</v>
      </c>
      <c r="F67" s="94">
        <f t="shared" si="3"/>
        <v>50</v>
      </c>
      <c r="G67" s="95">
        <f t="shared" si="3"/>
        <v>0.83333333333333337</v>
      </c>
      <c r="H67" s="110">
        <f t="shared" si="5"/>
        <v>15</v>
      </c>
      <c r="I67" s="82" t="s">
        <v>943</v>
      </c>
      <c r="J67" s="119">
        <f t="shared" si="4"/>
        <v>1.5</v>
      </c>
      <c r="K67" s="82">
        <v>3</v>
      </c>
      <c r="U67" s="82">
        <f>VLOOKUP(I67,$A$2:$H$21,8,0)</f>
        <v>5</v>
      </c>
      <c r="V67" s="120"/>
    </row>
    <row r="68" spans="1:28" x14ac:dyDescent="0.25">
      <c r="A68" s="7" t="s">
        <v>802</v>
      </c>
      <c r="B68" s="68">
        <v>84</v>
      </c>
      <c r="C68" s="91" t="s">
        <v>109</v>
      </c>
      <c r="D68" s="92" t="s">
        <v>882</v>
      </c>
      <c r="E68" s="93">
        <v>9900</v>
      </c>
      <c r="F68" s="94">
        <f t="shared" si="3"/>
        <v>165</v>
      </c>
      <c r="G68" s="95">
        <f t="shared" si="3"/>
        <v>2.75</v>
      </c>
      <c r="H68" s="110">
        <f t="shared" si="5"/>
        <v>73</v>
      </c>
      <c r="I68" s="82" t="s">
        <v>952</v>
      </c>
      <c r="J68" s="119">
        <f t="shared" si="4"/>
        <v>2.5</v>
      </c>
      <c r="K68" s="82">
        <v>3</v>
      </c>
      <c r="L68" s="82" t="s">
        <v>965</v>
      </c>
      <c r="M68" s="119">
        <f t="shared" ref="M68:M74" si="10">VLOOKUP(L68,$A$2:$G$106,7,0)</f>
        <v>3.5</v>
      </c>
      <c r="N68" s="82">
        <v>6</v>
      </c>
      <c r="O68" s="82" t="s">
        <v>966</v>
      </c>
      <c r="P68" s="119">
        <f>VLOOKUP(O68,$A$2:$G$106,7,0)</f>
        <v>0.25</v>
      </c>
      <c r="Q68" s="82">
        <v>1</v>
      </c>
      <c r="U68" s="82">
        <f>VLOOKUP(I68,$A$2:$H$21,8,0)</f>
        <v>6</v>
      </c>
      <c r="V68" s="120"/>
      <c r="W68" s="82">
        <f>VLOOKUP(L68,$A$2:$H$21,8,0)</f>
        <v>7</v>
      </c>
      <c r="X68" s="120"/>
      <c r="Y68" s="82">
        <f>VLOOKUP(O68,$A$25:$H$79,8,0)</f>
        <v>11</v>
      </c>
      <c r="Z68" s="120" t="str">
        <f>IF(P68&gt;=4,"8",IF(P68&gt;=3,"7",IF(P68&gt;=2,"6",IF(P68&gt;=1,"5",IF(P68&gt;=0.6,"4",IF(P68&gt;=0.3,"3",IF(P68&gt;=0.2,"2","1")))))))</f>
        <v>2</v>
      </c>
    </row>
    <row r="69" spans="1:28" x14ac:dyDescent="0.25">
      <c r="A69" s="7" t="s">
        <v>803</v>
      </c>
      <c r="B69" s="68">
        <v>85</v>
      </c>
      <c r="C69" s="91" t="s">
        <v>113</v>
      </c>
      <c r="D69" s="97" t="s">
        <v>883</v>
      </c>
      <c r="E69" s="96">
        <v>7200</v>
      </c>
      <c r="F69" s="94">
        <f t="shared" si="3"/>
        <v>120</v>
      </c>
      <c r="G69" s="95">
        <f t="shared" si="3"/>
        <v>2</v>
      </c>
      <c r="H69" s="110">
        <f t="shared" si="5"/>
        <v>120</v>
      </c>
      <c r="I69" s="82" t="s">
        <v>967</v>
      </c>
      <c r="J69" s="119">
        <f t="shared" si="4"/>
        <v>0.75</v>
      </c>
      <c r="K69" s="82">
        <v>3</v>
      </c>
      <c r="L69" s="82" t="s">
        <v>956</v>
      </c>
      <c r="M69" s="119">
        <f t="shared" si="10"/>
        <v>0.16666666666666666</v>
      </c>
      <c r="N69" s="82">
        <v>3</v>
      </c>
      <c r="O69" s="82" t="s">
        <v>946</v>
      </c>
      <c r="P69" s="119">
        <f>VLOOKUP(O69,$A$2:$G$106,7,0)</f>
        <v>8.3333333333333329E-2</v>
      </c>
      <c r="Q69" s="82">
        <v>3</v>
      </c>
      <c r="R69" s="82" t="s">
        <v>932</v>
      </c>
      <c r="S69" s="119">
        <f>VLOOKUP(R69,$A$2:$G$106,7,0)</f>
        <v>3.3333333333333333E-2</v>
      </c>
      <c r="T69" s="82">
        <v>3</v>
      </c>
      <c r="U69" s="82">
        <f>VLOOKUP(I69,$A$61:$H$97,8,0)</f>
        <v>24</v>
      </c>
      <c r="V69" s="120" t="str">
        <f>IF(J69&gt;=4,"8",IF(J69&gt;=3,"7",IF(J69&gt;=2,"6",IF(J69&gt;=1,"5",IF(J69&gt;=0.6,"4",IF(J69&gt;=0.3,"3",IF(J69&gt;=0.2,"2","1")))))))</f>
        <v>4</v>
      </c>
      <c r="W69" s="82">
        <f>VLOOKUP(L69,$A$25:$H$79,8,0)</f>
        <v>10</v>
      </c>
      <c r="X69" s="120" t="str">
        <f t="shared" ref="X69:X74" si="11">IF(M69&gt;=4,"8",IF(M69&gt;=3,"7",IF(M69&gt;=2,"6",IF(M69&gt;=1,"5",IF(M69&gt;=0.6,"4",IF(M69&gt;=0.3,"3",IF(M69&gt;=0.2,"2","1")))))))</f>
        <v>1</v>
      </c>
      <c r="Y69" s="82">
        <f>VLOOKUP(O69,$A$2:$H$83,8,0)</f>
        <v>3</v>
      </c>
      <c r="Z69" s="120" t="str">
        <f>IF(P69&gt;=4,"8",IF(P69&gt;=3,"7",IF(P69&gt;=2,"6",IF(P69&gt;=1,"5",IF(P69&gt;=0.6,"4",IF(P69&gt;=0.3,"3",IF(P69&gt;=0.2,"2","1")))))))</f>
        <v>1</v>
      </c>
      <c r="AA69" s="82">
        <f>VLOOKUP(R69,$A$2:$H$21,8,0)</f>
        <v>1</v>
      </c>
      <c r="AB69" s="120"/>
    </row>
    <row r="70" spans="1:28" x14ac:dyDescent="0.25">
      <c r="A70" s="7" t="s">
        <v>804</v>
      </c>
      <c r="B70" s="68">
        <v>87</v>
      </c>
      <c r="C70" s="91" t="s">
        <v>113</v>
      </c>
      <c r="D70" s="97" t="s">
        <v>884</v>
      </c>
      <c r="E70" s="96">
        <v>8400</v>
      </c>
      <c r="F70" s="94">
        <f t="shared" si="3"/>
        <v>140</v>
      </c>
      <c r="G70" s="95">
        <f t="shared" si="3"/>
        <v>2.3333333333333335</v>
      </c>
      <c r="H70" s="110">
        <f t="shared" si="5"/>
        <v>128</v>
      </c>
      <c r="I70" s="82" t="s">
        <v>968</v>
      </c>
      <c r="J70" s="119">
        <f t="shared" si="4"/>
        <v>1</v>
      </c>
      <c r="K70" s="82">
        <v>3</v>
      </c>
      <c r="L70" s="82" t="s">
        <v>966</v>
      </c>
      <c r="M70" s="119">
        <f t="shared" si="10"/>
        <v>0.25</v>
      </c>
      <c r="N70" s="82">
        <v>3</v>
      </c>
      <c r="O70" s="82" t="s">
        <v>969</v>
      </c>
      <c r="P70" s="119">
        <f>VLOOKUP(O70,$A$2:$G$106,7,0)</f>
        <v>0.16666666666666666</v>
      </c>
      <c r="Q70" s="82">
        <v>3</v>
      </c>
      <c r="R70" s="82" t="s">
        <v>933</v>
      </c>
      <c r="S70" s="119">
        <f>VLOOKUP(R70,$A$2:$G$106,7,0)</f>
        <v>0.05</v>
      </c>
      <c r="T70" s="82">
        <v>3</v>
      </c>
      <c r="U70" s="82">
        <f>VLOOKUP(I70,$A$61:$H$97,8,0)</f>
        <v>25</v>
      </c>
      <c r="V70" s="120" t="str">
        <f>IF(J70&gt;=4,"8",IF(J70&gt;=3,"7",IF(J70&gt;=2,"6",IF(J70&gt;=1,"5",IF(J70&gt;=0.6,"4",IF(J70&gt;=0.3,"3",IF(J70&gt;=0.2,"2","1")))))))</f>
        <v>5</v>
      </c>
      <c r="W70" s="82">
        <f>VLOOKUP(L70,$A$25:$H$79,8,0)</f>
        <v>11</v>
      </c>
      <c r="X70" s="120" t="str">
        <f t="shared" si="11"/>
        <v>2</v>
      </c>
      <c r="Y70" s="82">
        <f>VLOOKUP(O70,$A$2:$H$83,8,0)</f>
        <v>3</v>
      </c>
      <c r="Z70" s="120" t="str">
        <f>IF(P70&gt;=4,"8",IF(P70&gt;=3,"7",IF(P70&gt;=2,"6",IF(P70&gt;=1,"5",IF(P70&gt;=0.6,"4",IF(P70&gt;=0.3,"3",IF(P70&gt;=0.2,"2","1")))))))</f>
        <v>1</v>
      </c>
      <c r="AA70" s="82">
        <f>VLOOKUP(R70,$A$2:$H$21,8,0)</f>
        <v>1</v>
      </c>
      <c r="AB70" s="120"/>
    </row>
    <row r="71" spans="1:28" x14ac:dyDescent="0.25">
      <c r="A71" s="7" t="s">
        <v>805</v>
      </c>
      <c r="B71" s="68">
        <v>88</v>
      </c>
      <c r="C71" s="91" t="s">
        <v>101</v>
      </c>
      <c r="D71" s="92" t="s">
        <v>885</v>
      </c>
      <c r="E71" s="93">
        <v>6600</v>
      </c>
      <c r="F71" s="94">
        <f t="shared" si="3"/>
        <v>110</v>
      </c>
      <c r="G71" s="95">
        <f t="shared" si="3"/>
        <v>1.8333333333333333</v>
      </c>
      <c r="H71" s="110">
        <f t="shared" si="5"/>
        <v>34</v>
      </c>
      <c r="I71" s="82" t="s">
        <v>960</v>
      </c>
      <c r="J71" s="119">
        <f t="shared" si="4"/>
        <v>3</v>
      </c>
      <c r="K71" s="82">
        <v>3</v>
      </c>
      <c r="L71" s="82" t="s">
        <v>954</v>
      </c>
      <c r="M71" s="119">
        <f t="shared" si="10"/>
        <v>0.16666666666666666</v>
      </c>
      <c r="N71" s="82">
        <v>3</v>
      </c>
      <c r="U71" s="82">
        <f>VLOOKUP(I71,$A$2:$H$21,8,0)</f>
        <v>7</v>
      </c>
      <c r="V71" s="120" t="str">
        <f>IF(J71&gt;=4,"8",IF(J71&gt;=3,"7",IF(J71&gt;=2,"6",IF(J71&gt;=1,"5",IF(J71&gt;=0.6,"4",IF(J71&gt;=0.3,"3",IF(J71&gt;=0.2,"2","1")))))))</f>
        <v>7</v>
      </c>
      <c r="W71" s="82">
        <f>VLOOKUP(L71,$A$2:$H$21,8,0)</f>
        <v>2</v>
      </c>
      <c r="X71" s="120"/>
    </row>
    <row r="72" spans="1:28" x14ac:dyDescent="0.25">
      <c r="A72" s="7" t="s">
        <v>806</v>
      </c>
      <c r="B72" s="68">
        <v>89</v>
      </c>
      <c r="C72" s="91" t="s">
        <v>109</v>
      </c>
      <c r="D72" s="92" t="s">
        <v>886</v>
      </c>
      <c r="E72" s="93">
        <v>11100</v>
      </c>
      <c r="F72" s="94">
        <f t="shared" si="3"/>
        <v>185</v>
      </c>
      <c r="G72" s="95">
        <f t="shared" si="3"/>
        <v>3.0833333333333335</v>
      </c>
      <c r="H72" s="110">
        <f t="shared" si="5"/>
        <v>81</v>
      </c>
      <c r="J72" s="119"/>
      <c r="L72" s="82" t="s">
        <v>960</v>
      </c>
      <c r="M72" s="119">
        <f t="shared" si="10"/>
        <v>3</v>
      </c>
      <c r="N72" s="82">
        <v>6</v>
      </c>
      <c r="O72" s="82" t="s">
        <v>970</v>
      </c>
      <c r="P72" s="119">
        <f>VLOOKUP(O72,$A$2:$G$106,7,0)</f>
        <v>1.8333333333333333</v>
      </c>
      <c r="Q72" s="82">
        <v>1</v>
      </c>
      <c r="V72" s="120"/>
      <c r="W72" s="82">
        <f>VLOOKUP(L72,$A$2:$H$21,8,0)</f>
        <v>7</v>
      </c>
      <c r="X72" s="120"/>
      <c r="Y72" s="82">
        <f>VLOOKUP(O72,$A$25:$H$79,8,0)</f>
        <v>34</v>
      </c>
      <c r="Z72" s="120" t="str">
        <f>IF(P72&gt;=4,"8",IF(P72&gt;=3,"7",IF(P72&gt;=2,"6",IF(P72&gt;=1,"5",IF(P72&gt;=0.6,"4",IF(P72&gt;=0.3,"3",IF(P72&gt;=0.2,"2","1")))))))</f>
        <v>5</v>
      </c>
    </row>
    <row r="73" spans="1:28" x14ac:dyDescent="0.25">
      <c r="A73" s="66" t="s">
        <v>807</v>
      </c>
      <c r="B73" s="70">
        <v>90</v>
      </c>
      <c r="C73" s="100" t="s">
        <v>101</v>
      </c>
      <c r="D73" s="101" t="s">
        <v>887</v>
      </c>
      <c r="E73" s="102">
        <v>7500</v>
      </c>
      <c r="F73" s="94">
        <f t="shared" si="3"/>
        <v>125</v>
      </c>
      <c r="G73" s="95">
        <f t="shared" si="3"/>
        <v>2.0833333333333335</v>
      </c>
      <c r="H73" s="110">
        <f t="shared" si="5"/>
        <v>103</v>
      </c>
      <c r="I73" s="82" t="s">
        <v>971</v>
      </c>
      <c r="J73" s="119">
        <f t="shared" si="4"/>
        <v>0.83333333333333337</v>
      </c>
      <c r="K73" s="82">
        <v>3</v>
      </c>
      <c r="L73" s="82" t="s">
        <v>954</v>
      </c>
      <c r="M73" s="119">
        <f t="shared" si="10"/>
        <v>0.16666666666666666</v>
      </c>
      <c r="N73" s="82">
        <v>3</v>
      </c>
      <c r="O73" s="82" t="s">
        <v>983</v>
      </c>
      <c r="P73" s="119">
        <f>VLOOKUP(O73,$A$2:$G$106,7,0)</f>
        <v>2.6666666666666665</v>
      </c>
      <c r="Q73" s="82">
        <v>1</v>
      </c>
      <c r="U73" s="82">
        <f>VLOOKUP(I73,$A$22:$H$86,8,0)</f>
        <v>15</v>
      </c>
      <c r="V73" s="120" t="str">
        <f>IF(J73&gt;=4,"8",IF(J73&gt;=3,"7",IF(J73&gt;=2,"6",IF(J73&gt;=1,"5",IF(J73&gt;=0.6,"4",IF(J73&gt;=0.3,"3",IF(J73&gt;=0.2,"2","1")))))))</f>
        <v>4</v>
      </c>
      <c r="W73" s="82">
        <f>VLOOKUP(L73,$A$2:$H$21,8,0)</f>
        <v>2</v>
      </c>
      <c r="X73" s="120"/>
      <c r="Y73" s="82">
        <f>VLOOKUP(O73,$A$25:$H$79,8,0)</f>
        <v>42</v>
      </c>
      <c r="Z73" s="120" t="str">
        <f>IF(P73&gt;=4,"8",IF(P73&gt;=3,"7",IF(P73&gt;=2,"6",IF(P73&gt;=1,"5",IF(P73&gt;=0.6,"4",IF(P73&gt;=0.3,"3",IF(P73&gt;=0.2,"2","1")))))))</f>
        <v>6</v>
      </c>
    </row>
    <row r="74" spans="1:28" x14ac:dyDescent="0.25">
      <c r="A74" s="66" t="s">
        <v>808</v>
      </c>
      <c r="B74" s="70">
        <v>90</v>
      </c>
      <c r="C74" s="100" t="s">
        <v>107</v>
      </c>
      <c r="D74" s="101" t="s">
        <v>888</v>
      </c>
      <c r="E74" s="103">
        <v>10500</v>
      </c>
      <c r="F74" s="94">
        <f t="shared" si="3"/>
        <v>175</v>
      </c>
      <c r="G74" s="95">
        <f t="shared" si="3"/>
        <v>2.9166666666666665</v>
      </c>
      <c r="H74" s="110">
        <f t="shared" si="5"/>
        <v>69</v>
      </c>
      <c r="I74" s="82" t="s">
        <v>972</v>
      </c>
      <c r="J74" s="119">
        <f t="shared" si="4"/>
        <v>0.91666666666666663</v>
      </c>
      <c r="K74" s="82">
        <v>1</v>
      </c>
      <c r="L74" s="82" t="s">
        <v>955</v>
      </c>
      <c r="M74" s="119">
        <f t="shared" si="10"/>
        <v>0.41666666666666669</v>
      </c>
      <c r="N74" s="82">
        <v>2</v>
      </c>
      <c r="U74" s="82">
        <f>VLOOKUP(I74,$A$23:$H$77,8,0)</f>
        <v>32</v>
      </c>
      <c r="V74" s="120" t="str">
        <f>IF(J74&gt;=4,"8",IF(J74&gt;=3,"7",IF(J74&gt;=2,"6",IF(J74&gt;=1,"5",IF(J74&gt;=0.6,"4",IF(J74&gt;=0.3,"3",IF(J74&gt;=0.2,"2","1")))))))</f>
        <v>4</v>
      </c>
      <c r="W74" s="82">
        <f>VLOOKUP(L74,$A$22:$H$86,8,0)</f>
        <v>15</v>
      </c>
      <c r="X74" s="120" t="str">
        <f t="shared" si="11"/>
        <v>3</v>
      </c>
    </row>
    <row r="75" spans="1:28" x14ac:dyDescent="0.25">
      <c r="A75" s="67" t="s">
        <v>809</v>
      </c>
      <c r="B75" s="70">
        <v>91</v>
      </c>
      <c r="C75" s="100" t="s">
        <v>97</v>
      </c>
      <c r="D75" s="101" t="s">
        <v>889</v>
      </c>
      <c r="E75" s="102">
        <v>3900</v>
      </c>
      <c r="F75" s="94">
        <f t="shared" si="3"/>
        <v>65</v>
      </c>
      <c r="G75" s="95">
        <f t="shared" si="3"/>
        <v>1.0833333333333333</v>
      </c>
      <c r="H75" s="110">
        <f t="shared" si="5"/>
        <v>21</v>
      </c>
      <c r="I75" s="82" t="s">
        <v>965</v>
      </c>
      <c r="J75" s="119">
        <f t="shared" si="4"/>
        <v>3.5</v>
      </c>
      <c r="K75" s="82">
        <v>3</v>
      </c>
      <c r="U75" s="82">
        <f>VLOOKUP(I75,$A$2:$H$21,8,0)</f>
        <v>7</v>
      </c>
      <c r="V75" s="120"/>
    </row>
    <row r="76" spans="1:28" x14ac:dyDescent="0.25">
      <c r="A76" s="7" t="s">
        <v>810</v>
      </c>
      <c r="B76" s="68">
        <v>94</v>
      </c>
      <c r="C76" s="91" t="s">
        <v>111</v>
      </c>
      <c r="D76" s="92" t="s">
        <v>890</v>
      </c>
      <c r="E76" s="93">
        <v>6000</v>
      </c>
      <c r="F76" s="94">
        <f t="shared" si="3"/>
        <v>100</v>
      </c>
      <c r="G76" s="95">
        <f t="shared" si="3"/>
        <v>1.6666666666666667</v>
      </c>
      <c r="H76" s="110">
        <f t="shared" si="5"/>
        <v>55</v>
      </c>
      <c r="I76" s="82" t="s">
        <v>949</v>
      </c>
      <c r="J76" s="119">
        <f t="shared" si="4"/>
        <v>0.38333333333333336</v>
      </c>
      <c r="K76" s="82">
        <v>1</v>
      </c>
      <c r="L76" s="82" t="s">
        <v>973</v>
      </c>
      <c r="M76" s="119">
        <f>VLOOKUP(L76,$A$2:$G$106,7,0)</f>
        <v>0.8833333333333333</v>
      </c>
      <c r="N76" s="82">
        <v>1</v>
      </c>
      <c r="U76" s="82">
        <f>VLOOKUP(I76,$A$2:$H$86,8,0)</f>
        <v>16</v>
      </c>
      <c r="V76" s="120" t="str">
        <f>IF(J76&gt;=4,"8",IF(J76&gt;=3,"7",IF(J76&gt;=2,"6",IF(J76&gt;=1,"5",IF(J76&gt;=0.6,"4",IF(J76&gt;=0.3,"3",IF(J76&gt;=0.2,"2","1")))))))</f>
        <v>3</v>
      </c>
      <c r="W76" s="82">
        <f>VLOOKUP(L76,$A$39:$H$90,8,0)</f>
        <v>32</v>
      </c>
      <c r="X76" s="120" t="str">
        <f>IF(M76&gt;=4,"8",IF(M76&gt;=3,"7",IF(M76&gt;=2,"6",IF(M76&gt;=1,"5",IF(M76&gt;=0.6,"4",IF(M76&gt;=0.3,"3",IF(M76&gt;=0.2,"2","1")))))))</f>
        <v>4</v>
      </c>
    </row>
    <row r="77" spans="1:28" x14ac:dyDescent="0.25">
      <c r="A77" s="7" t="s">
        <v>811</v>
      </c>
      <c r="B77" s="68">
        <v>97</v>
      </c>
      <c r="C77" s="91" t="s">
        <v>99</v>
      </c>
      <c r="D77" s="92" t="s">
        <v>891</v>
      </c>
      <c r="E77" s="96">
        <v>3300</v>
      </c>
      <c r="F77" s="94">
        <f t="shared" si="3"/>
        <v>55</v>
      </c>
      <c r="G77" s="95">
        <f t="shared" si="3"/>
        <v>0.91666666666666663</v>
      </c>
      <c r="H77" s="110">
        <f t="shared" si="5"/>
        <v>32</v>
      </c>
      <c r="I77" s="82" t="s">
        <v>974</v>
      </c>
      <c r="J77" s="119">
        <f t="shared" si="4"/>
        <v>4</v>
      </c>
      <c r="K77" s="82">
        <v>4</v>
      </c>
      <c r="U77" s="82">
        <f>VLOOKUP(I77,$A$2:$H$21,8,0)</f>
        <v>8</v>
      </c>
      <c r="V77" s="120"/>
    </row>
    <row r="78" spans="1:28" x14ac:dyDescent="0.25">
      <c r="A78" s="7" t="s">
        <v>812</v>
      </c>
      <c r="B78" s="68">
        <v>98</v>
      </c>
      <c r="C78" s="91" t="s">
        <v>105</v>
      </c>
      <c r="D78" s="92" t="s">
        <v>892</v>
      </c>
      <c r="E78" s="93">
        <v>6300</v>
      </c>
      <c r="F78" s="94">
        <f t="shared" si="3"/>
        <v>105</v>
      </c>
      <c r="G78" s="95">
        <f t="shared" si="3"/>
        <v>1.75</v>
      </c>
      <c r="H78" s="110">
        <f t="shared" si="5"/>
        <v>52</v>
      </c>
      <c r="I78" s="82" t="s">
        <v>934</v>
      </c>
      <c r="J78" s="119">
        <f t="shared" si="4"/>
        <v>0.25</v>
      </c>
      <c r="K78" s="82">
        <v>4</v>
      </c>
      <c r="L78" s="82" t="s">
        <v>974</v>
      </c>
      <c r="M78" s="119">
        <f>VLOOKUP(L78,$A$2:$G$106,7,0)</f>
        <v>4</v>
      </c>
      <c r="N78" s="82">
        <v>5</v>
      </c>
      <c r="U78" s="82">
        <f>VLOOKUP(I78,$A$2:$H$21,8,0)</f>
        <v>3</v>
      </c>
      <c r="V78" s="120"/>
      <c r="W78" s="82">
        <f>VLOOKUP(L78,$A$2:$H$21,8,0)</f>
        <v>8</v>
      </c>
      <c r="X78" s="120"/>
    </row>
    <row r="79" spans="1:28" x14ac:dyDescent="0.25">
      <c r="A79" s="66" t="s">
        <v>813</v>
      </c>
      <c r="B79" s="70">
        <v>98</v>
      </c>
      <c r="C79" s="100" t="s">
        <v>101</v>
      </c>
      <c r="D79" s="101" t="s">
        <v>893</v>
      </c>
      <c r="E79" s="102">
        <v>9600</v>
      </c>
      <c r="F79" s="94">
        <f t="shared" si="3"/>
        <v>160</v>
      </c>
      <c r="G79" s="95">
        <f t="shared" si="3"/>
        <v>2.6666666666666665</v>
      </c>
      <c r="H79" s="110">
        <f t="shared" si="5"/>
        <v>42</v>
      </c>
      <c r="I79" s="82" t="s">
        <v>972</v>
      </c>
      <c r="J79" s="119">
        <f t="shared" si="4"/>
        <v>0.91666666666666663</v>
      </c>
      <c r="K79" s="82">
        <v>1</v>
      </c>
      <c r="L79" s="82" t="s">
        <v>954</v>
      </c>
      <c r="M79" s="119">
        <f>VLOOKUP(L79,$A$2:$G$106,7,0)</f>
        <v>0.16666666666666666</v>
      </c>
      <c r="N79" s="82">
        <v>3</v>
      </c>
      <c r="U79" s="82">
        <f>VLOOKUP(I79,$A$22:$H$86,8,0)</f>
        <v>32</v>
      </c>
      <c r="V79" s="120" t="str">
        <f>IF(J79&gt;=4,"8",IF(J79&gt;=3,"7",IF(J79&gt;=2,"6",IF(J79&gt;=1,"5",IF(J79&gt;=0.6,"4",IF(J79&gt;=0.3,"3",IF(J79&gt;=0.2,"2","1")))))))</f>
        <v>4</v>
      </c>
      <c r="W79" s="82">
        <f>VLOOKUP(L79,$A$2:$H$21,8,0)</f>
        <v>2</v>
      </c>
      <c r="X79" s="120"/>
    </row>
    <row r="80" spans="1:28" x14ac:dyDescent="0.25">
      <c r="A80" s="66" t="s">
        <v>814</v>
      </c>
      <c r="B80" s="70">
        <v>100</v>
      </c>
      <c r="C80" s="100" t="s">
        <v>107</v>
      </c>
      <c r="D80" s="101" t="s">
        <v>894</v>
      </c>
      <c r="E80" s="103">
        <v>12600</v>
      </c>
      <c r="F80" s="94">
        <f t="shared" si="3"/>
        <v>210</v>
      </c>
      <c r="G80" s="95">
        <f t="shared" si="3"/>
        <v>3.5</v>
      </c>
      <c r="H80" s="110">
        <f t="shared" si="5"/>
        <v>72</v>
      </c>
      <c r="I80" s="82" t="s">
        <v>950</v>
      </c>
      <c r="J80" s="119">
        <f t="shared" si="4"/>
        <v>0.2</v>
      </c>
      <c r="K80" s="82">
        <v>2</v>
      </c>
      <c r="L80" s="82" t="s">
        <v>975</v>
      </c>
      <c r="M80" s="119">
        <f>VLOOKUP(L80,$A$2:$G$106,7,0)</f>
        <v>0.75</v>
      </c>
      <c r="N80" s="82">
        <v>2</v>
      </c>
      <c r="U80" s="82">
        <f>VLOOKUP(I80,$A$23:$H$77,8,0)</f>
        <v>12</v>
      </c>
      <c r="V80" s="120" t="str">
        <f>IF(J80&gt;=4,"8",IF(J80&gt;=3,"7",IF(J80&gt;=2,"6",IF(J80&gt;=1,"5",IF(J80&gt;=0.6,"4",IF(J80&gt;=0.3,"3",IF(J80&gt;=0.2,"2","1")))))))</f>
        <v>2</v>
      </c>
      <c r="W80" s="82">
        <f>VLOOKUP(L80,$A$22:$H$86,8,0)</f>
        <v>21</v>
      </c>
      <c r="X80" s="120" t="str">
        <f>IF(M80&gt;=4,"8",IF(M80&gt;=3,"7",IF(M80&gt;=2,"6",IF(M80&gt;=1,"5",IF(M80&gt;=0.6,"4",IF(M80&gt;=0.3,"3",IF(M80&gt;=0.2,"2","1")))))))</f>
        <v>4</v>
      </c>
    </row>
    <row r="81" spans="1:28" x14ac:dyDescent="0.25">
      <c r="A81" s="7" t="s">
        <v>815</v>
      </c>
      <c r="B81" s="68">
        <v>101</v>
      </c>
      <c r="C81" s="91" t="s">
        <v>113</v>
      </c>
      <c r="D81" s="97" t="s">
        <v>895</v>
      </c>
      <c r="E81" s="96">
        <v>10080</v>
      </c>
      <c r="F81" s="94">
        <f t="shared" si="3"/>
        <v>168</v>
      </c>
      <c r="G81" s="95">
        <f t="shared" si="3"/>
        <v>2.8</v>
      </c>
      <c r="H81" s="110">
        <f t="shared" si="5"/>
        <v>226</v>
      </c>
      <c r="I81" s="82" t="s">
        <v>976</v>
      </c>
      <c r="J81" s="119">
        <f t="shared" si="4"/>
        <v>1.4166666666666667</v>
      </c>
      <c r="K81" s="82">
        <v>3</v>
      </c>
      <c r="L81" s="82" t="s">
        <v>957</v>
      </c>
      <c r="M81" s="119">
        <f>VLOOKUP(L81,$A$2:$G$106,7,0)</f>
        <v>0.41666666666666669</v>
      </c>
      <c r="N81" s="82">
        <v>3</v>
      </c>
      <c r="O81" s="82" t="s">
        <v>948</v>
      </c>
      <c r="P81" s="119">
        <f>VLOOKUP(O81,$A$2:$G$106,7,0)</f>
        <v>0.25</v>
      </c>
      <c r="Q81" s="82">
        <v>3</v>
      </c>
      <c r="R81" s="82" t="s">
        <v>935</v>
      </c>
      <c r="S81" s="119">
        <f>VLOOKUP(R81,$A$2:$G$106,7,0)</f>
        <v>0.33333333333333331</v>
      </c>
      <c r="T81" s="82">
        <v>3</v>
      </c>
      <c r="U81" s="82">
        <f>VLOOKUP(I81,$A$61:$H$97,8,0)</f>
        <v>43</v>
      </c>
      <c r="V81" s="120" t="str">
        <f>IF(J81&gt;=4,"8",IF(J81&gt;=3,"7",IF(J81&gt;=2,"6",IF(J81&gt;=1,"5",IF(J81&gt;=0.6,"4",IF(J81&gt;=0.3,"3",IF(J81&gt;=0.2,"2","1")))))))</f>
        <v>5</v>
      </c>
      <c r="W81" s="82">
        <f>VLOOKUP(L81,$A$25:$H$79,8,0)</f>
        <v>17</v>
      </c>
      <c r="X81" s="120" t="str">
        <f>IF(M81&gt;=4,"8",IF(M81&gt;=3,"7",IF(M81&gt;=2,"6",IF(M81&gt;=1,"5",IF(M81&gt;=0.6,"4",IF(M81&gt;=0.3,"3",IF(M81&gt;=0.2,"2","1")))))))</f>
        <v>3</v>
      </c>
      <c r="Y81" s="82">
        <f>VLOOKUP(O81,$A$2:$H$83,8,0)</f>
        <v>9</v>
      </c>
      <c r="Z81" s="120" t="str">
        <f>IF(P81&gt;=4,"8",IF(P81&gt;=3,"7",IF(P81&gt;=2,"6",IF(P81&gt;=1,"5",IF(P81&gt;=0.6,"4",IF(P81&gt;=0.3,"3",IF(P81&gt;=0.2,"2","1")))))))</f>
        <v>2</v>
      </c>
      <c r="AA81" s="82">
        <f>VLOOKUP(R81,$A$2:$H$21,8,0)</f>
        <v>3</v>
      </c>
      <c r="AB81" s="120"/>
    </row>
    <row r="82" spans="1:28" x14ac:dyDescent="0.25">
      <c r="A82" s="7" t="s">
        <v>816</v>
      </c>
      <c r="B82" s="68">
        <v>102</v>
      </c>
      <c r="C82" s="91" t="s">
        <v>111</v>
      </c>
      <c r="D82" s="92" t="s">
        <v>896</v>
      </c>
      <c r="E82" s="93">
        <v>10620</v>
      </c>
      <c r="F82" s="94">
        <f t="shared" si="3"/>
        <v>177</v>
      </c>
      <c r="G82" s="95">
        <f t="shared" si="3"/>
        <v>2.95</v>
      </c>
      <c r="H82" s="110">
        <f t="shared" si="5"/>
        <v>93</v>
      </c>
      <c r="I82" s="82" t="s">
        <v>972</v>
      </c>
      <c r="J82" s="119">
        <f t="shared" si="4"/>
        <v>0.91666666666666663</v>
      </c>
      <c r="K82" s="82">
        <v>1</v>
      </c>
      <c r="L82" s="82" t="s">
        <v>977</v>
      </c>
      <c r="M82" s="119">
        <f>VLOOKUP(L82,$A$2:$G$106,7,0)</f>
        <v>1.75</v>
      </c>
      <c r="N82" s="82">
        <v>1</v>
      </c>
      <c r="U82" s="82">
        <f>VLOOKUP(I82,$A$2:$H$86,8,0)</f>
        <v>32</v>
      </c>
      <c r="V82" s="120" t="str">
        <f>IF(J82&gt;=4,"8",IF(J82&gt;=3,"7",IF(J82&gt;=2,"6",IF(J82&gt;=1,"5",IF(J82&gt;=0.6,"4",IF(J82&gt;=0.3,"3",IF(J82&gt;=0.2,"2","1")))))))</f>
        <v>4</v>
      </c>
      <c r="W82" s="82">
        <f>VLOOKUP(L82,$A$39:$H$90,8,0)</f>
        <v>52</v>
      </c>
      <c r="X82" s="120" t="str">
        <f>IF(M82&gt;=4,"8",IF(M82&gt;=3,"7",IF(M82&gt;=2,"6",IF(M82&gt;=1,"5",IF(M82&gt;=0.6,"4",IF(M82&gt;=0.3,"3",IF(M82&gt;=0.2,"2","1")))))))</f>
        <v>5</v>
      </c>
    </row>
    <row r="83" spans="1:28" x14ac:dyDescent="0.25">
      <c r="A83" s="66" t="s">
        <v>817</v>
      </c>
      <c r="B83" s="70">
        <v>103</v>
      </c>
      <c r="C83" s="100" t="s">
        <v>97</v>
      </c>
      <c r="D83" s="101" t="s">
        <v>897</v>
      </c>
      <c r="E83" s="102">
        <v>5400</v>
      </c>
      <c r="F83" s="94">
        <f t="shared" si="3"/>
        <v>90</v>
      </c>
      <c r="G83" s="95">
        <f t="shared" si="3"/>
        <v>1.5</v>
      </c>
      <c r="H83" s="110">
        <f t="shared" si="5"/>
        <v>24</v>
      </c>
      <c r="I83" s="82" t="s">
        <v>974</v>
      </c>
      <c r="J83" s="119">
        <f t="shared" si="4"/>
        <v>4</v>
      </c>
      <c r="K83" s="82">
        <v>3</v>
      </c>
      <c r="U83" s="82">
        <f>VLOOKUP(I83,$A$2:$H$21,8,0)</f>
        <v>8</v>
      </c>
      <c r="V83" s="120"/>
    </row>
    <row r="84" spans="1:28" x14ac:dyDescent="0.25">
      <c r="A84" s="7" t="s">
        <v>818</v>
      </c>
      <c r="B84" s="68">
        <v>104</v>
      </c>
      <c r="C84" s="91" t="s">
        <v>113</v>
      </c>
      <c r="D84" s="97" t="s">
        <v>898</v>
      </c>
      <c r="E84" s="96">
        <v>11700</v>
      </c>
      <c r="F84" s="94">
        <f t="shared" si="3"/>
        <v>195</v>
      </c>
      <c r="G84" s="95">
        <f t="shared" si="3"/>
        <v>3.25</v>
      </c>
      <c r="H84" s="110">
        <f t="shared" si="5"/>
        <v>298</v>
      </c>
      <c r="I84" s="82" t="s">
        <v>978</v>
      </c>
      <c r="J84" s="119">
        <f t="shared" si="4"/>
        <v>1.6666666666666667</v>
      </c>
      <c r="K84" s="82">
        <v>3</v>
      </c>
      <c r="L84" s="82" t="s">
        <v>979</v>
      </c>
      <c r="M84" s="119">
        <f>VLOOKUP(L84,$A$2:$G$106,7,0)</f>
        <v>1.25</v>
      </c>
      <c r="N84" s="82">
        <v>3</v>
      </c>
      <c r="O84" s="82" t="s">
        <v>937</v>
      </c>
      <c r="P84" s="119">
        <f>VLOOKUP(O84,$A$2:$G$106,7,0)</f>
        <v>0.58333333333333337</v>
      </c>
      <c r="Q84" s="82">
        <v>12</v>
      </c>
      <c r="U84" s="82">
        <f>VLOOKUP(I84,$A$61:$H$97,8,0)</f>
        <v>55</v>
      </c>
      <c r="V84" s="120" t="str">
        <f>IF(J84&gt;=4,"8",IF(J84&gt;=3,"7",IF(J84&gt;=2,"6",IF(J84&gt;=1,"5",IF(J84&gt;=0.6,"4",IF(J84&gt;=0.3,"3",IF(J84&gt;=0.2,"2","1")))))))</f>
        <v>5</v>
      </c>
      <c r="W84" s="82">
        <f>VLOOKUP(L84,$A$25:$H$79,8,0)</f>
        <v>25</v>
      </c>
      <c r="X84" s="120" t="str">
        <f>IF(M84&gt;=4,"8",IF(M84&gt;=3,"7",IF(M84&gt;=2,"6",IF(M84&gt;=1,"5",IF(M84&gt;=0.6,"4",IF(M84&gt;=0.3,"3",IF(M84&gt;=0.2,"2","1")))))))</f>
        <v>5</v>
      </c>
      <c r="Y84" s="82">
        <f>VLOOKUP(O84,$A$2:$H$83,8,0)</f>
        <v>4</v>
      </c>
      <c r="Z84" s="120"/>
    </row>
    <row r="85" spans="1:28" x14ac:dyDescent="0.25">
      <c r="A85" s="66" t="s">
        <v>819</v>
      </c>
      <c r="B85" s="69">
        <v>105</v>
      </c>
      <c r="C85" s="98" t="s">
        <v>115</v>
      </c>
      <c r="D85" s="99" t="s">
        <v>899</v>
      </c>
      <c r="E85" s="93">
        <v>7500</v>
      </c>
      <c r="F85" s="94">
        <f t="shared" si="3"/>
        <v>125</v>
      </c>
      <c r="G85" s="95">
        <f t="shared" si="3"/>
        <v>2.0833333333333335</v>
      </c>
      <c r="H85" s="110">
        <f t="shared" si="5"/>
        <v>109</v>
      </c>
      <c r="I85" s="82" t="s">
        <v>967</v>
      </c>
      <c r="J85" s="119">
        <f t="shared" si="4"/>
        <v>0.75</v>
      </c>
      <c r="K85" s="82">
        <v>2</v>
      </c>
      <c r="L85" s="82" t="s">
        <v>956</v>
      </c>
      <c r="M85" s="119">
        <f>VLOOKUP(L85,$A$2:$G$106,7,0)</f>
        <v>0.16666666666666666</v>
      </c>
      <c r="N85" s="82">
        <v>2</v>
      </c>
      <c r="O85" s="82" t="s">
        <v>980</v>
      </c>
      <c r="P85" s="119">
        <f>VLOOKUP(O85,$A$2:$G$106,7,0)</f>
        <v>0.5</v>
      </c>
      <c r="Q85" s="82">
        <v>3</v>
      </c>
      <c r="U85" s="82">
        <f>VLOOKUP(I85,$A$61:$H$97,8,0)</f>
        <v>24</v>
      </c>
      <c r="V85" s="120" t="str">
        <f>IF(J85&gt;=4,"8",IF(J85&gt;=3,"7",IF(J85&gt;=2,"6",IF(J85&gt;=1,"5",IF(J85&gt;=0.6,"4",IF(J85&gt;=0.3,"3",IF(J85&gt;=0.2,"2","1")))))))</f>
        <v>4</v>
      </c>
      <c r="W85" s="82">
        <f>VLOOKUP(L85,$A$25:$H$79,8,0)</f>
        <v>10</v>
      </c>
      <c r="X85" s="120" t="str">
        <f>IF(M85&gt;=4,"8",IF(M85&gt;=3,"7",IF(M85&gt;=2,"6",IF(M85&gt;=1,"5",IF(M85&gt;=0.6,"4",IF(M85&gt;=0.3,"3",IF(M85&gt;=0.2,"2","1")))))))</f>
        <v>1</v>
      </c>
      <c r="Y85" s="82">
        <f>VLOOKUP(O85,$A$100:$H$106,8,0)</f>
        <v>11</v>
      </c>
      <c r="Z85" s="120" t="str">
        <f>IF(P85&gt;=4,"8",IF(P85&gt;=3,"7",IF(P85&gt;=2,"6",IF(P85&gt;=1,"5",IF(P85&gt;=0.6,"4",IF(P85&gt;=0.3,"3",IF(P85&gt;=0.2,"2","1")))))))</f>
        <v>3</v>
      </c>
    </row>
    <row r="86" spans="1:28" x14ac:dyDescent="0.25">
      <c r="A86" s="7" t="s">
        <v>820</v>
      </c>
      <c r="B86" s="68">
        <v>106</v>
      </c>
      <c r="C86" s="91" t="s">
        <v>99</v>
      </c>
      <c r="D86" s="92" t="s">
        <v>900</v>
      </c>
      <c r="E86" s="96">
        <v>5400</v>
      </c>
      <c r="F86" s="94">
        <f t="shared" si="3"/>
        <v>90</v>
      </c>
      <c r="G86" s="95">
        <f t="shared" si="3"/>
        <v>1.5</v>
      </c>
      <c r="H86" s="110">
        <f t="shared" si="5"/>
        <v>32</v>
      </c>
      <c r="I86" s="82" t="s">
        <v>981</v>
      </c>
      <c r="J86" s="119">
        <f t="shared" si="4"/>
        <v>4.5</v>
      </c>
      <c r="K86" s="82">
        <v>4</v>
      </c>
      <c r="U86" s="82">
        <f>VLOOKUP(I86,$A$2:$H$21,8,0)</f>
        <v>8</v>
      </c>
      <c r="V86" s="120"/>
    </row>
    <row r="87" spans="1:28" x14ac:dyDescent="0.25">
      <c r="A87" s="7" t="s">
        <v>821</v>
      </c>
      <c r="B87" s="68">
        <v>107</v>
      </c>
      <c r="C87" s="91" t="s">
        <v>113</v>
      </c>
      <c r="D87" s="97" t="s">
        <v>901</v>
      </c>
      <c r="E87" s="96">
        <v>12300</v>
      </c>
      <c r="F87" s="94">
        <f t="shared" ref="F87:G106" si="12">E87/60</f>
        <v>205</v>
      </c>
      <c r="G87" s="95">
        <f t="shared" si="12"/>
        <v>3.4166666666666665</v>
      </c>
      <c r="H87" s="110">
        <f t="shared" ref="H87:H105" si="13">U87*K87+V87+N87*W87+X87+Q87*Y87+Z87+T87*AA87+AB87</f>
        <v>465</v>
      </c>
      <c r="I87" s="82" t="s">
        <v>982</v>
      </c>
      <c r="J87" s="119">
        <f t="shared" ref="J87:J105" si="14">VLOOKUP(I87,$A$2:$G$106,7,0)</f>
        <v>2.95</v>
      </c>
      <c r="K87" s="82">
        <v>3</v>
      </c>
      <c r="L87" s="82" t="s">
        <v>983</v>
      </c>
      <c r="M87" s="119">
        <f t="shared" ref="M87:M99" si="15">VLOOKUP(L87,$A$2:$G$106,7,0)</f>
        <v>2.6666666666666665</v>
      </c>
      <c r="N87" s="82">
        <v>3</v>
      </c>
      <c r="O87" s="82" t="s">
        <v>974</v>
      </c>
      <c r="P87" s="119">
        <f>VLOOKUP(O87,$A$2:$G$106,7,0)</f>
        <v>4</v>
      </c>
      <c r="Q87" s="82">
        <v>6</v>
      </c>
      <c r="U87" s="82">
        <f>VLOOKUP(I87,$A$61:$H$97,8,0)</f>
        <v>93</v>
      </c>
      <c r="V87" s="120" t="str">
        <f t="shared" ref="V87:V105" si="16">IF(J87&gt;=4,"8",IF(J87&gt;=3,"7",IF(J87&gt;=2,"6",IF(J87&gt;=1,"5",IF(J87&gt;=0.6,"4",IF(J87&gt;=0.3,"3",IF(J87&gt;=0.2,"2","1")))))))</f>
        <v>6</v>
      </c>
      <c r="W87" s="82">
        <f>VLOOKUP(L87,$A$25:$H$79,8,0)</f>
        <v>42</v>
      </c>
      <c r="X87" s="120" t="str">
        <f t="shared" ref="X87:X99" si="17">IF(M87&gt;=4,"8",IF(M87&gt;=3,"7",IF(M87&gt;=2,"6",IF(M87&gt;=1,"5",IF(M87&gt;=0.6,"4",IF(M87&gt;=0.3,"3",IF(M87&gt;=0.2,"2","1")))))))</f>
        <v>6</v>
      </c>
      <c r="Y87" s="82">
        <f>VLOOKUP(O87,$A$2:$H$83,8,0)</f>
        <v>8</v>
      </c>
      <c r="Z87" s="120"/>
    </row>
    <row r="88" spans="1:28" x14ac:dyDescent="0.25">
      <c r="A88" s="66" t="s">
        <v>822</v>
      </c>
      <c r="B88" s="69">
        <v>109</v>
      </c>
      <c r="C88" s="98" t="s">
        <v>115</v>
      </c>
      <c r="D88" s="99" t="s">
        <v>902</v>
      </c>
      <c r="E88" s="93">
        <v>7800</v>
      </c>
      <c r="F88" s="94">
        <f t="shared" si="12"/>
        <v>130</v>
      </c>
      <c r="G88" s="95">
        <f t="shared" si="12"/>
        <v>2.1666666666666665</v>
      </c>
      <c r="H88" s="110">
        <f t="shared" si="13"/>
        <v>135</v>
      </c>
      <c r="I88" s="82" t="s">
        <v>968</v>
      </c>
      <c r="J88" s="119">
        <f t="shared" si="14"/>
        <v>1</v>
      </c>
      <c r="K88" s="82">
        <v>2</v>
      </c>
      <c r="L88" s="82" t="s">
        <v>966</v>
      </c>
      <c r="M88" s="119">
        <f t="shared" si="15"/>
        <v>0.25</v>
      </c>
      <c r="N88" s="82">
        <v>2</v>
      </c>
      <c r="O88" s="82" t="s">
        <v>984</v>
      </c>
      <c r="P88" s="119">
        <f>VLOOKUP(O88,$A$2:$G$106,7,0)</f>
        <v>1</v>
      </c>
      <c r="Q88" s="82">
        <v>3</v>
      </c>
      <c r="U88" s="82">
        <f>VLOOKUP(I88,$A$61:$H$97,8,0)</f>
        <v>25</v>
      </c>
      <c r="V88" s="120" t="str">
        <f t="shared" si="16"/>
        <v>5</v>
      </c>
      <c r="W88" s="82">
        <f>VLOOKUP(L88,$A$25:$H$79,8,0)</f>
        <v>11</v>
      </c>
      <c r="X88" s="120" t="str">
        <f t="shared" si="17"/>
        <v>2</v>
      </c>
      <c r="Y88" s="82">
        <f>VLOOKUP(O88,$A$100:$H$106,8,0)</f>
        <v>17</v>
      </c>
      <c r="Z88" s="120" t="str">
        <f>IF(P88&gt;=4,"8",IF(P88&gt;=3,"7",IF(P88&gt;=2,"6",IF(P88&gt;=1,"5",IF(P88&gt;=0.6,"4",IF(P88&gt;=0.3,"3",IF(P88&gt;=0.2,"2","1")))))))</f>
        <v>5</v>
      </c>
    </row>
    <row r="89" spans="1:28" x14ac:dyDescent="0.25">
      <c r="A89" s="66" t="s">
        <v>823</v>
      </c>
      <c r="B89" s="69">
        <v>111</v>
      </c>
      <c r="C89" s="98" t="s">
        <v>115</v>
      </c>
      <c r="D89" s="99" t="s">
        <v>903</v>
      </c>
      <c r="E89" s="93">
        <v>9300</v>
      </c>
      <c r="F89" s="94">
        <f t="shared" si="12"/>
        <v>155</v>
      </c>
      <c r="G89" s="95">
        <f t="shared" si="12"/>
        <v>2.5833333333333335</v>
      </c>
      <c r="H89" s="110">
        <f t="shared" si="13"/>
        <v>198</v>
      </c>
      <c r="I89" s="82" t="s">
        <v>978</v>
      </c>
      <c r="J89" s="119">
        <f t="shared" si="14"/>
        <v>1.6666666666666667</v>
      </c>
      <c r="K89" s="82">
        <v>2</v>
      </c>
      <c r="L89" s="82" t="s">
        <v>957</v>
      </c>
      <c r="M89" s="119">
        <f t="shared" si="15"/>
        <v>0.41666666666666669</v>
      </c>
      <c r="N89" s="82">
        <v>2</v>
      </c>
      <c r="O89" s="82" t="s">
        <v>985</v>
      </c>
      <c r="P89" s="119">
        <f>VLOOKUP(O89,$A$2:$G$106,7,0)</f>
        <v>0.75</v>
      </c>
      <c r="Q89" s="82">
        <v>3</v>
      </c>
      <c r="U89" s="82">
        <f>VLOOKUP(I89,$A$61:$H$97,8,0)</f>
        <v>55</v>
      </c>
      <c r="V89" s="120" t="str">
        <f t="shared" si="16"/>
        <v>5</v>
      </c>
      <c r="W89" s="82">
        <f>VLOOKUP(L89,$A$25:$H$79,8,0)</f>
        <v>17</v>
      </c>
      <c r="X89" s="120" t="str">
        <f t="shared" si="17"/>
        <v>3</v>
      </c>
      <c r="Y89" s="82">
        <f>VLOOKUP(O89,$A$100:$H$106,8,0)</f>
        <v>14</v>
      </c>
      <c r="Z89" s="120" t="str">
        <f>IF(P89&gt;=4,"8",IF(P89&gt;=3,"7",IF(P89&gt;=2,"6",IF(P89&gt;=1,"5",IF(P89&gt;=0.6,"4",IF(P89&gt;=0.3,"3",IF(P89&gt;=0.2,"2","1")))))))</f>
        <v>4</v>
      </c>
    </row>
    <row r="90" spans="1:28" x14ac:dyDescent="0.25">
      <c r="A90" s="66" t="s">
        <v>824</v>
      </c>
      <c r="B90" s="71">
        <v>113</v>
      </c>
      <c r="C90" s="100" t="s">
        <v>105</v>
      </c>
      <c r="D90" s="104" t="s">
        <v>904</v>
      </c>
      <c r="E90" s="102">
        <v>5700</v>
      </c>
      <c r="F90" s="94">
        <f t="shared" si="12"/>
        <v>95</v>
      </c>
      <c r="G90" s="95">
        <f t="shared" si="12"/>
        <v>1.5833333333333333</v>
      </c>
      <c r="H90" s="110">
        <f t="shared" si="13"/>
        <v>52</v>
      </c>
      <c r="I90" s="82" t="s">
        <v>934</v>
      </c>
      <c r="J90" s="119">
        <f t="shared" si="14"/>
        <v>0.25</v>
      </c>
      <c r="K90" s="82">
        <v>4</v>
      </c>
      <c r="L90" s="82" t="s">
        <v>981</v>
      </c>
      <c r="M90" s="119">
        <f t="shared" si="15"/>
        <v>4.5</v>
      </c>
      <c r="N90" s="82">
        <v>5</v>
      </c>
      <c r="U90" s="82">
        <f>VLOOKUP(I90,$A$2:$H$21,8,0)</f>
        <v>3</v>
      </c>
      <c r="V90" s="120"/>
      <c r="W90" s="82">
        <f>VLOOKUP(L90,$A$2:$H$21,8,0)</f>
        <v>8</v>
      </c>
      <c r="X90" s="120"/>
    </row>
    <row r="91" spans="1:28" x14ac:dyDescent="0.25">
      <c r="A91" s="66" t="s">
        <v>825</v>
      </c>
      <c r="B91" s="70">
        <v>114</v>
      </c>
      <c r="C91" s="100" t="s">
        <v>111</v>
      </c>
      <c r="D91" s="101" t="s">
        <v>905</v>
      </c>
      <c r="E91" s="102">
        <v>12000</v>
      </c>
      <c r="F91" s="94">
        <f t="shared" si="12"/>
        <v>200</v>
      </c>
      <c r="G91" s="95">
        <f t="shared" si="12"/>
        <v>3.3333333333333335</v>
      </c>
      <c r="H91" s="110">
        <f t="shared" si="13"/>
        <v>80</v>
      </c>
      <c r="I91" s="82" t="s">
        <v>960</v>
      </c>
      <c r="J91" s="119">
        <f t="shared" si="14"/>
        <v>3</v>
      </c>
      <c r="K91" s="82">
        <v>4</v>
      </c>
      <c r="L91" s="82" t="s">
        <v>986</v>
      </c>
      <c r="M91" s="119">
        <f t="shared" si="15"/>
        <v>1.25</v>
      </c>
      <c r="N91" s="82">
        <v>1</v>
      </c>
      <c r="U91" s="82">
        <f>VLOOKUP(I91,$A$2:$H$86,8,0)</f>
        <v>7</v>
      </c>
      <c r="V91" s="120"/>
      <c r="W91" s="82">
        <f>VLOOKUP(L91,$A$39:$H$90,8,0)</f>
        <v>47</v>
      </c>
      <c r="X91" s="120" t="str">
        <f t="shared" si="17"/>
        <v>5</v>
      </c>
    </row>
    <row r="92" spans="1:28" x14ac:dyDescent="0.25">
      <c r="A92" s="66" t="s">
        <v>826</v>
      </c>
      <c r="B92" s="69">
        <v>115</v>
      </c>
      <c r="C92" s="98" t="s">
        <v>115</v>
      </c>
      <c r="D92" s="99" t="s">
        <v>906</v>
      </c>
      <c r="E92" s="93">
        <v>10200</v>
      </c>
      <c r="F92" s="94">
        <f t="shared" si="12"/>
        <v>170</v>
      </c>
      <c r="G92" s="95">
        <f t="shared" si="12"/>
        <v>2.8333333333333335</v>
      </c>
      <c r="H92" s="110">
        <f t="shared" si="13"/>
        <v>295</v>
      </c>
      <c r="I92" s="82" t="s">
        <v>976</v>
      </c>
      <c r="J92" s="119">
        <f t="shared" si="14"/>
        <v>1.4166666666666667</v>
      </c>
      <c r="K92" s="82">
        <v>2</v>
      </c>
      <c r="L92" s="82" t="s">
        <v>979</v>
      </c>
      <c r="M92" s="119">
        <f t="shared" si="15"/>
        <v>1.25</v>
      </c>
      <c r="N92" s="82">
        <v>2</v>
      </c>
      <c r="O92" s="82" t="s">
        <v>987</v>
      </c>
      <c r="P92" s="119">
        <f>VLOOKUP(O92,$A$2:$G$106,7,0)</f>
        <v>1.5</v>
      </c>
      <c r="Q92" s="82">
        <v>3</v>
      </c>
      <c r="U92" s="82">
        <f>VLOOKUP(I92,$A$61:$H$97,8,0)</f>
        <v>43</v>
      </c>
      <c r="V92" s="120" t="str">
        <f t="shared" si="16"/>
        <v>5</v>
      </c>
      <c r="W92" s="82">
        <f>VLOOKUP(L92,$A$25:$H$79,8,0)</f>
        <v>25</v>
      </c>
      <c r="X92" s="120" t="str">
        <f t="shared" si="17"/>
        <v>5</v>
      </c>
      <c r="Y92" s="82">
        <f>VLOOKUP(O92,$A$100:$H$106,8,0)</f>
        <v>48</v>
      </c>
      <c r="Z92" s="120" t="str">
        <f>IF(P92&gt;=4,"8",IF(P92&gt;=3,"7",IF(P92&gt;=2,"6",IF(P92&gt;=1,"5",IF(P92&gt;=0.6,"4",IF(P92&gt;=0.3,"3",IF(P92&gt;=0.2,"2","1")))))))</f>
        <v>5</v>
      </c>
    </row>
    <row r="93" spans="1:28" x14ac:dyDescent="0.25">
      <c r="A93" s="66" t="s">
        <v>827</v>
      </c>
      <c r="B93" s="70">
        <v>117</v>
      </c>
      <c r="C93" s="100" t="s">
        <v>113</v>
      </c>
      <c r="D93" s="105" t="s">
        <v>907</v>
      </c>
      <c r="E93" s="103">
        <v>14100</v>
      </c>
      <c r="F93" s="94">
        <f t="shared" si="12"/>
        <v>235</v>
      </c>
      <c r="G93" s="95">
        <f t="shared" si="12"/>
        <v>3.9166666666666665</v>
      </c>
      <c r="H93" s="110">
        <f t="shared" si="13"/>
        <v>396</v>
      </c>
      <c r="I93" s="82" t="s">
        <v>988</v>
      </c>
      <c r="J93" s="119">
        <f t="shared" si="14"/>
        <v>3.3333333333333335</v>
      </c>
      <c r="K93" s="82">
        <v>3</v>
      </c>
      <c r="L93" s="82" t="s">
        <v>970</v>
      </c>
      <c r="M93" s="119">
        <f t="shared" si="15"/>
        <v>1.8333333333333333</v>
      </c>
      <c r="N93" s="82">
        <v>3</v>
      </c>
      <c r="O93" s="82" t="s">
        <v>960</v>
      </c>
      <c r="P93" s="119">
        <f>VLOOKUP(O93,$A$2:$G$106,7,0)</f>
        <v>3</v>
      </c>
      <c r="Q93" s="82">
        <v>6</v>
      </c>
      <c r="U93" s="82">
        <f>VLOOKUP(I93,$A$61:$H$97,8,0)</f>
        <v>80</v>
      </c>
      <c r="V93" s="120" t="str">
        <f t="shared" si="16"/>
        <v>7</v>
      </c>
      <c r="W93" s="82">
        <f>VLOOKUP(L93,$A$25:$H$79,8,0)</f>
        <v>34</v>
      </c>
      <c r="X93" s="120" t="str">
        <f t="shared" si="17"/>
        <v>5</v>
      </c>
      <c r="Y93" s="82">
        <f>VLOOKUP(O93,$A$2:$H$83,8,0)</f>
        <v>7</v>
      </c>
      <c r="Z93" s="120"/>
    </row>
    <row r="94" spans="1:28" x14ac:dyDescent="0.25">
      <c r="A94" s="67" t="s">
        <v>828</v>
      </c>
      <c r="B94" s="69">
        <v>120</v>
      </c>
      <c r="C94" s="98" t="s">
        <v>115</v>
      </c>
      <c r="D94" s="99" t="s">
        <v>908</v>
      </c>
      <c r="E94" s="93">
        <v>12900</v>
      </c>
      <c r="F94" s="94">
        <f t="shared" si="12"/>
        <v>215</v>
      </c>
      <c r="G94" s="95">
        <f t="shared" si="12"/>
        <v>3.5833333333333335</v>
      </c>
      <c r="H94" s="110">
        <f t="shared" si="13"/>
        <v>1132</v>
      </c>
      <c r="I94" s="82" t="s">
        <v>988</v>
      </c>
      <c r="J94" s="119">
        <f t="shared" si="14"/>
        <v>3.3333333333333335</v>
      </c>
      <c r="K94" s="82">
        <v>2</v>
      </c>
      <c r="L94" s="82" t="s">
        <v>970</v>
      </c>
      <c r="M94" s="119">
        <f t="shared" si="15"/>
        <v>1.8333333333333333</v>
      </c>
      <c r="N94" s="82">
        <v>2</v>
      </c>
      <c r="O94" s="82" t="s">
        <v>989</v>
      </c>
      <c r="P94" s="119">
        <f>VLOOKUP(O94,$A$2:$G$106,7,0)</f>
        <v>3</v>
      </c>
      <c r="Q94" s="82">
        <v>3</v>
      </c>
      <c r="U94" s="82">
        <f>VLOOKUP(I94,$A$61:$H$97,8,0)</f>
        <v>80</v>
      </c>
      <c r="V94" s="120" t="str">
        <f t="shared" si="16"/>
        <v>7</v>
      </c>
      <c r="W94" s="82">
        <f>VLOOKUP(L94,$A$25:$H$79,8,0)</f>
        <v>34</v>
      </c>
      <c r="X94" s="120" t="str">
        <f t="shared" si="17"/>
        <v>5</v>
      </c>
      <c r="Y94" s="82">
        <f>VLOOKUP(O94,$A$100:$H$106,8,0)</f>
        <v>295</v>
      </c>
      <c r="Z94" s="120" t="str">
        <f>IF(P94&gt;=4,"8",IF(P94&gt;=3,"7",IF(P94&gt;=2,"6",IF(P94&gt;=1,"5",IF(P94&gt;=0.6,"4",IF(P94&gt;=0.3,"3",IF(P94&gt;=0.2,"2","1")))))))</f>
        <v>7</v>
      </c>
    </row>
    <row r="95" spans="1:28" x14ac:dyDescent="0.25">
      <c r="A95" s="71" t="s">
        <v>829</v>
      </c>
      <c r="B95" s="71">
        <v>122</v>
      </c>
      <c r="C95" s="106" t="s">
        <v>109</v>
      </c>
      <c r="D95" s="104" t="s">
        <v>909</v>
      </c>
      <c r="E95" s="102">
        <v>13600</v>
      </c>
      <c r="F95" s="94">
        <f t="shared" si="12"/>
        <v>226.66666666666666</v>
      </c>
      <c r="G95" s="95">
        <f t="shared" si="12"/>
        <v>3.7777777777777777</v>
      </c>
      <c r="H95" s="110">
        <f>U95*K95+V95+N95*W95+X95+Q95*Y95+Z95+T95*AA95+AB95</f>
        <v>78</v>
      </c>
      <c r="J95" s="119"/>
      <c r="L95" s="82" t="s">
        <v>944</v>
      </c>
      <c r="M95" s="119">
        <f t="shared" si="15"/>
        <v>1.75</v>
      </c>
      <c r="N95" s="82">
        <v>6</v>
      </c>
      <c r="O95" s="82" t="s">
        <v>983</v>
      </c>
      <c r="P95" s="119">
        <f>VLOOKUP(O95,$A$2:$G$106,7,0)</f>
        <v>2.6666666666666665</v>
      </c>
      <c r="Q95" s="82">
        <v>1</v>
      </c>
      <c r="V95" s="120"/>
      <c r="W95" s="82">
        <f>VLOOKUP(L95,$A$2:$H$21,8,0)</f>
        <v>5</v>
      </c>
      <c r="X95" s="120"/>
      <c r="Y95" s="82">
        <f>VLOOKUP(O95,$A$25:$H$79,8,0)</f>
        <v>42</v>
      </c>
      <c r="Z95" s="120" t="str">
        <f>IF(P95&gt;=4,"8",IF(P95&gt;=3,"7",IF(P95&gt;=2,"6",IF(P95&gt;=1,"5",IF(P95&gt;=0.6,"4",IF(P95&gt;=0.3,"3",IF(P95&gt;=0.2,"2","1")))))))</f>
        <v>6</v>
      </c>
    </row>
    <row r="96" spans="1:28" x14ac:dyDescent="0.25">
      <c r="A96" s="66" t="s">
        <v>830</v>
      </c>
      <c r="B96" s="69">
        <v>124</v>
      </c>
      <c r="C96" s="98" t="s">
        <v>115</v>
      </c>
      <c r="D96" s="99" t="s">
        <v>910</v>
      </c>
      <c r="E96" s="93">
        <v>11400</v>
      </c>
      <c r="F96" s="94">
        <f t="shared" si="12"/>
        <v>190</v>
      </c>
      <c r="G96" s="95">
        <f t="shared" si="12"/>
        <v>3.1666666666666665</v>
      </c>
      <c r="H96" s="110">
        <f t="shared" si="13"/>
        <v>448</v>
      </c>
      <c r="I96" s="82" t="s">
        <v>982</v>
      </c>
      <c r="J96" s="119">
        <f t="shared" si="14"/>
        <v>2.95</v>
      </c>
      <c r="K96" s="82">
        <v>2</v>
      </c>
      <c r="L96" s="82" t="s">
        <v>958</v>
      </c>
      <c r="M96" s="119">
        <f t="shared" si="15"/>
        <v>1.6666666666666667</v>
      </c>
      <c r="N96" s="82">
        <v>2</v>
      </c>
      <c r="O96" s="82" t="s">
        <v>990</v>
      </c>
      <c r="P96" s="119">
        <f>VLOOKUP(O96,$A$2:$G$106,7,0)</f>
        <v>2</v>
      </c>
      <c r="Q96" s="82">
        <v>3</v>
      </c>
      <c r="U96" s="82">
        <f>VLOOKUP(I96,$A$61:$H$97,8,0)</f>
        <v>93</v>
      </c>
      <c r="V96" s="120" t="str">
        <f t="shared" si="16"/>
        <v>6</v>
      </c>
      <c r="W96" s="82">
        <f>VLOOKUP(L96,$A$25:$H$79,8,0)</f>
        <v>28</v>
      </c>
      <c r="X96" s="120" t="str">
        <f t="shared" si="17"/>
        <v>5</v>
      </c>
      <c r="Y96" s="82">
        <f>VLOOKUP(O96,$A$100:$H$106,8,0)</f>
        <v>63</v>
      </c>
      <c r="Z96" s="120" t="str">
        <f>IF(P96&gt;=4,"8",IF(P96&gt;=3,"7",IF(P96&gt;=2,"6",IF(P96&gt;=1,"5",IF(P96&gt;=0.6,"4",IF(P96&gt;=0.3,"3",IF(P96&gt;=0.2,"2","1")))))))</f>
        <v>6</v>
      </c>
    </row>
    <row r="97" spans="1:28" x14ac:dyDescent="0.25">
      <c r="A97" s="66" t="s">
        <v>831</v>
      </c>
      <c r="B97" s="71">
        <v>126</v>
      </c>
      <c r="C97" s="100" t="s">
        <v>111</v>
      </c>
      <c r="D97" s="104" t="s">
        <v>911</v>
      </c>
      <c r="E97" s="103">
        <v>14400</v>
      </c>
      <c r="F97" s="94">
        <f t="shared" si="12"/>
        <v>240</v>
      </c>
      <c r="G97" s="95">
        <f t="shared" si="12"/>
        <v>4</v>
      </c>
      <c r="H97" s="110">
        <f t="shared" si="13"/>
        <v>94</v>
      </c>
      <c r="I97" s="82" t="s">
        <v>991</v>
      </c>
      <c r="J97" s="119">
        <f t="shared" si="14"/>
        <v>1.5</v>
      </c>
      <c r="K97" s="82">
        <v>1</v>
      </c>
      <c r="L97" s="82" t="s">
        <v>992</v>
      </c>
      <c r="M97" s="119">
        <f t="shared" si="15"/>
        <v>1.5833333333333333</v>
      </c>
      <c r="N97" s="82">
        <v>1</v>
      </c>
      <c r="U97" s="82">
        <f>VLOOKUP(I97,$A$2:$H$86,8,0)</f>
        <v>32</v>
      </c>
      <c r="V97" s="120" t="str">
        <f t="shared" si="16"/>
        <v>5</v>
      </c>
      <c r="W97" s="82">
        <f>VLOOKUP(L97,$A$39:$H$90,8,0)</f>
        <v>52</v>
      </c>
      <c r="X97" s="120" t="str">
        <f t="shared" si="17"/>
        <v>5</v>
      </c>
    </row>
    <row r="98" spans="1:28" x14ac:dyDescent="0.25">
      <c r="A98" s="66" t="s">
        <v>832</v>
      </c>
      <c r="B98" s="71">
        <v>128</v>
      </c>
      <c r="C98" s="106" t="s">
        <v>115</v>
      </c>
      <c r="D98" s="104" t="s">
        <v>912</v>
      </c>
      <c r="E98" s="103">
        <v>13200</v>
      </c>
      <c r="F98" s="94">
        <f t="shared" si="12"/>
        <v>220</v>
      </c>
      <c r="G98" s="95">
        <f t="shared" si="12"/>
        <v>3.6666666666666665</v>
      </c>
      <c r="H98" s="110">
        <f t="shared" si="13"/>
        <v>358</v>
      </c>
      <c r="I98" s="82" t="s">
        <v>967</v>
      </c>
      <c r="J98" s="119">
        <f t="shared" si="14"/>
        <v>0.75</v>
      </c>
      <c r="K98" s="82">
        <v>2</v>
      </c>
      <c r="L98" s="82" t="s">
        <v>983</v>
      </c>
      <c r="M98" s="119">
        <f t="shared" si="15"/>
        <v>2.6666666666666665</v>
      </c>
      <c r="N98" s="82">
        <v>2</v>
      </c>
      <c r="O98" s="82" t="s">
        <v>993</v>
      </c>
      <c r="P98" s="119">
        <f>VLOOKUP(O98,$A$2:$G$106,7,0)</f>
        <v>2.5</v>
      </c>
      <c r="Q98" s="82">
        <v>3</v>
      </c>
      <c r="U98" s="82">
        <f>VLOOKUP(I98,$A$61:$H$97,8,0)</f>
        <v>24</v>
      </c>
      <c r="V98" s="120" t="str">
        <f t="shared" si="16"/>
        <v>4</v>
      </c>
      <c r="W98" s="82">
        <f>VLOOKUP(L98,$A$25:$H$79,8,0)</f>
        <v>42</v>
      </c>
      <c r="X98" s="120" t="str">
        <f t="shared" si="17"/>
        <v>6</v>
      </c>
      <c r="Y98" s="82">
        <f>VLOOKUP(O98,$A$100:$H$106,8,0)</f>
        <v>70</v>
      </c>
      <c r="Z98" s="120" t="str">
        <f>IF(P98&gt;=4,"8",IF(P98&gt;=3,"7",IF(P98&gt;=2,"6",IF(P98&gt;=1,"5",IF(P98&gt;=0.6,"4",IF(P98&gt;=0.3,"3",IF(P98&gt;=0.2,"2","1")))))))</f>
        <v>6</v>
      </c>
    </row>
    <row r="99" spans="1:28" x14ac:dyDescent="0.25">
      <c r="A99" s="66" t="s">
        <v>833</v>
      </c>
      <c r="B99" s="71">
        <v>135</v>
      </c>
      <c r="C99" s="106" t="s">
        <v>115</v>
      </c>
      <c r="D99" s="104" t="s">
        <v>913</v>
      </c>
      <c r="E99" s="103">
        <v>15000</v>
      </c>
      <c r="F99" s="94">
        <f t="shared" si="12"/>
        <v>250</v>
      </c>
      <c r="G99" s="95">
        <f t="shared" si="12"/>
        <v>4.166666666666667</v>
      </c>
      <c r="H99" s="110">
        <f t="shared" si="13"/>
        <v>1300</v>
      </c>
      <c r="I99" s="82" t="s">
        <v>994</v>
      </c>
      <c r="J99" s="119">
        <f t="shared" si="14"/>
        <v>4</v>
      </c>
      <c r="K99" s="82">
        <v>2</v>
      </c>
      <c r="L99" s="82" t="s">
        <v>995</v>
      </c>
      <c r="M99" s="119">
        <f t="shared" si="15"/>
        <v>2.0833333333333335</v>
      </c>
      <c r="N99" s="82">
        <v>2</v>
      </c>
      <c r="O99" s="82" t="s">
        <v>989</v>
      </c>
      <c r="P99" s="119">
        <f>VLOOKUP(O99,$A$2:$G$106,7,0)</f>
        <v>3</v>
      </c>
      <c r="Q99" s="82">
        <v>3</v>
      </c>
      <c r="U99" s="82">
        <f>VLOOKUP(I99,$A$61:$H$97,8,0)</f>
        <v>94</v>
      </c>
      <c r="V99" s="120" t="str">
        <f t="shared" si="16"/>
        <v>8</v>
      </c>
      <c r="W99" s="82">
        <f>VLOOKUP(L99,$A$25:$H$79,8,0)</f>
        <v>103</v>
      </c>
      <c r="X99" s="120" t="str">
        <f t="shared" si="17"/>
        <v>6</v>
      </c>
      <c r="Y99" s="82">
        <f>VLOOKUP(O99,$A$100:$H$106,8,0)</f>
        <v>295</v>
      </c>
      <c r="Z99" s="120" t="str">
        <f>IF(P99&gt;=4,"8",IF(P99&gt;=3,"7",IF(P99&gt;=2,"6",IF(P99&gt;=1,"5",IF(P99&gt;=0.6,"4",IF(P99&gt;=0.3,"3",IF(P99&gt;=0.2,"2","1")))))))</f>
        <v>7</v>
      </c>
    </row>
    <row r="100" spans="1:28" x14ac:dyDescent="0.25">
      <c r="A100" s="7" t="s">
        <v>918</v>
      </c>
      <c r="B100" s="68">
        <v>23</v>
      </c>
      <c r="C100" s="91" t="s">
        <v>103</v>
      </c>
      <c r="D100" s="92" t="s">
        <v>919</v>
      </c>
      <c r="E100" s="99">
        <v>1800</v>
      </c>
      <c r="F100" s="94">
        <f t="shared" si="12"/>
        <v>30</v>
      </c>
      <c r="G100" s="95">
        <f t="shared" si="12"/>
        <v>0.5</v>
      </c>
      <c r="H100" s="110">
        <f t="shared" si="13"/>
        <v>11</v>
      </c>
      <c r="I100" s="82" t="s">
        <v>934</v>
      </c>
      <c r="J100" s="119">
        <f t="shared" si="14"/>
        <v>0.25</v>
      </c>
      <c r="K100" s="82">
        <v>1</v>
      </c>
      <c r="L100" s="82" t="s">
        <v>996</v>
      </c>
      <c r="M100" s="119"/>
      <c r="N100" s="82">
        <v>2</v>
      </c>
      <c r="U100" s="82">
        <f t="shared" ref="U100:U106" si="18">VLOOKUP(I100,$A$2:$H$21,8,0)</f>
        <v>3</v>
      </c>
      <c r="V100" s="120" t="str">
        <f t="shared" si="16"/>
        <v>2</v>
      </c>
      <c r="W100" s="82">
        <f>VLOOKUP(L100,$A$107:$H$113,8,0)</f>
        <v>3</v>
      </c>
      <c r="X100" s="120"/>
    </row>
    <row r="101" spans="1:28" x14ac:dyDescent="0.25">
      <c r="A101" s="7" t="s">
        <v>920</v>
      </c>
      <c r="B101" s="68">
        <v>25</v>
      </c>
      <c r="C101" s="91" t="s">
        <v>103</v>
      </c>
      <c r="D101" s="92" t="s">
        <v>921</v>
      </c>
      <c r="E101" s="99">
        <v>2700</v>
      </c>
      <c r="F101" s="94">
        <f t="shared" si="12"/>
        <v>45</v>
      </c>
      <c r="G101" s="95">
        <f t="shared" si="12"/>
        <v>0.75</v>
      </c>
      <c r="H101" s="110">
        <f t="shared" si="13"/>
        <v>14</v>
      </c>
      <c r="I101" s="82" t="s">
        <v>934</v>
      </c>
      <c r="J101" s="119">
        <f t="shared" si="14"/>
        <v>0.25</v>
      </c>
      <c r="K101" s="82">
        <v>1</v>
      </c>
      <c r="L101" s="82" t="s">
        <v>997</v>
      </c>
      <c r="M101" s="119"/>
      <c r="N101" s="82">
        <v>3</v>
      </c>
      <c r="U101" s="82">
        <f t="shared" si="18"/>
        <v>3</v>
      </c>
      <c r="V101" s="120" t="str">
        <f t="shared" si="16"/>
        <v>2</v>
      </c>
      <c r="W101" s="82">
        <f t="shared" ref="W101:W106" si="19">VLOOKUP(L101,$A$107:$H$113,8,0)</f>
        <v>3</v>
      </c>
      <c r="X101" s="120"/>
    </row>
    <row r="102" spans="1:28" x14ac:dyDescent="0.25">
      <c r="A102" s="7" t="s">
        <v>922</v>
      </c>
      <c r="B102" s="68">
        <v>27</v>
      </c>
      <c r="C102" s="91" t="s">
        <v>103</v>
      </c>
      <c r="D102" s="97" t="s">
        <v>923</v>
      </c>
      <c r="E102" s="99">
        <v>3600</v>
      </c>
      <c r="F102" s="94">
        <f t="shared" si="12"/>
        <v>60</v>
      </c>
      <c r="G102" s="95">
        <f t="shared" si="12"/>
        <v>1</v>
      </c>
      <c r="H102" s="110">
        <f t="shared" si="13"/>
        <v>17</v>
      </c>
      <c r="I102" s="82" t="s">
        <v>934</v>
      </c>
      <c r="J102" s="119">
        <f t="shared" si="14"/>
        <v>0.25</v>
      </c>
      <c r="K102" s="82">
        <v>1</v>
      </c>
      <c r="L102" s="82" t="s">
        <v>998</v>
      </c>
      <c r="M102" s="119"/>
      <c r="N102" s="82">
        <v>4</v>
      </c>
      <c r="U102" s="82">
        <f t="shared" si="18"/>
        <v>3</v>
      </c>
      <c r="V102" s="120" t="str">
        <f t="shared" si="16"/>
        <v>2</v>
      </c>
      <c r="W102" s="82">
        <f t="shared" si="19"/>
        <v>3</v>
      </c>
      <c r="X102" s="120"/>
    </row>
    <row r="103" spans="1:28" x14ac:dyDescent="0.25">
      <c r="A103" s="7" t="s">
        <v>924</v>
      </c>
      <c r="B103" s="68">
        <v>33</v>
      </c>
      <c r="C103" s="91" t="s">
        <v>103</v>
      </c>
      <c r="D103" s="97" t="s">
        <v>925</v>
      </c>
      <c r="E103" s="99">
        <v>5400</v>
      </c>
      <c r="F103" s="94">
        <f t="shared" si="12"/>
        <v>90</v>
      </c>
      <c r="G103" s="95">
        <f t="shared" si="12"/>
        <v>1.5</v>
      </c>
      <c r="H103" s="110">
        <f t="shared" si="13"/>
        <v>48</v>
      </c>
      <c r="I103" s="82" t="s">
        <v>934</v>
      </c>
      <c r="J103" s="119">
        <f t="shared" si="14"/>
        <v>0.25</v>
      </c>
      <c r="K103" s="82">
        <v>2</v>
      </c>
      <c r="L103" s="82" t="s">
        <v>999</v>
      </c>
      <c r="M103" s="119"/>
      <c r="N103" s="82">
        <v>2</v>
      </c>
      <c r="O103" s="82" t="s">
        <v>980</v>
      </c>
      <c r="P103" s="119">
        <f>VLOOKUP(O103,$A$2:$G$106,7,0)</f>
        <v>0.5</v>
      </c>
      <c r="Q103" s="82">
        <v>1</v>
      </c>
      <c r="R103" s="82" t="s">
        <v>985</v>
      </c>
      <c r="S103" s="119">
        <f>VLOOKUP(R103,$A$2:$G$106,7,0)</f>
        <v>0.75</v>
      </c>
      <c r="T103" s="82">
        <v>1</v>
      </c>
      <c r="U103" s="82">
        <f t="shared" si="18"/>
        <v>3</v>
      </c>
      <c r="V103" s="120" t="str">
        <f t="shared" si="16"/>
        <v>2</v>
      </c>
      <c r="W103" s="82">
        <f t="shared" si="19"/>
        <v>4</v>
      </c>
      <c r="X103" s="120"/>
      <c r="Y103" s="82">
        <f>VLOOKUP(O103,$A$100:$H$102,8,0)</f>
        <v>11</v>
      </c>
      <c r="Z103" s="120" t="str">
        <f>IF(P103&gt;=4,"8",IF(P103&gt;=3,"7",IF(P103&gt;=2,"6",IF(P103&gt;=1,"5",IF(P103&gt;=0.6,"4",IF(P103&gt;=0.3,"3",IF(P103&gt;=0.2,"2","1")))))))</f>
        <v>3</v>
      </c>
      <c r="AA103" s="82">
        <f>VLOOKUP(R103,$A$100:$H$102,8,0)</f>
        <v>14</v>
      </c>
      <c r="AB103" s="120" t="str">
        <f>IF(S103&gt;=4,"8",IF(S103&gt;=3,"7",IF(S103&gt;=2,"6",IF(S103&gt;=1,"5",IF(S103&gt;=0.6,"4",IF(S103&gt;=0.3,"3",IF(S103&gt;=0.2,"2","1")))))))</f>
        <v>4</v>
      </c>
    </row>
    <row r="104" spans="1:28" x14ac:dyDescent="0.25">
      <c r="A104" s="7" t="s">
        <v>926</v>
      </c>
      <c r="B104" s="68">
        <v>41</v>
      </c>
      <c r="C104" s="91" t="s">
        <v>103</v>
      </c>
      <c r="D104" s="97" t="s">
        <v>927</v>
      </c>
      <c r="E104" s="99">
        <v>7200</v>
      </c>
      <c r="F104" s="94">
        <f t="shared" si="12"/>
        <v>120</v>
      </c>
      <c r="G104" s="95">
        <f t="shared" si="12"/>
        <v>2</v>
      </c>
      <c r="H104" s="110">
        <f t="shared" si="13"/>
        <v>63</v>
      </c>
      <c r="I104" s="82" t="s">
        <v>934</v>
      </c>
      <c r="J104" s="119">
        <f t="shared" si="14"/>
        <v>0.25</v>
      </c>
      <c r="K104" s="82">
        <v>2</v>
      </c>
      <c r="L104" s="82" t="s">
        <v>1000</v>
      </c>
      <c r="M104" s="119"/>
      <c r="N104" s="82">
        <v>2</v>
      </c>
      <c r="O104" s="82" t="s">
        <v>984</v>
      </c>
      <c r="P104" s="119">
        <f>VLOOKUP(O104,$A$2:$G$106,7,0)</f>
        <v>1</v>
      </c>
      <c r="Q104" s="82">
        <v>1</v>
      </c>
      <c r="R104" s="82" t="s">
        <v>980</v>
      </c>
      <c r="S104" s="119">
        <f>VLOOKUP(R104,$A$2:$G$106,7,0)</f>
        <v>0.5</v>
      </c>
      <c r="T104" s="82">
        <v>2</v>
      </c>
      <c r="U104" s="82">
        <f t="shared" si="18"/>
        <v>3</v>
      </c>
      <c r="V104" s="120" t="str">
        <f t="shared" si="16"/>
        <v>2</v>
      </c>
      <c r="W104" s="82">
        <f t="shared" si="19"/>
        <v>4</v>
      </c>
      <c r="X104" s="120"/>
      <c r="Y104" s="82">
        <f>VLOOKUP(O104,$A$100:$H$102,8,0)</f>
        <v>17</v>
      </c>
      <c r="Z104" s="120" t="str">
        <f>IF(P104&gt;=4,"8",IF(P104&gt;=3,"7",IF(P104&gt;=2,"6",IF(P104&gt;=1,"5",IF(P104&gt;=0.6,"4",IF(P104&gt;=0.3,"3",IF(P104&gt;=0.2,"2","1")))))))</f>
        <v>5</v>
      </c>
      <c r="AA104" s="82">
        <f>VLOOKUP(R104,$A$100:$H$102,8,0)</f>
        <v>11</v>
      </c>
      <c r="AB104" s="120" t="str">
        <f>IF(S104&gt;=4,"8",IF(S104&gt;=3,"7",IF(S104&gt;=2,"6",IF(S104&gt;=1,"5",IF(S104&gt;=0.6,"4",IF(S104&gt;=0.3,"3",IF(S104&gt;=0.2,"2","1")))))))</f>
        <v>3</v>
      </c>
    </row>
    <row r="105" spans="1:28" x14ac:dyDescent="0.25">
      <c r="A105" s="7" t="s">
        <v>928</v>
      </c>
      <c r="B105" s="68">
        <v>53</v>
      </c>
      <c r="C105" s="91" t="s">
        <v>103</v>
      </c>
      <c r="D105" s="97" t="s">
        <v>929</v>
      </c>
      <c r="E105" s="99">
        <v>9000</v>
      </c>
      <c r="F105" s="94">
        <f t="shared" si="12"/>
        <v>150</v>
      </c>
      <c r="G105" s="95">
        <f t="shared" si="12"/>
        <v>2.5</v>
      </c>
      <c r="H105" s="110">
        <f t="shared" si="13"/>
        <v>70</v>
      </c>
      <c r="I105" s="82" t="s">
        <v>934</v>
      </c>
      <c r="J105" s="119">
        <f t="shared" si="14"/>
        <v>0.25</v>
      </c>
      <c r="K105" s="82">
        <v>2</v>
      </c>
      <c r="L105" s="82" t="s">
        <v>1001</v>
      </c>
      <c r="M105" s="119"/>
      <c r="N105" s="82">
        <v>2</v>
      </c>
      <c r="O105" s="82" t="s">
        <v>984</v>
      </c>
      <c r="P105" s="119">
        <f>VLOOKUP(O105,$A$2:$G$106,7,0)</f>
        <v>1</v>
      </c>
      <c r="Q105" s="82">
        <v>1</v>
      </c>
      <c r="R105" s="82" t="s">
        <v>985</v>
      </c>
      <c r="S105" s="119">
        <f>VLOOKUP(R105,$A$2:$G$106,7,0)</f>
        <v>0.75</v>
      </c>
      <c r="T105" s="82">
        <v>2</v>
      </c>
      <c r="U105" s="82">
        <f t="shared" si="18"/>
        <v>3</v>
      </c>
      <c r="V105" s="120" t="str">
        <f t="shared" si="16"/>
        <v>2</v>
      </c>
      <c r="W105" s="82">
        <f t="shared" si="19"/>
        <v>4</v>
      </c>
      <c r="X105" s="120"/>
      <c r="Y105" s="82">
        <f>VLOOKUP(O105,$A$100:$H$102,8,0)</f>
        <v>17</v>
      </c>
      <c r="Z105" s="120" t="str">
        <f>IF(P105&gt;=4,"8",IF(P105&gt;=3,"7",IF(P105&gt;=2,"6",IF(P105&gt;=1,"5",IF(P105&gt;=0.6,"4",IF(P105&gt;=0.3,"3",IF(P105&gt;=0.2,"2","1")))))))</f>
        <v>5</v>
      </c>
      <c r="AA105" s="82">
        <f>VLOOKUP(R105,$A$100:$H$102,8,0)</f>
        <v>14</v>
      </c>
      <c r="AB105" s="120" t="str">
        <f>IF(S105&gt;=4,"8",IF(S105&gt;=3,"7",IF(S105&gt;=2,"6",IF(S105&gt;=1,"5",IF(S105&gt;=0.6,"4",IF(S105&gt;=0.3,"3",IF(S105&gt;=0.2,"2","1")))))))</f>
        <v>4</v>
      </c>
    </row>
    <row r="106" spans="1:28" x14ac:dyDescent="0.25">
      <c r="A106" s="69" t="s">
        <v>930</v>
      </c>
      <c r="B106" s="73">
        <v>55</v>
      </c>
      <c r="C106" s="91" t="s">
        <v>103</v>
      </c>
      <c r="D106" s="92" t="s">
        <v>931</v>
      </c>
      <c r="E106" s="99">
        <v>10800</v>
      </c>
      <c r="F106" s="94">
        <f t="shared" si="12"/>
        <v>180</v>
      </c>
      <c r="G106" s="94">
        <f t="shared" si="12"/>
        <v>3</v>
      </c>
      <c r="H106" s="110">
        <f>U106*K106+V106+N106*W106+X106+Q106*Y106+Z106+T106*AA106+AB106</f>
        <v>295</v>
      </c>
      <c r="I106" s="82" t="s">
        <v>944</v>
      </c>
      <c r="J106" s="119">
        <f>VLOOKUP(I106,$A$2:$G$106,7,0)</f>
        <v>1.75</v>
      </c>
      <c r="K106" s="82">
        <v>2</v>
      </c>
      <c r="L106" s="82" t="s">
        <v>1002</v>
      </c>
      <c r="M106" s="119"/>
      <c r="N106" s="82">
        <v>2</v>
      </c>
      <c r="O106" s="82" t="s">
        <v>993</v>
      </c>
      <c r="P106" s="119">
        <f>VLOOKUP(O106,$A$2:$G$106,7,0)</f>
        <v>2.5</v>
      </c>
      <c r="Q106" s="82">
        <v>3</v>
      </c>
      <c r="R106" s="82" t="s">
        <v>980</v>
      </c>
      <c r="S106" s="119">
        <f>VLOOKUP(R106,$A$2:$G$106,7,0)</f>
        <v>0.5</v>
      </c>
      <c r="T106" s="82">
        <v>5</v>
      </c>
      <c r="U106" s="82">
        <f t="shared" si="18"/>
        <v>5</v>
      </c>
      <c r="V106" s="120" t="str">
        <f>IF(J106&gt;=4,"8",IF(J106&gt;=3,"7",IF(J106&gt;=2,"6",IF(J106&gt;=1,"5",IF(J106&gt;=0.6,"4",IF(J106&gt;=0.3,"3",IF(J106&gt;=0.2,"2","1")))))))</f>
        <v>5</v>
      </c>
      <c r="W106" s="82">
        <f t="shared" si="19"/>
        <v>3</v>
      </c>
      <c r="X106" s="120"/>
      <c r="Y106" s="82">
        <f>VLOOKUP(O106,$A$100:$H$105,8,0)</f>
        <v>70</v>
      </c>
      <c r="Z106" s="120" t="str">
        <f>IF(P106&gt;=4,"8",IF(P106&gt;=3,"7",IF(P106&gt;=2,"6",IF(P106&gt;=1,"5",IF(P106&gt;=0.6,"4",IF(P106&gt;=0.3,"3",IF(P106&gt;=0.2,"2","1")))))))</f>
        <v>6</v>
      </c>
      <c r="AA106" s="82">
        <f>VLOOKUP(R106,$A$100:$H$102,8,0)</f>
        <v>11</v>
      </c>
      <c r="AB106" s="120" t="str">
        <f>IF(S106&gt;=4,"8",IF(S106&gt;=3,"7",IF(S106&gt;=2,"6",IF(S106&gt;=1,"5",IF(S106&gt;=0.6,"4",IF(S106&gt;=0.3,"3",IF(S106&gt;=0.2,"2","1")))))))</f>
        <v>3</v>
      </c>
    </row>
    <row r="107" spans="1:28" x14ac:dyDescent="0.25">
      <c r="A107" s="69" t="s">
        <v>1012</v>
      </c>
      <c r="B107" s="69"/>
      <c r="C107" s="98" t="s">
        <v>1019</v>
      </c>
      <c r="D107" s="99"/>
      <c r="E107" s="99"/>
      <c r="H107" s="118">
        <v>3</v>
      </c>
      <c r="J107" s="119"/>
    </row>
    <row r="108" spans="1:28" x14ac:dyDescent="0.25">
      <c r="A108" s="69" t="s">
        <v>1013</v>
      </c>
      <c r="B108" s="69"/>
      <c r="C108" s="98" t="s">
        <v>1019</v>
      </c>
      <c r="D108" s="99"/>
      <c r="E108" s="99"/>
      <c r="H108" s="118">
        <v>3</v>
      </c>
      <c r="J108" s="119"/>
    </row>
    <row r="109" spans="1:28" x14ac:dyDescent="0.25">
      <c r="A109" s="69" t="s">
        <v>1014</v>
      </c>
      <c r="B109" s="69"/>
      <c r="C109" s="98" t="s">
        <v>1019</v>
      </c>
      <c r="D109" s="99"/>
      <c r="E109" s="99"/>
      <c r="H109" s="118">
        <v>3</v>
      </c>
      <c r="J109" s="119"/>
    </row>
    <row r="110" spans="1:28" x14ac:dyDescent="0.25">
      <c r="A110" s="69" t="s">
        <v>1015</v>
      </c>
      <c r="B110" s="69"/>
      <c r="C110" s="98" t="s">
        <v>1019</v>
      </c>
      <c r="D110" s="99"/>
      <c r="E110" s="99"/>
      <c r="H110" s="118">
        <v>4</v>
      </c>
      <c r="J110" s="119"/>
    </row>
    <row r="111" spans="1:28" x14ac:dyDescent="0.25">
      <c r="A111" s="69" t="s">
        <v>1016</v>
      </c>
      <c r="B111" s="69"/>
      <c r="C111" s="98" t="s">
        <v>1019</v>
      </c>
      <c r="D111" s="99"/>
      <c r="E111" s="99"/>
      <c r="H111" s="118">
        <v>4</v>
      </c>
      <c r="J111" s="119"/>
    </row>
    <row r="112" spans="1:28" x14ac:dyDescent="0.25">
      <c r="A112" s="69" t="s">
        <v>1017</v>
      </c>
      <c r="B112" s="69"/>
      <c r="C112" s="98" t="s">
        <v>1019</v>
      </c>
      <c r="D112" s="99"/>
      <c r="E112" s="99"/>
      <c r="H112" s="118">
        <v>4</v>
      </c>
      <c r="J112" s="119"/>
    </row>
    <row r="113" spans="1:10" x14ac:dyDescent="0.25">
      <c r="A113" s="69" t="s">
        <v>1018</v>
      </c>
      <c r="B113" s="69"/>
      <c r="C113" s="98" t="s">
        <v>1019</v>
      </c>
      <c r="D113" s="99"/>
      <c r="E113" s="99"/>
      <c r="H113" s="118">
        <v>3</v>
      </c>
      <c r="J113" s="119"/>
    </row>
  </sheetData>
  <autoFilter ref="A1:U113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2"/>
  <sheetViews>
    <sheetView zoomScaleNormal="100" workbookViewId="0">
      <pane xSplit="3" ySplit="1" topLeftCell="G44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RowHeight="15" x14ac:dyDescent="0.25"/>
  <cols>
    <col min="1" max="1" width="7.5703125" style="11" bestFit="1" customWidth="1"/>
    <col min="2" max="2" width="11.85546875" style="11" customWidth="1"/>
    <col min="3" max="3" width="26.5703125" style="11" bestFit="1" customWidth="1"/>
    <col min="4" max="4" width="22.7109375" style="11" customWidth="1"/>
    <col min="5" max="5" width="21" style="11" customWidth="1"/>
    <col min="6" max="6" width="24.28515625" style="11" bestFit="1" customWidth="1"/>
    <col min="7" max="7" width="21" style="11" customWidth="1"/>
    <col min="8" max="8" width="14.42578125" style="11" bestFit="1" customWidth="1"/>
    <col min="9" max="9" width="16" style="11" bestFit="1" customWidth="1"/>
    <col min="10" max="10" width="10.85546875" style="11" bestFit="1" customWidth="1"/>
    <col min="11" max="11" width="11.28515625" style="63" bestFit="1" customWidth="1"/>
    <col min="12" max="12" width="11.28515625" style="63" customWidth="1"/>
    <col min="13" max="13" width="8.85546875" style="11" bestFit="1" customWidth="1"/>
    <col min="14" max="14" width="15.7109375" style="11" bestFit="1" customWidth="1"/>
    <col min="15" max="15" width="20.7109375" style="11" bestFit="1" customWidth="1"/>
    <col min="16" max="16" width="34.140625" style="11" customWidth="1"/>
    <col min="17" max="17" width="21.42578125" style="11" customWidth="1"/>
    <col min="18" max="19" width="19.42578125" style="11" bestFit="1" customWidth="1"/>
    <col min="20" max="241" width="9.140625" style="11"/>
    <col min="242" max="242" width="11.85546875" style="11" customWidth="1"/>
    <col min="243" max="243" width="9.140625" style="11"/>
    <col min="244" max="244" width="26.5703125" style="11" bestFit="1" customWidth="1"/>
    <col min="245" max="245" width="14.85546875" style="11" customWidth="1"/>
    <col min="246" max="246" width="17.140625" style="11" customWidth="1"/>
    <col min="247" max="247" width="15.42578125" style="11" bestFit="1" customWidth="1"/>
    <col min="248" max="248" width="15.140625" style="11" bestFit="1" customWidth="1"/>
    <col min="249" max="252" width="16" style="11" bestFit="1" customWidth="1"/>
    <col min="253" max="253" width="20.85546875" style="11" customWidth="1"/>
    <col min="254" max="254" width="14.42578125" style="11" bestFit="1" customWidth="1"/>
    <col min="255" max="255" width="15.85546875" style="11" bestFit="1" customWidth="1"/>
    <col min="256" max="256" width="16.7109375" style="11" bestFit="1" customWidth="1"/>
    <col min="257" max="257" width="19.7109375" style="11" bestFit="1" customWidth="1"/>
    <col min="258" max="258" width="20.7109375" style="11" bestFit="1" customWidth="1"/>
    <col min="259" max="259" width="20.140625" style="11" bestFit="1" customWidth="1"/>
    <col min="260" max="260" width="15.7109375" style="11" bestFit="1" customWidth="1"/>
    <col min="261" max="261" width="20.7109375" style="11" bestFit="1" customWidth="1"/>
    <col min="262" max="263" width="18.5703125" style="11" customWidth="1"/>
    <col min="264" max="264" width="11.28515625" style="11" bestFit="1" customWidth="1"/>
    <col min="265" max="265" width="57.140625" style="11" bestFit="1" customWidth="1"/>
    <col min="266" max="266" width="21.42578125" style="11" customWidth="1"/>
    <col min="267" max="267" width="19.42578125" style="11" bestFit="1" customWidth="1"/>
    <col min="268" max="268" width="11.42578125" style="11" bestFit="1" customWidth="1"/>
    <col min="269" max="270" width="10.85546875" style="11" bestFit="1" customWidth="1"/>
    <col min="271" max="272" width="11.42578125" style="11" bestFit="1" customWidth="1"/>
    <col min="273" max="497" width="9.140625" style="11"/>
    <col min="498" max="498" width="11.85546875" style="11" customWidth="1"/>
    <col min="499" max="499" width="9.140625" style="11"/>
    <col min="500" max="500" width="26.5703125" style="11" bestFit="1" customWidth="1"/>
    <col min="501" max="501" width="14.85546875" style="11" customWidth="1"/>
    <col min="502" max="502" width="17.140625" style="11" customWidth="1"/>
    <col min="503" max="503" width="15.42578125" style="11" bestFit="1" customWidth="1"/>
    <col min="504" max="504" width="15.140625" style="11" bestFit="1" customWidth="1"/>
    <col min="505" max="508" width="16" style="11" bestFit="1" customWidth="1"/>
    <col min="509" max="509" width="20.85546875" style="11" customWidth="1"/>
    <col min="510" max="510" width="14.42578125" style="11" bestFit="1" customWidth="1"/>
    <col min="511" max="511" width="15.85546875" style="11" bestFit="1" customWidth="1"/>
    <col min="512" max="512" width="16.7109375" style="11" bestFit="1" customWidth="1"/>
    <col min="513" max="513" width="19.7109375" style="11" bestFit="1" customWidth="1"/>
    <col min="514" max="514" width="20.7109375" style="11" bestFit="1" customWidth="1"/>
    <col min="515" max="515" width="20.140625" style="11" bestFit="1" customWidth="1"/>
    <col min="516" max="516" width="15.7109375" style="11" bestFit="1" customWidth="1"/>
    <col min="517" max="517" width="20.7109375" style="11" bestFit="1" customWidth="1"/>
    <col min="518" max="519" width="18.5703125" style="11" customWidth="1"/>
    <col min="520" max="520" width="11.28515625" style="11" bestFit="1" customWidth="1"/>
    <col min="521" max="521" width="57.140625" style="11" bestFit="1" customWidth="1"/>
    <col min="522" max="522" width="21.42578125" style="11" customWidth="1"/>
    <col min="523" max="523" width="19.42578125" style="11" bestFit="1" customWidth="1"/>
    <col min="524" max="524" width="11.42578125" style="11" bestFit="1" customWidth="1"/>
    <col min="525" max="526" width="10.85546875" style="11" bestFit="1" customWidth="1"/>
    <col min="527" max="528" width="11.42578125" style="11" bestFit="1" customWidth="1"/>
    <col min="529" max="753" width="9.140625" style="11"/>
    <col min="754" max="754" width="11.85546875" style="11" customWidth="1"/>
    <col min="755" max="755" width="9.140625" style="11"/>
    <col min="756" max="756" width="26.5703125" style="11" bestFit="1" customWidth="1"/>
    <col min="757" max="757" width="14.85546875" style="11" customWidth="1"/>
    <col min="758" max="758" width="17.140625" style="11" customWidth="1"/>
    <col min="759" max="759" width="15.42578125" style="11" bestFit="1" customWidth="1"/>
    <col min="760" max="760" width="15.140625" style="11" bestFit="1" customWidth="1"/>
    <col min="761" max="764" width="16" style="11" bestFit="1" customWidth="1"/>
    <col min="765" max="765" width="20.85546875" style="11" customWidth="1"/>
    <col min="766" max="766" width="14.42578125" style="11" bestFit="1" customWidth="1"/>
    <col min="767" max="767" width="15.85546875" style="11" bestFit="1" customWidth="1"/>
    <col min="768" max="768" width="16.7109375" style="11" bestFit="1" customWidth="1"/>
    <col min="769" max="769" width="19.7109375" style="11" bestFit="1" customWidth="1"/>
    <col min="770" max="770" width="20.7109375" style="11" bestFit="1" customWidth="1"/>
    <col min="771" max="771" width="20.140625" style="11" bestFit="1" customWidth="1"/>
    <col min="772" max="772" width="15.7109375" style="11" bestFit="1" customWidth="1"/>
    <col min="773" max="773" width="20.7109375" style="11" bestFit="1" customWidth="1"/>
    <col min="774" max="775" width="18.5703125" style="11" customWidth="1"/>
    <col min="776" max="776" width="11.28515625" style="11" bestFit="1" customWidth="1"/>
    <col min="777" max="777" width="57.140625" style="11" bestFit="1" customWidth="1"/>
    <col min="778" max="778" width="21.42578125" style="11" customWidth="1"/>
    <col min="779" max="779" width="19.42578125" style="11" bestFit="1" customWidth="1"/>
    <col min="780" max="780" width="11.42578125" style="11" bestFit="1" customWidth="1"/>
    <col min="781" max="782" width="10.85546875" style="11" bestFit="1" customWidth="1"/>
    <col min="783" max="784" width="11.42578125" style="11" bestFit="1" customWidth="1"/>
    <col min="785" max="1009" width="9.140625" style="11"/>
    <col min="1010" max="1010" width="11.85546875" style="11" customWidth="1"/>
    <col min="1011" max="1011" width="9.140625" style="11"/>
    <col min="1012" max="1012" width="26.5703125" style="11" bestFit="1" customWidth="1"/>
    <col min="1013" max="1013" width="14.85546875" style="11" customWidth="1"/>
    <col min="1014" max="1014" width="17.140625" style="11" customWidth="1"/>
    <col min="1015" max="1015" width="15.42578125" style="11" bestFit="1" customWidth="1"/>
    <col min="1016" max="1016" width="15.140625" style="11" bestFit="1" customWidth="1"/>
    <col min="1017" max="1020" width="16" style="11" bestFit="1" customWidth="1"/>
    <col min="1021" max="1021" width="20.85546875" style="11" customWidth="1"/>
    <col min="1022" max="1022" width="14.42578125" style="11" bestFit="1" customWidth="1"/>
    <col min="1023" max="1023" width="15.85546875" style="11" bestFit="1" customWidth="1"/>
    <col min="1024" max="1024" width="16.7109375" style="11" bestFit="1" customWidth="1"/>
    <col min="1025" max="1025" width="19.7109375" style="11" bestFit="1" customWidth="1"/>
    <col min="1026" max="1026" width="20.7109375" style="11" bestFit="1" customWidth="1"/>
    <col min="1027" max="1027" width="20.140625" style="11" bestFit="1" customWidth="1"/>
    <col min="1028" max="1028" width="15.7109375" style="11" bestFit="1" customWidth="1"/>
    <col min="1029" max="1029" width="20.7109375" style="11" bestFit="1" customWidth="1"/>
    <col min="1030" max="1031" width="18.5703125" style="11" customWidth="1"/>
    <col min="1032" max="1032" width="11.28515625" style="11" bestFit="1" customWidth="1"/>
    <col min="1033" max="1033" width="57.140625" style="11" bestFit="1" customWidth="1"/>
    <col min="1034" max="1034" width="21.42578125" style="11" customWidth="1"/>
    <col min="1035" max="1035" width="19.42578125" style="11" bestFit="1" customWidth="1"/>
    <col min="1036" max="1036" width="11.42578125" style="11" bestFit="1" customWidth="1"/>
    <col min="1037" max="1038" width="10.85546875" style="11" bestFit="1" customWidth="1"/>
    <col min="1039" max="1040" width="11.42578125" style="11" bestFit="1" customWidth="1"/>
    <col min="1041" max="1265" width="9.140625" style="11"/>
    <col min="1266" max="1266" width="11.85546875" style="11" customWidth="1"/>
    <col min="1267" max="1267" width="9.140625" style="11"/>
    <col min="1268" max="1268" width="26.5703125" style="11" bestFit="1" customWidth="1"/>
    <col min="1269" max="1269" width="14.85546875" style="11" customWidth="1"/>
    <col min="1270" max="1270" width="17.140625" style="11" customWidth="1"/>
    <col min="1271" max="1271" width="15.42578125" style="11" bestFit="1" customWidth="1"/>
    <col min="1272" max="1272" width="15.140625" style="11" bestFit="1" customWidth="1"/>
    <col min="1273" max="1276" width="16" style="11" bestFit="1" customWidth="1"/>
    <col min="1277" max="1277" width="20.85546875" style="11" customWidth="1"/>
    <col min="1278" max="1278" width="14.42578125" style="11" bestFit="1" customWidth="1"/>
    <col min="1279" max="1279" width="15.85546875" style="11" bestFit="1" customWidth="1"/>
    <col min="1280" max="1280" width="16.7109375" style="11" bestFit="1" customWidth="1"/>
    <col min="1281" max="1281" width="19.7109375" style="11" bestFit="1" customWidth="1"/>
    <col min="1282" max="1282" width="20.7109375" style="11" bestFit="1" customWidth="1"/>
    <col min="1283" max="1283" width="20.140625" style="11" bestFit="1" customWidth="1"/>
    <col min="1284" max="1284" width="15.7109375" style="11" bestFit="1" customWidth="1"/>
    <col min="1285" max="1285" width="20.7109375" style="11" bestFit="1" customWidth="1"/>
    <col min="1286" max="1287" width="18.5703125" style="11" customWidth="1"/>
    <col min="1288" max="1288" width="11.28515625" style="11" bestFit="1" customWidth="1"/>
    <col min="1289" max="1289" width="57.140625" style="11" bestFit="1" customWidth="1"/>
    <col min="1290" max="1290" width="21.42578125" style="11" customWidth="1"/>
    <col min="1291" max="1291" width="19.42578125" style="11" bestFit="1" customWidth="1"/>
    <col min="1292" max="1292" width="11.42578125" style="11" bestFit="1" customWidth="1"/>
    <col min="1293" max="1294" width="10.85546875" style="11" bestFit="1" customWidth="1"/>
    <col min="1295" max="1296" width="11.42578125" style="11" bestFit="1" customWidth="1"/>
    <col min="1297" max="1521" width="9.140625" style="11"/>
    <col min="1522" max="1522" width="11.85546875" style="11" customWidth="1"/>
    <col min="1523" max="1523" width="9.140625" style="11"/>
    <col min="1524" max="1524" width="26.5703125" style="11" bestFit="1" customWidth="1"/>
    <col min="1525" max="1525" width="14.85546875" style="11" customWidth="1"/>
    <col min="1526" max="1526" width="17.140625" style="11" customWidth="1"/>
    <col min="1527" max="1527" width="15.42578125" style="11" bestFit="1" customWidth="1"/>
    <col min="1528" max="1528" width="15.140625" style="11" bestFit="1" customWidth="1"/>
    <col min="1529" max="1532" width="16" style="11" bestFit="1" customWidth="1"/>
    <col min="1533" max="1533" width="20.85546875" style="11" customWidth="1"/>
    <col min="1534" max="1534" width="14.42578125" style="11" bestFit="1" customWidth="1"/>
    <col min="1535" max="1535" width="15.85546875" style="11" bestFit="1" customWidth="1"/>
    <col min="1536" max="1536" width="16.7109375" style="11" bestFit="1" customWidth="1"/>
    <col min="1537" max="1537" width="19.7109375" style="11" bestFit="1" customWidth="1"/>
    <col min="1538" max="1538" width="20.7109375" style="11" bestFit="1" customWidth="1"/>
    <col min="1539" max="1539" width="20.140625" style="11" bestFit="1" customWidth="1"/>
    <col min="1540" max="1540" width="15.7109375" style="11" bestFit="1" customWidth="1"/>
    <col min="1541" max="1541" width="20.7109375" style="11" bestFit="1" customWidth="1"/>
    <col min="1542" max="1543" width="18.5703125" style="11" customWidth="1"/>
    <col min="1544" max="1544" width="11.28515625" style="11" bestFit="1" customWidth="1"/>
    <col min="1545" max="1545" width="57.140625" style="11" bestFit="1" customWidth="1"/>
    <col min="1546" max="1546" width="21.42578125" style="11" customWidth="1"/>
    <col min="1547" max="1547" width="19.42578125" style="11" bestFit="1" customWidth="1"/>
    <col min="1548" max="1548" width="11.42578125" style="11" bestFit="1" customWidth="1"/>
    <col min="1549" max="1550" width="10.85546875" style="11" bestFit="1" customWidth="1"/>
    <col min="1551" max="1552" width="11.42578125" style="11" bestFit="1" customWidth="1"/>
    <col min="1553" max="1777" width="9.140625" style="11"/>
    <col min="1778" max="1778" width="11.85546875" style="11" customWidth="1"/>
    <col min="1779" max="1779" width="9.140625" style="11"/>
    <col min="1780" max="1780" width="26.5703125" style="11" bestFit="1" customWidth="1"/>
    <col min="1781" max="1781" width="14.85546875" style="11" customWidth="1"/>
    <col min="1782" max="1782" width="17.140625" style="11" customWidth="1"/>
    <col min="1783" max="1783" width="15.42578125" style="11" bestFit="1" customWidth="1"/>
    <col min="1784" max="1784" width="15.140625" style="11" bestFit="1" customWidth="1"/>
    <col min="1785" max="1788" width="16" style="11" bestFit="1" customWidth="1"/>
    <col min="1789" max="1789" width="20.85546875" style="11" customWidth="1"/>
    <col min="1790" max="1790" width="14.42578125" style="11" bestFit="1" customWidth="1"/>
    <col min="1791" max="1791" width="15.85546875" style="11" bestFit="1" customWidth="1"/>
    <col min="1792" max="1792" width="16.7109375" style="11" bestFit="1" customWidth="1"/>
    <col min="1793" max="1793" width="19.7109375" style="11" bestFit="1" customWidth="1"/>
    <col min="1794" max="1794" width="20.7109375" style="11" bestFit="1" customWidth="1"/>
    <col min="1795" max="1795" width="20.140625" style="11" bestFit="1" customWidth="1"/>
    <col min="1796" max="1796" width="15.7109375" style="11" bestFit="1" customWidth="1"/>
    <col min="1797" max="1797" width="20.7109375" style="11" bestFit="1" customWidth="1"/>
    <col min="1798" max="1799" width="18.5703125" style="11" customWidth="1"/>
    <col min="1800" max="1800" width="11.28515625" style="11" bestFit="1" customWidth="1"/>
    <col min="1801" max="1801" width="57.140625" style="11" bestFit="1" customWidth="1"/>
    <col min="1802" max="1802" width="21.42578125" style="11" customWidth="1"/>
    <col min="1803" max="1803" width="19.42578125" style="11" bestFit="1" customWidth="1"/>
    <col min="1804" max="1804" width="11.42578125" style="11" bestFit="1" customWidth="1"/>
    <col min="1805" max="1806" width="10.85546875" style="11" bestFit="1" customWidth="1"/>
    <col min="1807" max="1808" width="11.42578125" style="11" bestFit="1" customWidth="1"/>
    <col min="1809" max="2033" width="9.140625" style="11"/>
    <col min="2034" max="2034" width="11.85546875" style="11" customWidth="1"/>
    <col min="2035" max="2035" width="9.140625" style="11"/>
    <col min="2036" max="2036" width="26.5703125" style="11" bestFit="1" customWidth="1"/>
    <col min="2037" max="2037" width="14.85546875" style="11" customWidth="1"/>
    <col min="2038" max="2038" width="17.140625" style="11" customWidth="1"/>
    <col min="2039" max="2039" width="15.42578125" style="11" bestFit="1" customWidth="1"/>
    <col min="2040" max="2040" width="15.140625" style="11" bestFit="1" customWidth="1"/>
    <col min="2041" max="2044" width="16" style="11" bestFit="1" customWidth="1"/>
    <col min="2045" max="2045" width="20.85546875" style="11" customWidth="1"/>
    <col min="2046" max="2046" width="14.42578125" style="11" bestFit="1" customWidth="1"/>
    <col min="2047" max="2047" width="15.85546875" style="11" bestFit="1" customWidth="1"/>
    <col min="2048" max="2048" width="16.7109375" style="11" bestFit="1" customWidth="1"/>
    <col min="2049" max="2049" width="19.7109375" style="11" bestFit="1" customWidth="1"/>
    <col min="2050" max="2050" width="20.7109375" style="11" bestFit="1" customWidth="1"/>
    <col min="2051" max="2051" width="20.140625" style="11" bestFit="1" customWidth="1"/>
    <col min="2052" max="2052" width="15.7109375" style="11" bestFit="1" customWidth="1"/>
    <col min="2053" max="2053" width="20.7109375" style="11" bestFit="1" customWidth="1"/>
    <col min="2054" max="2055" width="18.5703125" style="11" customWidth="1"/>
    <col min="2056" max="2056" width="11.28515625" style="11" bestFit="1" customWidth="1"/>
    <col min="2057" max="2057" width="57.140625" style="11" bestFit="1" customWidth="1"/>
    <col min="2058" max="2058" width="21.42578125" style="11" customWidth="1"/>
    <col min="2059" max="2059" width="19.42578125" style="11" bestFit="1" customWidth="1"/>
    <col min="2060" max="2060" width="11.42578125" style="11" bestFit="1" customWidth="1"/>
    <col min="2061" max="2062" width="10.85546875" style="11" bestFit="1" customWidth="1"/>
    <col min="2063" max="2064" width="11.42578125" style="11" bestFit="1" customWidth="1"/>
    <col min="2065" max="2289" width="9.140625" style="11"/>
    <col min="2290" max="2290" width="11.85546875" style="11" customWidth="1"/>
    <col min="2291" max="2291" width="9.140625" style="11"/>
    <col min="2292" max="2292" width="26.5703125" style="11" bestFit="1" customWidth="1"/>
    <col min="2293" max="2293" width="14.85546875" style="11" customWidth="1"/>
    <col min="2294" max="2294" width="17.140625" style="11" customWidth="1"/>
    <col min="2295" max="2295" width="15.42578125" style="11" bestFit="1" customWidth="1"/>
    <col min="2296" max="2296" width="15.140625" style="11" bestFit="1" customWidth="1"/>
    <col min="2297" max="2300" width="16" style="11" bestFit="1" customWidth="1"/>
    <col min="2301" max="2301" width="20.85546875" style="11" customWidth="1"/>
    <col min="2302" max="2302" width="14.42578125" style="11" bestFit="1" customWidth="1"/>
    <col min="2303" max="2303" width="15.85546875" style="11" bestFit="1" customWidth="1"/>
    <col min="2304" max="2304" width="16.7109375" style="11" bestFit="1" customWidth="1"/>
    <col min="2305" max="2305" width="19.7109375" style="11" bestFit="1" customWidth="1"/>
    <col min="2306" max="2306" width="20.7109375" style="11" bestFit="1" customWidth="1"/>
    <col min="2307" max="2307" width="20.140625" style="11" bestFit="1" customWidth="1"/>
    <col min="2308" max="2308" width="15.7109375" style="11" bestFit="1" customWidth="1"/>
    <col min="2309" max="2309" width="20.7109375" style="11" bestFit="1" customWidth="1"/>
    <col min="2310" max="2311" width="18.5703125" style="11" customWidth="1"/>
    <col min="2312" max="2312" width="11.28515625" style="11" bestFit="1" customWidth="1"/>
    <col min="2313" max="2313" width="57.140625" style="11" bestFit="1" customWidth="1"/>
    <col min="2314" max="2314" width="21.42578125" style="11" customWidth="1"/>
    <col min="2315" max="2315" width="19.42578125" style="11" bestFit="1" customWidth="1"/>
    <col min="2316" max="2316" width="11.42578125" style="11" bestFit="1" customWidth="1"/>
    <col min="2317" max="2318" width="10.85546875" style="11" bestFit="1" customWidth="1"/>
    <col min="2319" max="2320" width="11.42578125" style="11" bestFit="1" customWidth="1"/>
    <col min="2321" max="2545" width="9.140625" style="11"/>
    <col min="2546" max="2546" width="11.85546875" style="11" customWidth="1"/>
    <col min="2547" max="2547" width="9.140625" style="11"/>
    <col min="2548" max="2548" width="26.5703125" style="11" bestFit="1" customWidth="1"/>
    <col min="2549" max="2549" width="14.85546875" style="11" customWidth="1"/>
    <col min="2550" max="2550" width="17.140625" style="11" customWidth="1"/>
    <col min="2551" max="2551" width="15.42578125" style="11" bestFit="1" customWidth="1"/>
    <col min="2552" max="2552" width="15.140625" style="11" bestFit="1" customWidth="1"/>
    <col min="2553" max="2556" width="16" style="11" bestFit="1" customWidth="1"/>
    <col min="2557" max="2557" width="20.85546875" style="11" customWidth="1"/>
    <col min="2558" max="2558" width="14.42578125" style="11" bestFit="1" customWidth="1"/>
    <col min="2559" max="2559" width="15.85546875" style="11" bestFit="1" customWidth="1"/>
    <col min="2560" max="2560" width="16.7109375" style="11" bestFit="1" customWidth="1"/>
    <col min="2561" max="2561" width="19.7109375" style="11" bestFit="1" customWidth="1"/>
    <col min="2562" max="2562" width="20.7109375" style="11" bestFit="1" customWidth="1"/>
    <col min="2563" max="2563" width="20.140625" style="11" bestFit="1" customWidth="1"/>
    <col min="2564" max="2564" width="15.7109375" style="11" bestFit="1" customWidth="1"/>
    <col min="2565" max="2565" width="20.7109375" style="11" bestFit="1" customWidth="1"/>
    <col min="2566" max="2567" width="18.5703125" style="11" customWidth="1"/>
    <col min="2568" max="2568" width="11.28515625" style="11" bestFit="1" customWidth="1"/>
    <col min="2569" max="2569" width="57.140625" style="11" bestFit="1" customWidth="1"/>
    <col min="2570" max="2570" width="21.42578125" style="11" customWidth="1"/>
    <col min="2571" max="2571" width="19.42578125" style="11" bestFit="1" customWidth="1"/>
    <col min="2572" max="2572" width="11.42578125" style="11" bestFit="1" customWidth="1"/>
    <col min="2573" max="2574" width="10.85546875" style="11" bestFit="1" customWidth="1"/>
    <col min="2575" max="2576" width="11.42578125" style="11" bestFit="1" customWidth="1"/>
    <col min="2577" max="2801" width="9.140625" style="11"/>
    <col min="2802" max="2802" width="11.85546875" style="11" customWidth="1"/>
    <col min="2803" max="2803" width="9.140625" style="11"/>
    <col min="2804" max="2804" width="26.5703125" style="11" bestFit="1" customWidth="1"/>
    <col min="2805" max="2805" width="14.85546875" style="11" customWidth="1"/>
    <col min="2806" max="2806" width="17.140625" style="11" customWidth="1"/>
    <col min="2807" max="2807" width="15.42578125" style="11" bestFit="1" customWidth="1"/>
    <col min="2808" max="2808" width="15.140625" style="11" bestFit="1" customWidth="1"/>
    <col min="2809" max="2812" width="16" style="11" bestFit="1" customWidth="1"/>
    <col min="2813" max="2813" width="20.85546875" style="11" customWidth="1"/>
    <col min="2814" max="2814" width="14.42578125" style="11" bestFit="1" customWidth="1"/>
    <col min="2815" max="2815" width="15.85546875" style="11" bestFit="1" customWidth="1"/>
    <col min="2816" max="2816" width="16.7109375" style="11" bestFit="1" customWidth="1"/>
    <col min="2817" max="2817" width="19.7109375" style="11" bestFit="1" customWidth="1"/>
    <col min="2818" max="2818" width="20.7109375" style="11" bestFit="1" customWidth="1"/>
    <col min="2819" max="2819" width="20.140625" style="11" bestFit="1" customWidth="1"/>
    <col min="2820" max="2820" width="15.7109375" style="11" bestFit="1" customWidth="1"/>
    <col min="2821" max="2821" width="20.7109375" style="11" bestFit="1" customWidth="1"/>
    <col min="2822" max="2823" width="18.5703125" style="11" customWidth="1"/>
    <col min="2824" max="2824" width="11.28515625" style="11" bestFit="1" customWidth="1"/>
    <col min="2825" max="2825" width="57.140625" style="11" bestFit="1" customWidth="1"/>
    <col min="2826" max="2826" width="21.42578125" style="11" customWidth="1"/>
    <col min="2827" max="2827" width="19.42578125" style="11" bestFit="1" customWidth="1"/>
    <col min="2828" max="2828" width="11.42578125" style="11" bestFit="1" customWidth="1"/>
    <col min="2829" max="2830" width="10.85546875" style="11" bestFit="1" customWidth="1"/>
    <col min="2831" max="2832" width="11.42578125" style="11" bestFit="1" customWidth="1"/>
    <col min="2833" max="3057" width="9.140625" style="11"/>
    <col min="3058" max="3058" width="11.85546875" style="11" customWidth="1"/>
    <col min="3059" max="3059" width="9.140625" style="11"/>
    <col min="3060" max="3060" width="26.5703125" style="11" bestFit="1" customWidth="1"/>
    <col min="3061" max="3061" width="14.85546875" style="11" customWidth="1"/>
    <col min="3062" max="3062" width="17.140625" style="11" customWidth="1"/>
    <col min="3063" max="3063" width="15.42578125" style="11" bestFit="1" customWidth="1"/>
    <col min="3064" max="3064" width="15.140625" style="11" bestFit="1" customWidth="1"/>
    <col min="3065" max="3068" width="16" style="11" bestFit="1" customWidth="1"/>
    <col min="3069" max="3069" width="20.85546875" style="11" customWidth="1"/>
    <col min="3070" max="3070" width="14.42578125" style="11" bestFit="1" customWidth="1"/>
    <col min="3071" max="3071" width="15.85546875" style="11" bestFit="1" customWidth="1"/>
    <col min="3072" max="3072" width="16.7109375" style="11" bestFit="1" customWidth="1"/>
    <col min="3073" max="3073" width="19.7109375" style="11" bestFit="1" customWidth="1"/>
    <col min="3074" max="3074" width="20.7109375" style="11" bestFit="1" customWidth="1"/>
    <col min="3075" max="3075" width="20.140625" style="11" bestFit="1" customWidth="1"/>
    <col min="3076" max="3076" width="15.7109375" style="11" bestFit="1" customWidth="1"/>
    <col min="3077" max="3077" width="20.7109375" style="11" bestFit="1" customWidth="1"/>
    <col min="3078" max="3079" width="18.5703125" style="11" customWidth="1"/>
    <col min="3080" max="3080" width="11.28515625" style="11" bestFit="1" customWidth="1"/>
    <col min="3081" max="3081" width="57.140625" style="11" bestFit="1" customWidth="1"/>
    <col min="3082" max="3082" width="21.42578125" style="11" customWidth="1"/>
    <col min="3083" max="3083" width="19.42578125" style="11" bestFit="1" customWidth="1"/>
    <col min="3084" max="3084" width="11.42578125" style="11" bestFit="1" customWidth="1"/>
    <col min="3085" max="3086" width="10.85546875" style="11" bestFit="1" customWidth="1"/>
    <col min="3087" max="3088" width="11.42578125" style="11" bestFit="1" customWidth="1"/>
    <col min="3089" max="3313" width="9.140625" style="11"/>
    <col min="3314" max="3314" width="11.85546875" style="11" customWidth="1"/>
    <col min="3315" max="3315" width="9.140625" style="11"/>
    <col min="3316" max="3316" width="26.5703125" style="11" bestFit="1" customWidth="1"/>
    <col min="3317" max="3317" width="14.85546875" style="11" customWidth="1"/>
    <col min="3318" max="3318" width="17.140625" style="11" customWidth="1"/>
    <col min="3319" max="3319" width="15.42578125" style="11" bestFit="1" customWidth="1"/>
    <col min="3320" max="3320" width="15.140625" style="11" bestFit="1" customWidth="1"/>
    <col min="3321" max="3324" width="16" style="11" bestFit="1" customWidth="1"/>
    <col min="3325" max="3325" width="20.85546875" style="11" customWidth="1"/>
    <col min="3326" max="3326" width="14.42578125" style="11" bestFit="1" customWidth="1"/>
    <col min="3327" max="3327" width="15.85546875" style="11" bestFit="1" customWidth="1"/>
    <col min="3328" max="3328" width="16.7109375" style="11" bestFit="1" customWidth="1"/>
    <col min="3329" max="3329" width="19.7109375" style="11" bestFit="1" customWidth="1"/>
    <col min="3330" max="3330" width="20.7109375" style="11" bestFit="1" customWidth="1"/>
    <col min="3331" max="3331" width="20.140625" style="11" bestFit="1" customWidth="1"/>
    <col min="3332" max="3332" width="15.7109375" style="11" bestFit="1" customWidth="1"/>
    <col min="3333" max="3333" width="20.7109375" style="11" bestFit="1" customWidth="1"/>
    <col min="3334" max="3335" width="18.5703125" style="11" customWidth="1"/>
    <col min="3336" max="3336" width="11.28515625" style="11" bestFit="1" customWidth="1"/>
    <col min="3337" max="3337" width="57.140625" style="11" bestFit="1" customWidth="1"/>
    <col min="3338" max="3338" width="21.42578125" style="11" customWidth="1"/>
    <col min="3339" max="3339" width="19.42578125" style="11" bestFit="1" customWidth="1"/>
    <col min="3340" max="3340" width="11.42578125" style="11" bestFit="1" customWidth="1"/>
    <col min="3341" max="3342" width="10.85546875" style="11" bestFit="1" customWidth="1"/>
    <col min="3343" max="3344" width="11.42578125" style="11" bestFit="1" customWidth="1"/>
    <col min="3345" max="3569" width="9.140625" style="11"/>
    <col min="3570" max="3570" width="11.85546875" style="11" customWidth="1"/>
    <col min="3571" max="3571" width="9.140625" style="11"/>
    <col min="3572" max="3572" width="26.5703125" style="11" bestFit="1" customWidth="1"/>
    <col min="3573" max="3573" width="14.85546875" style="11" customWidth="1"/>
    <col min="3574" max="3574" width="17.140625" style="11" customWidth="1"/>
    <col min="3575" max="3575" width="15.42578125" style="11" bestFit="1" customWidth="1"/>
    <col min="3576" max="3576" width="15.140625" style="11" bestFit="1" customWidth="1"/>
    <col min="3577" max="3580" width="16" style="11" bestFit="1" customWidth="1"/>
    <col min="3581" max="3581" width="20.85546875" style="11" customWidth="1"/>
    <col min="3582" max="3582" width="14.42578125" style="11" bestFit="1" customWidth="1"/>
    <col min="3583" max="3583" width="15.85546875" style="11" bestFit="1" customWidth="1"/>
    <col min="3584" max="3584" width="16.7109375" style="11" bestFit="1" customWidth="1"/>
    <col min="3585" max="3585" width="19.7109375" style="11" bestFit="1" customWidth="1"/>
    <col min="3586" max="3586" width="20.7109375" style="11" bestFit="1" customWidth="1"/>
    <col min="3587" max="3587" width="20.140625" style="11" bestFit="1" customWidth="1"/>
    <col min="3588" max="3588" width="15.7109375" style="11" bestFit="1" customWidth="1"/>
    <col min="3589" max="3589" width="20.7109375" style="11" bestFit="1" customWidth="1"/>
    <col min="3590" max="3591" width="18.5703125" style="11" customWidth="1"/>
    <col min="3592" max="3592" width="11.28515625" style="11" bestFit="1" customWidth="1"/>
    <col min="3593" max="3593" width="57.140625" style="11" bestFit="1" customWidth="1"/>
    <col min="3594" max="3594" width="21.42578125" style="11" customWidth="1"/>
    <col min="3595" max="3595" width="19.42578125" style="11" bestFit="1" customWidth="1"/>
    <col min="3596" max="3596" width="11.42578125" style="11" bestFit="1" customWidth="1"/>
    <col min="3597" max="3598" width="10.85546875" style="11" bestFit="1" customWidth="1"/>
    <col min="3599" max="3600" width="11.42578125" style="11" bestFit="1" customWidth="1"/>
    <col min="3601" max="3825" width="9.140625" style="11"/>
    <col min="3826" max="3826" width="11.85546875" style="11" customWidth="1"/>
    <col min="3827" max="3827" width="9.140625" style="11"/>
    <col min="3828" max="3828" width="26.5703125" style="11" bestFit="1" customWidth="1"/>
    <col min="3829" max="3829" width="14.85546875" style="11" customWidth="1"/>
    <col min="3830" max="3830" width="17.140625" style="11" customWidth="1"/>
    <col min="3831" max="3831" width="15.42578125" style="11" bestFit="1" customWidth="1"/>
    <col min="3832" max="3832" width="15.140625" style="11" bestFit="1" customWidth="1"/>
    <col min="3833" max="3836" width="16" style="11" bestFit="1" customWidth="1"/>
    <col min="3837" max="3837" width="20.85546875" style="11" customWidth="1"/>
    <col min="3838" max="3838" width="14.42578125" style="11" bestFit="1" customWidth="1"/>
    <col min="3839" max="3839" width="15.85546875" style="11" bestFit="1" customWidth="1"/>
    <col min="3840" max="3840" width="16.7109375" style="11" bestFit="1" customWidth="1"/>
    <col min="3841" max="3841" width="19.7109375" style="11" bestFit="1" customWidth="1"/>
    <col min="3842" max="3842" width="20.7109375" style="11" bestFit="1" customWidth="1"/>
    <col min="3843" max="3843" width="20.140625" style="11" bestFit="1" customWidth="1"/>
    <col min="3844" max="3844" width="15.7109375" style="11" bestFit="1" customWidth="1"/>
    <col min="3845" max="3845" width="20.7109375" style="11" bestFit="1" customWidth="1"/>
    <col min="3846" max="3847" width="18.5703125" style="11" customWidth="1"/>
    <col min="3848" max="3848" width="11.28515625" style="11" bestFit="1" customWidth="1"/>
    <col min="3849" max="3849" width="57.140625" style="11" bestFit="1" customWidth="1"/>
    <col min="3850" max="3850" width="21.42578125" style="11" customWidth="1"/>
    <col min="3851" max="3851" width="19.42578125" style="11" bestFit="1" customWidth="1"/>
    <col min="3852" max="3852" width="11.42578125" style="11" bestFit="1" customWidth="1"/>
    <col min="3853" max="3854" width="10.85546875" style="11" bestFit="1" customWidth="1"/>
    <col min="3855" max="3856" width="11.42578125" style="11" bestFit="1" customWidth="1"/>
    <col min="3857" max="4081" width="9.140625" style="11"/>
    <col min="4082" max="4082" width="11.85546875" style="11" customWidth="1"/>
    <col min="4083" max="4083" width="9.140625" style="11"/>
    <col min="4084" max="4084" width="26.5703125" style="11" bestFit="1" customWidth="1"/>
    <col min="4085" max="4085" width="14.85546875" style="11" customWidth="1"/>
    <col min="4086" max="4086" width="17.140625" style="11" customWidth="1"/>
    <col min="4087" max="4087" width="15.42578125" style="11" bestFit="1" customWidth="1"/>
    <col min="4088" max="4088" width="15.140625" style="11" bestFit="1" customWidth="1"/>
    <col min="4089" max="4092" width="16" style="11" bestFit="1" customWidth="1"/>
    <col min="4093" max="4093" width="20.85546875" style="11" customWidth="1"/>
    <col min="4094" max="4094" width="14.42578125" style="11" bestFit="1" customWidth="1"/>
    <col min="4095" max="4095" width="15.85546875" style="11" bestFit="1" customWidth="1"/>
    <col min="4096" max="4096" width="16.7109375" style="11" bestFit="1" customWidth="1"/>
    <col min="4097" max="4097" width="19.7109375" style="11" bestFit="1" customWidth="1"/>
    <col min="4098" max="4098" width="20.7109375" style="11" bestFit="1" customWidth="1"/>
    <col min="4099" max="4099" width="20.140625" style="11" bestFit="1" customWidth="1"/>
    <col min="4100" max="4100" width="15.7109375" style="11" bestFit="1" customWidth="1"/>
    <col min="4101" max="4101" width="20.7109375" style="11" bestFit="1" customWidth="1"/>
    <col min="4102" max="4103" width="18.5703125" style="11" customWidth="1"/>
    <col min="4104" max="4104" width="11.28515625" style="11" bestFit="1" customWidth="1"/>
    <col min="4105" max="4105" width="57.140625" style="11" bestFit="1" customWidth="1"/>
    <col min="4106" max="4106" width="21.42578125" style="11" customWidth="1"/>
    <col min="4107" max="4107" width="19.42578125" style="11" bestFit="1" customWidth="1"/>
    <col min="4108" max="4108" width="11.42578125" style="11" bestFit="1" customWidth="1"/>
    <col min="4109" max="4110" width="10.85546875" style="11" bestFit="1" customWidth="1"/>
    <col min="4111" max="4112" width="11.42578125" style="11" bestFit="1" customWidth="1"/>
    <col min="4113" max="4337" width="9.140625" style="11"/>
    <col min="4338" max="4338" width="11.85546875" style="11" customWidth="1"/>
    <col min="4339" max="4339" width="9.140625" style="11"/>
    <col min="4340" max="4340" width="26.5703125" style="11" bestFit="1" customWidth="1"/>
    <col min="4341" max="4341" width="14.85546875" style="11" customWidth="1"/>
    <col min="4342" max="4342" width="17.140625" style="11" customWidth="1"/>
    <col min="4343" max="4343" width="15.42578125" style="11" bestFit="1" customWidth="1"/>
    <col min="4344" max="4344" width="15.140625" style="11" bestFit="1" customWidth="1"/>
    <col min="4345" max="4348" width="16" style="11" bestFit="1" customWidth="1"/>
    <col min="4349" max="4349" width="20.85546875" style="11" customWidth="1"/>
    <col min="4350" max="4350" width="14.42578125" style="11" bestFit="1" customWidth="1"/>
    <col min="4351" max="4351" width="15.85546875" style="11" bestFit="1" customWidth="1"/>
    <col min="4352" max="4352" width="16.7109375" style="11" bestFit="1" customWidth="1"/>
    <col min="4353" max="4353" width="19.7109375" style="11" bestFit="1" customWidth="1"/>
    <col min="4354" max="4354" width="20.7109375" style="11" bestFit="1" customWidth="1"/>
    <col min="4355" max="4355" width="20.140625" style="11" bestFit="1" customWidth="1"/>
    <col min="4356" max="4356" width="15.7109375" style="11" bestFit="1" customWidth="1"/>
    <col min="4357" max="4357" width="20.7109375" style="11" bestFit="1" customWidth="1"/>
    <col min="4358" max="4359" width="18.5703125" style="11" customWidth="1"/>
    <col min="4360" max="4360" width="11.28515625" style="11" bestFit="1" customWidth="1"/>
    <col min="4361" max="4361" width="57.140625" style="11" bestFit="1" customWidth="1"/>
    <col min="4362" max="4362" width="21.42578125" style="11" customWidth="1"/>
    <col min="4363" max="4363" width="19.42578125" style="11" bestFit="1" customWidth="1"/>
    <col min="4364" max="4364" width="11.42578125" style="11" bestFit="1" customWidth="1"/>
    <col min="4365" max="4366" width="10.85546875" style="11" bestFit="1" customWidth="1"/>
    <col min="4367" max="4368" width="11.42578125" style="11" bestFit="1" customWidth="1"/>
    <col min="4369" max="4593" width="9.140625" style="11"/>
    <col min="4594" max="4594" width="11.85546875" style="11" customWidth="1"/>
    <col min="4595" max="4595" width="9.140625" style="11"/>
    <col min="4596" max="4596" width="26.5703125" style="11" bestFit="1" customWidth="1"/>
    <col min="4597" max="4597" width="14.85546875" style="11" customWidth="1"/>
    <col min="4598" max="4598" width="17.140625" style="11" customWidth="1"/>
    <col min="4599" max="4599" width="15.42578125" style="11" bestFit="1" customWidth="1"/>
    <col min="4600" max="4600" width="15.140625" style="11" bestFit="1" customWidth="1"/>
    <col min="4601" max="4604" width="16" style="11" bestFit="1" customWidth="1"/>
    <col min="4605" max="4605" width="20.85546875" style="11" customWidth="1"/>
    <col min="4606" max="4606" width="14.42578125" style="11" bestFit="1" customWidth="1"/>
    <col min="4607" max="4607" width="15.85546875" style="11" bestFit="1" customWidth="1"/>
    <col min="4608" max="4608" width="16.7109375" style="11" bestFit="1" customWidth="1"/>
    <col min="4609" max="4609" width="19.7109375" style="11" bestFit="1" customWidth="1"/>
    <col min="4610" max="4610" width="20.7109375" style="11" bestFit="1" customWidth="1"/>
    <col min="4611" max="4611" width="20.140625" style="11" bestFit="1" customWidth="1"/>
    <col min="4612" max="4612" width="15.7109375" style="11" bestFit="1" customWidth="1"/>
    <col min="4613" max="4613" width="20.7109375" style="11" bestFit="1" customWidth="1"/>
    <col min="4614" max="4615" width="18.5703125" style="11" customWidth="1"/>
    <col min="4616" max="4616" width="11.28515625" style="11" bestFit="1" customWidth="1"/>
    <col min="4617" max="4617" width="57.140625" style="11" bestFit="1" customWidth="1"/>
    <col min="4618" max="4618" width="21.42578125" style="11" customWidth="1"/>
    <col min="4619" max="4619" width="19.42578125" style="11" bestFit="1" customWidth="1"/>
    <col min="4620" max="4620" width="11.42578125" style="11" bestFit="1" customWidth="1"/>
    <col min="4621" max="4622" width="10.85546875" style="11" bestFit="1" customWidth="1"/>
    <col min="4623" max="4624" width="11.42578125" style="11" bestFit="1" customWidth="1"/>
    <col min="4625" max="4849" width="9.140625" style="11"/>
    <col min="4850" max="4850" width="11.85546875" style="11" customWidth="1"/>
    <col min="4851" max="4851" width="9.140625" style="11"/>
    <col min="4852" max="4852" width="26.5703125" style="11" bestFit="1" customWidth="1"/>
    <col min="4853" max="4853" width="14.85546875" style="11" customWidth="1"/>
    <col min="4854" max="4854" width="17.140625" style="11" customWidth="1"/>
    <col min="4855" max="4855" width="15.42578125" style="11" bestFit="1" customWidth="1"/>
    <col min="4856" max="4856" width="15.140625" style="11" bestFit="1" customWidth="1"/>
    <col min="4857" max="4860" width="16" style="11" bestFit="1" customWidth="1"/>
    <col min="4861" max="4861" width="20.85546875" style="11" customWidth="1"/>
    <col min="4862" max="4862" width="14.42578125" style="11" bestFit="1" customWidth="1"/>
    <col min="4863" max="4863" width="15.85546875" style="11" bestFit="1" customWidth="1"/>
    <col min="4864" max="4864" width="16.7109375" style="11" bestFit="1" customWidth="1"/>
    <col min="4865" max="4865" width="19.7109375" style="11" bestFit="1" customWidth="1"/>
    <col min="4866" max="4866" width="20.7109375" style="11" bestFit="1" customWidth="1"/>
    <col min="4867" max="4867" width="20.140625" style="11" bestFit="1" customWidth="1"/>
    <col min="4868" max="4868" width="15.7109375" style="11" bestFit="1" customWidth="1"/>
    <col min="4869" max="4869" width="20.7109375" style="11" bestFit="1" customWidth="1"/>
    <col min="4870" max="4871" width="18.5703125" style="11" customWidth="1"/>
    <col min="4872" max="4872" width="11.28515625" style="11" bestFit="1" customWidth="1"/>
    <col min="4873" max="4873" width="57.140625" style="11" bestFit="1" customWidth="1"/>
    <col min="4874" max="4874" width="21.42578125" style="11" customWidth="1"/>
    <col min="4875" max="4875" width="19.42578125" style="11" bestFit="1" customWidth="1"/>
    <col min="4876" max="4876" width="11.42578125" style="11" bestFit="1" customWidth="1"/>
    <col min="4877" max="4878" width="10.85546875" style="11" bestFit="1" customWidth="1"/>
    <col min="4879" max="4880" width="11.42578125" style="11" bestFit="1" customWidth="1"/>
    <col min="4881" max="5105" width="9.140625" style="11"/>
    <col min="5106" max="5106" width="11.85546875" style="11" customWidth="1"/>
    <col min="5107" max="5107" width="9.140625" style="11"/>
    <col min="5108" max="5108" width="26.5703125" style="11" bestFit="1" customWidth="1"/>
    <col min="5109" max="5109" width="14.85546875" style="11" customWidth="1"/>
    <col min="5110" max="5110" width="17.140625" style="11" customWidth="1"/>
    <col min="5111" max="5111" width="15.42578125" style="11" bestFit="1" customWidth="1"/>
    <col min="5112" max="5112" width="15.140625" style="11" bestFit="1" customWidth="1"/>
    <col min="5113" max="5116" width="16" style="11" bestFit="1" customWidth="1"/>
    <col min="5117" max="5117" width="20.85546875" style="11" customWidth="1"/>
    <col min="5118" max="5118" width="14.42578125" style="11" bestFit="1" customWidth="1"/>
    <col min="5119" max="5119" width="15.85546875" style="11" bestFit="1" customWidth="1"/>
    <col min="5120" max="5120" width="16.7109375" style="11" bestFit="1" customWidth="1"/>
    <col min="5121" max="5121" width="19.7109375" style="11" bestFit="1" customWidth="1"/>
    <col min="5122" max="5122" width="20.7109375" style="11" bestFit="1" customWidth="1"/>
    <col min="5123" max="5123" width="20.140625" style="11" bestFit="1" customWidth="1"/>
    <col min="5124" max="5124" width="15.7109375" style="11" bestFit="1" customWidth="1"/>
    <col min="5125" max="5125" width="20.7109375" style="11" bestFit="1" customWidth="1"/>
    <col min="5126" max="5127" width="18.5703125" style="11" customWidth="1"/>
    <col min="5128" max="5128" width="11.28515625" style="11" bestFit="1" customWidth="1"/>
    <col min="5129" max="5129" width="57.140625" style="11" bestFit="1" customWidth="1"/>
    <col min="5130" max="5130" width="21.42578125" style="11" customWidth="1"/>
    <col min="5131" max="5131" width="19.42578125" style="11" bestFit="1" customWidth="1"/>
    <col min="5132" max="5132" width="11.42578125" style="11" bestFit="1" customWidth="1"/>
    <col min="5133" max="5134" width="10.85546875" style="11" bestFit="1" customWidth="1"/>
    <col min="5135" max="5136" width="11.42578125" style="11" bestFit="1" customWidth="1"/>
    <col min="5137" max="5361" width="9.140625" style="11"/>
    <col min="5362" max="5362" width="11.85546875" style="11" customWidth="1"/>
    <col min="5363" max="5363" width="9.140625" style="11"/>
    <col min="5364" max="5364" width="26.5703125" style="11" bestFit="1" customWidth="1"/>
    <col min="5365" max="5365" width="14.85546875" style="11" customWidth="1"/>
    <col min="5366" max="5366" width="17.140625" style="11" customWidth="1"/>
    <col min="5367" max="5367" width="15.42578125" style="11" bestFit="1" customWidth="1"/>
    <col min="5368" max="5368" width="15.140625" style="11" bestFit="1" customWidth="1"/>
    <col min="5369" max="5372" width="16" style="11" bestFit="1" customWidth="1"/>
    <col min="5373" max="5373" width="20.85546875" style="11" customWidth="1"/>
    <col min="5374" max="5374" width="14.42578125" style="11" bestFit="1" customWidth="1"/>
    <col min="5375" max="5375" width="15.85546875" style="11" bestFit="1" customWidth="1"/>
    <col min="5376" max="5376" width="16.7109375" style="11" bestFit="1" customWidth="1"/>
    <col min="5377" max="5377" width="19.7109375" style="11" bestFit="1" customWidth="1"/>
    <col min="5378" max="5378" width="20.7109375" style="11" bestFit="1" customWidth="1"/>
    <col min="5379" max="5379" width="20.140625" style="11" bestFit="1" customWidth="1"/>
    <col min="5380" max="5380" width="15.7109375" style="11" bestFit="1" customWidth="1"/>
    <col min="5381" max="5381" width="20.7109375" style="11" bestFit="1" customWidth="1"/>
    <col min="5382" max="5383" width="18.5703125" style="11" customWidth="1"/>
    <col min="5384" max="5384" width="11.28515625" style="11" bestFit="1" customWidth="1"/>
    <col min="5385" max="5385" width="57.140625" style="11" bestFit="1" customWidth="1"/>
    <col min="5386" max="5386" width="21.42578125" style="11" customWidth="1"/>
    <col min="5387" max="5387" width="19.42578125" style="11" bestFit="1" customWidth="1"/>
    <col min="5388" max="5388" width="11.42578125" style="11" bestFit="1" customWidth="1"/>
    <col min="5389" max="5390" width="10.85546875" style="11" bestFit="1" customWidth="1"/>
    <col min="5391" max="5392" width="11.42578125" style="11" bestFit="1" customWidth="1"/>
    <col min="5393" max="5617" width="9.140625" style="11"/>
    <col min="5618" max="5618" width="11.85546875" style="11" customWidth="1"/>
    <col min="5619" max="5619" width="9.140625" style="11"/>
    <col min="5620" max="5620" width="26.5703125" style="11" bestFit="1" customWidth="1"/>
    <col min="5621" max="5621" width="14.85546875" style="11" customWidth="1"/>
    <col min="5622" max="5622" width="17.140625" style="11" customWidth="1"/>
    <col min="5623" max="5623" width="15.42578125" style="11" bestFit="1" customWidth="1"/>
    <col min="5624" max="5624" width="15.140625" style="11" bestFit="1" customWidth="1"/>
    <col min="5625" max="5628" width="16" style="11" bestFit="1" customWidth="1"/>
    <col min="5629" max="5629" width="20.85546875" style="11" customWidth="1"/>
    <col min="5630" max="5630" width="14.42578125" style="11" bestFit="1" customWidth="1"/>
    <col min="5631" max="5631" width="15.85546875" style="11" bestFit="1" customWidth="1"/>
    <col min="5632" max="5632" width="16.7109375" style="11" bestFit="1" customWidth="1"/>
    <col min="5633" max="5633" width="19.7109375" style="11" bestFit="1" customWidth="1"/>
    <col min="5634" max="5634" width="20.7109375" style="11" bestFit="1" customWidth="1"/>
    <col min="5635" max="5635" width="20.140625" style="11" bestFit="1" customWidth="1"/>
    <col min="5636" max="5636" width="15.7109375" style="11" bestFit="1" customWidth="1"/>
    <col min="5637" max="5637" width="20.7109375" style="11" bestFit="1" customWidth="1"/>
    <col min="5638" max="5639" width="18.5703125" style="11" customWidth="1"/>
    <col min="5640" max="5640" width="11.28515625" style="11" bestFit="1" customWidth="1"/>
    <col min="5641" max="5641" width="57.140625" style="11" bestFit="1" customWidth="1"/>
    <col min="5642" max="5642" width="21.42578125" style="11" customWidth="1"/>
    <col min="5643" max="5643" width="19.42578125" style="11" bestFit="1" customWidth="1"/>
    <col min="5644" max="5644" width="11.42578125" style="11" bestFit="1" customWidth="1"/>
    <col min="5645" max="5646" width="10.85546875" style="11" bestFit="1" customWidth="1"/>
    <col min="5647" max="5648" width="11.42578125" style="11" bestFit="1" customWidth="1"/>
    <col min="5649" max="5873" width="9.140625" style="11"/>
    <col min="5874" max="5874" width="11.85546875" style="11" customWidth="1"/>
    <col min="5875" max="5875" width="9.140625" style="11"/>
    <col min="5876" max="5876" width="26.5703125" style="11" bestFit="1" customWidth="1"/>
    <col min="5877" max="5877" width="14.85546875" style="11" customWidth="1"/>
    <col min="5878" max="5878" width="17.140625" style="11" customWidth="1"/>
    <col min="5879" max="5879" width="15.42578125" style="11" bestFit="1" customWidth="1"/>
    <col min="5880" max="5880" width="15.140625" style="11" bestFit="1" customWidth="1"/>
    <col min="5881" max="5884" width="16" style="11" bestFit="1" customWidth="1"/>
    <col min="5885" max="5885" width="20.85546875" style="11" customWidth="1"/>
    <col min="5886" max="5886" width="14.42578125" style="11" bestFit="1" customWidth="1"/>
    <col min="5887" max="5887" width="15.85546875" style="11" bestFit="1" customWidth="1"/>
    <col min="5888" max="5888" width="16.7109375" style="11" bestFit="1" customWidth="1"/>
    <col min="5889" max="5889" width="19.7109375" style="11" bestFit="1" customWidth="1"/>
    <col min="5890" max="5890" width="20.7109375" style="11" bestFit="1" customWidth="1"/>
    <col min="5891" max="5891" width="20.140625" style="11" bestFit="1" customWidth="1"/>
    <col min="5892" max="5892" width="15.7109375" style="11" bestFit="1" customWidth="1"/>
    <col min="5893" max="5893" width="20.7109375" style="11" bestFit="1" customWidth="1"/>
    <col min="5894" max="5895" width="18.5703125" style="11" customWidth="1"/>
    <col min="5896" max="5896" width="11.28515625" style="11" bestFit="1" customWidth="1"/>
    <col min="5897" max="5897" width="57.140625" style="11" bestFit="1" customWidth="1"/>
    <col min="5898" max="5898" width="21.42578125" style="11" customWidth="1"/>
    <col min="5899" max="5899" width="19.42578125" style="11" bestFit="1" customWidth="1"/>
    <col min="5900" max="5900" width="11.42578125" style="11" bestFit="1" customWidth="1"/>
    <col min="5901" max="5902" width="10.85546875" style="11" bestFit="1" customWidth="1"/>
    <col min="5903" max="5904" width="11.42578125" style="11" bestFit="1" customWidth="1"/>
    <col min="5905" max="6129" width="9.140625" style="11"/>
    <col min="6130" max="6130" width="11.85546875" style="11" customWidth="1"/>
    <col min="6131" max="6131" width="9.140625" style="11"/>
    <col min="6132" max="6132" width="26.5703125" style="11" bestFit="1" customWidth="1"/>
    <col min="6133" max="6133" width="14.85546875" style="11" customWidth="1"/>
    <col min="6134" max="6134" width="17.140625" style="11" customWidth="1"/>
    <col min="6135" max="6135" width="15.42578125" style="11" bestFit="1" customWidth="1"/>
    <col min="6136" max="6136" width="15.140625" style="11" bestFit="1" customWidth="1"/>
    <col min="6137" max="6140" width="16" style="11" bestFit="1" customWidth="1"/>
    <col min="6141" max="6141" width="20.85546875" style="11" customWidth="1"/>
    <col min="6142" max="6142" width="14.42578125" style="11" bestFit="1" customWidth="1"/>
    <col min="6143" max="6143" width="15.85546875" style="11" bestFit="1" customWidth="1"/>
    <col min="6144" max="6144" width="16.7109375" style="11" bestFit="1" customWidth="1"/>
    <col min="6145" max="6145" width="19.7109375" style="11" bestFit="1" customWidth="1"/>
    <col min="6146" max="6146" width="20.7109375" style="11" bestFit="1" customWidth="1"/>
    <col min="6147" max="6147" width="20.140625" style="11" bestFit="1" customWidth="1"/>
    <col min="6148" max="6148" width="15.7109375" style="11" bestFit="1" customWidth="1"/>
    <col min="6149" max="6149" width="20.7109375" style="11" bestFit="1" customWidth="1"/>
    <col min="6150" max="6151" width="18.5703125" style="11" customWidth="1"/>
    <col min="6152" max="6152" width="11.28515625" style="11" bestFit="1" customWidth="1"/>
    <col min="6153" max="6153" width="57.140625" style="11" bestFit="1" customWidth="1"/>
    <col min="6154" max="6154" width="21.42578125" style="11" customWidth="1"/>
    <col min="6155" max="6155" width="19.42578125" style="11" bestFit="1" customWidth="1"/>
    <col min="6156" max="6156" width="11.42578125" style="11" bestFit="1" customWidth="1"/>
    <col min="6157" max="6158" width="10.85546875" style="11" bestFit="1" customWidth="1"/>
    <col min="6159" max="6160" width="11.42578125" style="11" bestFit="1" customWidth="1"/>
    <col min="6161" max="6385" width="9.140625" style="11"/>
    <col min="6386" max="6386" width="11.85546875" style="11" customWidth="1"/>
    <col min="6387" max="6387" width="9.140625" style="11"/>
    <col min="6388" max="6388" width="26.5703125" style="11" bestFit="1" customWidth="1"/>
    <col min="6389" max="6389" width="14.85546875" style="11" customWidth="1"/>
    <col min="6390" max="6390" width="17.140625" style="11" customWidth="1"/>
    <col min="6391" max="6391" width="15.42578125" style="11" bestFit="1" customWidth="1"/>
    <col min="6392" max="6392" width="15.140625" style="11" bestFit="1" customWidth="1"/>
    <col min="6393" max="6396" width="16" style="11" bestFit="1" customWidth="1"/>
    <col min="6397" max="6397" width="20.85546875" style="11" customWidth="1"/>
    <col min="6398" max="6398" width="14.42578125" style="11" bestFit="1" customWidth="1"/>
    <col min="6399" max="6399" width="15.85546875" style="11" bestFit="1" customWidth="1"/>
    <col min="6400" max="6400" width="16.7109375" style="11" bestFit="1" customWidth="1"/>
    <col min="6401" max="6401" width="19.7109375" style="11" bestFit="1" customWidth="1"/>
    <col min="6402" max="6402" width="20.7109375" style="11" bestFit="1" customWidth="1"/>
    <col min="6403" max="6403" width="20.140625" style="11" bestFit="1" customWidth="1"/>
    <col min="6404" max="6404" width="15.7109375" style="11" bestFit="1" customWidth="1"/>
    <col min="6405" max="6405" width="20.7109375" style="11" bestFit="1" customWidth="1"/>
    <col min="6406" max="6407" width="18.5703125" style="11" customWidth="1"/>
    <col min="6408" max="6408" width="11.28515625" style="11" bestFit="1" customWidth="1"/>
    <col min="6409" max="6409" width="57.140625" style="11" bestFit="1" customWidth="1"/>
    <col min="6410" max="6410" width="21.42578125" style="11" customWidth="1"/>
    <col min="6411" max="6411" width="19.42578125" style="11" bestFit="1" customWidth="1"/>
    <col min="6412" max="6412" width="11.42578125" style="11" bestFit="1" customWidth="1"/>
    <col min="6413" max="6414" width="10.85546875" style="11" bestFit="1" customWidth="1"/>
    <col min="6415" max="6416" width="11.42578125" style="11" bestFit="1" customWidth="1"/>
    <col min="6417" max="6641" width="9.140625" style="11"/>
    <col min="6642" max="6642" width="11.85546875" style="11" customWidth="1"/>
    <col min="6643" max="6643" width="9.140625" style="11"/>
    <col min="6644" max="6644" width="26.5703125" style="11" bestFit="1" customWidth="1"/>
    <col min="6645" max="6645" width="14.85546875" style="11" customWidth="1"/>
    <col min="6646" max="6646" width="17.140625" style="11" customWidth="1"/>
    <col min="6647" max="6647" width="15.42578125" style="11" bestFit="1" customWidth="1"/>
    <col min="6648" max="6648" width="15.140625" style="11" bestFit="1" customWidth="1"/>
    <col min="6649" max="6652" width="16" style="11" bestFit="1" customWidth="1"/>
    <col min="6653" max="6653" width="20.85546875" style="11" customWidth="1"/>
    <col min="6654" max="6654" width="14.42578125" style="11" bestFit="1" customWidth="1"/>
    <col min="6655" max="6655" width="15.85546875" style="11" bestFit="1" customWidth="1"/>
    <col min="6656" max="6656" width="16.7109375" style="11" bestFit="1" customWidth="1"/>
    <col min="6657" max="6657" width="19.7109375" style="11" bestFit="1" customWidth="1"/>
    <col min="6658" max="6658" width="20.7109375" style="11" bestFit="1" customWidth="1"/>
    <col min="6659" max="6659" width="20.140625" style="11" bestFit="1" customWidth="1"/>
    <col min="6660" max="6660" width="15.7109375" style="11" bestFit="1" customWidth="1"/>
    <col min="6661" max="6661" width="20.7109375" style="11" bestFit="1" customWidth="1"/>
    <col min="6662" max="6663" width="18.5703125" style="11" customWidth="1"/>
    <col min="6664" max="6664" width="11.28515625" style="11" bestFit="1" customWidth="1"/>
    <col min="6665" max="6665" width="57.140625" style="11" bestFit="1" customWidth="1"/>
    <col min="6666" max="6666" width="21.42578125" style="11" customWidth="1"/>
    <col min="6667" max="6667" width="19.42578125" style="11" bestFit="1" customWidth="1"/>
    <col min="6668" max="6668" width="11.42578125" style="11" bestFit="1" customWidth="1"/>
    <col min="6669" max="6670" width="10.85546875" style="11" bestFit="1" customWidth="1"/>
    <col min="6671" max="6672" width="11.42578125" style="11" bestFit="1" customWidth="1"/>
    <col min="6673" max="6897" width="9.140625" style="11"/>
    <col min="6898" max="6898" width="11.85546875" style="11" customWidth="1"/>
    <col min="6899" max="6899" width="9.140625" style="11"/>
    <col min="6900" max="6900" width="26.5703125" style="11" bestFit="1" customWidth="1"/>
    <col min="6901" max="6901" width="14.85546875" style="11" customWidth="1"/>
    <col min="6902" max="6902" width="17.140625" style="11" customWidth="1"/>
    <col min="6903" max="6903" width="15.42578125" style="11" bestFit="1" customWidth="1"/>
    <col min="6904" max="6904" width="15.140625" style="11" bestFit="1" customWidth="1"/>
    <col min="6905" max="6908" width="16" style="11" bestFit="1" customWidth="1"/>
    <col min="6909" max="6909" width="20.85546875" style="11" customWidth="1"/>
    <col min="6910" max="6910" width="14.42578125" style="11" bestFit="1" customWidth="1"/>
    <col min="6911" max="6911" width="15.85546875" style="11" bestFit="1" customWidth="1"/>
    <col min="6912" max="6912" width="16.7109375" style="11" bestFit="1" customWidth="1"/>
    <col min="6913" max="6913" width="19.7109375" style="11" bestFit="1" customWidth="1"/>
    <col min="6914" max="6914" width="20.7109375" style="11" bestFit="1" customWidth="1"/>
    <col min="6915" max="6915" width="20.140625" style="11" bestFit="1" customWidth="1"/>
    <col min="6916" max="6916" width="15.7109375" style="11" bestFit="1" customWidth="1"/>
    <col min="6917" max="6917" width="20.7109375" style="11" bestFit="1" customWidth="1"/>
    <col min="6918" max="6919" width="18.5703125" style="11" customWidth="1"/>
    <col min="6920" max="6920" width="11.28515625" style="11" bestFit="1" customWidth="1"/>
    <col min="6921" max="6921" width="57.140625" style="11" bestFit="1" customWidth="1"/>
    <col min="6922" max="6922" width="21.42578125" style="11" customWidth="1"/>
    <col min="6923" max="6923" width="19.42578125" style="11" bestFit="1" customWidth="1"/>
    <col min="6924" max="6924" width="11.42578125" style="11" bestFit="1" customWidth="1"/>
    <col min="6925" max="6926" width="10.85546875" style="11" bestFit="1" customWidth="1"/>
    <col min="6927" max="6928" width="11.42578125" style="11" bestFit="1" customWidth="1"/>
    <col min="6929" max="7153" width="9.140625" style="11"/>
    <col min="7154" max="7154" width="11.85546875" style="11" customWidth="1"/>
    <col min="7155" max="7155" width="9.140625" style="11"/>
    <col min="7156" max="7156" width="26.5703125" style="11" bestFit="1" customWidth="1"/>
    <col min="7157" max="7157" width="14.85546875" style="11" customWidth="1"/>
    <col min="7158" max="7158" width="17.140625" style="11" customWidth="1"/>
    <col min="7159" max="7159" width="15.42578125" style="11" bestFit="1" customWidth="1"/>
    <col min="7160" max="7160" width="15.140625" style="11" bestFit="1" customWidth="1"/>
    <col min="7161" max="7164" width="16" style="11" bestFit="1" customWidth="1"/>
    <col min="7165" max="7165" width="20.85546875" style="11" customWidth="1"/>
    <col min="7166" max="7166" width="14.42578125" style="11" bestFit="1" customWidth="1"/>
    <col min="7167" max="7167" width="15.85546875" style="11" bestFit="1" customWidth="1"/>
    <col min="7168" max="7168" width="16.7109375" style="11" bestFit="1" customWidth="1"/>
    <col min="7169" max="7169" width="19.7109375" style="11" bestFit="1" customWidth="1"/>
    <col min="7170" max="7170" width="20.7109375" style="11" bestFit="1" customWidth="1"/>
    <col min="7171" max="7171" width="20.140625" style="11" bestFit="1" customWidth="1"/>
    <col min="7172" max="7172" width="15.7109375" style="11" bestFit="1" customWidth="1"/>
    <col min="7173" max="7173" width="20.7109375" style="11" bestFit="1" customWidth="1"/>
    <col min="7174" max="7175" width="18.5703125" style="11" customWidth="1"/>
    <col min="7176" max="7176" width="11.28515625" style="11" bestFit="1" customWidth="1"/>
    <col min="7177" max="7177" width="57.140625" style="11" bestFit="1" customWidth="1"/>
    <col min="7178" max="7178" width="21.42578125" style="11" customWidth="1"/>
    <col min="7179" max="7179" width="19.42578125" style="11" bestFit="1" customWidth="1"/>
    <col min="7180" max="7180" width="11.42578125" style="11" bestFit="1" customWidth="1"/>
    <col min="7181" max="7182" width="10.85546875" style="11" bestFit="1" customWidth="1"/>
    <col min="7183" max="7184" width="11.42578125" style="11" bestFit="1" customWidth="1"/>
    <col min="7185" max="7409" width="9.140625" style="11"/>
    <col min="7410" max="7410" width="11.85546875" style="11" customWidth="1"/>
    <col min="7411" max="7411" width="9.140625" style="11"/>
    <col min="7412" max="7412" width="26.5703125" style="11" bestFit="1" customWidth="1"/>
    <col min="7413" max="7413" width="14.85546875" style="11" customWidth="1"/>
    <col min="7414" max="7414" width="17.140625" style="11" customWidth="1"/>
    <col min="7415" max="7415" width="15.42578125" style="11" bestFit="1" customWidth="1"/>
    <col min="7416" max="7416" width="15.140625" style="11" bestFit="1" customWidth="1"/>
    <col min="7417" max="7420" width="16" style="11" bestFit="1" customWidth="1"/>
    <col min="7421" max="7421" width="20.85546875" style="11" customWidth="1"/>
    <col min="7422" max="7422" width="14.42578125" style="11" bestFit="1" customWidth="1"/>
    <col min="7423" max="7423" width="15.85546875" style="11" bestFit="1" customWidth="1"/>
    <col min="7424" max="7424" width="16.7109375" style="11" bestFit="1" customWidth="1"/>
    <col min="7425" max="7425" width="19.7109375" style="11" bestFit="1" customWidth="1"/>
    <col min="7426" max="7426" width="20.7109375" style="11" bestFit="1" customWidth="1"/>
    <col min="7427" max="7427" width="20.140625" style="11" bestFit="1" customWidth="1"/>
    <col min="7428" max="7428" width="15.7109375" style="11" bestFit="1" customWidth="1"/>
    <col min="7429" max="7429" width="20.7109375" style="11" bestFit="1" customWidth="1"/>
    <col min="7430" max="7431" width="18.5703125" style="11" customWidth="1"/>
    <col min="7432" max="7432" width="11.28515625" style="11" bestFit="1" customWidth="1"/>
    <col min="7433" max="7433" width="57.140625" style="11" bestFit="1" customWidth="1"/>
    <col min="7434" max="7434" width="21.42578125" style="11" customWidth="1"/>
    <col min="7435" max="7435" width="19.42578125" style="11" bestFit="1" customWidth="1"/>
    <col min="7436" max="7436" width="11.42578125" style="11" bestFit="1" customWidth="1"/>
    <col min="7437" max="7438" width="10.85546875" style="11" bestFit="1" customWidth="1"/>
    <col min="7439" max="7440" width="11.42578125" style="11" bestFit="1" customWidth="1"/>
    <col min="7441" max="7665" width="9.140625" style="11"/>
    <col min="7666" max="7666" width="11.85546875" style="11" customWidth="1"/>
    <col min="7667" max="7667" width="9.140625" style="11"/>
    <col min="7668" max="7668" width="26.5703125" style="11" bestFit="1" customWidth="1"/>
    <col min="7669" max="7669" width="14.85546875" style="11" customWidth="1"/>
    <col min="7670" max="7670" width="17.140625" style="11" customWidth="1"/>
    <col min="7671" max="7671" width="15.42578125" style="11" bestFit="1" customWidth="1"/>
    <col min="7672" max="7672" width="15.140625" style="11" bestFit="1" customWidth="1"/>
    <col min="7673" max="7676" width="16" style="11" bestFit="1" customWidth="1"/>
    <col min="7677" max="7677" width="20.85546875" style="11" customWidth="1"/>
    <col min="7678" max="7678" width="14.42578125" style="11" bestFit="1" customWidth="1"/>
    <col min="7679" max="7679" width="15.85546875" style="11" bestFit="1" customWidth="1"/>
    <col min="7680" max="7680" width="16.7109375" style="11" bestFit="1" customWidth="1"/>
    <col min="7681" max="7681" width="19.7109375" style="11" bestFit="1" customWidth="1"/>
    <col min="7682" max="7682" width="20.7109375" style="11" bestFit="1" customWidth="1"/>
    <col min="7683" max="7683" width="20.140625" style="11" bestFit="1" customWidth="1"/>
    <col min="7684" max="7684" width="15.7109375" style="11" bestFit="1" customWidth="1"/>
    <col min="7685" max="7685" width="20.7109375" style="11" bestFit="1" customWidth="1"/>
    <col min="7686" max="7687" width="18.5703125" style="11" customWidth="1"/>
    <col min="7688" max="7688" width="11.28515625" style="11" bestFit="1" customWidth="1"/>
    <col min="7689" max="7689" width="57.140625" style="11" bestFit="1" customWidth="1"/>
    <col min="7690" max="7690" width="21.42578125" style="11" customWidth="1"/>
    <col min="7691" max="7691" width="19.42578125" style="11" bestFit="1" customWidth="1"/>
    <col min="7692" max="7692" width="11.42578125" style="11" bestFit="1" customWidth="1"/>
    <col min="7693" max="7694" width="10.85546875" style="11" bestFit="1" customWidth="1"/>
    <col min="7695" max="7696" width="11.42578125" style="11" bestFit="1" customWidth="1"/>
    <col min="7697" max="7921" width="9.140625" style="11"/>
    <col min="7922" max="7922" width="11.85546875" style="11" customWidth="1"/>
    <col min="7923" max="7923" width="9.140625" style="11"/>
    <col min="7924" max="7924" width="26.5703125" style="11" bestFit="1" customWidth="1"/>
    <col min="7925" max="7925" width="14.85546875" style="11" customWidth="1"/>
    <col min="7926" max="7926" width="17.140625" style="11" customWidth="1"/>
    <col min="7927" max="7927" width="15.42578125" style="11" bestFit="1" customWidth="1"/>
    <col min="7928" max="7928" width="15.140625" style="11" bestFit="1" customWidth="1"/>
    <col min="7929" max="7932" width="16" style="11" bestFit="1" customWidth="1"/>
    <col min="7933" max="7933" width="20.85546875" style="11" customWidth="1"/>
    <col min="7934" max="7934" width="14.42578125" style="11" bestFit="1" customWidth="1"/>
    <col min="7935" max="7935" width="15.85546875" style="11" bestFit="1" customWidth="1"/>
    <col min="7936" max="7936" width="16.7109375" style="11" bestFit="1" customWidth="1"/>
    <col min="7937" max="7937" width="19.7109375" style="11" bestFit="1" customWidth="1"/>
    <col min="7938" max="7938" width="20.7109375" style="11" bestFit="1" customWidth="1"/>
    <col min="7939" max="7939" width="20.140625" style="11" bestFit="1" customWidth="1"/>
    <col min="7940" max="7940" width="15.7109375" style="11" bestFit="1" customWidth="1"/>
    <col min="7941" max="7941" width="20.7109375" style="11" bestFit="1" customWidth="1"/>
    <col min="7942" max="7943" width="18.5703125" style="11" customWidth="1"/>
    <col min="7944" max="7944" width="11.28515625" style="11" bestFit="1" customWidth="1"/>
    <col min="7945" max="7945" width="57.140625" style="11" bestFit="1" customWidth="1"/>
    <col min="7946" max="7946" width="21.42578125" style="11" customWidth="1"/>
    <col min="7947" max="7947" width="19.42578125" style="11" bestFit="1" customWidth="1"/>
    <col min="7948" max="7948" width="11.42578125" style="11" bestFit="1" customWidth="1"/>
    <col min="7949" max="7950" width="10.85546875" style="11" bestFit="1" customWidth="1"/>
    <col min="7951" max="7952" width="11.42578125" style="11" bestFit="1" customWidth="1"/>
    <col min="7953" max="8177" width="9.140625" style="11"/>
    <col min="8178" max="8178" width="11.85546875" style="11" customWidth="1"/>
    <col min="8179" max="8179" width="9.140625" style="11"/>
    <col min="8180" max="8180" width="26.5703125" style="11" bestFit="1" customWidth="1"/>
    <col min="8181" max="8181" width="14.85546875" style="11" customWidth="1"/>
    <col min="8182" max="8182" width="17.140625" style="11" customWidth="1"/>
    <col min="8183" max="8183" width="15.42578125" style="11" bestFit="1" customWidth="1"/>
    <col min="8184" max="8184" width="15.140625" style="11" bestFit="1" customWidth="1"/>
    <col min="8185" max="8188" width="16" style="11" bestFit="1" customWidth="1"/>
    <col min="8189" max="8189" width="20.85546875" style="11" customWidth="1"/>
    <col min="8190" max="8190" width="14.42578125" style="11" bestFit="1" customWidth="1"/>
    <col min="8191" max="8191" width="15.85546875" style="11" bestFit="1" customWidth="1"/>
    <col min="8192" max="8192" width="16.7109375" style="11" bestFit="1" customWidth="1"/>
    <col min="8193" max="8193" width="19.7109375" style="11" bestFit="1" customWidth="1"/>
    <col min="8194" max="8194" width="20.7109375" style="11" bestFit="1" customWidth="1"/>
    <col min="8195" max="8195" width="20.140625" style="11" bestFit="1" customWidth="1"/>
    <col min="8196" max="8196" width="15.7109375" style="11" bestFit="1" customWidth="1"/>
    <col min="8197" max="8197" width="20.7109375" style="11" bestFit="1" customWidth="1"/>
    <col min="8198" max="8199" width="18.5703125" style="11" customWidth="1"/>
    <col min="8200" max="8200" width="11.28515625" style="11" bestFit="1" customWidth="1"/>
    <col min="8201" max="8201" width="57.140625" style="11" bestFit="1" customWidth="1"/>
    <col min="8202" max="8202" width="21.42578125" style="11" customWidth="1"/>
    <col min="8203" max="8203" width="19.42578125" style="11" bestFit="1" customWidth="1"/>
    <col min="8204" max="8204" width="11.42578125" style="11" bestFit="1" customWidth="1"/>
    <col min="8205" max="8206" width="10.85546875" style="11" bestFit="1" customWidth="1"/>
    <col min="8207" max="8208" width="11.42578125" style="11" bestFit="1" customWidth="1"/>
    <col min="8209" max="8433" width="9.140625" style="11"/>
    <col min="8434" max="8434" width="11.85546875" style="11" customWidth="1"/>
    <col min="8435" max="8435" width="9.140625" style="11"/>
    <col min="8436" max="8436" width="26.5703125" style="11" bestFit="1" customWidth="1"/>
    <col min="8437" max="8437" width="14.85546875" style="11" customWidth="1"/>
    <col min="8438" max="8438" width="17.140625" style="11" customWidth="1"/>
    <col min="8439" max="8439" width="15.42578125" style="11" bestFit="1" customWidth="1"/>
    <col min="8440" max="8440" width="15.140625" style="11" bestFit="1" customWidth="1"/>
    <col min="8441" max="8444" width="16" style="11" bestFit="1" customWidth="1"/>
    <col min="8445" max="8445" width="20.85546875" style="11" customWidth="1"/>
    <col min="8446" max="8446" width="14.42578125" style="11" bestFit="1" customWidth="1"/>
    <col min="8447" max="8447" width="15.85546875" style="11" bestFit="1" customWidth="1"/>
    <col min="8448" max="8448" width="16.7109375" style="11" bestFit="1" customWidth="1"/>
    <col min="8449" max="8449" width="19.7109375" style="11" bestFit="1" customWidth="1"/>
    <col min="8450" max="8450" width="20.7109375" style="11" bestFit="1" customWidth="1"/>
    <col min="8451" max="8451" width="20.140625" style="11" bestFit="1" customWidth="1"/>
    <col min="8452" max="8452" width="15.7109375" style="11" bestFit="1" customWidth="1"/>
    <col min="8453" max="8453" width="20.7109375" style="11" bestFit="1" customWidth="1"/>
    <col min="8454" max="8455" width="18.5703125" style="11" customWidth="1"/>
    <col min="8456" max="8456" width="11.28515625" style="11" bestFit="1" customWidth="1"/>
    <col min="8457" max="8457" width="57.140625" style="11" bestFit="1" customWidth="1"/>
    <col min="8458" max="8458" width="21.42578125" style="11" customWidth="1"/>
    <col min="8459" max="8459" width="19.42578125" style="11" bestFit="1" customWidth="1"/>
    <col min="8460" max="8460" width="11.42578125" style="11" bestFit="1" customWidth="1"/>
    <col min="8461" max="8462" width="10.85546875" style="11" bestFit="1" customWidth="1"/>
    <col min="8463" max="8464" width="11.42578125" style="11" bestFit="1" customWidth="1"/>
    <col min="8465" max="8689" width="9.140625" style="11"/>
    <col min="8690" max="8690" width="11.85546875" style="11" customWidth="1"/>
    <col min="8691" max="8691" width="9.140625" style="11"/>
    <col min="8692" max="8692" width="26.5703125" style="11" bestFit="1" customWidth="1"/>
    <col min="8693" max="8693" width="14.85546875" style="11" customWidth="1"/>
    <col min="8694" max="8694" width="17.140625" style="11" customWidth="1"/>
    <col min="8695" max="8695" width="15.42578125" style="11" bestFit="1" customWidth="1"/>
    <col min="8696" max="8696" width="15.140625" style="11" bestFit="1" customWidth="1"/>
    <col min="8697" max="8700" width="16" style="11" bestFit="1" customWidth="1"/>
    <col min="8701" max="8701" width="20.85546875" style="11" customWidth="1"/>
    <col min="8702" max="8702" width="14.42578125" style="11" bestFit="1" customWidth="1"/>
    <col min="8703" max="8703" width="15.85546875" style="11" bestFit="1" customWidth="1"/>
    <col min="8704" max="8704" width="16.7109375" style="11" bestFit="1" customWidth="1"/>
    <col min="8705" max="8705" width="19.7109375" style="11" bestFit="1" customWidth="1"/>
    <col min="8706" max="8706" width="20.7109375" style="11" bestFit="1" customWidth="1"/>
    <col min="8707" max="8707" width="20.140625" style="11" bestFit="1" customWidth="1"/>
    <col min="8708" max="8708" width="15.7109375" style="11" bestFit="1" customWidth="1"/>
    <col min="8709" max="8709" width="20.7109375" style="11" bestFit="1" customWidth="1"/>
    <col min="8710" max="8711" width="18.5703125" style="11" customWidth="1"/>
    <col min="8712" max="8712" width="11.28515625" style="11" bestFit="1" customWidth="1"/>
    <col min="8713" max="8713" width="57.140625" style="11" bestFit="1" customWidth="1"/>
    <col min="8714" max="8714" width="21.42578125" style="11" customWidth="1"/>
    <col min="8715" max="8715" width="19.42578125" style="11" bestFit="1" customWidth="1"/>
    <col min="8716" max="8716" width="11.42578125" style="11" bestFit="1" customWidth="1"/>
    <col min="8717" max="8718" width="10.85546875" style="11" bestFit="1" customWidth="1"/>
    <col min="8719" max="8720" width="11.42578125" style="11" bestFit="1" customWidth="1"/>
    <col min="8721" max="8945" width="9.140625" style="11"/>
    <col min="8946" max="8946" width="11.85546875" style="11" customWidth="1"/>
    <col min="8947" max="8947" width="9.140625" style="11"/>
    <col min="8948" max="8948" width="26.5703125" style="11" bestFit="1" customWidth="1"/>
    <col min="8949" max="8949" width="14.85546875" style="11" customWidth="1"/>
    <col min="8950" max="8950" width="17.140625" style="11" customWidth="1"/>
    <col min="8951" max="8951" width="15.42578125" style="11" bestFit="1" customWidth="1"/>
    <col min="8952" max="8952" width="15.140625" style="11" bestFit="1" customWidth="1"/>
    <col min="8953" max="8956" width="16" style="11" bestFit="1" customWidth="1"/>
    <col min="8957" max="8957" width="20.85546875" style="11" customWidth="1"/>
    <col min="8958" max="8958" width="14.42578125" style="11" bestFit="1" customWidth="1"/>
    <col min="8959" max="8959" width="15.85546875" style="11" bestFit="1" customWidth="1"/>
    <col min="8960" max="8960" width="16.7109375" style="11" bestFit="1" customWidth="1"/>
    <col min="8961" max="8961" width="19.7109375" style="11" bestFit="1" customWidth="1"/>
    <col min="8962" max="8962" width="20.7109375" style="11" bestFit="1" customWidth="1"/>
    <col min="8963" max="8963" width="20.140625" style="11" bestFit="1" customWidth="1"/>
    <col min="8964" max="8964" width="15.7109375" style="11" bestFit="1" customWidth="1"/>
    <col min="8965" max="8965" width="20.7109375" style="11" bestFit="1" customWidth="1"/>
    <col min="8966" max="8967" width="18.5703125" style="11" customWidth="1"/>
    <col min="8968" max="8968" width="11.28515625" style="11" bestFit="1" customWidth="1"/>
    <col min="8969" max="8969" width="57.140625" style="11" bestFit="1" customWidth="1"/>
    <col min="8970" max="8970" width="21.42578125" style="11" customWidth="1"/>
    <col min="8971" max="8971" width="19.42578125" style="11" bestFit="1" customWidth="1"/>
    <col min="8972" max="8972" width="11.42578125" style="11" bestFit="1" customWidth="1"/>
    <col min="8973" max="8974" width="10.85546875" style="11" bestFit="1" customWidth="1"/>
    <col min="8975" max="8976" width="11.42578125" style="11" bestFit="1" customWidth="1"/>
    <col min="8977" max="9201" width="9.140625" style="11"/>
    <col min="9202" max="9202" width="11.85546875" style="11" customWidth="1"/>
    <col min="9203" max="9203" width="9.140625" style="11"/>
    <col min="9204" max="9204" width="26.5703125" style="11" bestFit="1" customWidth="1"/>
    <col min="9205" max="9205" width="14.85546875" style="11" customWidth="1"/>
    <col min="9206" max="9206" width="17.140625" style="11" customWidth="1"/>
    <col min="9207" max="9207" width="15.42578125" style="11" bestFit="1" customWidth="1"/>
    <col min="9208" max="9208" width="15.140625" style="11" bestFit="1" customWidth="1"/>
    <col min="9209" max="9212" width="16" style="11" bestFit="1" customWidth="1"/>
    <col min="9213" max="9213" width="20.85546875" style="11" customWidth="1"/>
    <col min="9214" max="9214" width="14.42578125" style="11" bestFit="1" customWidth="1"/>
    <col min="9215" max="9215" width="15.85546875" style="11" bestFit="1" customWidth="1"/>
    <col min="9216" max="9216" width="16.7109375" style="11" bestFit="1" customWidth="1"/>
    <col min="9217" max="9217" width="19.7109375" style="11" bestFit="1" customWidth="1"/>
    <col min="9218" max="9218" width="20.7109375" style="11" bestFit="1" customWidth="1"/>
    <col min="9219" max="9219" width="20.140625" style="11" bestFit="1" customWidth="1"/>
    <col min="9220" max="9220" width="15.7109375" style="11" bestFit="1" customWidth="1"/>
    <col min="9221" max="9221" width="20.7109375" style="11" bestFit="1" customWidth="1"/>
    <col min="9222" max="9223" width="18.5703125" style="11" customWidth="1"/>
    <col min="9224" max="9224" width="11.28515625" style="11" bestFit="1" customWidth="1"/>
    <col min="9225" max="9225" width="57.140625" style="11" bestFit="1" customWidth="1"/>
    <col min="9226" max="9226" width="21.42578125" style="11" customWidth="1"/>
    <col min="9227" max="9227" width="19.42578125" style="11" bestFit="1" customWidth="1"/>
    <col min="9228" max="9228" width="11.42578125" style="11" bestFit="1" customWidth="1"/>
    <col min="9229" max="9230" width="10.85546875" style="11" bestFit="1" customWidth="1"/>
    <col min="9231" max="9232" width="11.42578125" style="11" bestFit="1" customWidth="1"/>
    <col min="9233" max="9457" width="9.140625" style="11"/>
    <col min="9458" max="9458" width="11.85546875" style="11" customWidth="1"/>
    <col min="9459" max="9459" width="9.140625" style="11"/>
    <col min="9460" max="9460" width="26.5703125" style="11" bestFit="1" customWidth="1"/>
    <col min="9461" max="9461" width="14.85546875" style="11" customWidth="1"/>
    <col min="9462" max="9462" width="17.140625" style="11" customWidth="1"/>
    <col min="9463" max="9463" width="15.42578125" style="11" bestFit="1" customWidth="1"/>
    <col min="9464" max="9464" width="15.140625" style="11" bestFit="1" customWidth="1"/>
    <col min="9465" max="9468" width="16" style="11" bestFit="1" customWidth="1"/>
    <col min="9469" max="9469" width="20.85546875" style="11" customWidth="1"/>
    <col min="9470" max="9470" width="14.42578125" style="11" bestFit="1" customWidth="1"/>
    <col min="9471" max="9471" width="15.85546875" style="11" bestFit="1" customWidth="1"/>
    <col min="9472" max="9472" width="16.7109375" style="11" bestFit="1" customWidth="1"/>
    <col min="9473" max="9473" width="19.7109375" style="11" bestFit="1" customWidth="1"/>
    <col min="9474" max="9474" width="20.7109375" style="11" bestFit="1" customWidth="1"/>
    <col min="9475" max="9475" width="20.140625" style="11" bestFit="1" customWidth="1"/>
    <col min="9476" max="9476" width="15.7109375" style="11" bestFit="1" customWidth="1"/>
    <col min="9477" max="9477" width="20.7109375" style="11" bestFit="1" customWidth="1"/>
    <col min="9478" max="9479" width="18.5703125" style="11" customWidth="1"/>
    <col min="9480" max="9480" width="11.28515625" style="11" bestFit="1" customWidth="1"/>
    <col min="9481" max="9481" width="57.140625" style="11" bestFit="1" customWidth="1"/>
    <col min="9482" max="9482" width="21.42578125" style="11" customWidth="1"/>
    <col min="9483" max="9483" width="19.42578125" style="11" bestFit="1" customWidth="1"/>
    <col min="9484" max="9484" width="11.42578125" style="11" bestFit="1" customWidth="1"/>
    <col min="9485" max="9486" width="10.85546875" style="11" bestFit="1" customWidth="1"/>
    <col min="9487" max="9488" width="11.42578125" style="11" bestFit="1" customWidth="1"/>
    <col min="9489" max="9713" width="9.140625" style="11"/>
    <col min="9714" max="9714" width="11.85546875" style="11" customWidth="1"/>
    <col min="9715" max="9715" width="9.140625" style="11"/>
    <col min="9716" max="9716" width="26.5703125" style="11" bestFit="1" customWidth="1"/>
    <col min="9717" max="9717" width="14.85546875" style="11" customWidth="1"/>
    <col min="9718" max="9718" width="17.140625" style="11" customWidth="1"/>
    <col min="9719" max="9719" width="15.42578125" style="11" bestFit="1" customWidth="1"/>
    <col min="9720" max="9720" width="15.140625" style="11" bestFit="1" customWidth="1"/>
    <col min="9721" max="9724" width="16" style="11" bestFit="1" customWidth="1"/>
    <col min="9725" max="9725" width="20.85546875" style="11" customWidth="1"/>
    <col min="9726" max="9726" width="14.42578125" style="11" bestFit="1" customWidth="1"/>
    <col min="9727" max="9727" width="15.85546875" style="11" bestFit="1" customWidth="1"/>
    <col min="9728" max="9728" width="16.7109375" style="11" bestFit="1" customWidth="1"/>
    <col min="9729" max="9729" width="19.7109375" style="11" bestFit="1" customWidth="1"/>
    <col min="9730" max="9730" width="20.7109375" style="11" bestFit="1" customWidth="1"/>
    <col min="9731" max="9731" width="20.140625" style="11" bestFit="1" customWidth="1"/>
    <col min="9732" max="9732" width="15.7109375" style="11" bestFit="1" customWidth="1"/>
    <col min="9733" max="9733" width="20.7109375" style="11" bestFit="1" customWidth="1"/>
    <col min="9734" max="9735" width="18.5703125" style="11" customWidth="1"/>
    <col min="9736" max="9736" width="11.28515625" style="11" bestFit="1" customWidth="1"/>
    <col min="9737" max="9737" width="57.140625" style="11" bestFit="1" customWidth="1"/>
    <col min="9738" max="9738" width="21.42578125" style="11" customWidth="1"/>
    <col min="9739" max="9739" width="19.42578125" style="11" bestFit="1" customWidth="1"/>
    <col min="9740" max="9740" width="11.42578125" style="11" bestFit="1" customWidth="1"/>
    <col min="9741" max="9742" width="10.85546875" style="11" bestFit="1" customWidth="1"/>
    <col min="9743" max="9744" width="11.42578125" style="11" bestFit="1" customWidth="1"/>
    <col min="9745" max="9969" width="9.140625" style="11"/>
    <col min="9970" max="9970" width="11.85546875" style="11" customWidth="1"/>
    <col min="9971" max="9971" width="9.140625" style="11"/>
    <col min="9972" max="9972" width="26.5703125" style="11" bestFit="1" customWidth="1"/>
    <col min="9973" max="9973" width="14.85546875" style="11" customWidth="1"/>
    <col min="9974" max="9974" width="17.140625" style="11" customWidth="1"/>
    <col min="9975" max="9975" width="15.42578125" style="11" bestFit="1" customWidth="1"/>
    <col min="9976" max="9976" width="15.140625" style="11" bestFit="1" customWidth="1"/>
    <col min="9977" max="9980" width="16" style="11" bestFit="1" customWidth="1"/>
    <col min="9981" max="9981" width="20.85546875" style="11" customWidth="1"/>
    <col min="9982" max="9982" width="14.42578125" style="11" bestFit="1" customWidth="1"/>
    <col min="9983" max="9983" width="15.85546875" style="11" bestFit="1" customWidth="1"/>
    <col min="9984" max="9984" width="16.7109375" style="11" bestFit="1" customWidth="1"/>
    <col min="9985" max="9985" width="19.7109375" style="11" bestFit="1" customWidth="1"/>
    <col min="9986" max="9986" width="20.7109375" style="11" bestFit="1" customWidth="1"/>
    <col min="9987" max="9987" width="20.140625" style="11" bestFit="1" customWidth="1"/>
    <col min="9988" max="9988" width="15.7109375" style="11" bestFit="1" customWidth="1"/>
    <col min="9989" max="9989" width="20.7109375" style="11" bestFit="1" customWidth="1"/>
    <col min="9990" max="9991" width="18.5703125" style="11" customWidth="1"/>
    <col min="9992" max="9992" width="11.28515625" style="11" bestFit="1" customWidth="1"/>
    <col min="9993" max="9993" width="57.140625" style="11" bestFit="1" customWidth="1"/>
    <col min="9994" max="9994" width="21.42578125" style="11" customWidth="1"/>
    <col min="9995" max="9995" width="19.42578125" style="11" bestFit="1" customWidth="1"/>
    <col min="9996" max="9996" width="11.42578125" style="11" bestFit="1" customWidth="1"/>
    <col min="9997" max="9998" width="10.85546875" style="11" bestFit="1" customWidth="1"/>
    <col min="9999" max="10000" width="11.42578125" style="11" bestFit="1" customWidth="1"/>
    <col min="10001" max="10225" width="9.140625" style="11"/>
    <col min="10226" max="10226" width="11.85546875" style="11" customWidth="1"/>
    <col min="10227" max="10227" width="9.140625" style="11"/>
    <col min="10228" max="10228" width="26.5703125" style="11" bestFit="1" customWidth="1"/>
    <col min="10229" max="10229" width="14.85546875" style="11" customWidth="1"/>
    <col min="10230" max="10230" width="17.140625" style="11" customWidth="1"/>
    <col min="10231" max="10231" width="15.42578125" style="11" bestFit="1" customWidth="1"/>
    <col min="10232" max="10232" width="15.140625" style="11" bestFit="1" customWidth="1"/>
    <col min="10233" max="10236" width="16" style="11" bestFit="1" customWidth="1"/>
    <col min="10237" max="10237" width="20.85546875" style="11" customWidth="1"/>
    <col min="10238" max="10238" width="14.42578125" style="11" bestFit="1" customWidth="1"/>
    <col min="10239" max="10239" width="15.85546875" style="11" bestFit="1" customWidth="1"/>
    <col min="10240" max="10240" width="16.7109375" style="11" bestFit="1" customWidth="1"/>
    <col min="10241" max="10241" width="19.7109375" style="11" bestFit="1" customWidth="1"/>
    <col min="10242" max="10242" width="20.7109375" style="11" bestFit="1" customWidth="1"/>
    <col min="10243" max="10243" width="20.140625" style="11" bestFit="1" customWidth="1"/>
    <col min="10244" max="10244" width="15.7109375" style="11" bestFit="1" customWidth="1"/>
    <col min="10245" max="10245" width="20.7109375" style="11" bestFit="1" customWidth="1"/>
    <col min="10246" max="10247" width="18.5703125" style="11" customWidth="1"/>
    <col min="10248" max="10248" width="11.28515625" style="11" bestFit="1" customWidth="1"/>
    <col min="10249" max="10249" width="57.140625" style="11" bestFit="1" customWidth="1"/>
    <col min="10250" max="10250" width="21.42578125" style="11" customWidth="1"/>
    <col min="10251" max="10251" width="19.42578125" style="11" bestFit="1" customWidth="1"/>
    <col min="10252" max="10252" width="11.42578125" style="11" bestFit="1" customWidth="1"/>
    <col min="10253" max="10254" width="10.85546875" style="11" bestFit="1" customWidth="1"/>
    <col min="10255" max="10256" width="11.42578125" style="11" bestFit="1" customWidth="1"/>
    <col min="10257" max="10481" width="9.140625" style="11"/>
    <col min="10482" max="10482" width="11.85546875" style="11" customWidth="1"/>
    <col min="10483" max="10483" width="9.140625" style="11"/>
    <col min="10484" max="10484" width="26.5703125" style="11" bestFit="1" customWidth="1"/>
    <col min="10485" max="10485" width="14.85546875" style="11" customWidth="1"/>
    <col min="10486" max="10486" width="17.140625" style="11" customWidth="1"/>
    <col min="10487" max="10487" width="15.42578125" style="11" bestFit="1" customWidth="1"/>
    <col min="10488" max="10488" width="15.140625" style="11" bestFit="1" customWidth="1"/>
    <col min="10489" max="10492" width="16" style="11" bestFit="1" customWidth="1"/>
    <col min="10493" max="10493" width="20.85546875" style="11" customWidth="1"/>
    <col min="10494" max="10494" width="14.42578125" style="11" bestFit="1" customWidth="1"/>
    <col min="10495" max="10495" width="15.85546875" style="11" bestFit="1" customWidth="1"/>
    <col min="10496" max="10496" width="16.7109375" style="11" bestFit="1" customWidth="1"/>
    <col min="10497" max="10497" width="19.7109375" style="11" bestFit="1" customWidth="1"/>
    <col min="10498" max="10498" width="20.7109375" style="11" bestFit="1" customWidth="1"/>
    <col min="10499" max="10499" width="20.140625" style="11" bestFit="1" customWidth="1"/>
    <col min="10500" max="10500" width="15.7109375" style="11" bestFit="1" customWidth="1"/>
    <col min="10501" max="10501" width="20.7109375" style="11" bestFit="1" customWidth="1"/>
    <col min="10502" max="10503" width="18.5703125" style="11" customWidth="1"/>
    <col min="10504" max="10504" width="11.28515625" style="11" bestFit="1" customWidth="1"/>
    <col min="10505" max="10505" width="57.140625" style="11" bestFit="1" customWidth="1"/>
    <col min="10506" max="10506" width="21.42578125" style="11" customWidth="1"/>
    <col min="10507" max="10507" width="19.42578125" style="11" bestFit="1" customWidth="1"/>
    <col min="10508" max="10508" width="11.42578125" style="11" bestFit="1" customWidth="1"/>
    <col min="10509" max="10510" width="10.85546875" style="11" bestFit="1" customWidth="1"/>
    <col min="10511" max="10512" width="11.42578125" style="11" bestFit="1" customWidth="1"/>
    <col min="10513" max="10737" width="9.140625" style="11"/>
    <col min="10738" max="10738" width="11.85546875" style="11" customWidth="1"/>
    <col min="10739" max="10739" width="9.140625" style="11"/>
    <col min="10740" max="10740" width="26.5703125" style="11" bestFit="1" customWidth="1"/>
    <col min="10741" max="10741" width="14.85546875" style="11" customWidth="1"/>
    <col min="10742" max="10742" width="17.140625" style="11" customWidth="1"/>
    <col min="10743" max="10743" width="15.42578125" style="11" bestFit="1" customWidth="1"/>
    <col min="10744" max="10744" width="15.140625" style="11" bestFit="1" customWidth="1"/>
    <col min="10745" max="10748" width="16" style="11" bestFit="1" customWidth="1"/>
    <col min="10749" max="10749" width="20.85546875" style="11" customWidth="1"/>
    <col min="10750" max="10750" width="14.42578125" style="11" bestFit="1" customWidth="1"/>
    <col min="10751" max="10751" width="15.85546875" style="11" bestFit="1" customWidth="1"/>
    <col min="10752" max="10752" width="16.7109375" style="11" bestFit="1" customWidth="1"/>
    <col min="10753" max="10753" width="19.7109375" style="11" bestFit="1" customWidth="1"/>
    <col min="10754" max="10754" width="20.7109375" style="11" bestFit="1" customWidth="1"/>
    <col min="10755" max="10755" width="20.140625" style="11" bestFit="1" customWidth="1"/>
    <col min="10756" max="10756" width="15.7109375" style="11" bestFit="1" customWidth="1"/>
    <col min="10757" max="10757" width="20.7109375" style="11" bestFit="1" customWidth="1"/>
    <col min="10758" max="10759" width="18.5703125" style="11" customWidth="1"/>
    <col min="10760" max="10760" width="11.28515625" style="11" bestFit="1" customWidth="1"/>
    <col min="10761" max="10761" width="57.140625" style="11" bestFit="1" customWidth="1"/>
    <col min="10762" max="10762" width="21.42578125" style="11" customWidth="1"/>
    <col min="10763" max="10763" width="19.42578125" style="11" bestFit="1" customWidth="1"/>
    <col min="10764" max="10764" width="11.42578125" style="11" bestFit="1" customWidth="1"/>
    <col min="10765" max="10766" width="10.85546875" style="11" bestFit="1" customWidth="1"/>
    <col min="10767" max="10768" width="11.42578125" style="11" bestFit="1" customWidth="1"/>
    <col min="10769" max="10993" width="9.140625" style="11"/>
    <col min="10994" max="10994" width="11.85546875" style="11" customWidth="1"/>
    <col min="10995" max="10995" width="9.140625" style="11"/>
    <col min="10996" max="10996" width="26.5703125" style="11" bestFit="1" customWidth="1"/>
    <col min="10997" max="10997" width="14.85546875" style="11" customWidth="1"/>
    <col min="10998" max="10998" width="17.140625" style="11" customWidth="1"/>
    <col min="10999" max="10999" width="15.42578125" style="11" bestFit="1" customWidth="1"/>
    <col min="11000" max="11000" width="15.140625" style="11" bestFit="1" customWidth="1"/>
    <col min="11001" max="11004" width="16" style="11" bestFit="1" customWidth="1"/>
    <col min="11005" max="11005" width="20.85546875" style="11" customWidth="1"/>
    <col min="11006" max="11006" width="14.42578125" style="11" bestFit="1" customWidth="1"/>
    <col min="11007" max="11007" width="15.85546875" style="11" bestFit="1" customWidth="1"/>
    <col min="11008" max="11008" width="16.7109375" style="11" bestFit="1" customWidth="1"/>
    <col min="11009" max="11009" width="19.7109375" style="11" bestFit="1" customWidth="1"/>
    <col min="11010" max="11010" width="20.7109375" style="11" bestFit="1" customWidth="1"/>
    <col min="11011" max="11011" width="20.140625" style="11" bestFit="1" customWidth="1"/>
    <col min="11012" max="11012" width="15.7109375" style="11" bestFit="1" customWidth="1"/>
    <col min="11013" max="11013" width="20.7109375" style="11" bestFit="1" customWidth="1"/>
    <col min="11014" max="11015" width="18.5703125" style="11" customWidth="1"/>
    <col min="11016" max="11016" width="11.28515625" style="11" bestFit="1" customWidth="1"/>
    <col min="11017" max="11017" width="57.140625" style="11" bestFit="1" customWidth="1"/>
    <col min="11018" max="11018" width="21.42578125" style="11" customWidth="1"/>
    <col min="11019" max="11019" width="19.42578125" style="11" bestFit="1" customWidth="1"/>
    <col min="11020" max="11020" width="11.42578125" style="11" bestFit="1" customWidth="1"/>
    <col min="11021" max="11022" width="10.85546875" style="11" bestFit="1" customWidth="1"/>
    <col min="11023" max="11024" width="11.42578125" style="11" bestFit="1" customWidth="1"/>
    <col min="11025" max="11249" width="9.140625" style="11"/>
    <col min="11250" max="11250" width="11.85546875" style="11" customWidth="1"/>
    <col min="11251" max="11251" width="9.140625" style="11"/>
    <col min="11252" max="11252" width="26.5703125" style="11" bestFit="1" customWidth="1"/>
    <col min="11253" max="11253" width="14.85546875" style="11" customWidth="1"/>
    <col min="11254" max="11254" width="17.140625" style="11" customWidth="1"/>
    <col min="11255" max="11255" width="15.42578125" style="11" bestFit="1" customWidth="1"/>
    <col min="11256" max="11256" width="15.140625" style="11" bestFit="1" customWidth="1"/>
    <col min="11257" max="11260" width="16" style="11" bestFit="1" customWidth="1"/>
    <col min="11261" max="11261" width="20.85546875" style="11" customWidth="1"/>
    <col min="11262" max="11262" width="14.42578125" style="11" bestFit="1" customWidth="1"/>
    <col min="11263" max="11263" width="15.85546875" style="11" bestFit="1" customWidth="1"/>
    <col min="11264" max="11264" width="16.7109375" style="11" bestFit="1" customWidth="1"/>
    <col min="11265" max="11265" width="19.7109375" style="11" bestFit="1" customWidth="1"/>
    <col min="11266" max="11266" width="20.7109375" style="11" bestFit="1" customWidth="1"/>
    <col min="11267" max="11267" width="20.140625" style="11" bestFit="1" customWidth="1"/>
    <col min="11268" max="11268" width="15.7109375" style="11" bestFit="1" customWidth="1"/>
    <col min="11269" max="11269" width="20.7109375" style="11" bestFit="1" customWidth="1"/>
    <col min="11270" max="11271" width="18.5703125" style="11" customWidth="1"/>
    <col min="11272" max="11272" width="11.28515625" style="11" bestFit="1" customWidth="1"/>
    <col min="11273" max="11273" width="57.140625" style="11" bestFit="1" customWidth="1"/>
    <col min="11274" max="11274" width="21.42578125" style="11" customWidth="1"/>
    <col min="11275" max="11275" width="19.42578125" style="11" bestFit="1" customWidth="1"/>
    <col min="11276" max="11276" width="11.42578125" style="11" bestFit="1" customWidth="1"/>
    <col min="11277" max="11278" width="10.85546875" style="11" bestFit="1" customWidth="1"/>
    <col min="11279" max="11280" width="11.42578125" style="11" bestFit="1" customWidth="1"/>
    <col min="11281" max="11505" width="9.140625" style="11"/>
    <col min="11506" max="11506" width="11.85546875" style="11" customWidth="1"/>
    <col min="11507" max="11507" width="9.140625" style="11"/>
    <col min="11508" max="11508" width="26.5703125" style="11" bestFit="1" customWidth="1"/>
    <col min="11509" max="11509" width="14.85546875" style="11" customWidth="1"/>
    <col min="11510" max="11510" width="17.140625" style="11" customWidth="1"/>
    <col min="11511" max="11511" width="15.42578125" style="11" bestFit="1" customWidth="1"/>
    <col min="11512" max="11512" width="15.140625" style="11" bestFit="1" customWidth="1"/>
    <col min="11513" max="11516" width="16" style="11" bestFit="1" customWidth="1"/>
    <col min="11517" max="11517" width="20.85546875" style="11" customWidth="1"/>
    <col min="11518" max="11518" width="14.42578125" style="11" bestFit="1" customWidth="1"/>
    <col min="11519" max="11519" width="15.85546875" style="11" bestFit="1" customWidth="1"/>
    <col min="11520" max="11520" width="16.7109375" style="11" bestFit="1" customWidth="1"/>
    <col min="11521" max="11521" width="19.7109375" style="11" bestFit="1" customWidth="1"/>
    <col min="11522" max="11522" width="20.7109375" style="11" bestFit="1" customWidth="1"/>
    <col min="11523" max="11523" width="20.140625" style="11" bestFit="1" customWidth="1"/>
    <col min="11524" max="11524" width="15.7109375" style="11" bestFit="1" customWidth="1"/>
    <col min="11525" max="11525" width="20.7109375" style="11" bestFit="1" customWidth="1"/>
    <col min="11526" max="11527" width="18.5703125" style="11" customWidth="1"/>
    <col min="11528" max="11528" width="11.28515625" style="11" bestFit="1" customWidth="1"/>
    <col min="11529" max="11529" width="57.140625" style="11" bestFit="1" customWidth="1"/>
    <col min="11530" max="11530" width="21.42578125" style="11" customWidth="1"/>
    <col min="11531" max="11531" width="19.42578125" style="11" bestFit="1" customWidth="1"/>
    <col min="11532" max="11532" width="11.42578125" style="11" bestFit="1" customWidth="1"/>
    <col min="11533" max="11534" width="10.85546875" style="11" bestFit="1" customWidth="1"/>
    <col min="11535" max="11536" width="11.42578125" style="11" bestFit="1" customWidth="1"/>
    <col min="11537" max="11761" width="9.140625" style="11"/>
    <col min="11762" max="11762" width="11.85546875" style="11" customWidth="1"/>
    <col min="11763" max="11763" width="9.140625" style="11"/>
    <col min="11764" max="11764" width="26.5703125" style="11" bestFit="1" customWidth="1"/>
    <col min="11765" max="11765" width="14.85546875" style="11" customWidth="1"/>
    <col min="11766" max="11766" width="17.140625" style="11" customWidth="1"/>
    <col min="11767" max="11767" width="15.42578125" style="11" bestFit="1" customWidth="1"/>
    <col min="11768" max="11768" width="15.140625" style="11" bestFit="1" customWidth="1"/>
    <col min="11769" max="11772" width="16" style="11" bestFit="1" customWidth="1"/>
    <col min="11773" max="11773" width="20.85546875" style="11" customWidth="1"/>
    <col min="11774" max="11774" width="14.42578125" style="11" bestFit="1" customWidth="1"/>
    <col min="11775" max="11775" width="15.85546875" style="11" bestFit="1" customWidth="1"/>
    <col min="11776" max="11776" width="16.7109375" style="11" bestFit="1" customWidth="1"/>
    <col min="11777" max="11777" width="19.7109375" style="11" bestFit="1" customWidth="1"/>
    <col min="11778" max="11778" width="20.7109375" style="11" bestFit="1" customWidth="1"/>
    <col min="11779" max="11779" width="20.140625" style="11" bestFit="1" customWidth="1"/>
    <col min="11780" max="11780" width="15.7109375" style="11" bestFit="1" customWidth="1"/>
    <col min="11781" max="11781" width="20.7109375" style="11" bestFit="1" customWidth="1"/>
    <col min="11782" max="11783" width="18.5703125" style="11" customWidth="1"/>
    <col min="11784" max="11784" width="11.28515625" style="11" bestFit="1" customWidth="1"/>
    <col min="11785" max="11785" width="57.140625" style="11" bestFit="1" customWidth="1"/>
    <col min="11786" max="11786" width="21.42578125" style="11" customWidth="1"/>
    <col min="11787" max="11787" width="19.42578125" style="11" bestFit="1" customWidth="1"/>
    <col min="11788" max="11788" width="11.42578125" style="11" bestFit="1" customWidth="1"/>
    <col min="11789" max="11790" width="10.85546875" style="11" bestFit="1" customWidth="1"/>
    <col min="11791" max="11792" width="11.42578125" style="11" bestFit="1" customWidth="1"/>
    <col min="11793" max="12017" width="9.140625" style="11"/>
    <col min="12018" max="12018" width="11.85546875" style="11" customWidth="1"/>
    <col min="12019" max="12019" width="9.140625" style="11"/>
    <col min="12020" max="12020" width="26.5703125" style="11" bestFit="1" customWidth="1"/>
    <col min="12021" max="12021" width="14.85546875" style="11" customWidth="1"/>
    <col min="12022" max="12022" width="17.140625" style="11" customWidth="1"/>
    <col min="12023" max="12023" width="15.42578125" style="11" bestFit="1" customWidth="1"/>
    <col min="12024" max="12024" width="15.140625" style="11" bestFit="1" customWidth="1"/>
    <col min="12025" max="12028" width="16" style="11" bestFit="1" customWidth="1"/>
    <col min="12029" max="12029" width="20.85546875" style="11" customWidth="1"/>
    <col min="12030" max="12030" width="14.42578125" style="11" bestFit="1" customWidth="1"/>
    <col min="12031" max="12031" width="15.85546875" style="11" bestFit="1" customWidth="1"/>
    <col min="12032" max="12032" width="16.7109375" style="11" bestFit="1" customWidth="1"/>
    <col min="12033" max="12033" width="19.7109375" style="11" bestFit="1" customWidth="1"/>
    <col min="12034" max="12034" width="20.7109375" style="11" bestFit="1" customWidth="1"/>
    <col min="12035" max="12035" width="20.140625" style="11" bestFit="1" customWidth="1"/>
    <col min="12036" max="12036" width="15.7109375" style="11" bestFit="1" customWidth="1"/>
    <col min="12037" max="12037" width="20.7109375" style="11" bestFit="1" customWidth="1"/>
    <col min="12038" max="12039" width="18.5703125" style="11" customWidth="1"/>
    <col min="12040" max="12040" width="11.28515625" style="11" bestFit="1" customWidth="1"/>
    <col min="12041" max="12041" width="57.140625" style="11" bestFit="1" customWidth="1"/>
    <col min="12042" max="12042" width="21.42578125" style="11" customWidth="1"/>
    <col min="12043" max="12043" width="19.42578125" style="11" bestFit="1" customWidth="1"/>
    <col min="12044" max="12044" width="11.42578125" style="11" bestFit="1" customWidth="1"/>
    <col min="12045" max="12046" width="10.85546875" style="11" bestFit="1" customWidth="1"/>
    <col min="12047" max="12048" width="11.42578125" style="11" bestFit="1" customWidth="1"/>
    <col min="12049" max="12273" width="9.140625" style="11"/>
    <col min="12274" max="12274" width="11.85546875" style="11" customWidth="1"/>
    <col min="12275" max="12275" width="9.140625" style="11"/>
    <col min="12276" max="12276" width="26.5703125" style="11" bestFit="1" customWidth="1"/>
    <col min="12277" max="12277" width="14.85546875" style="11" customWidth="1"/>
    <col min="12278" max="12278" width="17.140625" style="11" customWidth="1"/>
    <col min="12279" max="12279" width="15.42578125" style="11" bestFit="1" customWidth="1"/>
    <col min="12280" max="12280" width="15.140625" style="11" bestFit="1" customWidth="1"/>
    <col min="12281" max="12284" width="16" style="11" bestFit="1" customWidth="1"/>
    <col min="12285" max="12285" width="20.85546875" style="11" customWidth="1"/>
    <col min="12286" max="12286" width="14.42578125" style="11" bestFit="1" customWidth="1"/>
    <col min="12287" max="12287" width="15.85546875" style="11" bestFit="1" customWidth="1"/>
    <col min="12288" max="12288" width="16.7109375" style="11" bestFit="1" customWidth="1"/>
    <col min="12289" max="12289" width="19.7109375" style="11" bestFit="1" customWidth="1"/>
    <col min="12290" max="12290" width="20.7109375" style="11" bestFit="1" customWidth="1"/>
    <col min="12291" max="12291" width="20.140625" style="11" bestFit="1" customWidth="1"/>
    <col min="12292" max="12292" width="15.7109375" style="11" bestFit="1" customWidth="1"/>
    <col min="12293" max="12293" width="20.7109375" style="11" bestFit="1" customWidth="1"/>
    <col min="12294" max="12295" width="18.5703125" style="11" customWidth="1"/>
    <col min="12296" max="12296" width="11.28515625" style="11" bestFit="1" customWidth="1"/>
    <col min="12297" max="12297" width="57.140625" style="11" bestFit="1" customWidth="1"/>
    <col min="12298" max="12298" width="21.42578125" style="11" customWidth="1"/>
    <col min="12299" max="12299" width="19.42578125" style="11" bestFit="1" customWidth="1"/>
    <col min="12300" max="12300" width="11.42578125" style="11" bestFit="1" customWidth="1"/>
    <col min="12301" max="12302" width="10.85546875" style="11" bestFit="1" customWidth="1"/>
    <col min="12303" max="12304" width="11.42578125" style="11" bestFit="1" customWidth="1"/>
    <col min="12305" max="12529" width="9.140625" style="11"/>
    <col min="12530" max="12530" width="11.85546875" style="11" customWidth="1"/>
    <col min="12531" max="12531" width="9.140625" style="11"/>
    <col min="12532" max="12532" width="26.5703125" style="11" bestFit="1" customWidth="1"/>
    <col min="12533" max="12533" width="14.85546875" style="11" customWidth="1"/>
    <col min="12534" max="12534" width="17.140625" style="11" customWidth="1"/>
    <col min="12535" max="12535" width="15.42578125" style="11" bestFit="1" customWidth="1"/>
    <col min="12536" max="12536" width="15.140625" style="11" bestFit="1" customWidth="1"/>
    <col min="12537" max="12540" width="16" style="11" bestFit="1" customWidth="1"/>
    <col min="12541" max="12541" width="20.85546875" style="11" customWidth="1"/>
    <col min="12542" max="12542" width="14.42578125" style="11" bestFit="1" customWidth="1"/>
    <col min="12543" max="12543" width="15.85546875" style="11" bestFit="1" customWidth="1"/>
    <col min="12544" max="12544" width="16.7109375" style="11" bestFit="1" customWidth="1"/>
    <col min="12545" max="12545" width="19.7109375" style="11" bestFit="1" customWidth="1"/>
    <col min="12546" max="12546" width="20.7109375" style="11" bestFit="1" customWidth="1"/>
    <col min="12547" max="12547" width="20.140625" style="11" bestFit="1" customWidth="1"/>
    <col min="12548" max="12548" width="15.7109375" style="11" bestFit="1" customWidth="1"/>
    <col min="12549" max="12549" width="20.7109375" style="11" bestFit="1" customWidth="1"/>
    <col min="12550" max="12551" width="18.5703125" style="11" customWidth="1"/>
    <col min="12552" max="12552" width="11.28515625" style="11" bestFit="1" customWidth="1"/>
    <col min="12553" max="12553" width="57.140625" style="11" bestFit="1" customWidth="1"/>
    <col min="12554" max="12554" width="21.42578125" style="11" customWidth="1"/>
    <col min="12555" max="12555" width="19.42578125" style="11" bestFit="1" customWidth="1"/>
    <col min="12556" max="12556" width="11.42578125" style="11" bestFit="1" customWidth="1"/>
    <col min="12557" max="12558" width="10.85546875" style="11" bestFit="1" customWidth="1"/>
    <col min="12559" max="12560" width="11.42578125" style="11" bestFit="1" customWidth="1"/>
    <col min="12561" max="12785" width="9.140625" style="11"/>
    <col min="12786" max="12786" width="11.85546875" style="11" customWidth="1"/>
    <col min="12787" max="12787" width="9.140625" style="11"/>
    <col min="12788" max="12788" width="26.5703125" style="11" bestFit="1" customWidth="1"/>
    <col min="12789" max="12789" width="14.85546875" style="11" customWidth="1"/>
    <col min="12790" max="12790" width="17.140625" style="11" customWidth="1"/>
    <col min="12791" max="12791" width="15.42578125" style="11" bestFit="1" customWidth="1"/>
    <col min="12792" max="12792" width="15.140625" style="11" bestFit="1" customWidth="1"/>
    <col min="12793" max="12796" width="16" style="11" bestFit="1" customWidth="1"/>
    <col min="12797" max="12797" width="20.85546875" style="11" customWidth="1"/>
    <col min="12798" max="12798" width="14.42578125" style="11" bestFit="1" customWidth="1"/>
    <col min="12799" max="12799" width="15.85546875" style="11" bestFit="1" customWidth="1"/>
    <col min="12800" max="12800" width="16.7109375" style="11" bestFit="1" customWidth="1"/>
    <col min="12801" max="12801" width="19.7109375" style="11" bestFit="1" customWidth="1"/>
    <col min="12802" max="12802" width="20.7109375" style="11" bestFit="1" customWidth="1"/>
    <col min="12803" max="12803" width="20.140625" style="11" bestFit="1" customWidth="1"/>
    <col min="12804" max="12804" width="15.7109375" style="11" bestFit="1" customWidth="1"/>
    <col min="12805" max="12805" width="20.7109375" style="11" bestFit="1" customWidth="1"/>
    <col min="12806" max="12807" width="18.5703125" style="11" customWidth="1"/>
    <col min="12808" max="12808" width="11.28515625" style="11" bestFit="1" customWidth="1"/>
    <col min="12809" max="12809" width="57.140625" style="11" bestFit="1" customWidth="1"/>
    <col min="12810" max="12810" width="21.42578125" style="11" customWidth="1"/>
    <col min="12811" max="12811" width="19.42578125" style="11" bestFit="1" customWidth="1"/>
    <col min="12812" max="12812" width="11.42578125" style="11" bestFit="1" customWidth="1"/>
    <col min="12813" max="12814" width="10.85546875" style="11" bestFit="1" customWidth="1"/>
    <col min="12815" max="12816" width="11.42578125" style="11" bestFit="1" customWidth="1"/>
    <col min="12817" max="13041" width="9.140625" style="11"/>
    <col min="13042" max="13042" width="11.85546875" style="11" customWidth="1"/>
    <col min="13043" max="13043" width="9.140625" style="11"/>
    <col min="13044" max="13044" width="26.5703125" style="11" bestFit="1" customWidth="1"/>
    <col min="13045" max="13045" width="14.85546875" style="11" customWidth="1"/>
    <col min="13046" max="13046" width="17.140625" style="11" customWidth="1"/>
    <col min="13047" max="13047" width="15.42578125" style="11" bestFit="1" customWidth="1"/>
    <col min="13048" max="13048" width="15.140625" style="11" bestFit="1" customWidth="1"/>
    <col min="13049" max="13052" width="16" style="11" bestFit="1" customWidth="1"/>
    <col min="13053" max="13053" width="20.85546875" style="11" customWidth="1"/>
    <col min="13054" max="13054" width="14.42578125" style="11" bestFit="1" customWidth="1"/>
    <col min="13055" max="13055" width="15.85546875" style="11" bestFit="1" customWidth="1"/>
    <col min="13056" max="13056" width="16.7109375" style="11" bestFit="1" customWidth="1"/>
    <col min="13057" max="13057" width="19.7109375" style="11" bestFit="1" customWidth="1"/>
    <col min="13058" max="13058" width="20.7109375" style="11" bestFit="1" customWidth="1"/>
    <col min="13059" max="13059" width="20.140625" style="11" bestFit="1" customWidth="1"/>
    <col min="13060" max="13060" width="15.7109375" style="11" bestFit="1" customWidth="1"/>
    <col min="13061" max="13061" width="20.7109375" style="11" bestFit="1" customWidth="1"/>
    <col min="13062" max="13063" width="18.5703125" style="11" customWidth="1"/>
    <col min="13064" max="13064" width="11.28515625" style="11" bestFit="1" customWidth="1"/>
    <col min="13065" max="13065" width="57.140625" style="11" bestFit="1" customWidth="1"/>
    <col min="13066" max="13066" width="21.42578125" style="11" customWidth="1"/>
    <col min="13067" max="13067" width="19.42578125" style="11" bestFit="1" customWidth="1"/>
    <col min="13068" max="13068" width="11.42578125" style="11" bestFit="1" customWidth="1"/>
    <col min="13069" max="13070" width="10.85546875" style="11" bestFit="1" customWidth="1"/>
    <col min="13071" max="13072" width="11.42578125" style="11" bestFit="1" customWidth="1"/>
    <col min="13073" max="13297" width="9.140625" style="11"/>
    <col min="13298" max="13298" width="11.85546875" style="11" customWidth="1"/>
    <col min="13299" max="13299" width="9.140625" style="11"/>
    <col min="13300" max="13300" width="26.5703125" style="11" bestFit="1" customWidth="1"/>
    <col min="13301" max="13301" width="14.85546875" style="11" customWidth="1"/>
    <col min="13302" max="13302" width="17.140625" style="11" customWidth="1"/>
    <col min="13303" max="13303" width="15.42578125" style="11" bestFit="1" customWidth="1"/>
    <col min="13304" max="13304" width="15.140625" style="11" bestFit="1" customWidth="1"/>
    <col min="13305" max="13308" width="16" style="11" bestFit="1" customWidth="1"/>
    <col min="13309" max="13309" width="20.85546875" style="11" customWidth="1"/>
    <col min="13310" max="13310" width="14.42578125" style="11" bestFit="1" customWidth="1"/>
    <col min="13311" max="13311" width="15.85546875" style="11" bestFit="1" customWidth="1"/>
    <col min="13312" max="13312" width="16.7109375" style="11" bestFit="1" customWidth="1"/>
    <col min="13313" max="13313" width="19.7109375" style="11" bestFit="1" customWidth="1"/>
    <col min="13314" max="13314" width="20.7109375" style="11" bestFit="1" customWidth="1"/>
    <col min="13315" max="13315" width="20.140625" style="11" bestFit="1" customWidth="1"/>
    <col min="13316" max="13316" width="15.7109375" style="11" bestFit="1" customWidth="1"/>
    <col min="13317" max="13317" width="20.7109375" style="11" bestFit="1" customWidth="1"/>
    <col min="13318" max="13319" width="18.5703125" style="11" customWidth="1"/>
    <col min="13320" max="13320" width="11.28515625" style="11" bestFit="1" customWidth="1"/>
    <col min="13321" max="13321" width="57.140625" style="11" bestFit="1" customWidth="1"/>
    <col min="13322" max="13322" width="21.42578125" style="11" customWidth="1"/>
    <col min="13323" max="13323" width="19.42578125" style="11" bestFit="1" customWidth="1"/>
    <col min="13324" max="13324" width="11.42578125" style="11" bestFit="1" customWidth="1"/>
    <col min="13325" max="13326" width="10.85546875" style="11" bestFit="1" customWidth="1"/>
    <col min="13327" max="13328" width="11.42578125" style="11" bestFit="1" customWidth="1"/>
    <col min="13329" max="13553" width="9.140625" style="11"/>
    <col min="13554" max="13554" width="11.85546875" style="11" customWidth="1"/>
    <col min="13555" max="13555" width="9.140625" style="11"/>
    <col min="13556" max="13556" width="26.5703125" style="11" bestFit="1" customWidth="1"/>
    <col min="13557" max="13557" width="14.85546875" style="11" customWidth="1"/>
    <col min="13558" max="13558" width="17.140625" style="11" customWidth="1"/>
    <col min="13559" max="13559" width="15.42578125" style="11" bestFit="1" customWidth="1"/>
    <col min="13560" max="13560" width="15.140625" style="11" bestFit="1" customWidth="1"/>
    <col min="13561" max="13564" width="16" style="11" bestFit="1" customWidth="1"/>
    <col min="13565" max="13565" width="20.85546875" style="11" customWidth="1"/>
    <col min="13566" max="13566" width="14.42578125" style="11" bestFit="1" customWidth="1"/>
    <col min="13567" max="13567" width="15.85546875" style="11" bestFit="1" customWidth="1"/>
    <col min="13568" max="13568" width="16.7109375" style="11" bestFit="1" customWidth="1"/>
    <col min="13569" max="13569" width="19.7109375" style="11" bestFit="1" customWidth="1"/>
    <col min="13570" max="13570" width="20.7109375" style="11" bestFit="1" customWidth="1"/>
    <col min="13571" max="13571" width="20.140625" style="11" bestFit="1" customWidth="1"/>
    <col min="13572" max="13572" width="15.7109375" style="11" bestFit="1" customWidth="1"/>
    <col min="13573" max="13573" width="20.7109375" style="11" bestFit="1" customWidth="1"/>
    <col min="13574" max="13575" width="18.5703125" style="11" customWidth="1"/>
    <col min="13576" max="13576" width="11.28515625" style="11" bestFit="1" customWidth="1"/>
    <col min="13577" max="13577" width="57.140625" style="11" bestFit="1" customWidth="1"/>
    <col min="13578" max="13578" width="21.42578125" style="11" customWidth="1"/>
    <col min="13579" max="13579" width="19.42578125" style="11" bestFit="1" customWidth="1"/>
    <col min="13580" max="13580" width="11.42578125" style="11" bestFit="1" customWidth="1"/>
    <col min="13581" max="13582" width="10.85546875" style="11" bestFit="1" customWidth="1"/>
    <col min="13583" max="13584" width="11.42578125" style="11" bestFit="1" customWidth="1"/>
    <col min="13585" max="13809" width="9.140625" style="11"/>
    <col min="13810" max="13810" width="11.85546875" style="11" customWidth="1"/>
    <col min="13811" max="13811" width="9.140625" style="11"/>
    <col min="13812" max="13812" width="26.5703125" style="11" bestFit="1" customWidth="1"/>
    <col min="13813" max="13813" width="14.85546875" style="11" customWidth="1"/>
    <col min="13814" max="13814" width="17.140625" style="11" customWidth="1"/>
    <col min="13815" max="13815" width="15.42578125" style="11" bestFit="1" customWidth="1"/>
    <col min="13816" max="13816" width="15.140625" style="11" bestFit="1" customWidth="1"/>
    <col min="13817" max="13820" width="16" style="11" bestFit="1" customWidth="1"/>
    <col min="13821" max="13821" width="20.85546875" style="11" customWidth="1"/>
    <col min="13822" max="13822" width="14.42578125" style="11" bestFit="1" customWidth="1"/>
    <col min="13823" max="13823" width="15.85546875" style="11" bestFit="1" customWidth="1"/>
    <col min="13824" max="13824" width="16.7109375" style="11" bestFit="1" customWidth="1"/>
    <col min="13825" max="13825" width="19.7109375" style="11" bestFit="1" customWidth="1"/>
    <col min="13826" max="13826" width="20.7109375" style="11" bestFit="1" customWidth="1"/>
    <col min="13827" max="13827" width="20.140625" style="11" bestFit="1" customWidth="1"/>
    <col min="13828" max="13828" width="15.7109375" style="11" bestFit="1" customWidth="1"/>
    <col min="13829" max="13829" width="20.7109375" style="11" bestFit="1" customWidth="1"/>
    <col min="13830" max="13831" width="18.5703125" style="11" customWidth="1"/>
    <col min="13832" max="13832" width="11.28515625" style="11" bestFit="1" customWidth="1"/>
    <col min="13833" max="13833" width="57.140625" style="11" bestFit="1" customWidth="1"/>
    <col min="13834" max="13834" width="21.42578125" style="11" customWidth="1"/>
    <col min="13835" max="13835" width="19.42578125" style="11" bestFit="1" customWidth="1"/>
    <col min="13836" max="13836" width="11.42578125" style="11" bestFit="1" customWidth="1"/>
    <col min="13837" max="13838" width="10.85546875" style="11" bestFit="1" customWidth="1"/>
    <col min="13839" max="13840" width="11.42578125" style="11" bestFit="1" customWidth="1"/>
    <col min="13841" max="14065" width="9.140625" style="11"/>
    <col min="14066" max="14066" width="11.85546875" style="11" customWidth="1"/>
    <col min="14067" max="14067" width="9.140625" style="11"/>
    <col min="14068" max="14068" width="26.5703125" style="11" bestFit="1" customWidth="1"/>
    <col min="14069" max="14069" width="14.85546875" style="11" customWidth="1"/>
    <col min="14070" max="14070" width="17.140625" style="11" customWidth="1"/>
    <col min="14071" max="14071" width="15.42578125" style="11" bestFit="1" customWidth="1"/>
    <col min="14072" max="14072" width="15.140625" style="11" bestFit="1" customWidth="1"/>
    <col min="14073" max="14076" width="16" style="11" bestFit="1" customWidth="1"/>
    <col min="14077" max="14077" width="20.85546875" style="11" customWidth="1"/>
    <col min="14078" max="14078" width="14.42578125" style="11" bestFit="1" customWidth="1"/>
    <col min="14079" max="14079" width="15.85546875" style="11" bestFit="1" customWidth="1"/>
    <col min="14080" max="14080" width="16.7109375" style="11" bestFit="1" customWidth="1"/>
    <col min="14081" max="14081" width="19.7109375" style="11" bestFit="1" customWidth="1"/>
    <col min="14082" max="14082" width="20.7109375" style="11" bestFit="1" customWidth="1"/>
    <col min="14083" max="14083" width="20.140625" style="11" bestFit="1" customWidth="1"/>
    <col min="14084" max="14084" width="15.7109375" style="11" bestFit="1" customWidth="1"/>
    <col min="14085" max="14085" width="20.7109375" style="11" bestFit="1" customWidth="1"/>
    <col min="14086" max="14087" width="18.5703125" style="11" customWidth="1"/>
    <col min="14088" max="14088" width="11.28515625" style="11" bestFit="1" customWidth="1"/>
    <col min="14089" max="14089" width="57.140625" style="11" bestFit="1" customWidth="1"/>
    <col min="14090" max="14090" width="21.42578125" style="11" customWidth="1"/>
    <col min="14091" max="14091" width="19.42578125" style="11" bestFit="1" customWidth="1"/>
    <col min="14092" max="14092" width="11.42578125" style="11" bestFit="1" customWidth="1"/>
    <col min="14093" max="14094" width="10.85546875" style="11" bestFit="1" customWidth="1"/>
    <col min="14095" max="14096" width="11.42578125" style="11" bestFit="1" customWidth="1"/>
    <col min="14097" max="14321" width="9.140625" style="11"/>
    <col min="14322" max="14322" width="11.85546875" style="11" customWidth="1"/>
    <col min="14323" max="14323" width="9.140625" style="11"/>
    <col min="14324" max="14324" width="26.5703125" style="11" bestFit="1" customWidth="1"/>
    <col min="14325" max="14325" width="14.85546875" style="11" customWidth="1"/>
    <col min="14326" max="14326" width="17.140625" style="11" customWidth="1"/>
    <col min="14327" max="14327" width="15.42578125" style="11" bestFit="1" customWidth="1"/>
    <col min="14328" max="14328" width="15.140625" style="11" bestFit="1" customWidth="1"/>
    <col min="14329" max="14332" width="16" style="11" bestFit="1" customWidth="1"/>
    <col min="14333" max="14333" width="20.85546875" style="11" customWidth="1"/>
    <col min="14334" max="14334" width="14.42578125" style="11" bestFit="1" customWidth="1"/>
    <col min="14335" max="14335" width="15.85546875" style="11" bestFit="1" customWidth="1"/>
    <col min="14336" max="14336" width="16.7109375" style="11" bestFit="1" customWidth="1"/>
    <col min="14337" max="14337" width="19.7109375" style="11" bestFit="1" customWidth="1"/>
    <col min="14338" max="14338" width="20.7109375" style="11" bestFit="1" customWidth="1"/>
    <col min="14339" max="14339" width="20.140625" style="11" bestFit="1" customWidth="1"/>
    <col min="14340" max="14340" width="15.7109375" style="11" bestFit="1" customWidth="1"/>
    <col min="14341" max="14341" width="20.7109375" style="11" bestFit="1" customWidth="1"/>
    <col min="14342" max="14343" width="18.5703125" style="11" customWidth="1"/>
    <col min="14344" max="14344" width="11.28515625" style="11" bestFit="1" customWidth="1"/>
    <col min="14345" max="14345" width="57.140625" style="11" bestFit="1" customWidth="1"/>
    <col min="14346" max="14346" width="21.42578125" style="11" customWidth="1"/>
    <col min="14347" max="14347" width="19.42578125" style="11" bestFit="1" customWidth="1"/>
    <col min="14348" max="14348" width="11.42578125" style="11" bestFit="1" customWidth="1"/>
    <col min="14349" max="14350" width="10.85546875" style="11" bestFit="1" customWidth="1"/>
    <col min="14351" max="14352" width="11.42578125" style="11" bestFit="1" customWidth="1"/>
    <col min="14353" max="14577" width="9.140625" style="11"/>
    <col min="14578" max="14578" width="11.85546875" style="11" customWidth="1"/>
    <col min="14579" max="14579" width="9.140625" style="11"/>
    <col min="14580" max="14580" width="26.5703125" style="11" bestFit="1" customWidth="1"/>
    <col min="14581" max="14581" width="14.85546875" style="11" customWidth="1"/>
    <col min="14582" max="14582" width="17.140625" style="11" customWidth="1"/>
    <col min="14583" max="14583" width="15.42578125" style="11" bestFit="1" customWidth="1"/>
    <col min="14584" max="14584" width="15.140625" style="11" bestFit="1" customWidth="1"/>
    <col min="14585" max="14588" width="16" style="11" bestFit="1" customWidth="1"/>
    <col min="14589" max="14589" width="20.85546875" style="11" customWidth="1"/>
    <col min="14590" max="14590" width="14.42578125" style="11" bestFit="1" customWidth="1"/>
    <col min="14591" max="14591" width="15.85546875" style="11" bestFit="1" customWidth="1"/>
    <col min="14592" max="14592" width="16.7109375" style="11" bestFit="1" customWidth="1"/>
    <col min="14593" max="14593" width="19.7109375" style="11" bestFit="1" customWidth="1"/>
    <col min="14594" max="14594" width="20.7109375" style="11" bestFit="1" customWidth="1"/>
    <col min="14595" max="14595" width="20.140625" style="11" bestFit="1" customWidth="1"/>
    <col min="14596" max="14596" width="15.7109375" style="11" bestFit="1" customWidth="1"/>
    <col min="14597" max="14597" width="20.7109375" style="11" bestFit="1" customWidth="1"/>
    <col min="14598" max="14599" width="18.5703125" style="11" customWidth="1"/>
    <col min="14600" max="14600" width="11.28515625" style="11" bestFit="1" customWidth="1"/>
    <col min="14601" max="14601" width="57.140625" style="11" bestFit="1" customWidth="1"/>
    <col min="14602" max="14602" width="21.42578125" style="11" customWidth="1"/>
    <col min="14603" max="14603" width="19.42578125" style="11" bestFit="1" customWidth="1"/>
    <col min="14604" max="14604" width="11.42578125" style="11" bestFit="1" customWidth="1"/>
    <col min="14605" max="14606" width="10.85546875" style="11" bestFit="1" customWidth="1"/>
    <col min="14607" max="14608" width="11.42578125" style="11" bestFit="1" customWidth="1"/>
    <col min="14609" max="14833" width="9.140625" style="11"/>
    <col min="14834" max="14834" width="11.85546875" style="11" customWidth="1"/>
    <col min="14835" max="14835" width="9.140625" style="11"/>
    <col min="14836" max="14836" width="26.5703125" style="11" bestFit="1" customWidth="1"/>
    <col min="14837" max="14837" width="14.85546875" style="11" customWidth="1"/>
    <col min="14838" max="14838" width="17.140625" style="11" customWidth="1"/>
    <col min="14839" max="14839" width="15.42578125" style="11" bestFit="1" customWidth="1"/>
    <col min="14840" max="14840" width="15.140625" style="11" bestFit="1" customWidth="1"/>
    <col min="14841" max="14844" width="16" style="11" bestFit="1" customWidth="1"/>
    <col min="14845" max="14845" width="20.85546875" style="11" customWidth="1"/>
    <col min="14846" max="14846" width="14.42578125" style="11" bestFit="1" customWidth="1"/>
    <col min="14847" max="14847" width="15.85546875" style="11" bestFit="1" customWidth="1"/>
    <col min="14848" max="14848" width="16.7109375" style="11" bestFit="1" customWidth="1"/>
    <col min="14849" max="14849" width="19.7109375" style="11" bestFit="1" customWidth="1"/>
    <col min="14850" max="14850" width="20.7109375" style="11" bestFit="1" customWidth="1"/>
    <col min="14851" max="14851" width="20.140625" style="11" bestFit="1" customWidth="1"/>
    <col min="14852" max="14852" width="15.7109375" style="11" bestFit="1" customWidth="1"/>
    <col min="14853" max="14853" width="20.7109375" style="11" bestFit="1" customWidth="1"/>
    <col min="14854" max="14855" width="18.5703125" style="11" customWidth="1"/>
    <col min="14856" max="14856" width="11.28515625" style="11" bestFit="1" customWidth="1"/>
    <col min="14857" max="14857" width="57.140625" style="11" bestFit="1" customWidth="1"/>
    <col min="14858" max="14858" width="21.42578125" style="11" customWidth="1"/>
    <col min="14859" max="14859" width="19.42578125" style="11" bestFit="1" customWidth="1"/>
    <col min="14860" max="14860" width="11.42578125" style="11" bestFit="1" customWidth="1"/>
    <col min="14861" max="14862" width="10.85546875" style="11" bestFit="1" customWidth="1"/>
    <col min="14863" max="14864" width="11.42578125" style="11" bestFit="1" customWidth="1"/>
    <col min="14865" max="15089" width="9.140625" style="11"/>
    <col min="15090" max="15090" width="11.85546875" style="11" customWidth="1"/>
    <col min="15091" max="15091" width="9.140625" style="11"/>
    <col min="15092" max="15092" width="26.5703125" style="11" bestFit="1" customWidth="1"/>
    <col min="15093" max="15093" width="14.85546875" style="11" customWidth="1"/>
    <col min="15094" max="15094" width="17.140625" style="11" customWidth="1"/>
    <col min="15095" max="15095" width="15.42578125" style="11" bestFit="1" customWidth="1"/>
    <col min="15096" max="15096" width="15.140625" style="11" bestFit="1" customWidth="1"/>
    <col min="15097" max="15100" width="16" style="11" bestFit="1" customWidth="1"/>
    <col min="15101" max="15101" width="20.85546875" style="11" customWidth="1"/>
    <col min="15102" max="15102" width="14.42578125" style="11" bestFit="1" customWidth="1"/>
    <col min="15103" max="15103" width="15.85546875" style="11" bestFit="1" customWidth="1"/>
    <col min="15104" max="15104" width="16.7109375" style="11" bestFit="1" customWidth="1"/>
    <col min="15105" max="15105" width="19.7109375" style="11" bestFit="1" customWidth="1"/>
    <col min="15106" max="15106" width="20.7109375" style="11" bestFit="1" customWidth="1"/>
    <col min="15107" max="15107" width="20.140625" style="11" bestFit="1" customWidth="1"/>
    <col min="15108" max="15108" width="15.7109375" style="11" bestFit="1" customWidth="1"/>
    <col min="15109" max="15109" width="20.7109375" style="11" bestFit="1" customWidth="1"/>
    <col min="15110" max="15111" width="18.5703125" style="11" customWidth="1"/>
    <col min="15112" max="15112" width="11.28515625" style="11" bestFit="1" customWidth="1"/>
    <col min="15113" max="15113" width="57.140625" style="11" bestFit="1" customWidth="1"/>
    <col min="15114" max="15114" width="21.42578125" style="11" customWidth="1"/>
    <col min="15115" max="15115" width="19.42578125" style="11" bestFit="1" customWidth="1"/>
    <col min="15116" max="15116" width="11.42578125" style="11" bestFit="1" customWidth="1"/>
    <col min="15117" max="15118" width="10.85546875" style="11" bestFit="1" customWidth="1"/>
    <col min="15119" max="15120" width="11.42578125" style="11" bestFit="1" customWidth="1"/>
    <col min="15121" max="15345" width="9.140625" style="11"/>
    <col min="15346" max="15346" width="11.85546875" style="11" customWidth="1"/>
    <col min="15347" max="15347" width="9.140625" style="11"/>
    <col min="15348" max="15348" width="26.5703125" style="11" bestFit="1" customWidth="1"/>
    <col min="15349" max="15349" width="14.85546875" style="11" customWidth="1"/>
    <col min="15350" max="15350" width="17.140625" style="11" customWidth="1"/>
    <col min="15351" max="15351" width="15.42578125" style="11" bestFit="1" customWidth="1"/>
    <col min="15352" max="15352" width="15.140625" style="11" bestFit="1" customWidth="1"/>
    <col min="15353" max="15356" width="16" style="11" bestFit="1" customWidth="1"/>
    <col min="15357" max="15357" width="20.85546875" style="11" customWidth="1"/>
    <col min="15358" max="15358" width="14.42578125" style="11" bestFit="1" customWidth="1"/>
    <col min="15359" max="15359" width="15.85546875" style="11" bestFit="1" customWidth="1"/>
    <col min="15360" max="15360" width="16.7109375" style="11" bestFit="1" customWidth="1"/>
    <col min="15361" max="15361" width="19.7109375" style="11" bestFit="1" customWidth="1"/>
    <col min="15362" max="15362" width="20.7109375" style="11" bestFit="1" customWidth="1"/>
    <col min="15363" max="15363" width="20.140625" style="11" bestFit="1" customWidth="1"/>
    <col min="15364" max="15364" width="15.7109375" style="11" bestFit="1" customWidth="1"/>
    <col min="15365" max="15365" width="20.7109375" style="11" bestFit="1" customWidth="1"/>
    <col min="15366" max="15367" width="18.5703125" style="11" customWidth="1"/>
    <col min="15368" max="15368" width="11.28515625" style="11" bestFit="1" customWidth="1"/>
    <col min="15369" max="15369" width="57.140625" style="11" bestFit="1" customWidth="1"/>
    <col min="15370" max="15370" width="21.42578125" style="11" customWidth="1"/>
    <col min="15371" max="15371" width="19.42578125" style="11" bestFit="1" customWidth="1"/>
    <col min="15372" max="15372" width="11.42578125" style="11" bestFit="1" customWidth="1"/>
    <col min="15373" max="15374" width="10.85546875" style="11" bestFit="1" customWidth="1"/>
    <col min="15375" max="15376" width="11.42578125" style="11" bestFit="1" customWidth="1"/>
    <col min="15377" max="15601" width="9.140625" style="11"/>
    <col min="15602" max="15602" width="11.85546875" style="11" customWidth="1"/>
    <col min="15603" max="15603" width="9.140625" style="11"/>
    <col min="15604" max="15604" width="26.5703125" style="11" bestFit="1" customWidth="1"/>
    <col min="15605" max="15605" width="14.85546875" style="11" customWidth="1"/>
    <col min="15606" max="15606" width="17.140625" style="11" customWidth="1"/>
    <col min="15607" max="15607" width="15.42578125" style="11" bestFit="1" customWidth="1"/>
    <col min="15608" max="15608" width="15.140625" style="11" bestFit="1" customWidth="1"/>
    <col min="15609" max="15612" width="16" style="11" bestFit="1" customWidth="1"/>
    <col min="15613" max="15613" width="20.85546875" style="11" customWidth="1"/>
    <col min="15614" max="15614" width="14.42578125" style="11" bestFit="1" customWidth="1"/>
    <col min="15615" max="15615" width="15.85546875" style="11" bestFit="1" customWidth="1"/>
    <col min="15616" max="15616" width="16.7109375" style="11" bestFit="1" customWidth="1"/>
    <col min="15617" max="15617" width="19.7109375" style="11" bestFit="1" customWidth="1"/>
    <col min="15618" max="15618" width="20.7109375" style="11" bestFit="1" customWidth="1"/>
    <col min="15619" max="15619" width="20.140625" style="11" bestFit="1" customWidth="1"/>
    <col min="15620" max="15620" width="15.7109375" style="11" bestFit="1" customWidth="1"/>
    <col min="15621" max="15621" width="20.7109375" style="11" bestFit="1" customWidth="1"/>
    <col min="15622" max="15623" width="18.5703125" style="11" customWidth="1"/>
    <col min="15624" max="15624" width="11.28515625" style="11" bestFit="1" customWidth="1"/>
    <col min="15625" max="15625" width="57.140625" style="11" bestFit="1" customWidth="1"/>
    <col min="15626" max="15626" width="21.42578125" style="11" customWidth="1"/>
    <col min="15627" max="15627" width="19.42578125" style="11" bestFit="1" customWidth="1"/>
    <col min="15628" max="15628" width="11.42578125" style="11" bestFit="1" customWidth="1"/>
    <col min="15629" max="15630" width="10.85546875" style="11" bestFit="1" customWidth="1"/>
    <col min="15631" max="15632" width="11.42578125" style="11" bestFit="1" customWidth="1"/>
    <col min="15633" max="15857" width="9.140625" style="11"/>
    <col min="15858" max="15858" width="11.85546875" style="11" customWidth="1"/>
    <col min="15859" max="15859" width="9.140625" style="11"/>
    <col min="15860" max="15860" width="26.5703125" style="11" bestFit="1" customWidth="1"/>
    <col min="15861" max="15861" width="14.85546875" style="11" customWidth="1"/>
    <col min="15862" max="15862" width="17.140625" style="11" customWidth="1"/>
    <col min="15863" max="15863" width="15.42578125" style="11" bestFit="1" customWidth="1"/>
    <col min="15864" max="15864" width="15.140625" style="11" bestFit="1" customWidth="1"/>
    <col min="15865" max="15868" width="16" style="11" bestFit="1" customWidth="1"/>
    <col min="15869" max="15869" width="20.85546875" style="11" customWidth="1"/>
    <col min="15870" max="15870" width="14.42578125" style="11" bestFit="1" customWidth="1"/>
    <col min="15871" max="15871" width="15.85546875" style="11" bestFit="1" customWidth="1"/>
    <col min="15872" max="15872" width="16.7109375" style="11" bestFit="1" customWidth="1"/>
    <col min="15873" max="15873" width="19.7109375" style="11" bestFit="1" customWidth="1"/>
    <col min="15874" max="15874" width="20.7109375" style="11" bestFit="1" customWidth="1"/>
    <col min="15875" max="15875" width="20.140625" style="11" bestFit="1" customWidth="1"/>
    <col min="15876" max="15876" width="15.7109375" style="11" bestFit="1" customWidth="1"/>
    <col min="15877" max="15877" width="20.7109375" style="11" bestFit="1" customWidth="1"/>
    <col min="15878" max="15879" width="18.5703125" style="11" customWidth="1"/>
    <col min="15880" max="15880" width="11.28515625" style="11" bestFit="1" customWidth="1"/>
    <col min="15881" max="15881" width="57.140625" style="11" bestFit="1" customWidth="1"/>
    <col min="15882" max="15882" width="21.42578125" style="11" customWidth="1"/>
    <col min="15883" max="15883" width="19.42578125" style="11" bestFit="1" customWidth="1"/>
    <col min="15884" max="15884" width="11.42578125" style="11" bestFit="1" customWidth="1"/>
    <col min="15885" max="15886" width="10.85546875" style="11" bestFit="1" customWidth="1"/>
    <col min="15887" max="15888" width="11.42578125" style="11" bestFit="1" customWidth="1"/>
    <col min="15889" max="16113" width="9.140625" style="11"/>
    <col min="16114" max="16114" width="11.85546875" style="11" customWidth="1"/>
    <col min="16115" max="16115" width="9.140625" style="11"/>
    <col min="16116" max="16116" width="26.5703125" style="11" bestFit="1" customWidth="1"/>
    <col min="16117" max="16117" width="14.85546875" style="11" customWidth="1"/>
    <col min="16118" max="16118" width="17.140625" style="11" customWidth="1"/>
    <col min="16119" max="16119" width="15.42578125" style="11" bestFit="1" customWidth="1"/>
    <col min="16120" max="16120" width="15.140625" style="11" bestFit="1" customWidth="1"/>
    <col min="16121" max="16124" width="16" style="11" bestFit="1" customWidth="1"/>
    <col min="16125" max="16125" width="20.85546875" style="11" customWidth="1"/>
    <col min="16126" max="16126" width="14.42578125" style="11" bestFit="1" customWidth="1"/>
    <col min="16127" max="16127" width="15.85546875" style="11" bestFit="1" customWidth="1"/>
    <col min="16128" max="16128" width="16.7109375" style="11" bestFit="1" customWidth="1"/>
    <col min="16129" max="16129" width="19.7109375" style="11" bestFit="1" customWidth="1"/>
    <col min="16130" max="16130" width="20.7109375" style="11" bestFit="1" customWidth="1"/>
    <col min="16131" max="16131" width="20.140625" style="11" bestFit="1" customWidth="1"/>
    <col min="16132" max="16132" width="15.7109375" style="11" bestFit="1" customWidth="1"/>
    <col min="16133" max="16133" width="20.7109375" style="11" bestFit="1" customWidth="1"/>
    <col min="16134" max="16135" width="18.5703125" style="11" customWidth="1"/>
    <col min="16136" max="16136" width="11.28515625" style="11" bestFit="1" customWidth="1"/>
    <col min="16137" max="16137" width="57.140625" style="11" bestFit="1" customWidth="1"/>
    <col min="16138" max="16138" width="21.42578125" style="11" customWidth="1"/>
    <col min="16139" max="16139" width="19.42578125" style="11" bestFit="1" customWidth="1"/>
    <col min="16140" max="16140" width="11.42578125" style="11" bestFit="1" customWidth="1"/>
    <col min="16141" max="16142" width="10.85546875" style="11" bestFit="1" customWidth="1"/>
    <col min="16143" max="16144" width="11.42578125" style="11" bestFit="1" customWidth="1"/>
    <col min="16145" max="16384" width="9.140625" style="11"/>
  </cols>
  <sheetData>
    <row r="1" spans="1:20" s="107" customFormat="1" x14ac:dyDescent="0.25">
      <c r="A1" s="391" t="s">
        <v>88</v>
      </c>
      <c r="B1" s="391" t="s">
        <v>91</v>
      </c>
      <c r="C1" s="392" t="s">
        <v>0</v>
      </c>
      <c r="D1" s="393" t="s">
        <v>1857</v>
      </c>
      <c r="E1" s="107" t="s">
        <v>1858</v>
      </c>
      <c r="F1" s="1" t="s">
        <v>1859</v>
      </c>
      <c r="G1" s="1" t="s">
        <v>1860</v>
      </c>
      <c r="H1" s="392" t="s">
        <v>93</v>
      </c>
      <c r="I1" s="392" t="s">
        <v>1503</v>
      </c>
      <c r="J1" s="392" t="s">
        <v>1504</v>
      </c>
      <c r="K1" s="394" t="s">
        <v>1505</v>
      </c>
      <c r="L1" s="394" t="s">
        <v>1506</v>
      </c>
      <c r="M1" s="395" t="s">
        <v>1285</v>
      </c>
      <c r="N1" s="396" t="s">
        <v>1861</v>
      </c>
      <c r="O1" s="396" t="s">
        <v>161</v>
      </c>
      <c r="P1" s="392" t="s">
        <v>1862</v>
      </c>
      <c r="Q1" s="395" t="s">
        <v>1863</v>
      </c>
      <c r="R1" s="395" t="s">
        <v>1507</v>
      </c>
      <c r="S1" s="395" t="s">
        <v>1511</v>
      </c>
    </row>
    <row r="2" spans="1:20" x14ac:dyDescent="0.25">
      <c r="A2" s="397" t="s">
        <v>1864</v>
      </c>
      <c r="B2" s="398" t="s">
        <v>1865</v>
      </c>
      <c r="C2" s="69" t="s">
        <v>1866</v>
      </c>
      <c r="D2" s="69">
        <v>1</v>
      </c>
      <c r="E2" s="69"/>
      <c r="F2" s="69"/>
      <c r="G2" s="69"/>
      <c r="H2" s="69">
        <v>1</v>
      </c>
      <c r="I2" s="73">
        <v>1000</v>
      </c>
      <c r="J2" s="73">
        <v>1000</v>
      </c>
      <c r="K2" s="73">
        <v>1000</v>
      </c>
      <c r="L2" s="68">
        <v>0</v>
      </c>
      <c r="M2" s="395">
        <v>-1</v>
      </c>
      <c r="N2" s="399"/>
      <c r="O2" s="395">
        <f>I2/10</f>
        <v>100</v>
      </c>
      <c r="P2" s="400" t="s">
        <v>1867</v>
      </c>
      <c r="Q2" s="395">
        <v>1</v>
      </c>
      <c r="R2" s="395" t="s">
        <v>1868</v>
      </c>
      <c r="S2" s="395" t="s">
        <v>1869</v>
      </c>
      <c r="T2" s="11" t="str">
        <f>CONCATENATE(C2,":",C3,":",C4,":",C5,":",C6,":",C7)</f>
        <v>CHONG CHÓNG TRƠN:CHONG CHÓNG SỌC:CHONG CHÓNG XOẮN:CHONG CHÓNG BI:CHONG CHÓNG HOA:CHONG CHÓNG VIỀN</v>
      </c>
    </row>
    <row r="3" spans="1:20" x14ac:dyDescent="0.25">
      <c r="A3" s="397" t="s">
        <v>1870</v>
      </c>
      <c r="B3" s="398" t="s">
        <v>1865</v>
      </c>
      <c r="C3" s="69" t="s">
        <v>1871</v>
      </c>
      <c r="D3" s="69">
        <v>1</v>
      </c>
      <c r="E3" s="69"/>
      <c r="F3" s="69"/>
      <c r="G3" s="69"/>
      <c r="H3" s="69">
        <v>1</v>
      </c>
      <c r="I3" s="73">
        <v>1000</v>
      </c>
      <c r="J3" s="73">
        <v>1000</v>
      </c>
      <c r="K3" s="73">
        <v>1000</v>
      </c>
      <c r="L3" s="68">
        <v>0</v>
      </c>
      <c r="M3" s="395">
        <v>-1</v>
      </c>
      <c r="N3" s="399"/>
      <c r="O3" s="395">
        <f t="shared" ref="O3:O66" si="0">I3/10</f>
        <v>100</v>
      </c>
      <c r="P3" s="400" t="s">
        <v>1867</v>
      </c>
      <c r="Q3" s="395">
        <v>2</v>
      </c>
      <c r="R3" s="395" t="s">
        <v>1868</v>
      </c>
      <c r="S3" s="395" t="s">
        <v>1872</v>
      </c>
    </row>
    <row r="4" spans="1:20" x14ac:dyDescent="0.25">
      <c r="A4" s="397" t="s">
        <v>1873</v>
      </c>
      <c r="B4" s="398" t="s">
        <v>1865</v>
      </c>
      <c r="C4" s="69" t="s">
        <v>1874</v>
      </c>
      <c r="D4" s="69">
        <v>1</v>
      </c>
      <c r="E4" s="69"/>
      <c r="F4" s="69"/>
      <c r="G4" s="69"/>
      <c r="H4" s="69">
        <v>1</v>
      </c>
      <c r="I4" s="73">
        <v>1000</v>
      </c>
      <c r="J4" s="73">
        <v>1000</v>
      </c>
      <c r="K4" s="73">
        <v>1000</v>
      </c>
      <c r="L4" s="68">
        <v>0</v>
      </c>
      <c r="M4" s="395">
        <v>-1</v>
      </c>
      <c r="N4" s="399"/>
      <c r="O4" s="395">
        <f t="shared" si="0"/>
        <v>100</v>
      </c>
      <c r="P4" s="400" t="s">
        <v>1867</v>
      </c>
      <c r="Q4" s="395">
        <v>3</v>
      </c>
      <c r="R4" s="395" t="s">
        <v>1868</v>
      </c>
      <c r="S4" s="395" t="s">
        <v>1875</v>
      </c>
    </row>
    <row r="5" spans="1:20" x14ac:dyDescent="0.25">
      <c r="A5" s="397" t="s">
        <v>1876</v>
      </c>
      <c r="B5" s="398" t="s">
        <v>1865</v>
      </c>
      <c r="C5" s="69" t="s">
        <v>1877</v>
      </c>
      <c r="D5" s="69">
        <v>1</v>
      </c>
      <c r="E5" s="69"/>
      <c r="F5" s="69"/>
      <c r="G5" s="69"/>
      <c r="H5" s="69">
        <v>1</v>
      </c>
      <c r="I5" s="73">
        <v>1000</v>
      </c>
      <c r="J5" s="73">
        <v>1000</v>
      </c>
      <c r="K5" s="73">
        <v>1000</v>
      </c>
      <c r="L5" s="68">
        <v>0</v>
      </c>
      <c r="M5" s="395">
        <v>-1</v>
      </c>
      <c r="N5" s="399"/>
      <c r="O5" s="395">
        <f t="shared" si="0"/>
        <v>100</v>
      </c>
      <c r="P5" s="400" t="s">
        <v>1867</v>
      </c>
      <c r="Q5" s="395">
        <v>4</v>
      </c>
      <c r="R5" s="395" t="s">
        <v>1868</v>
      </c>
      <c r="S5" s="395" t="s">
        <v>1878</v>
      </c>
    </row>
    <row r="6" spans="1:20" x14ac:dyDescent="0.25">
      <c r="A6" s="397" t="s">
        <v>1879</v>
      </c>
      <c r="B6" s="398" t="s">
        <v>1865</v>
      </c>
      <c r="C6" s="69" t="s">
        <v>1880</v>
      </c>
      <c r="D6" s="69">
        <v>1</v>
      </c>
      <c r="E6" s="69"/>
      <c r="F6" s="69"/>
      <c r="G6" s="69"/>
      <c r="H6" s="69">
        <v>1</v>
      </c>
      <c r="I6" s="73">
        <v>1000</v>
      </c>
      <c r="J6" s="73">
        <v>1000</v>
      </c>
      <c r="K6" s="73">
        <v>1000</v>
      </c>
      <c r="L6" s="68">
        <v>0</v>
      </c>
      <c r="M6" s="395">
        <v>-1</v>
      </c>
      <c r="N6" s="399"/>
      <c r="O6" s="395">
        <f t="shared" si="0"/>
        <v>100</v>
      </c>
      <c r="P6" s="400" t="s">
        <v>1867</v>
      </c>
      <c r="Q6" s="395">
        <v>5</v>
      </c>
      <c r="R6" s="395" t="s">
        <v>1868</v>
      </c>
      <c r="S6" s="395" t="s">
        <v>1881</v>
      </c>
    </row>
    <row r="7" spans="1:20" x14ac:dyDescent="0.25">
      <c r="A7" s="397" t="s">
        <v>1882</v>
      </c>
      <c r="B7" s="398" t="s">
        <v>1865</v>
      </c>
      <c r="C7" s="69" t="s">
        <v>1883</v>
      </c>
      <c r="D7" s="69">
        <v>1</v>
      </c>
      <c r="E7" s="69"/>
      <c r="F7" s="69"/>
      <c r="G7" s="69"/>
      <c r="H7" s="69">
        <v>1</v>
      </c>
      <c r="I7" s="73">
        <v>1000</v>
      </c>
      <c r="J7" s="73">
        <v>1000</v>
      </c>
      <c r="K7" s="73">
        <v>1000</v>
      </c>
      <c r="L7" s="68">
        <v>0</v>
      </c>
      <c r="M7" s="395">
        <v>-1</v>
      </c>
      <c r="N7" s="399"/>
      <c r="O7" s="395">
        <f t="shared" si="0"/>
        <v>100</v>
      </c>
      <c r="P7" s="400" t="s">
        <v>1867</v>
      </c>
      <c r="Q7" s="395">
        <v>6</v>
      </c>
      <c r="R7" s="395" t="s">
        <v>1868</v>
      </c>
      <c r="S7" s="395" t="s">
        <v>1884</v>
      </c>
    </row>
    <row r="8" spans="1:20" s="403" customFormat="1" x14ac:dyDescent="0.25">
      <c r="A8" s="397" t="s">
        <v>1885</v>
      </c>
      <c r="B8" s="398" t="s">
        <v>1865</v>
      </c>
      <c r="C8" s="69" t="s">
        <v>1886</v>
      </c>
      <c r="D8" s="401" t="s">
        <v>1449</v>
      </c>
      <c r="E8" s="402"/>
      <c r="F8" s="402"/>
      <c r="G8" s="402"/>
      <c r="H8" s="366">
        <v>1</v>
      </c>
      <c r="I8" s="73">
        <v>1400</v>
      </c>
      <c r="J8" s="73">
        <v>1400</v>
      </c>
      <c r="K8" s="73">
        <v>1400</v>
      </c>
      <c r="L8" s="68">
        <v>0</v>
      </c>
      <c r="M8" s="395">
        <v>-1</v>
      </c>
      <c r="N8" s="399"/>
      <c r="O8" s="395">
        <f t="shared" si="0"/>
        <v>140</v>
      </c>
      <c r="P8" s="400" t="s">
        <v>1867</v>
      </c>
      <c r="Q8" s="395">
        <v>7</v>
      </c>
      <c r="R8" s="395" t="s">
        <v>1887</v>
      </c>
      <c r="S8" s="395" t="s">
        <v>1869</v>
      </c>
      <c r="T8" s="11" t="str">
        <f>CONCATENATE(C8,":",C9,":",C10,":",C11,":",C12,":",C13)</f>
        <v>VÒNG GIẤC MƠ GIÓ:VÒNG GIẤC MƠ SÉT:VÒNG GIẤC MƠ NƯỚC:VÒNG GIẤC MƠ TRĂNG:VÒNG GIẤC MƠ SAO:VÒNG GIẤC MƠ MẶT TRỜI</v>
      </c>
    </row>
    <row r="9" spans="1:20" s="403" customFormat="1" x14ac:dyDescent="0.25">
      <c r="A9" s="397" t="s">
        <v>1888</v>
      </c>
      <c r="B9" s="398" t="s">
        <v>1865</v>
      </c>
      <c r="C9" s="69" t="s">
        <v>1889</v>
      </c>
      <c r="D9" s="401" t="s">
        <v>1449</v>
      </c>
      <c r="E9" s="402"/>
      <c r="F9" s="402"/>
      <c r="G9" s="402"/>
      <c r="H9" s="366">
        <v>1</v>
      </c>
      <c r="I9" s="73">
        <v>1400</v>
      </c>
      <c r="J9" s="73">
        <v>1400</v>
      </c>
      <c r="K9" s="73">
        <v>1400</v>
      </c>
      <c r="L9" s="68">
        <v>0</v>
      </c>
      <c r="M9" s="395">
        <v>-1</v>
      </c>
      <c r="N9" s="399"/>
      <c r="O9" s="395">
        <f t="shared" si="0"/>
        <v>140</v>
      </c>
      <c r="P9" s="400" t="s">
        <v>1867</v>
      </c>
      <c r="Q9" s="395">
        <v>8</v>
      </c>
      <c r="R9" s="395" t="s">
        <v>1887</v>
      </c>
      <c r="S9" s="395" t="s">
        <v>1872</v>
      </c>
    </row>
    <row r="10" spans="1:20" s="403" customFormat="1" x14ac:dyDescent="0.25">
      <c r="A10" s="397" t="s">
        <v>1890</v>
      </c>
      <c r="B10" s="398" t="s">
        <v>1865</v>
      </c>
      <c r="C10" s="69" t="s">
        <v>1891</v>
      </c>
      <c r="D10" s="401" t="s">
        <v>1449</v>
      </c>
      <c r="E10" s="402"/>
      <c r="F10" s="402"/>
      <c r="G10" s="402"/>
      <c r="H10" s="366">
        <v>1</v>
      </c>
      <c r="I10" s="73">
        <v>1400</v>
      </c>
      <c r="J10" s="73">
        <v>1400</v>
      </c>
      <c r="K10" s="73">
        <v>1400</v>
      </c>
      <c r="L10" s="68">
        <v>0</v>
      </c>
      <c r="M10" s="395">
        <v>-1</v>
      </c>
      <c r="N10" s="399"/>
      <c r="O10" s="395">
        <f t="shared" si="0"/>
        <v>140</v>
      </c>
      <c r="P10" s="400" t="s">
        <v>1867</v>
      </c>
      <c r="Q10" s="395">
        <v>9</v>
      </c>
      <c r="R10" s="395" t="s">
        <v>1887</v>
      </c>
      <c r="S10" s="395" t="s">
        <v>1875</v>
      </c>
    </row>
    <row r="11" spans="1:20" s="403" customFormat="1" x14ac:dyDescent="0.25">
      <c r="A11" s="397" t="s">
        <v>1892</v>
      </c>
      <c r="B11" s="398" t="s">
        <v>1865</v>
      </c>
      <c r="C11" s="69" t="s">
        <v>1893</v>
      </c>
      <c r="D11" s="401" t="s">
        <v>1449</v>
      </c>
      <c r="E11" s="402"/>
      <c r="F11" s="402"/>
      <c r="G11" s="402"/>
      <c r="H11" s="366">
        <v>1</v>
      </c>
      <c r="I11" s="73">
        <v>1400</v>
      </c>
      <c r="J11" s="73">
        <v>1400</v>
      </c>
      <c r="K11" s="73">
        <v>1400</v>
      </c>
      <c r="L11" s="68">
        <v>0</v>
      </c>
      <c r="M11" s="395">
        <v>-1</v>
      </c>
      <c r="N11" s="399"/>
      <c r="O11" s="395">
        <f t="shared" si="0"/>
        <v>140</v>
      </c>
      <c r="P11" s="400" t="s">
        <v>1867</v>
      </c>
      <c r="Q11" s="395">
        <v>10</v>
      </c>
      <c r="R11" s="395" t="s">
        <v>1887</v>
      </c>
      <c r="S11" s="395" t="s">
        <v>1881</v>
      </c>
    </row>
    <row r="12" spans="1:20" s="403" customFormat="1" x14ac:dyDescent="0.25">
      <c r="A12" s="397" t="s">
        <v>1894</v>
      </c>
      <c r="B12" s="398" t="s">
        <v>1865</v>
      </c>
      <c r="C12" s="69" t="s">
        <v>1895</v>
      </c>
      <c r="D12" s="401" t="s">
        <v>1449</v>
      </c>
      <c r="E12" s="402"/>
      <c r="F12" s="402"/>
      <c r="G12" s="402"/>
      <c r="H12" s="366">
        <v>1</v>
      </c>
      <c r="I12" s="73">
        <v>1400</v>
      </c>
      <c r="J12" s="73">
        <v>1400</v>
      </c>
      <c r="K12" s="73">
        <v>1400</v>
      </c>
      <c r="L12" s="68">
        <v>0</v>
      </c>
      <c r="M12" s="395">
        <v>-1</v>
      </c>
      <c r="N12" s="399"/>
      <c r="O12" s="395">
        <f t="shared" si="0"/>
        <v>140</v>
      </c>
      <c r="P12" s="400" t="s">
        <v>1867</v>
      </c>
      <c r="Q12" s="395">
        <v>11</v>
      </c>
      <c r="R12" s="395" t="s">
        <v>1887</v>
      </c>
      <c r="S12" s="395" t="s">
        <v>1878</v>
      </c>
    </row>
    <row r="13" spans="1:20" s="403" customFormat="1" x14ac:dyDescent="0.25">
      <c r="A13" s="397" t="s">
        <v>1896</v>
      </c>
      <c r="B13" s="398" t="s">
        <v>1865</v>
      </c>
      <c r="C13" s="69" t="s">
        <v>1897</v>
      </c>
      <c r="D13" s="401" t="s">
        <v>1449</v>
      </c>
      <c r="E13" s="402"/>
      <c r="F13" s="402"/>
      <c r="G13" s="402"/>
      <c r="H13" s="366">
        <v>1</v>
      </c>
      <c r="I13" s="73">
        <v>1400</v>
      </c>
      <c r="J13" s="73">
        <v>1400</v>
      </c>
      <c r="K13" s="73">
        <v>1400</v>
      </c>
      <c r="L13" s="68">
        <v>0</v>
      </c>
      <c r="M13" s="395">
        <v>-1</v>
      </c>
      <c r="N13" s="399"/>
      <c r="O13" s="395">
        <f t="shared" si="0"/>
        <v>140</v>
      </c>
      <c r="P13" s="400" t="s">
        <v>1867</v>
      </c>
      <c r="Q13" s="395">
        <v>12</v>
      </c>
      <c r="R13" s="395" t="s">
        <v>1887</v>
      </c>
      <c r="S13" s="395" t="s">
        <v>1884</v>
      </c>
    </row>
    <row r="14" spans="1:20" x14ac:dyDescent="0.25">
      <c r="A14" s="397" t="s">
        <v>1898</v>
      </c>
      <c r="B14" s="398" t="s">
        <v>1865</v>
      </c>
      <c r="C14" s="399" t="s">
        <v>1899</v>
      </c>
      <c r="D14" s="404" t="s">
        <v>646</v>
      </c>
      <c r="E14" s="399"/>
      <c r="F14" s="399"/>
      <c r="G14" s="399"/>
      <c r="H14" s="68">
        <v>1</v>
      </c>
      <c r="I14" s="73">
        <v>1600</v>
      </c>
      <c r="J14" s="73">
        <v>1600</v>
      </c>
      <c r="K14" s="73">
        <v>1600</v>
      </c>
      <c r="L14" s="68">
        <v>0</v>
      </c>
      <c r="M14" s="395">
        <v>-1</v>
      </c>
      <c r="N14" s="399"/>
      <c r="O14" s="395">
        <f t="shared" si="0"/>
        <v>160</v>
      </c>
      <c r="P14" s="400" t="s">
        <v>1867</v>
      </c>
      <c r="Q14" s="395">
        <v>31</v>
      </c>
      <c r="R14" s="395" t="s">
        <v>1900</v>
      </c>
      <c r="S14" s="395" t="s">
        <v>1869</v>
      </c>
      <c r="T14" s="11" t="str">
        <f>CONCATENATE(C14,":",C15,":",C16,":",C17,":",C18,":",C19)</f>
        <v>CHUÔNG GIÓ HỒNG:CHUÔNG GIÓ LỤC:CHUÔNG GIÓ VÀNG:CHUÔNG GIÓ ĐỎ:CHUÔNG GIÓ TÍM:CHUÔNG GIÓ CAM</v>
      </c>
    </row>
    <row r="15" spans="1:20" x14ac:dyDescent="0.25">
      <c r="A15" s="397" t="s">
        <v>1901</v>
      </c>
      <c r="B15" s="398" t="s">
        <v>1865</v>
      </c>
      <c r="C15" s="399" t="s">
        <v>1902</v>
      </c>
      <c r="D15" s="404" t="s">
        <v>646</v>
      </c>
      <c r="E15" s="399"/>
      <c r="F15" s="399"/>
      <c r="G15" s="399"/>
      <c r="H15" s="68">
        <v>1</v>
      </c>
      <c r="I15" s="73">
        <v>1600</v>
      </c>
      <c r="J15" s="73">
        <v>1600</v>
      </c>
      <c r="K15" s="73">
        <v>1600</v>
      </c>
      <c r="L15" s="68">
        <v>0</v>
      </c>
      <c r="M15" s="395">
        <v>-1</v>
      </c>
      <c r="N15" s="399"/>
      <c r="O15" s="395">
        <f t="shared" si="0"/>
        <v>160</v>
      </c>
      <c r="P15" s="400" t="s">
        <v>1867</v>
      </c>
      <c r="Q15" s="395">
        <v>32</v>
      </c>
      <c r="R15" s="395" t="s">
        <v>1900</v>
      </c>
      <c r="S15" s="395" t="s">
        <v>1872</v>
      </c>
    </row>
    <row r="16" spans="1:20" x14ac:dyDescent="0.25">
      <c r="A16" s="397" t="s">
        <v>1903</v>
      </c>
      <c r="B16" s="398" t="s">
        <v>1865</v>
      </c>
      <c r="C16" s="399" t="s">
        <v>1904</v>
      </c>
      <c r="D16" s="404" t="s">
        <v>646</v>
      </c>
      <c r="E16" s="399"/>
      <c r="F16" s="399"/>
      <c r="G16" s="399"/>
      <c r="H16" s="68">
        <v>1</v>
      </c>
      <c r="I16" s="73">
        <v>1600</v>
      </c>
      <c r="J16" s="73">
        <v>1600</v>
      </c>
      <c r="K16" s="73">
        <v>1600</v>
      </c>
      <c r="L16" s="68">
        <v>0</v>
      </c>
      <c r="M16" s="395">
        <v>-1</v>
      </c>
      <c r="N16" s="399"/>
      <c r="O16" s="395">
        <f t="shared" si="0"/>
        <v>160</v>
      </c>
      <c r="P16" s="400" t="s">
        <v>1867</v>
      </c>
      <c r="Q16" s="395">
        <v>33</v>
      </c>
      <c r="R16" s="395" t="s">
        <v>1900</v>
      </c>
      <c r="S16" s="395" t="s">
        <v>1875</v>
      </c>
    </row>
    <row r="17" spans="1:20" x14ac:dyDescent="0.25">
      <c r="A17" s="397" t="s">
        <v>1905</v>
      </c>
      <c r="B17" s="398" t="s">
        <v>1865</v>
      </c>
      <c r="C17" s="399" t="s">
        <v>1906</v>
      </c>
      <c r="D17" s="404" t="s">
        <v>646</v>
      </c>
      <c r="E17" s="399"/>
      <c r="F17" s="399"/>
      <c r="G17" s="399"/>
      <c r="H17" s="68">
        <v>1</v>
      </c>
      <c r="I17" s="73">
        <v>1600</v>
      </c>
      <c r="J17" s="73">
        <v>1600</v>
      </c>
      <c r="K17" s="73">
        <v>1600</v>
      </c>
      <c r="L17" s="68">
        <v>0</v>
      </c>
      <c r="M17" s="395">
        <v>-1</v>
      </c>
      <c r="N17" s="399"/>
      <c r="O17" s="395">
        <f t="shared" si="0"/>
        <v>160</v>
      </c>
      <c r="P17" s="400" t="s">
        <v>1867</v>
      </c>
      <c r="Q17" s="395">
        <v>34</v>
      </c>
      <c r="R17" s="395" t="s">
        <v>1900</v>
      </c>
      <c r="S17" s="395" t="s">
        <v>1878</v>
      </c>
    </row>
    <row r="18" spans="1:20" x14ac:dyDescent="0.25">
      <c r="A18" s="397" t="s">
        <v>1907</v>
      </c>
      <c r="B18" s="398" t="s">
        <v>1865</v>
      </c>
      <c r="C18" s="399" t="s">
        <v>1908</v>
      </c>
      <c r="D18" s="404" t="s">
        <v>646</v>
      </c>
      <c r="E18" s="399"/>
      <c r="F18" s="399"/>
      <c r="G18" s="399"/>
      <c r="H18" s="68">
        <v>1</v>
      </c>
      <c r="I18" s="73">
        <v>1600</v>
      </c>
      <c r="J18" s="73">
        <v>1600</v>
      </c>
      <c r="K18" s="73">
        <v>1600</v>
      </c>
      <c r="L18" s="68">
        <v>0</v>
      </c>
      <c r="M18" s="395">
        <v>-1</v>
      </c>
      <c r="N18" s="399"/>
      <c r="O18" s="395">
        <f t="shared" si="0"/>
        <v>160</v>
      </c>
      <c r="P18" s="400" t="s">
        <v>1867</v>
      </c>
      <c r="Q18" s="395">
        <v>35</v>
      </c>
      <c r="R18" s="395" t="s">
        <v>1900</v>
      </c>
      <c r="S18" s="395" t="s">
        <v>1881</v>
      </c>
    </row>
    <row r="19" spans="1:20" x14ac:dyDescent="0.25">
      <c r="A19" s="397" t="s">
        <v>1909</v>
      </c>
      <c r="B19" s="398" t="s">
        <v>1865</v>
      </c>
      <c r="C19" s="399" t="s">
        <v>1910</v>
      </c>
      <c r="D19" s="404" t="s">
        <v>646</v>
      </c>
      <c r="E19" s="399"/>
      <c r="F19" s="399"/>
      <c r="G19" s="399"/>
      <c r="H19" s="68">
        <v>1</v>
      </c>
      <c r="I19" s="73">
        <v>1600</v>
      </c>
      <c r="J19" s="73">
        <v>1600</v>
      </c>
      <c r="K19" s="73">
        <v>1600</v>
      </c>
      <c r="L19" s="68">
        <v>0</v>
      </c>
      <c r="M19" s="395">
        <v>-1</v>
      </c>
      <c r="N19" s="399"/>
      <c r="O19" s="395">
        <f t="shared" si="0"/>
        <v>160</v>
      </c>
      <c r="P19" s="400" t="s">
        <v>1867</v>
      </c>
      <c r="Q19" s="395">
        <v>36</v>
      </c>
      <c r="R19" s="395" t="s">
        <v>1900</v>
      </c>
      <c r="S19" s="395" t="s">
        <v>1884</v>
      </c>
    </row>
    <row r="20" spans="1:20" x14ac:dyDescent="0.25">
      <c r="A20" s="397" t="s">
        <v>1911</v>
      </c>
      <c r="B20" s="398" t="s">
        <v>1865</v>
      </c>
      <c r="C20" s="402" t="s">
        <v>1912</v>
      </c>
      <c r="D20" s="69">
        <v>3</v>
      </c>
      <c r="E20" s="69"/>
      <c r="F20" s="69"/>
      <c r="G20" s="69"/>
      <c r="H20" s="68">
        <v>1</v>
      </c>
      <c r="I20" s="73">
        <v>1800</v>
      </c>
      <c r="J20" s="73">
        <v>1800</v>
      </c>
      <c r="K20" s="73">
        <v>1800</v>
      </c>
      <c r="L20" s="68">
        <v>0</v>
      </c>
      <c r="M20" s="395">
        <v>-1</v>
      </c>
      <c r="N20" s="399"/>
      <c r="O20" s="395">
        <f t="shared" si="0"/>
        <v>180</v>
      </c>
      <c r="P20" s="400" t="s">
        <v>1867</v>
      </c>
      <c r="Q20" s="395">
        <v>13</v>
      </c>
      <c r="R20" s="395" t="s">
        <v>1913</v>
      </c>
      <c r="S20" s="395" t="s">
        <v>1869</v>
      </c>
      <c r="T20" s="11" t="str">
        <f>CONCATENATE(C20,":",C21,":",C22,":",C23,":",C24,":",C25)</f>
        <v>DÙ HỒNG:DÙ LỤC:DÙ LAM:DÙ ĐỎ:DÙ TÍM:DÙ CAM</v>
      </c>
    </row>
    <row r="21" spans="1:20" x14ac:dyDescent="0.25">
      <c r="A21" s="397" t="s">
        <v>1914</v>
      </c>
      <c r="B21" s="398" t="s">
        <v>1865</v>
      </c>
      <c r="C21" s="402" t="s">
        <v>1915</v>
      </c>
      <c r="D21" s="69">
        <v>3</v>
      </c>
      <c r="E21" s="69"/>
      <c r="F21" s="69"/>
      <c r="G21" s="69"/>
      <c r="H21" s="68">
        <v>1</v>
      </c>
      <c r="I21" s="73">
        <v>1800</v>
      </c>
      <c r="J21" s="73">
        <v>1800</v>
      </c>
      <c r="K21" s="73">
        <v>1800</v>
      </c>
      <c r="L21" s="68">
        <v>0</v>
      </c>
      <c r="M21" s="395">
        <v>-1</v>
      </c>
      <c r="N21" s="399"/>
      <c r="O21" s="395">
        <f t="shared" si="0"/>
        <v>180</v>
      </c>
      <c r="P21" s="400" t="s">
        <v>1867</v>
      </c>
      <c r="Q21" s="395">
        <v>14</v>
      </c>
      <c r="R21" s="395" t="s">
        <v>1913</v>
      </c>
      <c r="S21" s="395" t="s">
        <v>1872</v>
      </c>
    </row>
    <row r="22" spans="1:20" x14ac:dyDescent="0.25">
      <c r="A22" s="397" t="s">
        <v>1916</v>
      </c>
      <c r="B22" s="398" t="s">
        <v>1865</v>
      </c>
      <c r="C22" s="402" t="s">
        <v>1917</v>
      </c>
      <c r="D22" s="69">
        <v>3</v>
      </c>
      <c r="E22" s="69"/>
      <c r="F22" s="69"/>
      <c r="G22" s="69"/>
      <c r="H22" s="68">
        <v>1</v>
      </c>
      <c r="I22" s="73">
        <v>1800</v>
      </c>
      <c r="J22" s="73">
        <v>1800</v>
      </c>
      <c r="K22" s="73">
        <v>1800</v>
      </c>
      <c r="L22" s="68">
        <v>0</v>
      </c>
      <c r="M22" s="395">
        <v>-1</v>
      </c>
      <c r="N22" s="399"/>
      <c r="O22" s="395">
        <f t="shared" si="0"/>
        <v>180</v>
      </c>
      <c r="P22" s="400" t="s">
        <v>1867</v>
      </c>
      <c r="Q22" s="395">
        <v>15</v>
      </c>
      <c r="R22" s="395" t="s">
        <v>1913</v>
      </c>
      <c r="S22" s="395" t="s">
        <v>1875</v>
      </c>
    </row>
    <row r="23" spans="1:20" x14ac:dyDescent="0.25">
      <c r="A23" s="397" t="s">
        <v>1918</v>
      </c>
      <c r="B23" s="398" t="s">
        <v>1865</v>
      </c>
      <c r="C23" s="402" t="s">
        <v>1919</v>
      </c>
      <c r="D23" s="69">
        <v>3</v>
      </c>
      <c r="E23" s="69"/>
      <c r="F23" s="69"/>
      <c r="G23" s="69"/>
      <c r="H23" s="68">
        <v>1</v>
      </c>
      <c r="I23" s="73">
        <v>1800</v>
      </c>
      <c r="J23" s="73">
        <v>1800</v>
      </c>
      <c r="K23" s="73">
        <v>1800</v>
      </c>
      <c r="L23" s="68">
        <v>0</v>
      </c>
      <c r="M23" s="395">
        <v>-1</v>
      </c>
      <c r="N23" s="399"/>
      <c r="O23" s="395">
        <f t="shared" si="0"/>
        <v>180</v>
      </c>
      <c r="P23" s="400" t="s">
        <v>1867</v>
      </c>
      <c r="Q23" s="395">
        <v>16</v>
      </c>
      <c r="R23" s="395" t="s">
        <v>1913</v>
      </c>
      <c r="S23" s="395" t="s">
        <v>1878</v>
      </c>
    </row>
    <row r="24" spans="1:20" x14ac:dyDescent="0.25">
      <c r="A24" s="397" t="s">
        <v>1920</v>
      </c>
      <c r="B24" s="398" t="s">
        <v>1865</v>
      </c>
      <c r="C24" s="402" t="s">
        <v>1921</v>
      </c>
      <c r="D24" s="69">
        <v>3</v>
      </c>
      <c r="E24" s="69"/>
      <c r="F24" s="69"/>
      <c r="G24" s="69"/>
      <c r="H24" s="68">
        <v>1</v>
      </c>
      <c r="I24" s="73">
        <v>1800</v>
      </c>
      <c r="J24" s="73">
        <v>1800</v>
      </c>
      <c r="K24" s="73">
        <v>1800</v>
      </c>
      <c r="L24" s="68">
        <v>0</v>
      </c>
      <c r="M24" s="395">
        <v>-1</v>
      </c>
      <c r="N24" s="399"/>
      <c r="O24" s="395">
        <f t="shared" si="0"/>
        <v>180</v>
      </c>
      <c r="P24" s="400" t="s">
        <v>1867</v>
      </c>
      <c r="Q24" s="395">
        <v>17</v>
      </c>
      <c r="R24" s="395" t="s">
        <v>1913</v>
      </c>
      <c r="S24" s="395" t="s">
        <v>1881</v>
      </c>
    </row>
    <row r="25" spans="1:20" x14ac:dyDescent="0.25">
      <c r="A25" s="397" t="s">
        <v>1922</v>
      </c>
      <c r="B25" s="398" t="s">
        <v>1865</v>
      </c>
      <c r="C25" s="402" t="s">
        <v>1923</v>
      </c>
      <c r="D25" s="69">
        <v>3</v>
      </c>
      <c r="E25" s="69"/>
      <c r="F25" s="69"/>
      <c r="G25" s="69"/>
      <c r="H25" s="68">
        <v>1</v>
      </c>
      <c r="I25" s="73">
        <v>1800</v>
      </c>
      <c r="J25" s="73">
        <v>1800</v>
      </c>
      <c r="K25" s="73">
        <v>1800</v>
      </c>
      <c r="L25" s="68">
        <v>0</v>
      </c>
      <c r="M25" s="395">
        <v>-1</v>
      </c>
      <c r="N25" s="399"/>
      <c r="O25" s="395">
        <f t="shared" si="0"/>
        <v>180</v>
      </c>
      <c r="P25" s="400" t="s">
        <v>1867</v>
      </c>
      <c r="Q25" s="395">
        <v>18</v>
      </c>
      <c r="R25" s="395" t="s">
        <v>1913</v>
      </c>
      <c r="S25" s="395" t="s">
        <v>1884</v>
      </c>
    </row>
    <row r="26" spans="1:20" x14ac:dyDescent="0.25">
      <c r="A26" s="397" t="s">
        <v>1924</v>
      </c>
      <c r="B26" s="398" t="s">
        <v>1865</v>
      </c>
      <c r="C26" s="69" t="s">
        <v>1925</v>
      </c>
      <c r="D26" s="404" t="s">
        <v>1444</v>
      </c>
      <c r="E26" s="399"/>
      <c r="F26" s="399"/>
      <c r="G26" s="399"/>
      <c r="H26" s="68">
        <v>1</v>
      </c>
      <c r="I26" s="73">
        <v>1600</v>
      </c>
      <c r="J26" s="73">
        <v>1600</v>
      </c>
      <c r="K26" s="73">
        <v>1600</v>
      </c>
      <c r="L26" s="68">
        <v>0</v>
      </c>
      <c r="M26" s="395">
        <v>-1</v>
      </c>
      <c r="N26" s="399"/>
      <c r="O26" s="395">
        <f t="shared" si="0"/>
        <v>160</v>
      </c>
      <c r="P26" s="400" t="s">
        <v>1867</v>
      </c>
      <c r="Q26" s="395">
        <v>19</v>
      </c>
      <c r="R26" s="395" t="s">
        <v>1926</v>
      </c>
      <c r="S26" s="395" t="s">
        <v>1869</v>
      </c>
      <c r="T26" s="11" t="str">
        <f>CONCATENATE(C26,":",C27,":",C28,":",C29,":",C30,":",C31)</f>
        <v>ỐNG SÁO:TRỐNG:ĐÀN BANJO:ĐÀN TỲ BÀ:HẠC CẦM:ĐÀN XYLOPHONE</v>
      </c>
    </row>
    <row r="27" spans="1:20" x14ac:dyDescent="0.25">
      <c r="A27" s="397" t="s">
        <v>1927</v>
      </c>
      <c r="B27" s="398" t="s">
        <v>1865</v>
      </c>
      <c r="C27" s="69" t="s">
        <v>1928</v>
      </c>
      <c r="D27" s="404" t="s">
        <v>1444</v>
      </c>
      <c r="E27" s="399"/>
      <c r="F27" s="399"/>
      <c r="G27" s="399"/>
      <c r="H27" s="68">
        <v>1</v>
      </c>
      <c r="I27" s="73">
        <v>1600</v>
      </c>
      <c r="J27" s="73">
        <v>1600</v>
      </c>
      <c r="K27" s="73">
        <v>1600</v>
      </c>
      <c r="L27" s="68">
        <v>0</v>
      </c>
      <c r="M27" s="395">
        <v>-1</v>
      </c>
      <c r="N27" s="399"/>
      <c r="O27" s="395">
        <f t="shared" si="0"/>
        <v>160</v>
      </c>
      <c r="P27" s="400" t="s">
        <v>1867</v>
      </c>
      <c r="Q27" s="395">
        <v>20</v>
      </c>
      <c r="R27" s="395" t="s">
        <v>1926</v>
      </c>
      <c r="S27" s="395" t="s">
        <v>1872</v>
      </c>
    </row>
    <row r="28" spans="1:20" x14ac:dyDescent="0.25">
      <c r="A28" s="397" t="s">
        <v>1929</v>
      </c>
      <c r="B28" s="398" t="s">
        <v>1865</v>
      </c>
      <c r="C28" s="69" t="s">
        <v>1930</v>
      </c>
      <c r="D28" s="404" t="s">
        <v>1444</v>
      </c>
      <c r="E28" s="399"/>
      <c r="F28" s="399"/>
      <c r="G28" s="399"/>
      <c r="H28" s="68">
        <v>1</v>
      </c>
      <c r="I28" s="73">
        <v>1600</v>
      </c>
      <c r="J28" s="73">
        <v>1600</v>
      </c>
      <c r="K28" s="73">
        <v>1600</v>
      </c>
      <c r="L28" s="68">
        <v>0</v>
      </c>
      <c r="M28" s="395">
        <v>-1</v>
      </c>
      <c r="N28" s="399"/>
      <c r="O28" s="395">
        <f t="shared" si="0"/>
        <v>160</v>
      </c>
      <c r="P28" s="400" t="s">
        <v>1867</v>
      </c>
      <c r="Q28" s="395">
        <v>21</v>
      </c>
      <c r="R28" s="395" t="s">
        <v>1926</v>
      </c>
      <c r="S28" s="395" t="s">
        <v>1875</v>
      </c>
    </row>
    <row r="29" spans="1:20" x14ac:dyDescent="0.25">
      <c r="A29" s="397" t="s">
        <v>1931</v>
      </c>
      <c r="B29" s="398" t="s">
        <v>1865</v>
      </c>
      <c r="C29" s="69" t="s">
        <v>1932</v>
      </c>
      <c r="D29" s="404" t="s">
        <v>1444</v>
      </c>
      <c r="E29" s="399"/>
      <c r="F29" s="399"/>
      <c r="G29" s="399"/>
      <c r="H29" s="68">
        <v>1</v>
      </c>
      <c r="I29" s="73">
        <v>1600</v>
      </c>
      <c r="J29" s="73">
        <v>1600</v>
      </c>
      <c r="K29" s="73">
        <v>1600</v>
      </c>
      <c r="L29" s="68">
        <v>0</v>
      </c>
      <c r="M29" s="395">
        <v>-1</v>
      </c>
      <c r="N29" s="399"/>
      <c r="O29" s="395">
        <f t="shared" si="0"/>
        <v>160</v>
      </c>
      <c r="P29" s="400" t="s">
        <v>1867</v>
      </c>
      <c r="Q29" s="395">
        <v>22</v>
      </c>
      <c r="R29" s="395" t="s">
        <v>1926</v>
      </c>
      <c r="S29" s="395" t="s">
        <v>1878</v>
      </c>
    </row>
    <row r="30" spans="1:20" x14ac:dyDescent="0.25">
      <c r="A30" s="397" t="s">
        <v>1933</v>
      </c>
      <c r="B30" s="398" t="s">
        <v>1865</v>
      </c>
      <c r="C30" s="69" t="s">
        <v>1934</v>
      </c>
      <c r="D30" s="404" t="s">
        <v>1444</v>
      </c>
      <c r="E30" s="399"/>
      <c r="F30" s="399"/>
      <c r="G30" s="399"/>
      <c r="H30" s="68">
        <v>1</v>
      </c>
      <c r="I30" s="73">
        <v>1600</v>
      </c>
      <c r="J30" s="73">
        <v>1600</v>
      </c>
      <c r="K30" s="73">
        <v>1600</v>
      </c>
      <c r="L30" s="68">
        <v>0</v>
      </c>
      <c r="M30" s="395">
        <v>-1</v>
      </c>
      <c r="N30" s="399"/>
      <c r="O30" s="395">
        <f t="shared" si="0"/>
        <v>160</v>
      </c>
      <c r="P30" s="400" t="s">
        <v>1867</v>
      </c>
      <c r="Q30" s="395">
        <v>23</v>
      </c>
      <c r="R30" s="395" t="s">
        <v>1926</v>
      </c>
      <c r="S30" s="395" t="s">
        <v>1881</v>
      </c>
    </row>
    <row r="31" spans="1:20" x14ac:dyDescent="0.25">
      <c r="A31" s="397" t="s">
        <v>1935</v>
      </c>
      <c r="B31" s="398" t="s">
        <v>1865</v>
      </c>
      <c r="C31" s="69" t="s">
        <v>1936</v>
      </c>
      <c r="D31" s="404" t="s">
        <v>1444</v>
      </c>
      <c r="E31" s="399"/>
      <c r="F31" s="399"/>
      <c r="G31" s="399"/>
      <c r="H31" s="68">
        <v>1</v>
      </c>
      <c r="I31" s="73">
        <v>1600</v>
      </c>
      <c r="J31" s="73">
        <v>1600</v>
      </c>
      <c r="K31" s="73">
        <v>1600</v>
      </c>
      <c r="L31" s="68">
        <v>0</v>
      </c>
      <c r="M31" s="395">
        <v>-1</v>
      </c>
      <c r="N31" s="399"/>
      <c r="O31" s="395">
        <f t="shared" si="0"/>
        <v>160</v>
      </c>
      <c r="P31" s="400" t="s">
        <v>1867</v>
      </c>
      <c r="Q31" s="395">
        <v>24</v>
      </c>
      <c r="R31" s="395" t="s">
        <v>1926</v>
      </c>
      <c r="S31" s="395" t="s">
        <v>1884</v>
      </c>
    </row>
    <row r="32" spans="1:20" x14ac:dyDescent="0.25">
      <c r="A32" s="397" t="s">
        <v>1937</v>
      </c>
      <c r="B32" s="398" t="s">
        <v>1865</v>
      </c>
      <c r="C32" s="399" t="s">
        <v>1938</v>
      </c>
      <c r="D32" s="69">
        <v>5</v>
      </c>
      <c r="E32" s="69"/>
      <c r="F32" s="69"/>
      <c r="G32" s="69"/>
      <c r="H32" s="69">
        <v>1</v>
      </c>
      <c r="I32" s="73">
        <v>1800</v>
      </c>
      <c r="J32" s="73">
        <v>1800</v>
      </c>
      <c r="K32" s="73">
        <v>1800</v>
      </c>
      <c r="L32" s="68">
        <v>0</v>
      </c>
      <c r="M32" s="395">
        <v>-1</v>
      </c>
      <c r="N32" s="399"/>
      <c r="O32" s="395">
        <f t="shared" si="0"/>
        <v>180</v>
      </c>
      <c r="P32" s="400" t="s">
        <v>1867</v>
      </c>
      <c r="Q32" s="395">
        <v>25</v>
      </c>
      <c r="R32" s="395" t="s">
        <v>1939</v>
      </c>
      <c r="S32" s="395" t="s">
        <v>1869</v>
      </c>
      <c r="T32" s="11" t="str">
        <f>CONCATENATE(C32,":",C33,":",C34,":",C35,":",C36,":",C37)</f>
        <v>HẠC GIẤY HỒNG:HẠC GIẤY LỤC:HẠC GIẤY VÀNG:HẠC GIẤY ĐỎ:HẠC GIẤY TÍM:HẠC GIẤY CAM</v>
      </c>
    </row>
    <row r="33" spans="1:20" x14ac:dyDescent="0.25">
      <c r="A33" s="397" t="s">
        <v>1940</v>
      </c>
      <c r="B33" s="398" t="s">
        <v>1865</v>
      </c>
      <c r="C33" s="399" t="s">
        <v>1941</v>
      </c>
      <c r="D33" s="69">
        <v>5</v>
      </c>
      <c r="E33" s="69"/>
      <c r="F33" s="69"/>
      <c r="G33" s="69"/>
      <c r="H33" s="69">
        <v>1</v>
      </c>
      <c r="I33" s="73">
        <v>1800</v>
      </c>
      <c r="J33" s="73">
        <v>1800</v>
      </c>
      <c r="K33" s="73">
        <v>1800</v>
      </c>
      <c r="L33" s="68">
        <v>0</v>
      </c>
      <c r="M33" s="395">
        <v>-1</v>
      </c>
      <c r="N33" s="399"/>
      <c r="O33" s="395">
        <f t="shared" si="0"/>
        <v>180</v>
      </c>
      <c r="P33" s="400" t="s">
        <v>1867</v>
      </c>
      <c r="Q33" s="395">
        <v>26</v>
      </c>
      <c r="R33" s="395" t="s">
        <v>1939</v>
      </c>
      <c r="S33" s="395" t="s">
        <v>1872</v>
      </c>
    </row>
    <row r="34" spans="1:20" x14ac:dyDescent="0.25">
      <c r="A34" s="397" t="s">
        <v>1942</v>
      </c>
      <c r="B34" s="398" t="s">
        <v>1865</v>
      </c>
      <c r="C34" s="399" t="s">
        <v>1943</v>
      </c>
      <c r="D34" s="69">
        <v>5</v>
      </c>
      <c r="E34" s="69"/>
      <c r="F34" s="69"/>
      <c r="G34" s="69"/>
      <c r="H34" s="69">
        <v>1</v>
      </c>
      <c r="I34" s="73">
        <v>1800</v>
      </c>
      <c r="J34" s="73">
        <v>1800</v>
      </c>
      <c r="K34" s="73">
        <v>1800</v>
      </c>
      <c r="L34" s="68">
        <v>0</v>
      </c>
      <c r="M34" s="395">
        <v>-1</v>
      </c>
      <c r="N34" s="399"/>
      <c r="O34" s="395">
        <f t="shared" si="0"/>
        <v>180</v>
      </c>
      <c r="P34" s="400" t="s">
        <v>1867</v>
      </c>
      <c r="Q34" s="395">
        <v>27</v>
      </c>
      <c r="R34" s="395" t="s">
        <v>1939</v>
      </c>
      <c r="S34" s="395" t="s">
        <v>1875</v>
      </c>
    </row>
    <row r="35" spans="1:20" x14ac:dyDescent="0.25">
      <c r="A35" s="397" t="s">
        <v>1944</v>
      </c>
      <c r="B35" s="398" t="s">
        <v>1865</v>
      </c>
      <c r="C35" s="399" t="s">
        <v>1945</v>
      </c>
      <c r="D35" s="69">
        <v>5</v>
      </c>
      <c r="E35" s="69"/>
      <c r="F35" s="69"/>
      <c r="G35" s="69"/>
      <c r="H35" s="69">
        <v>1</v>
      </c>
      <c r="I35" s="73">
        <v>1800</v>
      </c>
      <c r="J35" s="73">
        <v>1800</v>
      </c>
      <c r="K35" s="73">
        <v>1800</v>
      </c>
      <c r="L35" s="68">
        <v>0</v>
      </c>
      <c r="M35" s="395">
        <v>-1</v>
      </c>
      <c r="N35" s="399"/>
      <c r="O35" s="395">
        <f t="shared" si="0"/>
        <v>180</v>
      </c>
      <c r="P35" s="400" t="s">
        <v>1867</v>
      </c>
      <c r="Q35" s="395">
        <v>28</v>
      </c>
      <c r="R35" s="395" t="s">
        <v>1939</v>
      </c>
      <c r="S35" s="395" t="s">
        <v>1878</v>
      </c>
    </row>
    <row r="36" spans="1:20" x14ac:dyDescent="0.25">
      <c r="A36" s="397" t="s">
        <v>1946</v>
      </c>
      <c r="B36" s="398" t="s">
        <v>1865</v>
      </c>
      <c r="C36" s="399" t="s">
        <v>1947</v>
      </c>
      <c r="D36" s="69">
        <v>5</v>
      </c>
      <c r="E36" s="69"/>
      <c r="F36" s="69"/>
      <c r="G36" s="69"/>
      <c r="H36" s="69">
        <v>1</v>
      </c>
      <c r="I36" s="73">
        <v>1800</v>
      </c>
      <c r="J36" s="73">
        <v>1800</v>
      </c>
      <c r="K36" s="73">
        <v>1800</v>
      </c>
      <c r="L36" s="68">
        <v>0</v>
      </c>
      <c r="M36" s="395">
        <v>-1</v>
      </c>
      <c r="N36" s="399"/>
      <c r="O36" s="395">
        <f t="shared" si="0"/>
        <v>180</v>
      </c>
      <c r="P36" s="400" t="s">
        <v>1867</v>
      </c>
      <c r="Q36" s="395">
        <v>29</v>
      </c>
      <c r="R36" s="395" t="s">
        <v>1939</v>
      </c>
      <c r="S36" s="395" t="s">
        <v>1881</v>
      </c>
    </row>
    <row r="37" spans="1:20" x14ac:dyDescent="0.25">
      <c r="A37" s="397" t="s">
        <v>1948</v>
      </c>
      <c r="B37" s="398" t="s">
        <v>1865</v>
      </c>
      <c r="C37" s="399" t="s">
        <v>1949</v>
      </c>
      <c r="D37" s="69">
        <v>5</v>
      </c>
      <c r="E37" s="69"/>
      <c r="F37" s="69"/>
      <c r="G37" s="69"/>
      <c r="H37" s="69">
        <v>1</v>
      </c>
      <c r="I37" s="73">
        <v>1800</v>
      </c>
      <c r="J37" s="73">
        <v>1800</v>
      </c>
      <c r="K37" s="73">
        <v>1800</v>
      </c>
      <c r="L37" s="68">
        <v>0</v>
      </c>
      <c r="M37" s="395">
        <v>-1</v>
      </c>
      <c r="N37" s="399"/>
      <c r="O37" s="395">
        <f t="shared" si="0"/>
        <v>180</v>
      </c>
      <c r="P37" s="400" t="s">
        <v>1867</v>
      </c>
      <c r="Q37" s="395">
        <v>30</v>
      </c>
      <c r="R37" s="395" t="s">
        <v>1939</v>
      </c>
      <c r="S37" s="395" t="s">
        <v>1884</v>
      </c>
    </row>
    <row r="38" spans="1:20" x14ac:dyDescent="0.25">
      <c r="A38" s="397" t="s">
        <v>1950</v>
      </c>
      <c r="B38" s="398" t="s">
        <v>1865</v>
      </c>
      <c r="C38" s="69" t="s">
        <v>1951</v>
      </c>
      <c r="D38" s="69">
        <v>7</v>
      </c>
      <c r="E38" s="69"/>
      <c r="F38" s="69"/>
      <c r="G38" s="69"/>
      <c r="H38" s="69">
        <v>1</v>
      </c>
      <c r="I38" s="73">
        <v>2000</v>
      </c>
      <c r="J38" s="73">
        <v>2000</v>
      </c>
      <c r="K38" s="73">
        <v>2000</v>
      </c>
      <c r="L38" s="68">
        <v>0</v>
      </c>
      <c r="M38" s="395">
        <v>-1</v>
      </c>
      <c r="N38" s="399"/>
      <c r="O38" s="395">
        <f t="shared" si="0"/>
        <v>200</v>
      </c>
      <c r="P38" s="400" t="s">
        <v>1867</v>
      </c>
      <c r="Q38" s="395">
        <v>37</v>
      </c>
      <c r="R38" s="395" t="s">
        <v>1952</v>
      </c>
      <c r="S38" s="395" t="s">
        <v>1869</v>
      </c>
      <c r="T38" s="11" t="str">
        <f>CONCATENATE(C38,":",C39,":",C40,":",C41,":",C42,":",C43)</f>
        <v>CHUỘT:TRÂU:CỌP:MÈO:RỒNG:RẮN</v>
      </c>
    </row>
    <row r="39" spans="1:20" x14ac:dyDescent="0.25">
      <c r="A39" s="397" t="s">
        <v>1953</v>
      </c>
      <c r="B39" s="398" t="s">
        <v>1865</v>
      </c>
      <c r="C39" s="69" t="s">
        <v>1954</v>
      </c>
      <c r="D39" s="69">
        <v>7</v>
      </c>
      <c r="E39" s="69"/>
      <c r="F39" s="69"/>
      <c r="G39" s="69"/>
      <c r="H39" s="69">
        <v>1</v>
      </c>
      <c r="I39" s="73">
        <v>2000</v>
      </c>
      <c r="J39" s="73">
        <v>2000</v>
      </c>
      <c r="K39" s="73">
        <v>2000</v>
      </c>
      <c r="L39" s="68">
        <v>0</v>
      </c>
      <c r="M39" s="395">
        <v>-1</v>
      </c>
      <c r="N39" s="399"/>
      <c r="O39" s="395">
        <f t="shared" si="0"/>
        <v>200</v>
      </c>
      <c r="P39" s="400" t="s">
        <v>1867</v>
      </c>
      <c r="Q39" s="395">
        <v>38</v>
      </c>
      <c r="R39" s="395" t="s">
        <v>1952</v>
      </c>
      <c r="S39" s="395" t="s">
        <v>1872</v>
      </c>
    </row>
    <row r="40" spans="1:20" x14ac:dyDescent="0.25">
      <c r="A40" s="397" t="s">
        <v>1955</v>
      </c>
      <c r="B40" s="398" t="s">
        <v>1865</v>
      </c>
      <c r="C40" s="69" t="s">
        <v>1956</v>
      </c>
      <c r="D40" s="69">
        <v>7</v>
      </c>
      <c r="E40" s="69"/>
      <c r="F40" s="69"/>
      <c r="G40" s="69"/>
      <c r="H40" s="69">
        <v>1</v>
      </c>
      <c r="I40" s="73">
        <v>2000</v>
      </c>
      <c r="J40" s="73">
        <v>2000</v>
      </c>
      <c r="K40" s="73">
        <v>2000</v>
      </c>
      <c r="L40" s="68">
        <v>0</v>
      </c>
      <c r="M40" s="395">
        <v>-1</v>
      </c>
      <c r="N40" s="399"/>
      <c r="O40" s="395">
        <f t="shared" si="0"/>
        <v>200</v>
      </c>
      <c r="P40" s="400" t="s">
        <v>1867</v>
      </c>
      <c r="Q40" s="395">
        <v>39</v>
      </c>
      <c r="R40" s="395" t="s">
        <v>1952</v>
      </c>
      <c r="S40" s="395" t="s">
        <v>1875</v>
      </c>
    </row>
    <row r="41" spans="1:20" x14ac:dyDescent="0.25">
      <c r="A41" s="397" t="s">
        <v>1957</v>
      </c>
      <c r="B41" s="398" t="s">
        <v>1865</v>
      </c>
      <c r="C41" s="69" t="s">
        <v>1958</v>
      </c>
      <c r="D41" s="69">
        <v>7</v>
      </c>
      <c r="E41" s="69"/>
      <c r="F41" s="69"/>
      <c r="G41" s="69"/>
      <c r="H41" s="69">
        <v>1</v>
      </c>
      <c r="I41" s="73">
        <v>2000</v>
      </c>
      <c r="J41" s="73">
        <v>2000</v>
      </c>
      <c r="K41" s="73">
        <v>2000</v>
      </c>
      <c r="L41" s="68">
        <v>0</v>
      </c>
      <c r="M41" s="395">
        <v>-1</v>
      </c>
      <c r="N41" s="399"/>
      <c r="O41" s="395">
        <f t="shared" si="0"/>
        <v>200</v>
      </c>
      <c r="P41" s="400" t="s">
        <v>1867</v>
      </c>
      <c r="Q41" s="395">
        <v>40</v>
      </c>
      <c r="R41" s="395" t="s">
        <v>1952</v>
      </c>
      <c r="S41" s="395" t="s">
        <v>1878</v>
      </c>
    </row>
    <row r="42" spans="1:20" x14ac:dyDescent="0.25">
      <c r="A42" s="397" t="s">
        <v>1959</v>
      </c>
      <c r="B42" s="398" t="s">
        <v>1865</v>
      </c>
      <c r="C42" s="69" t="s">
        <v>1960</v>
      </c>
      <c r="D42" s="69">
        <v>7</v>
      </c>
      <c r="E42" s="69"/>
      <c r="F42" s="69"/>
      <c r="G42" s="69"/>
      <c r="H42" s="69">
        <v>1</v>
      </c>
      <c r="I42" s="73">
        <v>2000</v>
      </c>
      <c r="J42" s="73">
        <v>2000</v>
      </c>
      <c r="K42" s="73">
        <v>2000</v>
      </c>
      <c r="L42" s="68">
        <v>0</v>
      </c>
      <c r="M42" s="395">
        <v>-1</v>
      </c>
      <c r="N42" s="399"/>
      <c r="O42" s="395">
        <f t="shared" si="0"/>
        <v>200</v>
      </c>
      <c r="P42" s="400" t="s">
        <v>1867</v>
      </c>
      <c r="Q42" s="395">
        <v>41</v>
      </c>
      <c r="R42" s="395" t="s">
        <v>1952</v>
      </c>
      <c r="S42" s="395" t="s">
        <v>1881</v>
      </c>
    </row>
    <row r="43" spans="1:20" x14ac:dyDescent="0.25">
      <c r="A43" s="397" t="s">
        <v>1961</v>
      </c>
      <c r="B43" s="398" t="s">
        <v>1865</v>
      </c>
      <c r="C43" s="69" t="s">
        <v>1962</v>
      </c>
      <c r="D43" s="69">
        <v>7</v>
      </c>
      <c r="E43" s="69"/>
      <c r="F43" s="69"/>
      <c r="G43" s="69"/>
      <c r="H43" s="69">
        <v>1</v>
      </c>
      <c r="I43" s="73">
        <v>2000</v>
      </c>
      <c r="J43" s="73">
        <v>2000</v>
      </c>
      <c r="K43" s="73">
        <v>2000</v>
      </c>
      <c r="L43" s="68">
        <v>0</v>
      </c>
      <c r="M43" s="395">
        <v>-1</v>
      </c>
      <c r="N43" s="399"/>
      <c r="O43" s="395">
        <f t="shared" si="0"/>
        <v>200</v>
      </c>
      <c r="P43" s="400" t="s">
        <v>1867</v>
      </c>
      <c r="Q43" s="395">
        <v>42</v>
      </c>
      <c r="R43" s="395" t="s">
        <v>1952</v>
      </c>
      <c r="S43" s="395" t="s">
        <v>1884</v>
      </c>
    </row>
    <row r="44" spans="1:20" x14ac:dyDescent="0.25">
      <c r="A44" s="397" t="s">
        <v>1963</v>
      </c>
      <c r="B44" s="398" t="s">
        <v>1865</v>
      </c>
      <c r="C44" s="405" t="s">
        <v>1964</v>
      </c>
      <c r="D44" s="69">
        <v>8</v>
      </c>
      <c r="E44" s="405"/>
      <c r="F44" s="405"/>
      <c r="G44" s="405"/>
      <c r="H44" s="69">
        <v>1</v>
      </c>
      <c r="I44" s="73">
        <v>2000</v>
      </c>
      <c r="J44" s="73">
        <v>2000</v>
      </c>
      <c r="K44" s="73">
        <v>2000</v>
      </c>
      <c r="L44" s="68">
        <v>0</v>
      </c>
      <c r="M44" s="395">
        <v>-1</v>
      </c>
      <c r="N44" s="399"/>
      <c r="O44" s="395">
        <f t="shared" si="0"/>
        <v>200</v>
      </c>
      <c r="P44" s="400" t="s">
        <v>1867</v>
      </c>
      <c r="Q44" s="395">
        <v>43</v>
      </c>
      <c r="R44" s="395" t="s">
        <v>1952</v>
      </c>
      <c r="S44" s="395" t="s">
        <v>1965</v>
      </c>
      <c r="T44" s="11" t="str">
        <f>CONCATENATE(C44,":",C45,":",C46,":",C47,":",C48,":",C49)</f>
        <v>NGỰA:DÊ:KHỈ:GÀ:CHÓ:HEO</v>
      </c>
    </row>
    <row r="45" spans="1:20" x14ac:dyDescent="0.25">
      <c r="A45" s="397" t="s">
        <v>1966</v>
      </c>
      <c r="B45" s="398" t="s">
        <v>1865</v>
      </c>
      <c r="C45" s="405" t="s">
        <v>1967</v>
      </c>
      <c r="D45" s="69">
        <v>8</v>
      </c>
      <c r="E45" s="405"/>
      <c r="F45" s="405"/>
      <c r="G45" s="405"/>
      <c r="H45" s="69">
        <v>1</v>
      </c>
      <c r="I45" s="73">
        <v>2000</v>
      </c>
      <c r="J45" s="73">
        <v>2000</v>
      </c>
      <c r="K45" s="73">
        <v>2000</v>
      </c>
      <c r="L45" s="68">
        <v>0</v>
      </c>
      <c r="M45" s="395">
        <v>-1</v>
      </c>
      <c r="N45" s="399"/>
      <c r="O45" s="395">
        <f t="shared" si="0"/>
        <v>200</v>
      </c>
      <c r="P45" s="400" t="s">
        <v>1867</v>
      </c>
      <c r="Q45" s="395">
        <v>44</v>
      </c>
      <c r="R45" s="395" t="s">
        <v>1952</v>
      </c>
      <c r="S45" s="395" t="s">
        <v>1968</v>
      </c>
    </row>
    <row r="46" spans="1:20" x14ac:dyDescent="0.25">
      <c r="A46" s="397" t="s">
        <v>1969</v>
      </c>
      <c r="B46" s="398" t="s">
        <v>1865</v>
      </c>
      <c r="C46" s="69" t="s">
        <v>1970</v>
      </c>
      <c r="D46" s="69">
        <v>8</v>
      </c>
      <c r="E46" s="69"/>
      <c r="F46" s="69"/>
      <c r="G46" s="69"/>
      <c r="H46" s="69">
        <v>1</v>
      </c>
      <c r="I46" s="73">
        <v>2000</v>
      </c>
      <c r="J46" s="73">
        <v>2000</v>
      </c>
      <c r="K46" s="73">
        <v>2000</v>
      </c>
      <c r="L46" s="68">
        <v>0</v>
      </c>
      <c r="M46" s="395">
        <v>-1</v>
      </c>
      <c r="N46" s="399"/>
      <c r="O46" s="395">
        <f t="shared" si="0"/>
        <v>200</v>
      </c>
      <c r="P46" s="400" t="s">
        <v>1867</v>
      </c>
      <c r="Q46" s="395">
        <v>45</v>
      </c>
      <c r="R46" s="395" t="s">
        <v>1952</v>
      </c>
      <c r="S46" s="395" t="s">
        <v>1971</v>
      </c>
    </row>
    <row r="47" spans="1:20" x14ac:dyDescent="0.25">
      <c r="A47" s="397" t="s">
        <v>1972</v>
      </c>
      <c r="B47" s="398" t="s">
        <v>1865</v>
      </c>
      <c r="C47" s="405" t="s">
        <v>1973</v>
      </c>
      <c r="D47" s="69">
        <v>8</v>
      </c>
      <c r="E47" s="405"/>
      <c r="F47" s="405"/>
      <c r="G47" s="405"/>
      <c r="H47" s="69">
        <v>1</v>
      </c>
      <c r="I47" s="73">
        <v>2000</v>
      </c>
      <c r="J47" s="73">
        <v>2000</v>
      </c>
      <c r="K47" s="73">
        <v>2000</v>
      </c>
      <c r="L47" s="68">
        <v>0</v>
      </c>
      <c r="M47" s="395">
        <v>-1</v>
      </c>
      <c r="N47" s="399"/>
      <c r="O47" s="395">
        <f t="shared" si="0"/>
        <v>200</v>
      </c>
      <c r="P47" s="400" t="s">
        <v>1867</v>
      </c>
      <c r="Q47" s="395">
        <v>46</v>
      </c>
      <c r="R47" s="395" t="s">
        <v>1952</v>
      </c>
      <c r="S47" s="395" t="s">
        <v>1974</v>
      </c>
    </row>
    <row r="48" spans="1:20" x14ac:dyDescent="0.25">
      <c r="A48" s="397" t="s">
        <v>1975</v>
      </c>
      <c r="B48" s="398" t="s">
        <v>1865</v>
      </c>
      <c r="C48" s="405" t="s">
        <v>1976</v>
      </c>
      <c r="D48" s="69">
        <v>8</v>
      </c>
      <c r="E48" s="405"/>
      <c r="F48" s="405"/>
      <c r="G48" s="405"/>
      <c r="H48" s="69">
        <v>1</v>
      </c>
      <c r="I48" s="73">
        <v>2000</v>
      </c>
      <c r="J48" s="73">
        <v>2000</v>
      </c>
      <c r="K48" s="73">
        <v>2000</v>
      </c>
      <c r="L48" s="68">
        <v>0</v>
      </c>
      <c r="M48" s="395">
        <v>-1</v>
      </c>
      <c r="N48" s="399"/>
      <c r="O48" s="395">
        <f t="shared" si="0"/>
        <v>200</v>
      </c>
      <c r="P48" s="400" t="s">
        <v>1867</v>
      </c>
      <c r="Q48" s="395">
        <v>47</v>
      </c>
      <c r="R48" s="395" t="s">
        <v>1952</v>
      </c>
      <c r="S48" s="395" t="s">
        <v>1977</v>
      </c>
    </row>
    <row r="49" spans="1:20" x14ac:dyDescent="0.25">
      <c r="A49" s="397" t="s">
        <v>1978</v>
      </c>
      <c r="B49" s="398" t="s">
        <v>1865</v>
      </c>
      <c r="C49" s="405" t="s">
        <v>1979</v>
      </c>
      <c r="D49" s="69">
        <v>8</v>
      </c>
      <c r="E49" s="405"/>
      <c r="F49" s="405"/>
      <c r="G49" s="405"/>
      <c r="H49" s="69">
        <v>1</v>
      </c>
      <c r="I49" s="73">
        <v>2000</v>
      </c>
      <c r="J49" s="73">
        <v>2000</v>
      </c>
      <c r="K49" s="73">
        <v>2000</v>
      </c>
      <c r="L49" s="68">
        <v>0</v>
      </c>
      <c r="M49" s="395">
        <v>-1</v>
      </c>
      <c r="N49" s="399"/>
      <c r="O49" s="395">
        <f t="shared" si="0"/>
        <v>200</v>
      </c>
      <c r="P49" s="400" t="s">
        <v>1867</v>
      </c>
      <c r="Q49" s="395">
        <v>48</v>
      </c>
      <c r="R49" s="395" t="s">
        <v>1952</v>
      </c>
      <c r="S49" s="395" t="s">
        <v>1980</v>
      </c>
    </row>
    <row r="50" spans="1:20" x14ac:dyDescent="0.25">
      <c r="A50" s="397" t="s">
        <v>1981</v>
      </c>
      <c r="B50" s="398" t="s">
        <v>1865</v>
      </c>
      <c r="C50" s="69" t="s">
        <v>1982</v>
      </c>
      <c r="D50" s="69">
        <v>9</v>
      </c>
      <c r="E50" s="69"/>
      <c r="F50" s="69"/>
      <c r="G50" s="69"/>
      <c r="H50" s="69">
        <v>1</v>
      </c>
      <c r="I50" s="73">
        <v>3000</v>
      </c>
      <c r="J50" s="73">
        <v>3000</v>
      </c>
      <c r="K50" s="73">
        <v>3000</v>
      </c>
      <c r="L50" s="68">
        <v>0</v>
      </c>
      <c r="M50" s="395">
        <v>-1</v>
      </c>
      <c r="N50" s="399"/>
      <c r="O50" s="395">
        <f t="shared" si="0"/>
        <v>300</v>
      </c>
      <c r="P50" s="400" t="s">
        <v>1867</v>
      </c>
      <c r="Q50" s="395">
        <v>49</v>
      </c>
      <c r="R50" s="395" t="s">
        <v>1983</v>
      </c>
      <c r="S50" s="395" t="s">
        <v>1869</v>
      </c>
      <c r="T50" s="11" t="str">
        <f>CONCATENATE(C50,":",C51,":",C52,":",C53,":",C54,":",C55)</f>
        <v>BẠCH DƯƠNG:KIM NGƯU:SONG TỬ:CỰ GIẢI:SƯ TỬ:XỬ NỮ</v>
      </c>
    </row>
    <row r="51" spans="1:20" x14ac:dyDescent="0.25">
      <c r="A51" s="397" t="s">
        <v>1984</v>
      </c>
      <c r="B51" s="398" t="s">
        <v>1865</v>
      </c>
      <c r="C51" s="69" t="s">
        <v>1985</v>
      </c>
      <c r="D51" s="69">
        <v>9</v>
      </c>
      <c r="E51" s="69"/>
      <c r="F51" s="69"/>
      <c r="G51" s="69"/>
      <c r="H51" s="69">
        <v>1</v>
      </c>
      <c r="I51" s="73">
        <v>3000</v>
      </c>
      <c r="J51" s="73">
        <v>3000</v>
      </c>
      <c r="K51" s="73">
        <v>3000</v>
      </c>
      <c r="L51" s="68">
        <v>0</v>
      </c>
      <c r="M51" s="395">
        <v>-1</v>
      </c>
      <c r="N51" s="399"/>
      <c r="O51" s="395">
        <f t="shared" si="0"/>
        <v>300</v>
      </c>
      <c r="P51" s="400" t="s">
        <v>1867</v>
      </c>
      <c r="Q51" s="395">
        <v>50</v>
      </c>
      <c r="R51" s="395" t="s">
        <v>1983</v>
      </c>
      <c r="S51" s="395" t="s">
        <v>1872</v>
      </c>
    </row>
    <row r="52" spans="1:20" x14ac:dyDescent="0.25">
      <c r="A52" s="397" t="s">
        <v>1986</v>
      </c>
      <c r="B52" s="398" t="s">
        <v>1865</v>
      </c>
      <c r="C52" s="69" t="s">
        <v>1987</v>
      </c>
      <c r="D52" s="69">
        <v>9</v>
      </c>
      <c r="E52" s="69"/>
      <c r="F52" s="69"/>
      <c r="G52" s="69"/>
      <c r="H52" s="69">
        <v>1</v>
      </c>
      <c r="I52" s="73">
        <v>3000</v>
      </c>
      <c r="J52" s="73">
        <v>3000</v>
      </c>
      <c r="K52" s="73">
        <v>3000</v>
      </c>
      <c r="L52" s="68">
        <v>0</v>
      </c>
      <c r="M52" s="395">
        <v>-1</v>
      </c>
      <c r="N52" s="399"/>
      <c r="O52" s="395">
        <f t="shared" si="0"/>
        <v>300</v>
      </c>
      <c r="P52" s="400" t="s">
        <v>1867</v>
      </c>
      <c r="Q52" s="395">
        <v>51</v>
      </c>
      <c r="R52" s="395" t="s">
        <v>1983</v>
      </c>
      <c r="S52" s="395" t="s">
        <v>1875</v>
      </c>
    </row>
    <row r="53" spans="1:20" x14ac:dyDescent="0.25">
      <c r="A53" s="397" t="s">
        <v>1988</v>
      </c>
      <c r="B53" s="398" t="s">
        <v>1865</v>
      </c>
      <c r="C53" s="69" t="s">
        <v>1989</v>
      </c>
      <c r="D53" s="69">
        <v>9</v>
      </c>
      <c r="E53" s="69"/>
      <c r="F53" s="69"/>
      <c r="G53" s="69"/>
      <c r="H53" s="69">
        <v>1</v>
      </c>
      <c r="I53" s="73">
        <v>3000</v>
      </c>
      <c r="J53" s="73">
        <v>3000</v>
      </c>
      <c r="K53" s="73">
        <v>3000</v>
      </c>
      <c r="L53" s="68">
        <v>0</v>
      </c>
      <c r="M53" s="395">
        <v>-1</v>
      </c>
      <c r="N53" s="399"/>
      <c r="O53" s="395">
        <f t="shared" si="0"/>
        <v>300</v>
      </c>
      <c r="P53" s="400" t="s">
        <v>1867</v>
      </c>
      <c r="Q53" s="395">
        <v>52</v>
      </c>
      <c r="R53" s="395" t="s">
        <v>1983</v>
      </c>
      <c r="S53" s="395" t="s">
        <v>1878</v>
      </c>
    </row>
    <row r="54" spans="1:20" x14ac:dyDescent="0.25">
      <c r="A54" s="397" t="s">
        <v>1990</v>
      </c>
      <c r="B54" s="398" t="s">
        <v>1865</v>
      </c>
      <c r="C54" s="69" t="s">
        <v>1991</v>
      </c>
      <c r="D54" s="69">
        <v>9</v>
      </c>
      <c r="E54" s="69"/>
      <c r="F54" s="69"/>
      <c r="G54" s="69"/>
      <c r="H54" s="69">
        <v>1</v>
      </c>
      <c r="I54" s="73">
        <v>3000</v>
      </c>
      <c r="J54" s="73">
        <v>3000</v>
      </c>
      <c r="K54" s="73">
        <v>3000</v>
      </c>
      <c r="L54" s="68">
        <v>0</v>
      </c>
      <c r="M54" s="395">
        <v>-1</v>
      </c>
      <c r="N54" s="399"/>
      <c r="O54" s="395">
        <f t="shared" si="0"/>
        <v>300</v>
      </c>
      <c r="P54" s="400" t="s">
        <v>1867</v>
      </c>
      <c r="Q54" s="395">
        <v>53</v>
      </c>
      <c r="R54" s="395" t="s">
        <v>1983</v>
      </c>
      <c r="S54" s="395" t="s">
        <v>1881</v>
      </c>
    </row>
    <row r="55" spans="1:20" x14ac:dyDescent="0.25">
      <c r="A55" s="397" t="s">
        <v>1992</v>
      </c>
      <c r="B55" s="398" t="s">
        <v>1865</v>
      </c>
      <c r="C55" s="69" t="s">
        <v>1993</v>
      </c>
      <c r="D55" s="69">
        <v>9</v>
      </c>
      <c r="E55" s="69"/>
      <c r="F55" s="69"/>
      <c r="G55" s="69"/>
      <c r="H55" s="69">
        <v>1</v>
      </c>
      <c r="I55" s="73">
        <v>3000</v>
      </c>
      <c r="J55" s="73">
        <v>3000</v>
      </c>
      <c r="K55" s="73">
        <v>3000</v>
      </c>
      <c r="L55" s="68">
        <v>0</v>
      </c>
      <c r="M55" s="395">
        <v>-1</v>
      </c>
      <c r="N55" s="399"/>
      <c r="O55" s="395">
        <f t="shared" si="0"/>
        <v>300</v>
      </c>
      <c r="P55" s="400" t="s">
        <v>1867</v>
      </c>
      <c r="Q55" s="395">
        <v>54</v>
      </c>
      <c r="R55" s="395" t="s">
        <v>1983</v>
      </c>
      <c r="S55" s="395" t="s">
        <v>1884</v>
      </c>
    </row>
    <row r="56" spans="1:20" x14ac:dyDescent="0.25">
      <c r="A56" s="397" t="s">
        <v>1994</v>
      </c>
      <c r="B56" s="398" t="s">
        <v>1865</v>
      </c>
      <c r="C56" s="69" t="s">
        <v>1995</v>
      </c>
      <c r="D56" s="69">
        <v>9</v>
      </c>
      <c r="E56" s="69"/>
      <c r="F56" s="69"/>
      <c r="G56" s="69"/>
      <c r="H56" s="69">
        <v>1</v>
      </c>
      <c r="I56" s="73">
        <v>3000</v>
      </c>
      <c r="J56" s="73">
        <v>3000</v>
      </c>
      <c r="K56" s="73">
        <v>3000</v>
      </c>
      <c r="L56" s="68">
        <v>0</v>
      </c>
      <c r="M56" s="395">
        <v>-1</v>
      </c>
      <c r="N56" s="399"/>
      <c r="O56" s="395">
        <f t="shared" si="0"/>
        <v>300</v>
      </c>
      <c r="P56" s="400" t="s">
        <v>1867</v>
      </c>
      <c r="Q56" s="395">
        <v>55</v>
      </c>
      <c r="R56" s="395" t="s">
        <v>1983</v>
      </c>
      <c r="S56" s="395" t="s">
        <v>1965</v>
      </c>
      <c r="T56" s="11" t="str">
        <f>CONCATENATE(C56,":",C57,":",C58,":",C59,":",C60,":",C61)</f>
        <v>THIÊN BÌNH:THIÊN YẾT:NHÂN MÃ:MA KẾT:BẢO BÌNH:SONG NGƯ</v>
      </c>
    </row>
    <row r="57" spans="1:20" x14ac:dyDescent="0.25">
      <c r="A57" s="397" t="s">
        <v>1996</v>
      </c>
      <c r="B57" s="398" t="s">
        <v>1865</v>
      </c>
      <c r="C57" s="69" t="s">
        <v>1997</v>
      </c>
      <c r="D57" s="69">
        <v>9</v>
      </c>
      <c r="E57" s="69"/>
      <c r="F57" s="69"/>
      <c r="G57" s="69"/>
      <c r="H57" s="69">
        <v>1</v>
      </c>
      <c r="I57" s="73">
        <v>3000</v>
      </c>
      <c r="J57" s="73">
        <v>3000</v>
      </c>
      <c r="K57" s="73">
        <v>3000</v>
      </c>
      <c r="L57" s="68">
        <v>0</v>
      </c>
      <c r="M57" s="395">
        <v>-1</v>
      </c>
      <c r="N57" s="399"/>
      <c r="O57" s="395">
        <f t="shared" si="0"/>
        <v>300</v>
      </c>
      <c r="P57" s="400" t="s">
        <v>1867</v>
      </c>
      <c r="Q57" s="395">
        <v>56</v>
      </c>
      <c r="R57" s="395" t="s">
        <v>1983</v>
      </c>
      <c r="S57" s="395" t="s">
        <v>1968</v>
      </c>
    </row>
    <row r="58" spans="1:20" x14ac:dyDescent="0.25">
      <c r="A58" s="397" t="s">
        <v>1998</v>
      </c>
      <c r="B58" s="398" t="s">
        <v>1865</v>
      </c>
      <c r="C58" s="69" t="s">
        <v>1999</v>
      </c>
      <c r="D58" s="69">
        <v>9</v>
      </c>
      <c r="E58" s="69"/>
      <c r="F58" s="69"/>
      <c r="G58" s="69"/>
      <c r="H58" s="69">
        <v>1</v>
      </c>
      <c r="I58" s="73">
        <v>3000</v>
      </c>
      <c r="J58" s="73">
        <v>3000</v>
      </c>
      <c r="K58" s="73">
        <v>3000</v>
      </c>
      <c r="L58" s="68">
        <v>0</v>
      </c>
      <c r="M58" s="395">
        <v>-1</v>
      </c>
      <c r="N58" s="399"/>
      <c r="O58" s="395">
        <f t="shared" si="0"/>
        <v>300</v>
      </c>
      <c r="P58" s="400" t="s">
        <v>1867</v>
      </c>
      <c r="Q58" s="395">
        <v>57</v>
      </c>
      <c r="R58" s="395" t="s">
        <v>1983</v>
      </c>
      <c r="S58" s="395" t="s">
        <v>1971</v>
      </c>
    </row>
    <row r="59" spans="1:20" x14ac:dyDescent="0.25">
      <c r="A59" s="397" t="s">
        <v>2000</v>
      </c>
      <c r="B59" s="398" t="s">
        <v>1865</v>
      </c>
      <c r="C59" s="69" t="s">
        <v>2001</v>
      </c>
      <c r="D59" s="69">
        <v>9</v>
      </c>
      <c r="E59" s="69"/>
      <c r="F59" s="69"/>
      <c r="G59" s="69"/>
      <c r="H59" s="69">
        <v>1</v>
      </c>
      <c r="I59" s="73">
        <v>3000</v>
      </c>
      <c r="J59" s="73">
        <v>3000</v>
      </c>
      <c r="K59" s="73">
        <v>3000</v>
      </c>
      <c r="L59" s="68">
        <v>0</v>
      </c>
      <c r="M59" s="395">
        <v>-1</v>
      </c>
      <c r="N59" s="399"/>
      <c r="O59" s="395">
        <f t="shared" si="0"/>
        <v>300</v>
      </c>
      <c r="P59" s="400" t="s">
        <v>1867</v>
      </c>
      <c r="Q59" s="395">
        <v>58</v>
      </c>
      <c r="R59" s="395" t="s">
        <v>1983</v>
      </c>
      <c r="S59" s="395" t="s">
        <v>1974</v>
      </c>
    </row>
    <row r="60" spans="1:20" x14ac:dyDescent="0.25">
      <c r="A60" s="397" t="s">
        <v>2002</v>
      </c>
      <c r="B60" s="398" t="s">
        <v>1865</v>
      </c>
      <c r="C60" s="69" t="s">
        <v>2003</v>
      </c>
      <c r="D60" s="69">
        <v>9</v>
      </c>
      <c r="E60" s="69"/>
      <c r="F60" s="69"/>
      <c r="G60" s="69"/>
      <c r="H60" s="69">
        <v>1</v>
      </c>
      <c r="I60" s="73">
        <v>3000</v>
      </c>
      <c r="J60" s="73">
        <v>3000</v>
      </c>
      <c r="K60" s="73">
        <v>3000</v>
      </c>
      <c r="L60" s="68">
        <v>0</v>
      </c>
      <c r="M60" s="395">
        <v>-1</v>
      </c>
      <c r="N60" s="399"/>
      <c r="O60" s="395">
        <f t="shared" si="0"/>
        <v>300</v>
      </c>
      <c r="P60" s="400" t="s">
        <v>1867</v>
      </c>
      <c r="Q60" s="395">
        <v>59</v>
      </c>
      <c r="R60" s="395" t="s">
        <v>1983</v>
      </c>
      <c r="S60" s="395" t="s">
        <v>1977</v>
      </c>
    </row>
    <row r="61" spans="1:20" x14ac:dyDescent="0.25">
      <c r="A61" s="397" t="s">
        <v>2004</v>
      </c>
      <c r="B61" s="398" t="s">
        <v>1865</v>
      </c>
      <c r="C61" s="69" t="s">
        <v>2005</v>
      </c>
      <c r="D61" s="69">
        <v>9</v>
      </c>
      <c r="E61" s="69"/>
      <c r="F61" s="69"/>
      <c r="G61" s="69"/>
      <c r="H61" s="69">
        <v>1</v>
      </c>
      <c r="I61" s="73">
        <v>3000</v>
      </c>
      <c r="J61" s="73">
        <v>3000</v>
      </c>
      <c r="K61" s="73">
        <v>3000</v>
      </c>
      <c r="L61" s="68">
        <v>0</v>
      </c>
      <c r="M61" s="395">
        <v>-1</v>
      </c>
      <c r="N61" s="399"/>
      <c r="O61" s="395">
        <f t="shared" si="0"/>
        <v>300</v>
      </c>
      <c r="P61" s="400" t="s">
        <v>1867</v>
      </c>
      <c r="Q61" s="395">
        <v>60</v>
      </c>
      <c r="R61" s="395" t="s">
        <v>1983</v>
      </c>
      <c r="S61" s="395" t="s">
        <v>1980</v>
      </c>
    </row>
    <row r="62" spans="1:20" s="409" customFormat="1" x14ac:dyDescent="0.25">
      <c r="A62" s="406" t="s">
        <v>2006</v>
      </c>
      <c r="B62" s="407" t="s">
        <v>1865</v>
      </c>
      <c r="C62" s="408" t="s">
        <v>2007</v>
      </c>
      <c r="D62" s="69">
        <v>10</v>
      </c>
      <c r="E62" s="69"/>
      <c r="F62" s="69"/>
      <c r="G62" s="69"/>
      <c r="H62" s="69">
        <v>999</v>
      </c>
      <c r="I62" s="73">
        <v>4000</v>
      </c>
      <c r="J62" s="73">
        <v>4000</v>
      </c>
      <c r="K62" s="73">
        <v>4000</v>
      </c>
      <c r="L62" s="68">
        <v>0</v>
      </c>
      <c r="M62" s="395">
        <v>-1</v>
      </c>
      <c r="N62" s="399"/>
      <c r="O62" s="395">
        <f t="shared" si="0"/>
        <v>400</v>
      </c>
      <c r="P62" s="400" t="s">
        <v>1867</v>
      </c>
      <c r="Q62" s="395">
        <v>-1</v>
      </c>
      <c r="R62" s="395" t="s">
        <v>1868</v>
      </c>
      <c r="S62" s="395" t="s">
        <v>2008</v>
      </c>
      <c r="T62" s="11" t="str">
        <f>CONCATENATE(C62,":",C63,":",C64,":",C65,":",C66,":",C67)</f>
        <v>TIỂU TIÊN RỪNG XANH:TIỂU TIÊN BIỂN XANH:TIỂU TIÊN MUÔN THÚ:TIỂU TIÊN QUẢ NGỌT:TIỂU TIÊN BƯỚM VÀNG:TIỂU TIÊN MUÔN HOA</v>
      </c>
    </row>
    <row r="63" spans="1:20" s="409" customFormat="1" x14ac:dyDescent="0.25">
      <c r="A63" s="406" t="s">
        <v>2009</v>
      </c>
      <c r="B63" s="407" t="s">
        <v>1865</v>
      </c>
      <c r="C63" s="408" t="s">
        <v>2010</v>
      </c>
      <c r="D63" s="69">
        <v>10</v>
      </c>
      <c r="E63" s="69"/>
      <c r="F63" s="69"/>
      <c r="G63" s="69"/>
      <c r="H63" s="69">
        <v>999</v>
      </c>
      <c r="I63" s="73">
        <v>4000</v>
      </c>
      <c r="J63" s="73">
        <v>4000</v>
      </c>
      <c r="K63" s="73">
        <v>4000</v>
      </c>
      <c r="L63" s="68">
        <v>0</v>
      </c>
      <c r="M63" s="395">
        <v>-1</v>
      </c>
      <c r="N63" s="399"/>
      <c r="O63" s="395">
        <f t="shared" si="0"/>
        <v>400</v>
      </c>
      <c r="P63" s="400" t="s">
        <v>1867</v>
      </c>
      <c r="Q63" s="395">
        <v>-1</v>
      </c>
      <c r="R63" s="395" t="s">
        <v>1868</v>
      </c>
      <c r="S63" s="395" t="s">
        <v>2008</v>
      </c>
    </row>
    <row r="64" spans="1:20" s="409" customFormat="1" x14ac:dyDescent="0.25">
      <c r="A64" s="406" t="s">
        <v>2011</v>
      </c>
      <c r="B64" s="407" t="s">
        <v>1865</v>
      </c>
      <c r="C64" s="408" t="s">
        <v>2012</v>
      </c>
      <c r="D64" s="69">
        <v>10</v>
      </c>
      <c r="E64" s="69"/>
      <c r="F64" s="69"/>
      <c r="G64" s="69"/>
      <c r="H64" s="69">
        <v>999</v>
      </c>
      <c r="I64" s="73">
        <v>4000</v>
      </c>
      <c r="J64" s="73">
        <v>4000</v>
      </c>
      <c r="K64" s="73">
        <v>4000</v>
      </c>
      <c r="L64" s="68">
        <v>0</v>
      </c>
      <c r="M64" s="395">
        <v>-1</v>
      </c>
      <c r="N64" s="399"/>
      <c r="O64" s="395">
        <f t="shared" si="0"/>
        <v>400</v>
      </c>
      <c r="P64" s="400" t="s">
        <v>1867</v>
      </c>
      <c r="Q64" s="395">
        <v>-1</v>
      </c>
      <c r="R64" s="395" t="s">
        <v>1868</v>
      </c>
      <c r="S64" s="395" t="s">
        <v>2008</v>
      </c>
    </row>
    <row r="65" spans="1:20" s="409" customFormat="1" x14ac:dyDescent="0.25">
      <c r="A65" s="406" t="s">
        <v>2013</v>
      </c>
      <c r="B65" s="407" t="s">
        <v>1865</v>
      </c>
      <c r="C65" s="408" t="s">
        <v>2014</v>
      </c>
      <c r="D65" s="69">
        <v>10</v>
      </c>
      <c r="E65" s="69"/>
      <c r="F65" s="69"/>
      <c r="G65" s="69"/>
      <c r="H65" s="69">
        <v>999</v>
      </c>
      <c r="I65" s="73">
        <v>4000</v>
      </c>
      <c r="J65" s="73">
        <v>4000</v>
      </c>
      <c r="K65" s="73">
        <v>4000</v>
      </c>
      <c r="L65" s="68">
        <v>0</v>
      </c>
      <c r="M65" s="395">
        <v>-1</v>
      </c>
      <c r="N65" s="399"/>
      <c r="O65" s="395">
        <f t="shared" si="0"/>
        <v>400</v>
      </c>
      <c r="P65" s="400" t="s">
        <v>1867</v>
      </c>
      <c r="Q65" s="395">
        <v>-1</v>
      </c>
      <c r="R65" s="395" t="s">
        <v>1868</v>
      </c>
      <c r="S65" s="395" t="s">
        <v>2008</v>
      </c>
    </row>
    <row r="66" spans="1:20" s="409" customFormat="1" x14ac:dyDescent="0.25">
      <c r="A66" s="406" t="s">
        <v>2015</v>
      </c>
      <c r="B66" s="407" t="s">
        <v>1865</v>
      </c>
      <c r="C66" s="408" t="s">
        <v>2016</v>
      </c>
      <c r="D66" s="69">
        <v>10</v>
      </c>
      <c r="E66" s="69"/>
      <c r="F66" s="69"/>
      <c r="G66" s="69"/>
      <c r="H66" s="69">
        <v>999</v>
      </c>
      <c r="I66" s="73">
        <v>4000</v>
      </c>
      <c r="J66" s="73">
        <v>4000</v>
      </c>
      <c r="K66" s="73">
        <v>4000</v>
      </c>
      <c r="L66" s="68">
        <v>0</v>
      </c>
      <c r="M66" s="395">
        <v>-1</v>
      </c>
      <c r="N66" s="399"/>
      <c r="O66" s="395">
        <f t="shared" si="0"/>
        <v>400</v>
      </c>
      <c r="P66" s="400" t="s">
        <v>1867</v>
      </c>
      <c r="Q66" s="395">
        <v>-1</v>
      </c>
      <c r="R66" s="395" t="s">
        <v>1868</v>
      </c>
      <c r="S66" s="395" t="s">
        <v>2008</v>
      </c>
    </row>
    <row r="67" spans="1:20" s="409" customFormat="1" x14ac:dyDescent="0.25">
      <c r="A67" s="406" t="s">
        <v>2017</v>
      </c>
      <c r="B67" s="407" t="s">
        <v>1865</v>
      </c>
      <c r="C67" s="408" t="s">
        <v>2018</v>
      </c>
      <c r="D67" s="69">
        <v>10</v>
      </c>
      <c r="E67" s="69"/>
      <c r="F67" s="69"/>
      <c r="G67" s="69"/>
      <c r="H67" s="69">
        <v>999</v>
      </c>
      <c r="I67" s="73">
        <v>4000</v>
      </c>
      <c r="J67" s="73">
        <v>4000</v>
      </c>
      <c r="K67" s="73">
        <v>4000</v>
      </c>
      <c r="L67" s="68">
        <v>0</v>
      </c>
      <c r="M67" s="395">
        <v>-1</v>
      </c>
      <c r="N67" s="399"/>
      <c r="O67" s="395">
        <f t="shared" ref="O67:O130" si="1">I67/10</f>
        <v>400</v>
      </c>
      <c r="P67" s="400" t="s">
        <v>1867</v>
      </c>
      <c r="Q67" s="395">
        <v>-1</v>
      </c>
      <c r="R67" s="395" t="s">
        <v>1868</v>
      </c>
      <c r="S67" s="395" t="s">
        <v>2008</v>
      </c>
    </row>
    <row r="68" spans="1:20" x14ac:dyDescent="0.25">
      <c r="A68" s="406" t="s">
        <v>2019</v>
      </c>
      <c r="B68" s="407" t="s">
        <v>1865</v>
      </c>
      <c r="C68" s="410" t="s">
        <v>2020</v>
      </c>
      <c r="D68" s="69">
        <v>10</v>
      </c>
      <c r="E68" s="399"/>
      <c r="F68" s="399"/>
      <c r="G68" s="399"/>
      <c r="H68" s="69">
        <v>999</v>
      </c>
      <c r="I68" s="73">
        <v>4500</v>
      </c>
      <c r="J68" s="73">
        <v>4500</v>
      </c>
      <c r="K68" s="73">
        <v>4500</v>
      </c>
      <c r="L68" s="68">
        <v>0</v>
      </c>
      <c r="M68" s="395">
        <v>-1</v>
      </c>
      <c r="N68" s="399"/>
      <c r="O68" s="395">
        <f t="shared" si="1"/>
        <v>450</v>
      </c>
      <c r="P68" s="400" t="s">
        <v>1867</v>
      </c>
      <c r="Q68" s="395">
        <v>-1</v>
      </c>
      <c r="R68" s="395" t="s">
        <v>1868</v>
      </c>
      <c r="S68" s="395" t="s">
        <v>2008</v>
      </c>
      <c r="T68" s="11" t="str">
        <f>CONCATENATE(C68,":",C69,":",C70,":",C71,":",C72,":",C73)</f>
        <v>SAO BIỂN ĐỎ:SAO BIỂN CAM:SAO BIỂN XANH LÁ:SAO BIỂN VÀNG:SAO BIỂN TÍM:SAO BIỂN HỒNG</v>
      </c>
    </row>
    <row r="69" spans="1:20" x14ac:dyDescent="0.25">
      <c r="A69" s="406" t="s">
        <v>2021</v>
      </c>
      <c r="B69" s="407" t="s">
        <v>1865</v>
      </c>
      <c r="C69" s="410" t="s">
        <v>2022</v>
      </c>
      <c r="D69" s="69">
        <v>10</v>
      </c>
      <c r="E69" s="399"/>
      <c r="F69" s="399"/>
      <c r="G69" s="399"/>
      <c r="H69" s="69">
        <v>999</v>
      </c>
      <c r="I69" s="73">
        <v>4500</v>
      </c>
      <c r="J69" s="73">
        <v>4500</v>
      </c>
      <c r="K69" s="73">
        <v>4500</v>
      </c>
      <c r="L69" s="68">
        <v>0</v>
      </c>
      <c r="M69" s="395">
        <v>-1</v>
      </c>
      <c r="N69" s="399"/>
      <c r="O69" s="395">
        <f t="shared" si="1"/>
        <v>450</v>
      </c>
      <c r="P69" s="400" t="s">
        <v>1867</v>
      </c>
      <c r="Q69" s="395">
        <v>-1</v>
      </c>
      <c r="R69" s="395" t="s">
        <v>1868</v>
      </c>
      <c r="S69" s="395" t="s">
        <v>2008</v>
      </c>
    </row>
    <row r="70" spans="1:20" x14ac:dyDescent="0.25">
      <c r="A70" s="406" t="s">
        <v>2023</v>
      </c>
      <c r="B70" s="407" t="s">
        <v>1865</v>
      </c>
      <c r="C70" s="410" t="s">
        <v>2024</v>
      </c>
      <c r="D70" s="69">
        <v>10</v>
      </c>
      <c r="E70" s="399"/>
      <c r="F70" s="399"/>
      <c r="G70" s="399"/>
      <c r="H70" s="69">
        <v>999</v>
      </c>
      <c r="I70" s="73">
        <v>4500</v>
      </c>
      <c r="J70" s="73">
        <v>4500</v>
      </c>
      <c r="K70" s="73">
        <v>4500</v>
      </c>
      <c r="L70" s="68">
        <v>0</v>
      </c>
      <c r="M70" s="395">
        <v>-1</v>
      </c>
      <c r="N70" s="399"/>
      <c r="O70" s="395">
        <f t="shared" si="1"/>
        <v>450</v>
      </c>
      <c r="P70" s="400" t="s">
        <v>1867</v>
      </c>
      <c r="Q70" s="395">
        <v>-1</v>
      </c>
      <c r="R70" s="395" t="s">
        <v>1868</v>
      </c>
      <c r="S70" s="395" t="s">
        <v>2008</v>
      </c>
    </row>
    <row r="71" spans="1:20" x14ac:dyDescent="0.25">
      <c r="A71" s="406" t="s">
        <v>2025</v>
      </c>
      <c r="B71" s="407" t="s">
        <v>1865</v>
      </c>
      <c r="C71" s="410" t="s">
        <v>2026</v>
      </c>
      <c r="D71" s="69">
        <v>10</v>
      </c>
      <c r="E71" s="399"/>
      <c r="F71" s="399"/>
      <c r="G71" s="399"/>
      <c r="H71" s="69">
        <v>999</v>
      </c>
      <c r="I71" s="73">
        <v>4500</v>
      </c>
      <c r="J71" s="73">
        <v>4500</v>
      </c>
      <c r="K71" s="73">
        <v>4500</v>
      </c>
      <c r="L71" s="68">
        <v>0</v>
      </c>
      <c r="M71" s="395">
        <v>-1</v>
      </c>
      <c r="N71" s="399"/>
      <c r="O71" s="395">
        <f t="shared" si="1"/>
        <v>450</v>
      </c>
      <c r="P71" s="400" t="s">
        <v>1867</v>
      </c>
      <c r="Q71" s="395">
        <v>-1</v>
      </c>
      <c r="R71" s="395" t="s">
        <v>1868</v>
      </c>
      <c r="S71" s="395" t="s">
        <v>2008</v>
      </c>
    </row>
    <row r="72" spans="1:20" x14ac:dyDescent="0.25">
      <c r="A72" s="406" t="s">
        <v>2027</v>
      </c>
      <c r="B72" s="407" t="s">
        <v>1865</v>
      </c>
      <c r="C72" s="410" t="s">
        <v>2028</v>
      </c>
      <c r="D72" s="69">
        <v>10</v>
      </c>
      <c r="E72" s="399"/>
      <c r="F72" s="399"/>
      <c r="G72" s="399"/>
      <c r="H72" s="69">
        <v>999</v>
      </c>
      <c r="I72" s="73">
        <v>4500</v>
      </c>
      <c r="J72" s="73">
        <v>4500</v>
      </c>
      <c r="K72" s="73">
        <v>4500</v>
      </c>
      <c r="L72" s="68">
        <v>0</v>
      </c>
      <c r="M72" s="395">
        <v>-1</v>
      </c>
      <c r="N72" s="399"/>
      <c r="O72" s="395">
        <f t="shared" si="1"/>
        <v>450</v>
      </c>
      <c r="P72" s="400" t="s">
        <v>1867</v>
      </c>
      <c r="Q72" s="395">
        <v>-1</v>
      </c>
      <c r="R72" s="395" t="s">
        <v>1868</v>
      </c>
      <c r="S72" s="395" t="s">
        <v>2008</v>
      </c>
    </row>
    <row r="73" spans="1:20" x14ac:dyDescent="0.25">
      <c r="A73" s="406" t="s">
        <v>2029</v>
      </c>
      <c r="B73" s="407" t="s">
        <v>1865</v>
      </c>
      <c r="C73" s="410" t="s">
        <v>2030</v>
      </c>
      <c r="D73" s="69">
        <v>10</v>
      </c>
      <c r="E73" s="399"/>
      <c r="F73" s="399"/>
      <c r="G73" s="399"/>
      <c r="H73" s="69">
        <v>999</v>
      </c>
      <c r="I73" s="73">
        <v>4500</v>
      </c>
      <c r="J73" s="73">
        <v>4500</v>
      </c>
      <c r="K73" s="73">
        <v>4500</v>
      </c>
      <c r="L73" s="68">
        <v>0</v>
      </c>
      <c r="M73" s="395">
        <v>-1</v>
      </c>
      <c r="N73" s="399"/>
      <c r="O73" s="395">
        <f t="shared" si="1"/>
        <v>450</v>
      </c>
      <c r="P73" s="400" t="s">
        <v>1867</v>
      </c>
      <c r="Q73" s="395">
        <v>-1</v>
      </c>
      <c r="R73" s="395" t="s">
        <v>1868</v>
      </c>
      <c r="S73" s="395" t="s">
        <v>2008</v>
      </c>
    </row>
    <row r="74" spans="1:20" x14ac:dyDescent="0.25">
      <c r="A74" s="406" t="s">
        <v>2031</v>
      </c>
      <c r="B74" s="407" t="s">
        <v>1865</v>
      </c>
      <c r="C74" s="408" t="s">
        <v>2032</v>
      </c>
      <c r="D74" s="69">
        <v>10</v>
      </c>
      <c r="E74" s="69"/>
      <c r="F74" s="69"/>
      <c r="G74" s="69"/>
      <c r="H74" s="69">
        <v>999</v>
      </c>
      <c r="I74" s="73">
        <v>5000</v>
      </c>
      <c r="J74" s="73">
        <v>5000</v>
      </c>
      <c r="K74" s="73">
        <v>5000</v>
      </c>
      <c r="L74" s="68">
        <v>0</v>
      </c>
      <c r="M74" s="395">
        <v>-1</v>
      </c>
      <c r="N74" s="399"/>
      <c r="O74" s="395">
        <f t="shared" si="1"/>
        <v>500</v>
      </c>
      <c r="P74" s="400" t="s">
        <v>1867</v>
      </c>
      <c r="Q74" s="395">
        <v>-1</v>
      </c>
      <c r="R74" s="395" t="s">
        <v>1868</v>
      </c>
      <c r="S74" s="395" t="s">
        <v>2008</v>
      </c>
      <c r="T74" s="11" t="str">
        <f>CONCATENATE(C74,":",C75,":",C76,":",C77,":",C78,":",C79)</f>
        <v>DÉP XINH:KEM DÂU:KÍNH SÀNH ĐIỆU:MÁY ẢNH POLAROID:VALI:BÌNH HOA</v>
      </c>
    </row>
    <row r="75" spans="1:20" x14ac:dyDescent="0.25">
      <c r="A75" s="406" t="s">
        <v>2033</v>
      </c>
      <c r="B75" s="407" t="s">
        <v>1865</v>
      </c>
      <c r="C75" s="408" t="s">
        <v>2034</v>
      </c>
      <c r="D75" s="69">
        <v>10</v>
      </c>
      <c r="E75" s="69"/>
      <c r="F75" s="69"/>
      <c r="G75" s="69"/>
      <c r="H75" s="69">
        <v>999</v>
      </c>
      <c r="I75" s="73">
        <v>5000</v>
      </c>
      <c r="J75" s="73">
        <v>5000</v>
      </c>
      <c r="K75" s="73">
        <v>5000</v>
      </c>
      <c r="L75" s="68">
        <v>0</v>
      </c>
      <c r="M75" s="395">
        <v>-1</v>
      </c>
      <c r="N75" s="399"/>
      <c r="O75" s="395">
        <f t="shared" si="1"/>
        <v>500</v>
      </c>
      <c r="P75" s="400" t="s">
        <v>1867</v>
      </c>
      <c r="Q75" s="395">
        <v>-1</v>
      </c>
      <c r="R75" s="395" t="s">
        <v>1868</v>
      </c>
      <c r="S75" s="395" t="s">
        <v>2008</v>
      </c>
    </row>
    <row r="76" spans="1:20" x14ac:dyDescent="0.25">
      <c r="A76" s="406" t="s">
        <v>2035</v>
      </c>
      <c r="B76" s="407" t="s">
        <v>1865</v>
      </c>
      <c r="C76" s="408" t="s">
        <v>2036</v>
      </c>
      <c r="D76" s="69">
        <v>10</v>
      </c>
      <c r="E76" s="69"/>
      <c r="F76" s="69"/>
      <c r="G76" s="69"/>
      <c r="H76" s="69">
        <v>999</v>
      </c>
      <c r="I76" s="73">
        <v>5000</v>
      </c>
      <c r="J76" s="73">
        <v>5000</v>
      </c>
      <c r="K76" s="73">
        <v>5000</v>
      </c>
      <c r="L76" s="68">
        <v>0</v>
      </c>
      <c r="M76" s="395">
        <v>-1</v>
      </c>
      <c r="N76" s="399"/>
      <c r="O76" s="395">
        <f t="shared" si="1"/>
        <v>500</v>
      </c>
      <c r="P76" s="400" t="s">
        <v>1867</v>
      </c>
      <c r="Q76" s="395">
        <v>-1</v>
      </c>
      <c r="R76" s="395" t="s">
        <v>1868</v>
      </c>
      <c r="S76" s="395" t="s">
        <v>2008</v>
      </c>
    </row>
    <row r="77" spans="1:20" x14ac:dyDescent="0.25">
      <c r="A77" s="406" t="s">
        <v>2037</v>
      </c>
      <c r="B77" s="407" t="s">
        <v>1865</v>
      </c>
      <c r="C77" s="408" t="s">
        <v>2038</v>
      </c>
      <c r="D77" s="69">
        <v>10</v>
      </c>
      <c r="E77" s="69"/>
      <c r="F77" s="69"/>
      <c r="G77" s="69"/>
      <c r="H77" s="69">
        <v>999</v>
      </c>
      <c r="I77" s="73">
        <v>5000</v>
      </c>
      <c r="J77" s="73">
        <v>5000</v>
      </c>
      <c r="K77" s="73">
        <v>5000</v>
      </c>
      <c r="L77" s="68">
        <v>0</v>
      </c>
      <c r="M77" s="395">
        <v>-1</v>
      </c>
      <c r="N77" s="399"/>
      <c r="O77" s="395">
        <f t="shared" si="1"/>
        <v>500</v>
      </c>
      <c r="P77" s="400" t="s">
        <v>1867</v>
      </c>
      <c r="Q77" s="395">
        <v>-1</v>
      </c>
      <c r="R77" s="395" t="s">
        <v>1868</v>
      </c>
      <c r="S77" s="395" t="s">
        <v>2008</v>
      </c>
    </row>
    <row r="78" spans="1:20" x14ac:dyDescent="0.25">
      <c r="A78" s="406" t="s">
        <v>2039</v>
      </c>
      <c r="B78" s="407" t="s">
        <v>1865</v>
      </c>
      <c r="C78" s="408" t="s">
        <v>2040</v>
      </c>
      <c r="D78" s="69">
        <v>10</v>
      </c>
      <c r="E78" s="69"/>
      <c r="F78" s="69"/>
      <c r="G78" s="69"/>
      <c r="H78" s="69">
        <v>999</v>
      </c>
      <c r="I78" s="73">
        <v>5000</v>
      </c>
      <c r="J78" s="73">
        <v>5000</v>
      </c>
      <c r="K78" s="73">
        <v>5000</v>
      </c>
      <c r="L78" s="68">
        <v>0</v>
      </c>
      <c r="M78" s="395">
        <v>-1</v>
      </c>
      <c r="N78" s="399"/>
      <c r="O78" s="395">
        <f t="shared" si="1"/>
        <v>500</v>
      </c>
      <c r="P78" s="400" t="s">
        <v>1867</v>
      </c>
      <c r="Q78" s="395">
        <v>-1</v>
      </c>
      <c r="R78" s="395" t="s">
        <v>1868</v>
      </c>
      <c r="S78" s="395" t="s">
        <v>2008</v>
      </c>
    </row>
    <row r="79" spans="1:20" x14ac:dyDescent="0.25">
      <c r="A79" s="406" t="s">
        <v>2041</v>
      </c>
      <c r="B79" s="407" t="s">
        <v>1865</v>
      </c>
      <c r="C79" s="408" t="s">
        <v>2042</v>
      </c>
      <c r="D79" s="69">
        <v>10</v>
      </c>
      <c r="E79" s="69"/>
      <c r="F79" s="69"/>
      <c r="G79" s="69"/>
      <c r="H79" s="69">
        <v>999</v>
      </c>
      <c r="I79" s="73">
        <v>5000</v>
      </c>
      <c r="J79" s="73">
        <v>5000</v>
      </c>
      <c r="K79" s="73">
        <v>5000</v>
      </c>
      <c r="L79" s="68">
        <v>0</v>
      </c>
      <c r="M79" s="395">
        <v>-1</v>
      </c>
      <c r="N79" s="399"/>
      <c r="O79" s="395">
        <f t="shared" si="1"/>
        <v>500</v>
      </c>
      <c r="P79" s="400" t="s">
        <v>1867</v>
      </c>
      <c r="Q79" s="395">
        <v>-1</v>
      </c>
      <c r="R79" s="395" t="s">
        <v>1868</v>
      </c>
      <c r="S79" s="395" t="s">
        <v>2008</v>
      </c>
    </row>
    <row r="80" spans="1:20" x14ac:dyDescent="0.25">
      <c r="A80" s="406" t="s">
        <v>2043</v>
      </c>
      <c r="B80" s="407" t="s">
        <v>1865</v>
      </c>
      <c r="C80" s="410" t="s">
        <v>2044</v>
      </c>
      <c r="D80" s="69">
        <v>10</v>
      </c>
      <c r="E80" s="399"/>
      <c r="F80" s="399"/>
      <c r="G80" s="399"/>
      <c r="H80" s="69">
        <v>999</v>
      </c>
      <c r="I80" s="73">
        <v>5500</v>
      </c>
      <c r="J80" s="73">
        <v>5500</v>
      </c>
      <c r="K80" s="73">
        <v>5500</v>
      </c>
      <c r="L80" s="68">
        <v>0</v>
      </c>
      <c r="M80" s="395">
        <v>-1</v>
      </c>
      <c r="N80" s="399"/>
      <c r="O80" s="395">
        <f t="shared" si="1"/>
        <v>550</v>
      </c>
      <c r="P80" s="400" t="s">
        <v>1867</v>
      </c>
      <c r="Q80" s="395">
        <v>-1</v>
      </c>
      <c r="R80" s="395" t="s">
        <v>1868</v>
      </c>
      <c r="S80" s="395" t="s">
        <v>2008</v>
      </c>
      <c r="T80" s="11" t="str">
        <f>CONCATENATE(C80,":",C81,":",C82,":",C83,":",C84,":",C85)</f>
        <v>MA HỒNG:MA XANH:DRACULA XANH:DRACULA TÍM:XÁC ƯỚP HỒNG:XÁC ƯỚP VÀNG</v>
      </c>
    </row>
    <row r="81" spans="1:20" x14ac:dyDescent="0.25">
      <c r="A81" s="406" t="s">
        <v>2045</v>
      </c>
      <c r="B81" s="407" t="s">
        <v>1865</v>
      </c>
      <c r="C81" s="410" t="s">
        <v>2046</v>
      </c>
      <c r="D81" s="69">
        <v>10</v>
      </c>
      <c r="E81" s="399"/>
      <c r="F81" s="399"/>
      <c r="G81" s="399"/>
      <c r="H81" s="69">
        <v>999</v>
      </c>
      <c r="I81" s="73">
        <v>5500</v>
      </c>
      <c r="J81" s="73">
        <v>5500</v>
      </c>
      <c r="K81" s="73">
        <v>5500</v>
      </c>
      <c r="L81" s="68">
        <v>0</v>
      </c>
      <c r="M81" s="395">
        <v>-1</v>
      </c>
      <c r="N81" s="399"/>
      <c r="O81" s="395">
        <f t="shared" si="1"/>
        <v>550</v>
      </c>
      <c r="P81" s="400" t="s">
        <v>1867</v>
      </c>
      <c r="Q81" s="395">
        <v>-1</v>
      </c>
      <c r="R81" s="395" t="s">
        <v>1868</v>
      </c>
      <c r="S81" s="395" t="s">
        <v>2008</v>
      </c>
    </row>
    <row r="82" spans="1:20" x14ac:dyDescent="0.25">
      <c r="A82" s="406" t="s">
        <v>2047</v>
      </c>
      <c r="B82" s="407" t="s">
        <v>1865</v>
      </c>
      <c r="C82" s="408" t="s">
        <v>2048</v>
      </c>
      <c r="D82" s="69">
        <v>10</v>
      </c>
      <c r="E82" s="69"/>
      <c r="F82" s="69"/>
      <c r="G82" s="69"/>
      <c r="H82" s="69">
        <v>999</v>
      </c>
      <c r="I82" s="73">
        <v>5500</v>
      </c>
      <c r="J82" s="73">
        <v>5500</v>
      </c>
      <c r="K82" s="73">
        <v>5500</v>
      </c>
      <c r="L82" s="68">
        <v>0</v>
      </c>
      <c r="M82" s="395">
        <v>-1</v>
      </c>
      <c r="N82" s="399"/>
      <c r="O82" s="395">
        <f t="shared" si="1"/>
        <v>550</v>
      </c>
      <c r="P82" s="400" t="s">
        <v>1867</v>
      </c>
      <c r="Q82" s="395">
        <v>-1</v>
      </c>
      <c r="R82" s="395" t="s">
        <v>1868</v>
      </c>
      <c r="S82" s="395" t="s">
        <v>2008</v>
      </c>
    </row>
    <row r="83" spans="1:20" x14ac:dyDescent="0.25">
      <c r="A83" s="406" t="s">
        <v>2049</v>
      </c>
      <c r="B83" s="407" t="s">
        <v>1865</v>
      </c>
      <c r="C83" s="411" t="s">
        <v>2050</v>
      </c>
      <c r="D83" s="69">
        <v>10</v>
      </c>
      <c r="E83" s="405"/>
      <c r="F83" s="405"/>
      <c r="G83" s="405"/>
      <c r="H83" s="69">
        <v>999</v>
      </c>
      <c r="I83" s="73">
        <v>5500</v>
      </c>
      <c r="J83" s="73">
        <v>5500</v>
      </c>
      <c r="K83" s="73">
        <v>5500</v>
      </c>
      <c r="L83" s="68">
        <v>0</v>
      </c>
      <c r="M83" s="395">
        <v>-1</v>
      </c>
      <c r="N83" s="399"/>
      <c r="O83" s="395">
        <f t="shared" si="1"/>
        <v>550</v>
      </c>
      <c r="P83" s="400" t="s">
        <v>1867</v>
      </c>
      <c r="Q83" s="395">
        <v>-1</v>
      </c>
      <c r="R83" s="395" t="s">
        <v>1868</v>
      </c>
      <c r="S83" s="395" t="s">
        <v>2008</v>
      </c>
    </row>
    <row r="84" spans="1:20" x14ac:dyDescent="0.25">
      <c r="A84" s="406" t="s">
        <v>2051</v>
      </c>
      <c r="B84" s="407" t="s">
        <v>1865</v>
      </c>
      <c r="C84" s="411" t="s">
        <v>2052</v>
      </c>
      <c r="D84" s="69">
        <v>10</v>
      </c>
      <c r="E84" s="405"/>
      <c r="F84" s="405"/>
      <c r="G84" s="405"/>
      <c r="H84" s="69">
        <v>999</v>
      </c>
      <c r="I84" s="73">
        <v>5500</v>
      </c>
      <c r="J84" s="73">
        <v>5500</v>
      </c>
      <c r="K84" s="73">
        <v>5500</v>
      </c>
      <c r="L84" s="68">
        <v>0</v>
      </c>
      <c r="M84" s="395">
        <v>-1</v>
      </c>
      <c r="N84" s="399"/>
      <c r="O84" s="395">
        <f t="shared" si="1"/>
        <v>550</v>
      </c>
      <c r="P84" s="400" t="s">
        <v>1867</v>
      </c>
      <c r="Q84" s="395">
        <v>-1</v>
      </c>
      <c r="R84" s="395" t="s">
        <v>1868</v>
      </c>
      <c r="S84" s="395" t="s">
        <v>2008</v>
      </c>
    </row>
    <row r="85" spans="1:20" x14ac:dyDescent="0.25">
      <c r="A85" s="406" t="s">
        <v>2053</v>
      </c>
      <c r="B85" s="407" t="s">
        <v>1865</v>
      </c>
      <c r="C85" s="411" t="s">
        <v>2054</v>
      </c>
      <c r="D85" s="69">
        <v>10</v>
      </c>
      <c r="E85" s="405"/>
      <c r="F85" s="405"/>
      <c r="G85" s="405"/>
      <c r="H85" s="69">
        <v>999</v>
      </c>
      <c r="I85" s="73">
        <v>5500</v>
      </c>
      <c r="J85" s="73">
        <v>5500</v>
      </c>
      <c r="K85" s="73">
        <v>5500</v>
      </c>
      <c r="L85" s="68">
        <v>0</v>
      </c>
      <c r="M85" s="395">
        <v>-1</v>
      </c>
      <c r="N85" s="399"/>
      <c r="O85" s="395">
        <f t="shared" si="1"/>
        <v>550</v>
      </c>
      <c r="P85" s="400" t="s">
        <v>1867</v>
      </c>
      <c r="Q85" s="395">
        <v>-1</v>
      </c>
      <c r="R85" s="395" t="s">
        <v>1868</v>
      </c>
      <c r="S85" s="395" t="s">
        <v>2008</v>
      </c>
    </row>
    <row r="86" spans="1:20" x14ac:dyDescent="0.25">
      <c r="A86" s="406" t="s">
        <v>2055</v>
      </c>
      <c r="B86" s="407" t="s">
        <v>1865</v>
      </c>
      <c r="C86" s="408" t="s">
        <v>2056</v>
      </c>
      <c r="D86" s="69">
        <v>10</v>
      </c>
      <c r="E86" s="69"/>
      <c r="F86" s="69"/>
      <c r="G86" s="69"/>
      <c r="H86" s="69">
        <v>999</v>
      </c>
      <c r="I86" s="73">
        <v>6000</v>
      </c>
      <c r="J86" s="73">
        <v>6000</v>
      </c>
      <c r="K86" s="73">
        <v>6000</v>
      </c>
      <c r="L86" s="68">
        <v>0</v>
      </c>
      <c r="M86" s="395">
        <v>-1</v>
      </c>
      <c r="N86" s="399"/>
      <c r="O86" s="395">
        <f t="shared" si="1"/>
        <v>600</v>
      </c>
      <c r="P86" s="400" t="s">
        <v>1867</v>
      </c>
      <c r="Q86" s="395">
        <v>-1</v>
      </c>
      <c r="R86" s="395" t="s">
        <v>1868</v>
      </c>
      <c r="S86" s="395" t="s">
        <v>2008</v>
      </c>
      <c r="T86" s="11" t="str">
        <f>CONCATENATE(C86,":",C87,":",C88,":",C89,":",C90,":",C91)</f>
        <v>CHỮ X:CHỮ M:CHỮ A:CHỮ S:NGƯỜI TUYẾT NGẠI NGÙNG:NGƯỜI TUYẾT ĐÁNG YÊU</v>
      </c>
    </row>
    <row r="87" spans="1:20" x14ac:dyDescent="0.25">
      <c r="A87" s="406" t="s">
        <v>2057</v>
      </c>
      <c r="B87" s="407" t="s">
        <v>1865</v>
      </c>
      <c r="C87" s="408" t="s">
        <v>2058</v>
      </c>
      <c r="D87" s="69">
        <v>10</v>
      </c>
      <c r="E87" s="69"/>
      <c r="F87" s="69"/>
      <c r="G87" s="69"/>
      <c r="H87" s="69">
        <v>999</v>
      </c>
      <c r="I87" s="73">
        <v>6000</v>
      </c>
      <c r="J87" s="73">
        <v>6000</v>
      </c>
      <c r="K87" s="73">
        <v>6000</v>
      </c>
      <c r="L87" s="68">
        <v>0</v>
      </c>
      <c r="M87" s="395">
        <v>-1</v>
      </c>
      <c r="N87" s="399"/>
      <c r="O87" s="395">
        <f t="shared" si="1"/>
        <v>600</v>
      </c>
      <c r="P87" s="400" t="s">
        <v>1867</v>
      </c>
      <c r="Q87" s="395">
        <v>-1</v>
      </c>
      <c r="R87" s="395" t="s">
        <v>1868</v>
      </c>
      <c r="S87" s="395" t="s">
        <v>2008</v>
      </c>
    </row>
    <row r="88" spans="1:20" x14ac:dyDescent="0.25">
      <c r="A88" s="406" t="s">
        <v>2059</v>
      </c>
      <c r="B88" s="407" t="s">
        <v>1865</v>
      </c>
      <c r="C88" s="408" t="s">
        <v>2060</v>
      </c>
      <c r="D88" s="69">
        <v>10</v>
      </c>
      <c r="E88" s="69"/>
      <c r="F88" s="69"/>
      <c r="G88" s="69"/>
      <c r="H88" s="69">
        <v>999</v>
      </c>
      <c r="I88" s="73">
        <v>6000</v>
      </c>
      <c r="J88" s="73">
        <v>6000</v>
      </c>
      <c r="K88" s="73">
        <v>6000</v>
      </c>
      <c r="L88" s="68">
        <v>0</v>
      </c>
      <c r="M88" s="395">
        <v>-1</v>
      </c>
      <c r="N88" s="399"/>
      <c r="O88" s="395">
        <f t="shared" si="1"/>
        <v>600</v>
      </c>
      <c r="P88" s="400" t="s">
        <v>1867</v>
      </c>
      <c r="Q88" s="395">
        <v>-1</v>
      </c>
      <c r="R88" s="395" t="s">
        <v>1868</v>
      </c>
      <c r="S88" s="395" t="s">
        <v>2008</v>
      </c>
    </row>
    <row r="89" spans="1:20" x14ac:dyDescent="0.25">
      <c r="A89" s="406" t="s">
        <v>2061</v>
      </c>
      <c r="B89" s="407" t="s">
        <v>1865</v>
      </c>
      <c r="C89" s="408" t="s">
        <v>2062</v>
      </c>
      <c r="D89" s="69">
        <v>10</v>
      </c>
      <c r="E89" s="69"/>
      <c r="F89" s="69"/>
      <c r="G89" s="69"/>
      <c r="H89" s="69">
        <v>999</v>
      </c>
      <c r="I89" s="73">
        <v>6000</v>
      </c>
      <c r="J89" s="73">
        <v>6000</v>
      </c>
      <c r="K89" s="73">
        <v>6000</v>
      </c>
      <c r="L89" s="68">
        <v>0</v>
      </c>
      <c r="M89" s="395">
        <v>-1</v>
      </c>
      <c r="N89" s="399"/>
      <c r="O89" s="395">
        <f t="shared" si="1"/>
        <v>600</v>
      </c>
      <c r="P89" s="400" t="s">
        <v>1867</v>
      </c>
      <c r="Q89" s="395">
        <v>-1</v>
      </c>
      <c r="R89" s="395" t="s">
        <v>1868</v>
      </c>
      <c r="S89" s="395" t="s">
        <v>2008</v>
      </c>
    </row>
    <row r="90" spans="1:20" x14ac:dyDescent="0.25">
      <c r="A90" s="406" t="s">
        <v>2063</v>
      </c>
      <c r="B90" s="407" t="s">
        <v>1865</v>
      </c>
      <c r="C90" s="408" t="s">
        <v>2064</v>
      </c>
      <c r="D90" s="69">
        <v>10</v>
      </c>
      <c r="E90" s="69"/>
      <c r="F90" s="69"/>
      <c r="G90" s="69"/>
      <c r="H90" s="69">
        <v>999</v>
      </c>
      <c r="I90" s="73">
        <v>6000</v>
      </c>
      <c r="J90" s="73">
        <v>6000</v>
      </c>
      <c r="K90" s="73">
        <v>6000</v>
      </c>
      <c r="L90" s="68">
        <v>0</v>
      </c>
      <c r="M90" s="395">
        <v>-1</v>
      </c>
      <c r="N90" s="399"/>
      <c r="O90" s="395">
        <f t="shared" si="1"/>
        <v>600</v>
      </c>
      <c r="P90" s="400" t="s">
        <v>1867</v>
      </c>
      <c r="Q90" s="395">
        <v>-1</v>
      </c>
      <c r="R90" s="395" t="s">
        <v>1868</v>
      </c>
      <c r="S90" s="395" t="s">
        <v>2008</v>
      </c>
    </row>
    <row r="91" spans="1:20" x14ac:dyDescent="0.25">
      <c r="A91" s="406" t="s">
        <v>2065</v>
      </c>
      <c r="B91" s="407" t="s">
        <v>1865</v>
      </c>
      <c r="C91" s="408" t="s">
        <v>2066</v>
      </c>
      <c r="D91" s="69">
        <v>10</v>
      </c>
      <c r="E91" s="69"/>
      <c r="F91" s="69"/>
      <c r="G91" s="69"/>
      <c r="H91" s="69">
        <v>999</v>
      </c>
      <c r="I91" s="73">
        <v>6000</v>
      </c>
      <c r="J91" s="73">
        <v>6000</v>
      </c>
      <c r="K91" s="73">
        <v>6000</v>
      </c>
      <c r="L91" s="68">
        <v>0</v>
      </c>
      <c r="M91" s="395">
        <v>-1</v>
      </c>
      <c r="N91" s="399"/>
      <c r="O91" s="395">
        <f t="shared" si="1"/>
        <v>600</v>
      </c>
      <c r="P91" s="400" t="s">
        <v>1867</v>
      </c>
      <c r="Q91" s="395">
        <v>-1</v>
      </c>
      <c r="R91" s="395" t="s">
        <v>1868</v>
      </c>
      <c r="S91" s="395" t="s">
        <v>2008</v>
      </c>
    </row>
    <row r="92" spans="1:20" x14ac:dyDescent="0.25">
      <c r="A92" s="406" t="s">
        <v>2067</v>
      </c>
      <c r="B92" s="407" t="s">
        <v>1865</v>
      </c>
      <c r="C92" s="408" t="s">
        <v>2068</v>
      </c>
      <c r="D92" s="69">
        <v>10</v>
      </c>
      <c r="E92" s="69"/>
      <c r="F92" s="69"/>
      <c r="G92" s="69"/>
      <c r="H92" s="69">
        <v>999</v>
      </c>
      <c r="I92" s="73">
        <v>6500</v>
      </c>
      <c r="J92" s="73">
        <v>6500</v>
      </c>
      <c r="K92" s="73">
        <v>6500</v>
      </c>
      <c r="L92" s="68">
        <v>0</v>
      </c>
      <c r="M92" s="395">
        <v>-1</v>
      </c>
      <c r="N92" s="399"/>
      <c r="O92" s="395">
        <f t="shared" si="1"/>
        <v>650</v>
      </c>
      <c r="P92" s="400" t="s">
        <v>1867</v>
      </c>
      <c r="Q92" s="395">
        <v>-1</v>
      </c>
      <c r="R92" s="395" t="s">
        <v>1868</v>
      </c>
      <c r="S92" s="395" t="s">
        <v>2008</v>
      </c>
      <c r="T92" s="11" t="str">
        <f>CONCATENATE(C92,":",C93,":",C94,":",C95,":",C96,":",C97)</f>
        <v>CHỮ CHÚC:CHỮ MỪNG:CHỮ NĂM:CHỮ MỚI:QUẢ CẦU MAI:QUẢ CẦU ĐÀO</v>
      </c>
    </row>
    <row r="93" spans="1:20" x14ac:dyDescent="0.25">
      <c r="A93" s="406" t="s">
        <v>2069</v>
      </c>
      <c r="B93" s="407" t="s">
        <v>1865</v>
      </c>
      <c r="C93" s="408" t="s">
        <v>2070</v>
      </c>
      <c r="D93" s="69">
        <v>10</v>
      </c>
      <c r="E93" s="69"/>
      <c r="F93" s="69"/>
      <c r="G93" s="69"/>
      <c r="H93" s="69">
        <v>999</v>
      </c>
      <c r="I93" s="73">
        <v>6500</v>
      </c>
      <c r="J93" s="73">
        <v>6500</v>
      </c>
      <c r="K93" s="73">
        <v>6500</v>
      </c>
      <c r="L93" s="68">
        <v>0</v>
      </c>
      <c r="M93" s="395">
        <v>-1</v>
      </c>
      <c r="N93" s="399"/>
      <c r="O93" s="395">
        <f t="shared" si="1"/>
        <v>650</v>
      </c>
      <c r="P93" s="400" t="s">
        <v>1867</v>
      </c>
      <c r="Q93" s="395">
        <v>-1</v>
      </c>
      <c r="R93" s="395" t="s">
        <v>1868</v>
      </c>
      <c r="S93" s="395" t="s">
        <v>2008</v>
      </c>
    </row>
    <row r="94" spans="1:20" x14ac:dyDescent="0.25">
      <c r="A94" s="406" t="s">
        <v>2071</v>
      </c>
      <c r="B94" s="407" t="s">
        <v>1865</v>
      </c>
      <c r="C94" s="408" t="s">
        <v>2072</v>
      </c>
      <c r="D94" s="69">
        <v>10</v>
      </c>
      <c r="E94" s="69"/>
      <c r="F94" s="69"/>
      <c r="G94" s="69"/>
      <c r="H94" s="69">
        <v>999</v>
      </c>
      <c r="I94" s="73">
        <v>6500</v>
      </c>
      <c r="J94" s="73">
        <v>6500</v>
      </c>
      <c r="K94" s="73">
        <v>6500</v>
      </c>
      <c r="L94" s="68">
        <v>0</v>
      </c>
      <c r="M94" s="395">
        <v>-1</v>
      </c>
      <c r="N94" s="399"/>
      <c r="O94" s="395">
        <f t="shared" si="1"/>
        <v>650</v>
      </c>
      <c r="P94" s="400" t="s">
        <v>1867</v>
      </c>
      <c r="Q94" s="395">
        <v>-1</v>
      </c>
      <c r="R94" s="395" t="s">
        <v>1868</v>
      </c>
      <c r="S94" s="395" t="s">
        <v>2008</v>
      </c>
    </row>
    <row r="95" spans="1:20" x14ac:dyDescent="0.25">
      <c r="A95" s="406" t="s">
        <v>2073</v>
      </c>
      <c r="B95" s="407" t="s">
        <v>1865</v>
      </c>
      <c r="C95" s="408" t="s">
        <v>2074</v>
      </c>
      <c r="D95" s="69">
        <v>10</v>
      </c>
      <c r="E95" s="69"/>
      <c r="F95" s="69"/>
      <c r="G95" s="69"/>
      <c r="H95" s="69">
        <v>999</v>
      </c>
      <c r="I95" s="73">
        <v>6500</v>
      </c>
      <c r="J95" s="73">
        <v>6500</v>
      </c>
      <c r="K95" s="73">
        <v>6500</v>
      </c>
      <c r="L95" s="68">
        <v>0</v>
      </c>
      <c r="M95" s="395">
        <v>-1</v>
      </c>
      <c r="N95" s="399"/>
      <c r="O95" s="395">
        <f t="shared" si="1"/>
        <v>650</v>
      </c>
      <c r="P95" s="400" t="s">
        <v>1867</v>
      </c>
      <c r="Q95" s="395">
        <v>-1</v>
      </c>
      <c r="R95" s="395" t="s">
        <v>1868</v>
      </c>
      <c r="S95" s="395" t="s">
        <v>2008</v>
      </c>
    </row>
    <row r="96" spans="1:20" x14ac:dyDescent="0.25">
      <c r="A96" s="406" t="s">
        <v>2075</v>
      </c>
      <c r="B96" s="407" t="s">
        <v>1865</v>
      </c>
      <c r="C96" s="408" t="s">
        <v>2076</v>
      </c>
      <c r="D96" s="69">
        <v>10</v>
      </c>
      <c r="E96" s="69"/>
      <c r="F96" s="69"/>
      <c r="G96" s="69"/>
      <c r="H96" s="69">
        <v>999</v>
      </c>
      <c r="I96" s="73">
        <v>6500</v>
      </c>
      <c r="J96" s="73">
        <v>6500</v>
      </c>
      <c r="K96" s="73">
        <v>6500</v>
      </c>
      <c r="L96" s="68">
        <v>0</v>
      </c>
      <c r="M96" s="395">
        <v>-1</v>
      </c>
      <c r="N96" s="399"/>
      <c r="O96" s="395">
        <f t="shared" si="1"/>
        <v>650</v>
      </c>
      <c r="P96" s="400" t="s">
        <v>1867</v>
      </c>
      <c r="Q96" s="395">
        <v>-1</v>
      </c>
      <c r="R96" s="395" t="s">
        <v>1868</v>
      </c>
      <c r="S96" s="395" t="s">
        <v>2008</v>
      </c>
    </row>
    <row r="97" spans="1:20" x14ac:dyDescent="0.25">
      <c r="A97" s="406" t="s">
        <v>2077</v>
      </c>
      <c r="B97" s="407" t="s">
        <v>1865</v>
      </c>
      <c r="C97" s="408" t="s">
        <v>2078</v>
      </c>
      <c r="D97" s="69">
        <v>10</v>
      </c>
      <c r="E97" s="69"/>
      <c r="F97" s="69"/>
      <c r="G97" s="69"/>
      <c r="H97" s="69">
        <v>999</v>
      </c>
      <c r="I97" s="73">
        <v>6500</v>
      </c>
      <c r="J97" s="73">
        <v>6500</v>
      </c>
      <c r="K97" s="73">
        <v>6500</v>
      </c>
      <c r="L97" s="68">
        <v>0</v>
      </c>
      <c r="M97" s="395">
        <v>-1</v>
      </c>
      <c r="N97" s="399"/>
      <c r="O97" s="395">
        <f t="shared" si="1"/>
        <v>650</v>
      </c>
      <c r="P97" s="400" t="s">
        <v>1867</v>
      </c>
      <c r="Q97" s="395">
        <v>-1</v>
      </c>
      <c r="R97" s="395" t="s">
        <v>1868</v>
      </c>
      <c r="S97" s="395" t="s">
        <v>2008</v>
      </c>
    </row>
    <row r="98" spans="1:20" x14ac:dyDescent="0.25">
      <c r="A98" s="406" t="s">
        <v>2079</v>
      </c>
      <c r="B98" s="407" t="s">
        <v>1865</v>
      </c>
      <c r="C98" s="408" t="s">
        <v>2080</v>
      </c>
      <c r="D98" s="69">
        <v>10</v>
      </c>
      <c r="E98" s="69"/>
      <c r="F98" s="69"/>
      <c r="G98" s="69"/>
      <c r="H98" s="69">
        <v>999</v>
      </c>
      <c r="I98" s="73">
        <v>7000</v>
      </c>
      <c r="J98" s="73">
        <v>7000</v>
      </c>
      <c r="K98" s="73">
        <v>7000</v>
      </c>
      <c r="L98" s="68">
        <v>0</v>
      </c>
      <c r="M98" s="395">
        <v>-1</v>
      </c>
      <c r="N98" s="399"/>
      <c r="O98" s="395">
        <f t="shared" si="1"/>
        <v>700</v>
      </c>
      <c r="P98" s="400" t="s">
        <v>1867</v>
      </c>
      <c r="Q98" s="395">
        <v>-1</v>
      </c>
      <c r="R98" s="395" t="s">
        <v>1868</v>
      </c>
      <c r="S98" s="395" t="s">
        <v>2008</v>
      </c>
      <c r="T98" s="11" t="str">
        <f>CONCATENATE(C98,":",C99,":",C100,":",C101,":",C102,":",C103)</f>
        <v>BAO TAY NOEL:QUẢ THÔNG NOEL:BẢNG GỖ NOEL:NÓN NOEL:GIÀY TRƯỢT BĂNG:LỤC LẠC NOEL</v>
      </c>
    </row>
    <row r="99" spans="1:20" x14ac:dyDescent="0.25">
      <c r="A99" s="406" t="s">
        <v>2081</v>
      </c>
      <c r="B99" s="407" t="s">
        <v>1865</v>
      </c>
      <c r="C99" s="408" t="s">
        <v>2082</v>
      </c>
      <c r="D99" s="69">
        <v>10</v>
      </c>
      <c r="E99" s="69"/>
      <c r="F99" s="69"/>
      <c r="G99" s="69"/>
      <c r="H99" s="69">
        <v>999</v>
      </c>
      <c r="I99" s="73">
        <v>7000</v>
      </c>
      <c r="J99" s="73">
        <v>7000</v>
      </c>
      <c r="K99" s="73">
        <v>7000</v>
      </c>
      <c r="L99" s="68">
        <v>0</v>
      </c>
      <c r="M99" s="395">
        <v>-1</v>
      </c>
      <c r="N99" s="399"/>
      <c r="O99" s="395">
        <f t="shared" si="1"/>
        <v>700</v>
      </c>
      <c r="P99" s="400" t="s">
        <v>1867</v>
      </c>
      <c r="Q99" s="395">
        <v>-1</v>
      </c>
      <c r="R99" s="395" t="s">
        <v>1868</v>
      </c>
      <c r="S99" s="395" t="s">
        <v>2008</v>
      </c>
    </row>
    <row r="100" spans="1:20" x14ac:dyDescent="0.25">
      <c r="A100" s="406" t="s">
        <v>2083</v>
      </c>
      <c r="B100" s="407" t="s">
        <v>1865</v>
      </c>
      <c r="C100" s="408" t="s">
        <v>2084</v>
      </c>
      <c r="D100" s="69">
        <v>10</v>
      </c>
      <c r="E100" s="69"/>
      <c r="F100" s="69"/>
      <c r="G100" s="69"/>
      <c r="H100" s="69">
        <v>999</v>
      </c>
      <c r="I100" s="73">
        <v>7000</v>
      </c>
      <c r="J100" s="73">
        <v>7000</v>
      </c>
      <c r="K100" s="73">
        <v>7000</v>
      </c>
      <c r="L100" s="68">
        <v>0</v>
      </c>
      <c r="M100" s="395">
        <v>-1</v>
      </c>
      <c r="N100" s="399"/>
      <c r="O100" s="395">
        <f t="shared" si="1"/>
        <v>700</v>
      </c>
      <c r="P100" s="400" t="s">
        <v>1867</v>
      </c>
      <c r="Q100" s="395">
        <v>-1</v>
      </c>
      <c r="R100" s="395" t="s">
        <v>1868</v>
      </c>
      <c r="S100" s="395" t="s">
        <v>2008</v>
      </c>
    </row>
    <row r="101" spans="1:20" x14ac:dyDescent="0.25">
      <c r="A101" s="406" t="s">
        <v>2085</v>
      </c>
      <c r="B101" s="407" t="s">
        <v>1865</v>
      </c>
      <c r="C101" s="408" t="s">
        <v>2086</v>
      </c>
      <c r="D101" s="69">
        <v>10</v>
      </c>
      <c r="E101" s="69"/>
      <c r="F101" s="69"/>
      <c r="G101" s="69"/>
      <c r="H101" s="69">
        <v>999</v>
      </c>
      <c r="I101" s="73">
        <v>7000</v>
      </c>
      <c r="J101" s="73">
        <v>7000</v>
      </c>
      <c r="K101" s="73">
        <v>7000</v>
      </c>
      <c r="L101" s="68">
        <v>0</v>
      </c>
      <c r="M101" s="395">
        <v>-1</v>
      </c>
      <c r="N101" s="399"/>
      <c r="O101" s="395">
        <f t="shared" si="1"/>
        <v>700</v>
      </c>
      <c r="P101" s="400" t="s">
        <v>1867</v>
      </c>
      <c r="Q101" s="395">
        <v>-1</v>
      </c>
      <c r="R101" s="395" t="s">
        <v>1868</v>
      </c>
      <c r="S101" s="395" t="s">
        <v>2008</v>
      </c>
    </row>
    <row r="102" spans="1:20" x14ac:dyDescent="0.25">
      <c r="A102" s="406" t="s">
        <v>2087</v>
      </c>
      <c r="B102" s="407" t="s">
        <v>1865</v>
      </c>
      <c r="C102" s="408" t="s">
        <v>2088</v>
      </c>
      <c r="D102" s="69">
        <v>10</v>
      </c>
      <c r="E102" s="69"/>
      <c r="F102" s="69"/>
      <c r="G102" s="69"/>
      <c r="H102" s="69">
        <v>999</v>
      </c>
      <c r="I102" s="73">
        <v>7000</v>
      </c>
      <c r="J102" s="73">
        <v>7000</v>
      </c>
      <c r="K102" s="73">
        <v>7000</v>
      </c>
      <c r="L102" s="68">
        <v>0</v>
      </c>
      <c r="M102" s="395">
        <v>-1</v>
      </c>
      <c r="N102" s="399"/>
      <c r="O102" s="395">
        <f t="shared" si="1"/>
        <v>700</v>
      </c>
      <c r="P102" s="400" t="s">
        <v>1867</v>
      </c>
      <c r="Q102" s="395">
        <v>-1</v>
      </c>
      <c r="R102" s="395" t="s">
        <v>1868</v>
      </c>
      <c r="S102" s="395" t="s">
        <v>2008</v>
      </c>
    </row>
    <row r="103" spans="1:20" x14ac:dyDescent="0.25">
      <c r="A103" s="406" t="s">
        <v>2089</v>
      </c>
      <c r="B103" s="407" t="s">
        <v>1865</v>
      </c>
      <c r="C103" s="408" t="s">
        <v>2090</v>
      </c>
      <c r="D103" s="69">
        <v>10</v>
      </c>
      <c r="E103" s="69"/>
      <c r="F103" s="69"/>
      <c r="G103" s="69"/>
      <c r="H103" s="69">
        <v>999</v>
      </c>
      <c r="I103" s="73">
        <v>7000</v>
      </c>
      <c r="J103" s="73">
        <v>7000</v>
      </c>
      <c r="K103" s="73">
        <v>7000</v>
      </c>
      <c r="L103" s="68">
        <v>0</v>
      </c>
      <c r="M103" s="395">
        <v>-1</v>
      </c>
      <c r="N103" s="399"/>
      <c r="O103" s="395">
        <f t="shared" si="1"/>
        <v>700</v>
      </c>
      <c r="P103" s="400" t="s">
        <v>1867</v>
      </c>
      <c r="Q103" s="395">
        <v>-1</v>
      </c>
      <c r="R103" s="395" t="s">
        <v>1868</v>
      </c>
      <c r="S103" s="395" t="s">
        <v>2008</v>
      </c>
    </row>
    <row r="104" spans="1:20" x14ac:dyDescent="0.25">
      <c r="A104" s="406" t="s">
        <v>2091</v>
      </c>
      <c r="B104" s="407" t="s">
        <v>1865</v>
      </c>
      <c r="C104" s="408" t="s">
        <v>2092</v>
      </c>
      <c r="D104" s="69">
        <v>10</v>
      </c>
      <c r="E104" s="69"/>
      <c r="F104" s="69"/>
      <c r="G104" s="69"/>
      <c r="H104" s="69">
        <v>999</v>
      </c>
      <c r="I104" s="73">
        <v>7000</v>
      </c>
      <c r="J104" s="73">
        <v>7000</v>
      </c>
      <c r="K104" s="73">
        <v>7000</v>
      </c>
      <c r="L104" s="68">
        <v>0</v>
      </c>
      <c r="M104" s="395">
        <v>-1</v>
      </c>
      <c r="N104" s="399"/>
      <c r="O104" s="395">
        <f t="shared" si="1"/>
        <v>700</v>
      </c>
      <c r="P104" s="400" t="s">
        <v>1867</v>
      </c>
      <c r="Q104" s="395">
        <v>-1</v>
      </c>
      <c r="R104" s="395" t="s">
        <v>1868</v>
      </c>
      <c r="S104" s="395" t="s">
        <v>2008</v>
      </c>
      <c r="T104" s="11" t="str">
        <f>CONCATENATE(C104,":",C105,":",C106,":",C107,":",C108,":",C109)</f>
        <v>KHỈ PHÁT TÀI:KHỈ PHÁT LỘC:DÂY PHÁO:LỒNG ĐÈN ĐỎ:THỎI VÀNG PHÁT TÀI:TIỀN XU MAY MẮN</v>
      </c>
    </row>
    <row r="105" spans="1:20" x14ac:dyDescent="0.25">
      <c r="A105" s="406" t="s">
        <v>2093</v>
      </c>
      <c r="B105" s="407" t="s">
        <v>1865</v>
      </c>
      <c r="C105" s="408" t="s">
        <v>2094</v>
      </c>
      <c r="D105" s="69">
        <v>10</v>
      </c>
      <c r="E105" s="69"/>
      <c r="F105" s="69"/>
      <c r="G105" s="69"/>
      <c r="H105" s="69">
        <v>999</v>
      </c>
      <c r="I105" s="73">
        <v>7000</v>
      </c>
      <c r="J105" s="73">
        <v>7000</v>
      </c>
      <c r="K105" s="73">
        <v>7000</v>
      </c>
      <c r="L105" s="68">
        <v>0</v>
      </c>
      <c r="M105" s="395">
        <v>-1</v>
      </c>
      <c r="N105" s="399"/>
      <c r="O105" s="395">
        <f t="shared" si="1"/>
        <v>700</v>
      </c>
      <c r="P105" s="400" t="s">
        <v>1867</v>
      </c>
      <c r="Q105" s="395">
        <v>-1</v>
      </c>
      <c r="R105" s="395" t="s">
        <v>1868</v>
      </c>
      <c r="S105" s="395" t="s">
        <v>2008</v>
      </c>
    </row>
    <row r="106" spans="1:20" x14ac:dyDescent="0.25">
      <c r="A106" s="406" t="s">
        <v>2095</v>
      </c>
      <c r="B106" s="407" t="s">
        <v>1865</v>
      </c>
      <c r="C106" s="408" t="s">
        <v>2096</v>
      </c>
      <c r="D106" s="69">
        <v>10</v>
      </c>
      <c r="E106" s="69"/>
      <c r="F106" s="69"/>
      <c r="G106" s="69"/>
      <c r="H106" s="69">
        <v>999</v>
      </c>
      <c r="I106" s="73">
        <v>7000</v>
      </c>
      <c r="J106" s="73">
        <v>7000</v>
      </c>
      <c r="K106" s="73">
        <v>7000</v>
      </c>
      <c r="L106" s="68">
        <v>0</v>
      </c>
      <c r="M106" s="395">
        <v>-1</v>
      </c>
      <c r="N106" s="399"/>
      <c r="O106" s="395">
        <f t="shared" si="1"/>
        <v>700</v>
      </c>
      <c r="P106" s="400" t="s">
        <v>1867</v>
      </c>
      <c r="Q106" s="395">
        <v>-1</v>
      </c>
      <c r="R106" s="395" t="s">
        <v>1868</v>
      </c>
      <c r="S106" s="395" t="s">
        <v>2008</v>
      </c>
    </row>
    <row r="107" spans="1:20" x14ac:dyDescent="0.25">
      <c r="A107" s="406" t="s">
        <v>2097</v>
      </c>
      <c r="B107" s="407" t="s">
        <v>1865</v>
      </c>
      <c r="C107" s="408" t="s">
        <v>2098</v>
      </c>
      <c r="D107" s="69">
        <v>10</v>
      </c>
      <c r="E107" s="69"/>
      <c r="F107" s="69"/>
      <c r="G107" s="69"/>
      <c r="H107" s="69">
        <v>999</v>
      </c>
      <c r="I107" s="73">
        <v>7000</v>
      </c>
      <c r="J107" s="73">
        <v>7000</v>
      </c>
      <c r="K107" s="73">
        <v>7000</v>
      </c>
      <c r="L107" s="68">
        <v>0</v>
      </c>
      <c r="M107" s="395">
        <v>-1</v>
      </c>
      <c r="N107" s="399"/>
      <c r="O107" s="395">
        <f t="shared" si="1"/>
        <v>700</v>
      </c>
      <c r="P107" s="400" t="s">
        <v>1867</v>
      </c>
      <c r="Q107" s="395">
        <v>-1</v>
      </c>
      <c r="R107" s="395" t="s">
        <v>1868</v>
      </c>
      <c r="S107" s="395" t="s">
        <v>2008</v>
      </c>
    </row>
    <row r="108" spans="1:20" x14ac:dyDescent="0.25">
      <c r="A108" s="406" t="s">
        <v>2099</v>
      </c>
      <c r="B108" s="407" t="s">
        <v>1865</v>
      </c>
      <c r="C108" s="408" t="s">
        <v>2100</v>
      </c>
      <c r="D108" s="69">
        <v>10</v>
      </c>
      <c r="E108" s="69"/>
      <c r="F108" s="69"/>
      <c r="G108" s="69"/>
      <c r="H108" s="69">
        <v>999</v>
      </c>
      <c r="I108" s="73">
        <v>7000</v>
      </c>
      <c r="J108" s="73">
        <v>7000</v>
      </c>
      <c r="K108" s="73">
        <v>7000</v>
      </c>
      <c r="L108" s="68">
        <v>0</v>
      </c>
      <c r="M108" s="395">
        <v>-1</v>
      </c>
      <c r="N108" s="399"/>
      <c r="O108" s="395">
        <f t="shared" si="1"/>
        <v>700</v>
      </c>
      <c r="P108" s="400" t="s">
        <v>1867</v>
      </c>
      <c r="Q108" s="395">
        <v>-1</v>
      </c>
      <c r="R108" s="395" t="s">
        <v>1868</v>
      </c>
      <c r="S108" s="395" t="s">
        <v>2008</v>
      </c>
    </row>
    <row r="109" spans="1:20" x14ac:dyDescent="0.25">
      <c r="A109" s="406" t="s">
        <v>2101</v>
      </c>
      <c r="B109" s="407" t="s">
        <v>1865</v>
      </c>
      <c r="C109" s="408" t="s">
        <v>2102</v>
      </c>
      <c r="D109" s="69">
        <v>10</v>
      </c>
      <c r="E109" s="69"/>
      <c r="F109" s="69"/>
      <c r="G109" s="69"/>
      <c r="H109" s="69">
        <v>999</v>
      </c>
      <c r="I109" s="73">
        <v>7000</v>
      </c>
      <c r="J109" s="73">
        <v>7000</v>
      </c>
      <c r="K109" s="73">
        <v>7000</v>
      </c>
      <c r="L109" s="68">
        <v>0</v>
      </c>
      <c r="M109" s="395">
        <v>-1</v>
      </c>
      <c r="N109" s="399"/>
      <c r="O109" s="395">
        <f t="shared" si="1"/>
        <v>700</v>
      </c>
      <c r="P109" s="400" t="s">
        <v>1867</v>
      </c>
      <c r="Q109" s="395">
        <v>-1</v>
      </c>
      <c r="R109" s="395" t="s">
        <v>1868</v>
      </c>
      <c r="S109" s="395" t="s">
        <v>2008</v>
      </c>
    </row>
    <row r="110" spans="1:20" x14ac:dyDescent="0.25">
      <c r="A110" s="406" t="s">
        <v>2103</v>
      </c>
      <c r="B110" s="407" t="s">
        <v>1865</v>
      </c>
      <c r="C110" s="408" t="s">
        <v>2104</v>
      </c>
      <c r="D110" s="69">
        <v>10</v>
      </c>
      <c r="E110" s="69"/>
      <c r="F110" s="69"/>
      <c r="G110" s="69"/>
      <c r="H110" s="69">
        <v>999</v>
      </c>
      <c r="I110" s="73">
        <v>7000</v>
      </c>
      <c r="J110" s="73">
        <v>7000</v>
      </c>
      <c r="K110" s="73">
        <v>7000</v>
      </c>
      <c r="L110" s="68">
        <v>0</v>
      </c>
      <c r="M110" s="395">
        <v>-1</v>
      </c>
      <c r="N110" s="399"/>
      <c r="O110" s="395">
        <f t="shared" si="1"/>
        <v>700</v>
      </c>
      <c r="P110" s="400" t="s">
        <v>1867</v>
      </c>
      <c r="Q110" s="395">
        <v>-1</v>
      </c>
      <c r="R110" s="395" t="s">
        <v>1868</v>
      </c>
      <c r="S110" s="395" t="s">
        <v>2008</v>
      </c>
      <c r="T110" s="11" t="str">
        <f>CONCATENATE(C110,":",C111,":",C112,":",C113,":",C114,":",C115)</f>
        <v>BÓNG TRÁI TIM:HỘP QUÀ:BÁNH CUPCAKE:KẸO NGỌT:NÓN PARTY:PHÁO GIẤY</v>
      </c>
    </row>
    <row r="111" spans="1:20" x14ac:dyDescent="0.25">
      <c r="A111" s="406" t="s">
        <v>2105</v>
      </c>
      <c r="B111" s="407" t="s">
        <v>1865</v>
      </c>
      <c r="C111" s="408" t="s">
        <v>2106</v>
      </c>
      <c r="D111" s="69">
        <v>10</v>
      </c>
      <c r="E111" s="69"/>
      <c r="F111" s="69"/>
      <c r="G111" s="69"/>
      <c r="H111" s="69">
        <v>999</v>
      </c>
      <c r="I111" s="73">
        <v>7000</v>
      </c>
      <c r="J111" s="73">
        <v>7000</v>
      </c>
      <c r="K111" s="73">
        <v>7000</v>
      </c>
      <c r="L111" s="68">
        <v>0</v>
      </c>
      <c r="M111" s="395">
        <v>-1</v>
      </c>
      <c r="N111" s="399"/>
      <c r="O111" s="395">
        <f t="shared" si="1"/>
        <v>700</v>
      </c>
      <c r="P111" s="400" t="s">
        <v>1867</v>
      </c>
      <c r="Q111" s="395">
        <v>-1</v>
      </c>
      <c r="R111" s="395" t="s">
        <v>1868</v>
      </c>
      <c r="S111" s="395" t="s">
        <v>2008</v>
      </c>
    </row>
    <row r="112" spans="1:20" x14ac:dyDescent="0.25">
      <c r="A112" s="406" t="s">
        <v>2107</v>
      </c>
      <c r="B112" s="407" t="s">
        <v>1865</v>
      </c>
      <c r="C112" s="408" t="s">
        <v>2108</v>
      </c>
      <c r="D112" s="69">
        <v>10</v>
      </c>
      <c r="E112" s="69"/>
      <c r="F112" s="69"/>
      <c r="G112" s="69"/>
      <c r="H112" s="69">
        <v>999</v>
      </c>
      <c r="I112" s="73">
        <v>7000</v>
      </c>
      <c r="J112" s="73">
        <v>7000</v>
      </c>
      <c r="K112" s="73">
        <v>7000</v>
      </c>
      <c r="L112" s="68">
        <v>0</v>
      </c>
      <c r="M112" s="395">
        <v>-1</v>
      </c>
      <c r="N112" s="399"/>
      <c r="O112" s="395">
        <f t="shared" si="1"/>
        <v>700</v>
      </c>
      <c r="P112" s="400" t="s">
        <v>1867</v>
      </c>
      <c r="Q112" s="395">
        <v>-1</v>
      </c>
      <c r="R112" s="395" t="s">
        <v>1868</v>
      </c>
      <c r="S112" s="395" t="s">
        <v>2008</v>
      </c>
    </row>
    <row r="113" spans="1:20" x14ac:dyDescent="0.25">
      <c r="A113" s="406" t="s">
        <v>2109</v>
      </c>
      <c r="B113" s="407" t="s">
        <v>1865</v>
      </c>
      <c r="C113" s="408" t="s">
        <v>2110</v>
      </c>
      <c r="D113" s="69">
        <v>10</v>
      </c>
      <c r="E113" s="69"/>
      <c r="F113" s="69"/>
      <c r="G113" s="69"/>
      <c r="H113" s="69">
        <v>999</v>
      </c>
      <c r="I113" s="73">
        <v>7000</v>
      </c>
      <c r="J113" s="73">
        <v>7000</v>
      </c>
      <c r="K113" s="73">
        <v>7000</v>
      </c>
      <c r="L113" s="68">
        <v>0</v>
      </c>
      <c r="M113" s="395">
        <v>-1</v>
      </c>
      <c r="N113" s="399"/>
      <c r="O113" s="395">
        <f t="shared" si="1"/>
        <v>700</v>
      </c>
      <c r="P113" s="400" t="s">
        <v>1867</v>
      </c>
      <c r="Q113" s="395">
        <v>-1</v>
      </c>
      <c r="R113" s="395" t="s">
        <v>1868</v>
      </c>
      <c r="S113" s="395" t="s">
        <v>2008</v>
      </c>
    </row>
    <row r="114" spans="1:20" x14ac:dyDescent="0.25">
      <c r="A114" s="406" t="s">
        <v>2111</v>
      </c>
      <c r="B114" s="407" t="s">
        <v>1865</v>
      </c>
      <c r="C114" s="408" t="s">
        <v>2112</v>
      </c>
      <c r="D114" s="69">
        <v>10</v>
      </c>
      <c r="E114" s="69"/>
      <c r="F114" s="69"/>
      <c r="G114" s="69"/>
      <c r="H114" s="69">
        <v>999</v>
      </c>
      <c r="I114" s="73">
        <v>7000</v>
      </c>
      <c r="J114" s="73">
        <v>7000</v>
      </c>
      <c r="K114" s="73">
        <v>7000</v>
      </c>
      <c r="L114" s="68">
        <v>0</v>
      </c>
      <c r="M114" s="395">
        <v>-1</v>
      </c>
      <c r="N114" s="399"/>
      <c r="O114" s="395">
        <f t="shared" si="1"/>
        <v>700</v>
      </c>
      <c r="P114" s="400" t="s">
        <v>1867</v>
      </c>
      <c r="Q114" s="395">
        <v>-1</v>
      </c>
      <c r="R114" s="395" t="s">
        <v>1868</v>
      </c>
      <c r="S114" s="395" t="s">
        <v>2008</v>
      </c>
    </row>
    <row r="115" spans="1:20" x14ac:dyDescent="0.25">
      <c r="A115" s="406" t="s">
        <v>2113</v>
      </c>
      <c r="B115" s="407" t="s">
        <v>1865</v>
      </c>
      <c r="C115" s="408" t="s">
        <v>2114</v>
      </c>
      <c r="D115" s="69">
        <v>10</v>
      </c>
      <c r="E115" s="69"/>
      <c r="F115" s="69"/>
      <c r="G115" s="69"/>
      <c r="H115" s="69">
        <v>999</v>
      </c>
      <c r="I115" s="73">
        <v>7000</v>
      </c>
      <c r="J115" s="73">
        <v>7000</v>
      </c>
      <c r="K115" s="73">
        <v>7000</v>
      </c>
      <c r="L115" s="68">
        <v>0</v>
      </c>
      <c r="M115" s="395">
        <v>-1</v>
      </c>
      <c r="N115" s="399"/>
      <c r="O115" s="395">
        <f t="shared" si="1"/>
        <v>700</v>
      </c>
      <c r="P115" s="400" t="s">
        <v>1867</v>
      </c>
      <c r="Q115" s="395">
        <v>-1</v>
      </c>
      <c r="R115" s="395" t="s">
        <v>1868</v>
      </c>
      <c r="S115" s="395" t="s">
        <v>2008</v>
      </c>
    </row>
    <row r="116" spans="1:20" x14ac:dyDescent="0.25">
      <c r="A116" s="406" t="s">
        <v>2115</v>
      </c>
      <c r="B116" s="407" t="s">
        <v>1865</v>
      </c>
      <c r="C116" s="408" t="s">
        <v>2116</v>
      </c>
      <c r="D116" s="69">
        <v>10</v>
      </c>
      <c r="E116" s="69"/>
      <c r="F116" s="69"/>
      <c r="G116" s="69"/>
      <c r="H116" s="69">
        <v>999</v>
      </c>
      <c r="I116" s="73">
        <v>7000</v>
      </c>
      <c r="J116" s="73">
        <v>7000</v>
      </c>
      <c r="K116" s="73">
        <v>7000</v>
      </c>
      <c r="L116" s="68">
        <v>0</v>
      </c>
      <c r="M116" s="395">
        <v>-1</v>
      </c>
      <c r="N116" s="399"/>
      <c r="O116" s="395">
        <f t="shared" si="1"/>
        <v>700</v>
      </c>
      <c r="P116" s="400" t="s">
        <v>1867</v>
      </c>
      <c r="Q116" s="395">
        <v>-1</v>
      </c>
      <c r="R116" s="395" t="s">
        <v>1868</v>
      </c>
      <c r="S116" s="395" t="s">
        <v>2008</v>
      </c>
      <c r="T116" s="11" t="str">
        <f>CONCATENATE(C116,":",C117,":",C118,":",C119,":",C120,":",C121)</f>
        <v>GÀ DÂN CHƠI:GÀ HỌA SĨ:GÀ CÔNG NGHỆ:GÀ VÕ SĨ:GÀ DOANH NHÂN:GÀ BÁC HỌC</v>
      </c>
    </row>
    <row r="117" spans="1:20" x14ac:dyDescent="0.25">
      <c r="A117" s="406" t="s">
        <v>2117</v>
      </c>
      <c r="B117" s="407" t="s">
        <v>1865</v>
      </c>
      <c r="C117" s="411" t="s">
        <v>2118</v>
      </c>
      <c r="D117" s="69">
        <v>10</v>
      </c>
      <c r="E117" s="405"/>
      <c r="F117" s="405"/>
      <c r="G117" s="405"/>
      <c r="H117" s="69">
        <v>999</v>
      </c>
      <c r="I117" s="73">
        <v>7000</v>
      </c>
      <c r="J117" s="73">
        <v>7000</v>
      </c>
      <c r="K117" s="73">
        <v>7000</v>
      </c>
      <c r="L117" s="68">
        <v>0</v>
      </c>
      <c r="M117" s="395">
        <v>-1</v>
      </c>
      <c r="N117" s="399"/>
      <c r="O117" s="395">
        <f t="shared" si="1"/>
        <v>700</v>
      </c>
      <c r="P117" s="400" t="s">
        <v>1867</v>
      </c>
      <c r="Q117" s="395">
        <v>-1</v>
      </c>
      <c r="R117" s="395" t="s">
        <v>1868</v>
      </c>
      <c r="S117" s="395" t="s">
        <v>2008</v>
      </c>
    </row>
    <row r="118" spans="1:20" x14ac:dyDescent="0.25">
      <c r="A118" s="406" t="s">
        <v>2119</v>
      </c>
      <c r="B118" s="407" t="s">
        <v>1865</v>
      </c>
      <c r="C118" s="411" t="s">
        <v>2120</v>
      </c>
      <c r="D118" s="69">
        <v>10</v>
      </c>
      <c r="E118" s="405"/>
      <c r="F118" s="405"/>
      <c r="G118" s="405"/>
      <c r="H118" s="69">
        <v>999</v>
      </c>
      <c r="I118" s="73">
        <v>7000</v>
      </c>
      <c r="J118" s="73">
        <v>7000</v>
      </c>
      <c r="K118" s="73">
        <v>7000</v>
      </c>
      <c r="L118" s="68">
        <v>0</v>
      </c>
      <c r="M118" s="395">
        <v>-1</v>
      </c>
      <c r="N118" s="399"/>
      <c r="O118" s="395">
        <f t="shared" si="1"/>
        <v>700</v>
      </c>
      <c r="P118" s="400" t="s">
        <v>1867</v>
      </c>
      <c r="Q118" s="395">
        <v>-1</v>
      </c>
      <c r="R118" s="395" t="s">
        <v>1868</v>
      </c>
      <c r="S118" s="395" t="s">
        <v>2008</v>
      </c>
    </row>
    <row r="119" spans="1:20" x14ac:dyDescent="0.25">
      <c r="A119" s="406" t="s">
        <v>2121</v>
      </c>
      <c r="B119" s="407" t="s">
        <v>1865</v>
      </c>
      <c r="C119" s="411" t="s">
        <v>2122</v>
      </c>
      <c r="D119" s="69">
        <v>10</v>
      </c>
      <c r="E119" s="405"/>
      <c r="F119" s="405"/>
      <c r="G119" s="405"/>
      <c r="H119" s="69">
        <v>999</v>
      </c>
      <c r="I119" s="73">
        <v>7000</v>
      </c>
      <c r="J119" s="73">
        <v>7000</v>
      </c>
      <c r="K119" s="73">
        <v>7000</v>
      </c>
      <c r="L119" s="68">
        <v>0</v>
      </c>
      <c r="M119" s="395">
        <v>-1</v>
      </c>
      <c r="N119" s="399"/>
      <c r="O119" s="395">
        <f t="shared" si="1"/>
        <v>700</v>
      </c>
      <c r="P119" s="400" t="s">
        <v>1867</v>
      </c>
      <c r="Q119" s="395">
        <v>-1</v>
      </c>
      <c r="R119" s="395" t="s">
        <v>1868</v>
      </c>
      <c r="S119" s="395" t="s">
        <v>2008</v>
      </c>
    </row>
    <row r="120" spans="1:20" x14ac:dyDescent="0.25">
      <c r="A120" s="406" t="s">
        <v>2123</v>
      </c>
      <c r="B120" s="407" t="s">
        <v>1865</v>
      </c>
      <c r="C120" s="411" t="s">
        <v>2124</v>
      </c>
      <c r="D120" s="69">
        <v>10</v>
      </c>
      <c r="E120" s="405"/>
      <c r="F120" s="405"/>
      <c r="G120" s="405"/>
      <c r="H120" s="69">
        <v>999</v>
      </c>
      <c r="I120" s="73">
        <v>7000</v>
      </c>
      <c r="J120" s="73">
        <v>7000</v>
      </c>
      <c r="K120" s="73">
        <v>7000</v>
      </c>
      <c r="L120" s="68">
        <v>0</v>
      </c>
      <c r="M120" s="395">
        <v>-1</v>
      </c>
      <c r="N120" s="399"/>
      <c r="O120" s="395">
        <f t="shared" si="1"/>
        <v>700</v>
      </c>
      <c r="P120" s="400" t="s">
        <v>1867</v>
      </c>
      <c r="Q120" s="395">
        <v>-1</v>
      </c>
      <c r="R120" s="395" t="s">
        <v>1868</v>
      </c>
      <c r="S120" s="395" t="s">
        <v>2008</v>
      </c>
    </row>
    <row r="121" spans="1:20" x14ac:dyDescent="0.25">
      <c r="A121" s="406" t="s">
        <v>2125</v>
      </c>
      <c r="B121" s="407" t="s">
        <v>1865</v>
      </c>
      <c r="C121" s="411" t="s">
        <v>2126</v>
      </c>
      <c r="D121" s="69">
        <v>10</v>
      </c>
      <c r="E121" s="405"/>
      <c r="F121" s="405"/>
      <c r="G121" s="405"/>
      <c r="H121" s="69">
        <v>999</v>
      </c>
      <c r="I121" s="73">
        <v>7000</v>
      </c>
      <c r="J121" s="73">
        <v>7000</v>
      </c>
      <c r="K121" s="73">
        <v>7000</v>
      </c>
      <c r="L121" s="68">
        <v>0</v>
      </c>
      <c r="M121" s="395">
        <v>-1</v>
      </c>
      <c r="N121" s="399"/>
      <c r="O121" s="395">
        <f t="shared" si="1"/>
        <v>700</v>
      </c>
      <c r="P121" s="400" t="s">
        <v>1867</v>
      </c>
      <c r="Q121" s="395">
        <v>-1</v>
      </c>
      <c r="R121" s="395" t="s">
        <v>1868</v>
      </c>
      <c r="S121" s="395" t="s">
        <v>2008</v>
      </c>
    </row>
    <row r="122" spans="1:20" x14ac:dyDescent="0.25">
      <c r="A122" s="406" t="s">
        <v>2127</v>
      </c>
      <c r="B122" s="407" t="s">
        <v>1865</v>
      </c>
      <c r="C122" s="408" t="s">
        <v>2128</v>
      </c>
      <c r="D122" s="69">
        <v>10</v>
      </c>
      <c r="E122" s="69"/>
      <c r="F122" s="69"/>
      <c r="G122" s="69"/>
      <c r="H122" s="69">
        <v>999</v>
      </c>
      <c r="I122" s="73">
        <v>7000</v>
      </c>
      <c r="J122" s="73">
        <v>7000</v>
      </c>
      <c r="K122" s="73">
        <v>7000</v>
      </c>
      <c r="L122" s="68">
        <v>0</v>
      </c>
      <c r="M122" s="395">
        <v>-1</v>
      </c>
      <c r="N122" s="399"/>
      <c r="O122" s="395">
        <f t="shared" si="1"/>
        <v>700</v>
      </c>
      <c r="P122" s="400" t="s">
        <v>1867</v>
      </c>
      <c r="Q122" s="395">
        <v>-1</v>
      </c>
      <c r="R122" s="395" t="s">
        <v>1868</v>
      </c>
      <c r="S122" s="395" t="s">
        <v>2008</v>
      </c>
      <c r="T122" s="11" t="str">
        <f>CONCATENATE(C122,":",C123,":",C124,":",C125,":",C126,":",C127)</f>
        <v>PHÁO HOA ĐỎ:PHÁO HOA CAM:PHÁO HOA VÀNG:PHÁO HOA LỤC:PHÁO HOA LAM:PHÁO HOA TÍM</v>
      </c>
    </row>
    <row r="123" spans="1:20" x14ac:dyDescent="0.25">
      <c r="A123" s="406" t="s">
        <v>2129</v>
      </c>
      <c r="B123" s="407" t="s">
        <v>1865</v>
      </c>
      <c r="C123" s="408" t="s">
        <v>2130</v>
      </c>
      <c r="D123" s="69">
        <v>10</v>
      </c>
      <c r="E123" s="69"/>
      <c r="F123" s="69"/>
      <c r="G123" s="69"/>
      <c r="H123" s="69">
        <v>999</v>
      </c>
      <c r="I123" s="73">
        <v>7000</v>
      </c>
      <c r="J123" s="73">
        <v>7000</v>
      </c>
      <c r="K123" s="73">
        <v>7000</v>
      </c>
      <c r="L123" s="68">
        <v>0</v>
      </c>
      <c r="M123" s="395">
        <v>-1</v>
      </c>
      <c r="N123" s="399"/>
      <c r="O123" s="395">
        <f t="shared" si="1"/>
        <v>700</v>
      </c>
      <c r="P123" s="400" t="s">
        <v>1867</v>
      </c>
      <c r="Q123" s="395">
        <v>-1</v>
      </c>
      <c r="R123" s="395" t="s">
        <v>1868</v>
      </c>
      <c r="S123" s="395" t="s">
        <v>2008</v>
      </c>
    </row>
    <row r="124" spans="1:20" x14ac:dyDescent="0.25">
      <c r="A124" s="406" t="s">
        <v>2131</v>
      </c>
      <c r="B124" s="407" t="s">
        <v>1865</v>
      </c>
      <c r="C124" s="408" t="s">
        <v>2132</v>
      </c>
      <c r="D124" s="69">
        <v>10</v>
      </c>
      <c r="E124" s="69"/>
      <c r="F124" s="69"/>
      <c r="G124" s="69"/>
      <c r="H124" s="69">
        <v>999</v>
      </c>
      <c r="I124" s="73">
        <v>7000</v>
      </c>
      <c r="J124" s="73">
        <v>7000</v>
      </c>
      <c r="K124" s="73">
        <v>7000</v>
      </c>
      <c r="L124" s="68">
        <v>0</v>
      </c>
      <c r="M124" s="395">
        <v>-1</v>
      </c>
      <c r="N124" s="399"/>
      <c r="O124" s="395">
        <f t="shared" si="1"/>
        <v>700</v>
      </c>
      <c r="P124" s="400" t="s">
        <v>1867</v>
      </c>
      <c r="Q124" s="395">
        <v>-1</v>
      </c>
      <c r="R124" s="395" t="s">
        <v>1868</v>
      </c>
      <c r="S124" s="395" t="s">
        <v>2008</v>
      </c>
    </row>
    <row r="125" spans="1:20" x14ac:dyDescent="0.25">
      <c r="A125" s="406" t="s">
        <v>2133</v>
      </c>
      <c r="B125" s="407" t="s">
        <v>1865</v>
      </c>
      <c r="C125" s="408" t="s">
        <v>2134</v>
      </c>
      <c r="D125" s="69">
        <v>10</v>
      </c>
      <c r="E125" s="69"/>
      <c r="F125" s="69"/>
      <c r="G125" s="69"/>
      <c r="H125" s="69">
        <v>999</v>
      </c>
      <c r="I125" s="73">
        <v>7000</v>
      </c>
      <c r="J125" s="73">
        <v>7000</v>
      </c>
      <c r="K125" s="73">
        <v>7000</v>
      </c>
      <c r="L125" s="68">
        <v>0</v>
      </c>
      <c r="M125" s="395">
        <v>-1</v>
      </c>
      <c r="N125" s="399"/>
      <c r="O125" s="395">
        <f t="shared" si="1"/>
        <v>700</v>
      </c>
      <c r="P125" s="400" t="s">
        <v>1867</v>
      </c>
      <c r="Q125" s="395">
        <v>-1</v>
      </c>
      <c r="R125" s="395" t="s">
        <v>1868</v>
      </c>
      <c r="S125" s="395" t="s">
        <v>2008</v>
      </c>
    </row>
    <row r="126" spans="1:20" x14ac:dyDescent="0.25">
      <c r="A126" s="406" t="s">
        <v>2135</v>
      </c>
      <c r="B126" s="407" t="s">
        <v>1865</v>
      </c>
      <c r="C126" s="408" t="s">
        <v>2136</v>
      </c>
      <c r="D126" s="69">
        <v>10</v>
      </c>
      <c r="E126" s="69"/>
      <c r="F126" s="69"/>
      <c r="G126" s="69"/>
      <c r="H126" s="69">
        <v>999</v>
      </c>
      <c r="I126" s="73">
        <v>7000</v>
      </c>
      <c r="J126" s="73">
        <v>7000</v>
      </c>
      <c r="K126" s="73">
        <v>7000</v>
      </c>
      <c r="L126" s="68">
        <v>0</v>
      </c>
      <c r="M126" s="395">
        <v>-1</v>
      </c>
      <c r="N126" s="399"/>
      <c r="O126" s="395">
        <f t="shared" si="1"/>
        <v>700</v>
      </c>
      <c r="P126" s="400" t="s">
        <v>1867</v>
      </c>
      <c r="Q126" s="395">
        <v>-1</v>
      </c>
      <c r="R126" s="395" t="s">
        <v>1868</v>
      </c>
      <c r="S126" s="395" t="s">
        <v>2008</v>
      </c>
    </row>
    <row r="127" spans="1:20" x14ac:dyDescent="0.25">
      <c r="A127" s="406" t="s">
        <v>2137</v>
      </c>
      <c r="B127" s="407" t="s">
        <v>1865</v>
      </c>
      <c r="C127" s="408" t="s">
        <v>2138</v>
      </c>
      <c r="D127" s="69">
        <v>10</v>
      </c>
      <c r="E127" s="69"/>
      <c r="F127" s="69"/>
      <c r="G127" s="69"/>
      <c r="H127" s="69">
        <v>999</v>
      </c>
      <c r="I127" s="73">
        <v>7000</v>
      </c>
      <c r="J127" s="73">
        <v>7000</v>
      </c>
      <c r="K127" s="73">
        <v>7000</v>
      </c>
      <c r="L127" s="68">
        <v>0</v>
      </c>
      <c r="M127" s="395">
        <v>-1</v>
      </c>
      <c r="N127" s="399"/>
      <c r="O127" s="395">
        <f t="shared" si="1"/>
        <v>700</v>
      </c>
      <c r="P127" s="400" t="s">
        <v>1867</v>
      </c>
      <c r="Q127" s="395">
        <v>-1</v>
      </c>
      <c r="R127" s="395" t="s">
        <v>1868</v>
      </c>
      <c r="S127" s="395" t="s">
        <v>2008</v>
      </c>
    </row>
    <row r="128" spans="1:20" s="412" customFormat="1" x14ac:dyDescent="0.25">
      <c r="A128" s="406" t="s">
        <v>2139</v>
      </c>
      <c r="B128" s="407" t="s">
        <v>1865</v>
      </c>
      <c r="C128" s="408" t="s">
        <v>2140</v>
      </c>
      <c r="D128" s="69">
        <v>10</v>
      </c>
      <c r="E128" s="69"/>
      <c r="F128" s="69"/>
      <c r="G128" s="69"/>
      <c r="H128" s="69">
        <v>999</v>
      </c>
      <c r="I128" s="73">
        <v>7000</v>
      </c>
      <c r="J128" s="73">
        <v>7000</v>
      </c>
      <c r="K128" s="73">
        <v>7000</v>
      </c>
      <c r="L128" s="68">
        <v>0</v>
      </c>
      <c r="M128" s="395">
        <v>-1</v>
      </c>
      <c r="N128" s="399"/>
      <c r="O128" s="395">
        <f t="shared" si="1"/>
        <v>700</v>
      </c>
      <c r="P128" s="400" t="s">
        <v>1867</v>
      </c>
      <c r="Q128" s="395">
        <v>-1</v>
      </c>
      <c r="R128" s="395" t="s">
        <v>1868</v>
      </c>
      <c r="S128" s="395" t="s">
        <v>2008</v>
      </c>
    </row>
    <row r="129" spans="1:19" x14ac:dyDescent="0.25">
      <c r="A129" s="406" t="s">
        <v>2141</v>
      </c>
      <c r="B129" s="407" t="s">
        <v>1865</v>
      </c>
      <c r="C129" s="408" t="s">
        <v>2142</v>
      </c>
      <c r="D129" s="69">
        <v>10</v>
      </c>
      <c r="E129" s="69"/>
      <c r="F129" s="69"/>
      <c r="G129" s="69"/>
      <c r="H129" s="69">
        <v>999</v>
      </c>
      <c r="I129" s="73">
        <v>7000</v>
      </c>
      <c r="J129" s="73">
        <v>7000</v>
      </c>
      <c r="K129" s="73">
        <v>7000</v>
      </c>
      <c r="L129" s="68">
        <v>0</v>
      </c>
      <c r="M129" s="395">
        <v>-1</v>
      </c>
      <c r="N129" s="399"/>
      <c r="O129" s="395">
        <f t="shared" si="1"/>
        <v>700</v>
      </c>
      <c r="P129" s="400" t="s">
        <v>1867</v>
      </c>
      <c r="Q129" s="395">
        <v>-1</v>
      </c>
      <c r="R129" s="395" t="s">
        <v>1868</v>
      </c>
      <c r="S129" s="395" t="s">
        <v>2008</v>
      </c>
    </row>
    <row r="130" spans="1:19" x14ac:dyDescent="0.25">
      <c r="A130" s="406" t="s">
        <v>2143</v>
      </c>
      <c r="B130" s="407" t="s">
        <v>1865</v>
      </c>
      <c r="C130" s="408" t="s">
        <v>2144</v>
      </c>
      <c r="D130" s="69">
        <v>10</v>
      </c>
      <c r="E130" s="69"/>
      <c r="F130" s="69"/>
      <c r="G130" s="69"/>
      <c r="H130" s="69">
        <v>999</v>
      </c>
      <c r="I130" s="73">
        <v>7000</v>
      </c>
      <c r="J130" s="73">
        <v>7000</v>
      </c>
      <c r="K130" s="73">
        <v>7000</v>
      </c>
      <c r="L130" s="68">
        <v>0</v>
      </c>
      <c r="M130" s="395">
        <v>-1</v>
      </c>
      <c r="N130" s="399"/>
      <c r="O130" s="395">
        <f t="shared" si="1"/>
        <v>700</v>
      </c>
      <c r="P130" s="400" t="s">
        <v>1867</v>
      </c>
      <c r="Q130" s="395">
        <v>-1</v>
      </c>
      <c r="R130" s="395" t="s">
        <v>1868</v>
      </c>
      <c r="S130" s="395" t="s">
        <v>2008</v>
      </c>
    </row>
    <row r="131" spans="1:19" x14ac:dyDescent="0.25">
      <c r="A131" s="406" t="s">
        <v>2145</v>
      </c>
      <c r="B131" s="407" t="s">
        <v>1865</v>
      </c>
      <c r="C131" s="408" t="s">
        <v>2146</v>
      </c>
      <c r="D131" s="69">
        <v>10</v>
      </c>
      <c r="E131" s="69"/>
      <c r="F131" s="69"/>
      <c r="G131" s="69"/>
      <c r="H131" s="69">
        <v>999</v>
      </c>
      <c r="I131" s="73">
        <v>7000</v>
      </c>
      <c r="J131" s="73">
        <v>7000</v>
      </c>
      <c r="K131" s="73">
        <v>7000</v>
      </c>
      <c r="L131" s="68">
        <v>0</v>
      </c>
      <c r="M131" s="395">
        <v>-1</v>
      </c>
      <c r="N131" s="399"/>
      <c r="O131" s="395">
        <f>I131/10</f>
        <v>700</v>
      </c>
      <c r="P131" s="400" t="s">
        <v>1867</v>
      </c>
      <c r="Q131" s="395">
        <v>-1</v>
      </c>
      <c r="R131" s="395" t="s">
        <v>1868</v>
      </c>
      <c r="S131" s="395" t="s">
        <v>2008</v>
      </c>
    </row>
    <row r="132" spans="1:19" x14ac:dyDescent="0.25">
      <c r="A132" s="406" t="s">
        <v>2147</v>
      </c>
      <c r="B132" s="407" t="s">
        <v>1865</v>
      </c>
      <c r="C132" s="408" t="s">
        <v>2148</v>
      </c>
      <c r="D132" s="69">
        <v>10</v>
      </c>
      <c r="E132" s="69"/>
      <c r="F132" s="69"/>
      <c r="G132" s="69"/>
      <c r="H132" s="69">
        <v>999</v>
      </c>
      <c r="I132" s="73">
        <v>7000</v>
      </c>
      <c r="J132" s="73">
        <v>7000</v>
      </c>
      <c r="K132" s="73">
        <v>7000</v>
      </c>
      <c r="L132" s="68">
        <v>0</v>
      </c>
      <c r="M132" s="395">
        <v>-1</v>
      </c>
      <c r="N132" s="399"/>
      <c r="O132" s="395">
        <f>I132/10</f>
        <v>700</v>
      </c>
      <c r="P132" s="400" t="s">
        <v>1867</v>
      </c>
      <c r="Q132" s="395">
        <v>-1</v>
      </c>
      <c r="R132" s="395" t="s">
        <v>1868</v>
      </c>
      <c r="S132" s="395" t="s">
        <v>2008</v>
      </c>
    </row>
  </sheetData>
  <conditionalFormatting sqref="C83 C85 C45 E45:G45 E85:G85 E83:G83">
    <cfRule type="duplicateValues" dxfId="1347" priority="12" stopIfTrue="1"/>
  </conditionalFormatting>
  <conditionalFormatting sqref="C83:C85 C44:C45 E44:G45 E83:G85">
    <cfRule type="duplicateValues" dxfId="1346" priority="11" stopIfTrue="1"/>
  </conditionalFormatting>
  <conditionalFormatting sqref="C47 C49 E49:G49 E47:G47">
    <cfRule type="duplicateValues" dxfId="1345" priority="10" stopIfTrue="1"/>
  </conditionalFormatting>
  <conditionalFormatting sqref="C47:C49 E47:G49">
    <cfRule type="duplicateValues" dxfId="1344" priority="9" stopIfTrue="1"/>
  </conditionalFormatting>
  <conditionalFormatting sqref="C117 C119 E119:G119 E117:G117">
    <cfRule type="duplicateValues" dxfId="1343" priority="8" stopIfTrue="1"/>
  </conditionalFormatting>
  <conditionalFormatting sqref="C117:C119 E117:G119">
    <cfRule type="duplicateValues" dxfId="1342" priority="7" stopIfTrue="1"/>
  </conditionalFormatting>
  <conditionalFormatting sqref="C118 E118:G118">
    <cfRule type="duplicateValues" dxfId="1341" priority="6" stopIfTrue="1"/>
  </conditionalFormatting>
  <conditionalFormatting sqref="C119 E119:G119">
    <cfRule type="duplicateValues" dxfId="1340" priority="5" stopIfTrue="1"/>
  </conditionalFormatting>
  <conditionalFormatting sqref="C121 E121:G121">
    <cfRule type="duplicateValues" dxfId="1339" priority="4" stopIfTrue="1"/>
  </conditionalFormatting>
  <conditionalFormatting sqref="C120:C121 E120:G121">
    <cfRule type="duplicateValues" dxfId="1338" priority="3" stopIfTrue="1"/>
  </conditionalFormatting>
  <conditionalFormatting sqref="C120 E120:G120">
    <cfRule type="duplicateValues" dxfId="1337" priority="2" stopIfTrue="1"/>
  </conditionalFormatting>
  <conditionalFormatting sqref="C121">
    <cfRule type="duplicateValues" dxfId="1336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28"/>
  <sheetViews>
    <sheetView workbookViewId="0">
      <selection activeCell="A14" sqref="A14:N14"/>
    </sheetView>
  </sheetViews>
  <sheetFormatPr defaultColWidth="9" defaultRowHeight="15" x14ac:dyDescent="0.25"/>
  <cols>
    <col min="1" max="2" width="5.140625" style="330" bestFit="1" customWidth="1"/>
    <col min="3" max="3" width="12.140625" style="330" bestFit="1" customWidth="1"/>
    <col min="4" max="4" width="20.7109375" style="330" bestFit="1" customWidth="1"/>
    <col min="5" max="5" width="14.7109375" style="330" bestFit="1" customWidth="1"/>
    <col min="6" max="6" width="10.5703125" style="330" bestFit="1" customWidth="1"/>
    <col min="7" max="7" width="11" style="330" bestFit="1" customWidth="1"/>
    <col min="8" max="8" width="11.140625" style="330" bestFit="1" customWidth="1"/>
    <col min="9" max="9" width="8.7109375" style="330" bestFit="1" customWidth="1"/>
    <col min="10" max="10" width="22.85546875" style="330" bestFit="1" customWidth="1"/>
    <col min="11" max="11" width="10.42578125" bestFit="1" customWidth="1"/>
    <col min="12" max="12" width="10.7109375" bestFit="1" customWidth="1"/>
    <col min="13" max="13" width="13.5703125" bestFit="1" customWidth="1"/>
    <col min="14" max="14" width="32.140625" style="330" bestFit="1" customWidth="1"/>
    <col min="15" max="16384" width="9" style="330"/>
  </cols>
  <sheetData>
    <row r="1" spans="1:18" x14ac:dyDescent="0.25">
      <c r="A1" s="327" t="s">
        <v>88</v>
      </c>
      <c r="B1" s="327" t="s">
        <v>91</v>
      </c>
      <c r="C1" s="327" t="s">
        <v>1502</v>
      </c>
      <c r="D1" s="327" t="s">
        <v>0</v>
      </c>
      <c r="E1" s="327" t="s">
        <v>1503</v>
      </c>
      <c r="F1" s="327" t="s">
        <v>1504</v>
      </c>
      <c r="G1" s="327" t="s">
        <v>1505</v>
      </c>
      <c r="H1" s="327" t="s">
        <v>1506</v>
      </c>
      <c r="I1" s="327" t="s">
        <v>1285</v>
      </c>
      <c r="J1" s="327" t="s">
        <v>1507</v>
      </c>
      <c r="K1" s="328" t="s">
        <v>1124</v>
      </c>
      <c r="L1" s="413" t="s">
        <v>161</v>
      </c>
      <c r="M1" s="328" t="s">
        <v>1508</v>
      </c>
      <c r="N1" s="329" t="s">
        <v>1509</v>
      </c>
      <c r="O1" s="336" t="s">
        <v>2397</v>
      </c>
      <c r="P1" s="336" t="s">
        <v>1577</v>
      </c>
      <c r="Q1" s="336" t="s">
        <v>1285</v>
      </c>
      <c r="R1" s="337">
        <v>0.2</v>
      </c>
    </row>
    <row r="2" spans="1:18" s="474" customFormat="1" x14ac:dyDescent="0.25">
      <c r="A2" s="2" t="s">
        <v>1510</v>
      </c>
      <c r="B2" s="472" t="s">
        <v>1511</v>
      </c>
      <c r="C2" s="472" t="s">
        <v>1512</v>
      </c>
      <c r="D2" s="472" t="s">
        <v>1513</v>
      </c>
      <c r="E2" s="472">
        <v>-1</v>
      </c>
      <c r="F2" s="472">
        <v>-1</v>
      </c>
      <c r="G2" s="472">
        <v>-1</v>
      </c>
      <c r="H2" s="472">
        <v>-1</v>
      </c>
      <c r="I2" s="472">
        <v>-1</v>
      </c>
      <c r="J2" s="472" t="s">
        <v>1514</v>
      </c>
      <c r="K2" s="471">
        <v>-1</v>
      </c>
      <c r="L2" s="471">
        <v>-1</v>
      </c>
      <c r="M2" s="470" t="s">
        <v>137</v>
      </c>
      <c r="N2" s="472" t="s">
        <v>1515</v>
      </c>
      <c r="O2" s="347"/>
      <c r="P2" s="347"/>
      <c r="Q2" s="347"/>
    </row>
    <row r="3" spans="1:18" s="474" customFormat="1" x14ac:dyDescent="0.25">
      <c r="A3" s="2" t="s">
        <v>1516</v>
      </c>
      <c r="B3" s="472" t="s">
        <v>1511</v>
      </c>
      <c r="C3" s="472" t="s">
        <v>1512</v>
      </c>
      <c r="D3" s="472" t="s">
        <v>1517</v>
      </c>
      <c r="E3" s="472">
        <v>650</v>
      </c>
      <c r="F3" s="472">
        <v>650</v>
      </c>
      <c r="G3" s="472">
        <v>650</v>
      </c>
      <c r="H3" s="472">
        <v>0</v>
      </c>
      <c r="I3" s="472">
        <v>-1</v>
      </c>
      <c r="J3" s="472" t="s">
        <v>1518</v>
      </c>
      <c r="K3" s="471">
        <f>7*24*60*60</f>
        <v>604800</v>
      </c>
      <c r="L3" s="471">
        <f t="shared" ref="L3:L10" si="0">O3/2</f>
        <v>100</v>
      </c>
      <c r="M3" s="470" t="s">
        <v>1519</v>
      </c>
      <c r="N3" s="472" t="s">
        <v>1515</v>
      </c>
      <c r="O3" s="347">
        <v>200</v>
      </c>
      <c r="P3" s="506">
        <f>O3/5</f>
        <v>40</v>
      </c>
      <c r="Q3" s="347">
        <f>O3*$R$1</f>
        <v>40</v>
      </c>
    </row>
    <row r="4" spans="1:18" s="474" customFormat="1" x14ac:dyDescent="0.25">
      <c r="A4" s="2" t="s">
        <v>1520</v>
      </c>
      <c r="B4" s="472" t="s">
        <v>1511</v>
      </c>
      <c r="C4" s="472" t="s">
        <v>1512</v>
      </c>
      <c r="D4" s="472" t="s">
        <v>1574</v>
      </c>
      <c r="E4" s="472">
        <v>700</v>
      </c>
      <c r="F4" s="472">
        <v>700</v>
      </c>
      <c r="G4" s="472">
        <v>700</v>
      </c>
      <c r="H4" s="472">
        <v>0</v>
      </c>
      <c r="I4" s="472">
        <v>-1</v>
      </c>
      <c r="J4" s="472" t="s">
        <v>1521</v>
      </c>
      <c r="K4" s="471">
        <f t="shared" ref="K4:K11" si="1">7*24*60*60</f>
        <v>604800</v>
      </c>
      <c r="L4" s="471">
        <f t="shared" si="0"/>
        <v>125</v>
      </c>
      <c r="M4" s="470" t="s">
        <v>1522</v>
      </c>
      <c r="N4" s="472" t="s">
        <v>1515</v>
      </c>
      <c r="O4" s="347">
        <v>250</v>
      </c>
      <c r="P4" s="506">
        <f t="shared" ref="P4:P10" si="2">O4/5</f>
        <v>50</v>
      </c>
      <c r="Q4" s="347">
        <f t="shared" ref="Q4:Q10" si="3">O4*$R$1</f>
        <v>50</v>
      </c>
    </row>
    <row r="5" spans="1:18" s="474" customFormat="1" x14ac:dyDescent="0.25">
      <c r="A5" s="2" t="s">
        <v>1523</v>
      </c>
      <c r="B5" s="472" t="s">
        <v>1511</v>
      </c>
      <c r="C5" s="472" t="s">
        <v>1512</v>
      </c>
      <c r="D5" s="472" t="s">
        <v>1575</v>
      </c>
      <c r="E5" s="472">
        <v>750</v>
      </c>
      <c r="F5" s="472">
        <v>750</v>
      </c>
      <c r="G5" s="472">
        <v>750</v>
      </c>
      <c r="H5" s="472">
        <v>0</v>
      </c>
      <c r="I5" s="472">
        <v>-1</v>
      </c>
      <c r="J5" s="472" t="s">
        <v>1524</v>
      </c>
      <c r="K5" s="471">
        <f t="shared" si="1"/>
        <v>604800</v>
      </c>
      <c r="L5" s="471">
        <f t="shared" si="0"/>
        <v>150</v>
      </c>
      <c r="M5" s="470" t="s">
        <v>1525</v>
      </c>
      <c r="N5" s="472" t="s">
        <v>1515</v>
      </c>
      <c r="O5" s="347">
        <v>300</v>
      </c>
      <c r="P5" s="506">
        <f t="shared" si="2"/>
        <v>60</v>
      </c>
      <c r="Q5" s="347">
        <f t="shared" si="3"/>
        <v>60</v>
      </c>
    </row>
    <row r="6" spans="1:18" s="474" customFormat="1" x14ac:dyDescent="0.25">
      <c r="A6" s="2" t="s">
        <v>1526</v>
      </c>
      <c r="B6" s="472" t="s">
        <v>1511</v>
      </c>
      <c r="C6" s="472" t="s">
        <v>1512</v>
      </c>
      <c r="D6" s="472" t="s">
        <v>1576</v>
      </c>
      <c r="E6" s="472">
        <v>800</v>
      </c>
      <c r="F6" s="472">
        <v>800</v>
      </c>
      <c r="G6" s="472">
        <v>800</v>
      </c>
      <c r="H6" s="472">
        <v>0</v>
      </c>
      <c r="I6" s="472">
        <v>-1</v>
      </c>
      <c r="J6" s="472" t="s">
        <v>1527</v>
      </c>
      <c r="K6" s="471">
        <f t="shared" si="1"/>
        <v>604800</v>
      </c>
      <c r="L6" s="471">
        <f t="shared" si="0"/>
        <v>200</v>
      </c>
      <c r="M6" s="470" t="s">
        <v>1528</v>
      </c>
      <c r="N6" s="472" t="s">
        <v>1515</v>
      </c>
      <c r="O6" s="347">
        <v>400</v>
      </c>
      <c r="P6" s="506">
        <f t="shared" si="2"/>
        <v>80</v>
      </c>
      <c r="Q6" s="347">
        <f t="shared" si="3"/>
        <v>80</v>
      </c>
    </row>
    <row r="7" spans="1:18" s="474" customFormat="1" x14ac:dyDescent="0.25">
      <c r="A7" s="2" t="s">
        <v>1529</v>
      </c>
      <c r="B7" s="472" t="s">
        <v>1511</v>
      </c>
      <c r="C7" s="472" t="s">
        <v>1512</v>
      </c>
      <c r="D7" s="470" t="s">
        <v>2269</v>
      </c>
      <c r="E7" s="472">
        <v>850</v>
      </c>
      <c r="F7" s="472">
        <v>850</v>
      </c>
      <c r="G7" s="472">
        <v>850</v>
      </c>
      <c r="H7" s="472">
        <v>0</v>
      </c>
      <c r="I7" s="472">
        <v>-1</v>
      </c>
      <c r="J7" s="472" t="s">
        <v>1530</v>
      </c>
      <c r="K7" s="471">
        <f t="shared" si="1"/>
        <v>604800</v>
      </c>
      <c r="L7" s="471">
        <f t="shared" si="0"/>
        <v>225</v>
      </c>
      <c r="M7" s="470" t="s">
        <v>1531</v>
      </c>
      <c r="N7" s="472" t="s">
        <v>1515</v>
      </c>
      <c r="O7" s="347">
        <v>450</v>
      </c>
      <c r="P7" s="506">
        <f t="shared" si="2"/>
        <v>90</v>
      </c>
      <c r="Q7" s="347">
        <f t="shared" si="3"/>
        <v>90</v>
      </c>
    </row>
    <row r="8" spans="1:18" s="474" customFormat="1" x14ac:dyDescent="0.25">
      <c r="A8" s="2" t="s">
        <v>1532</v>
      </c>
      <c r="B8" s="472" t="s">
        <v>1511</v>
      </c>
      <c r="C8" s="472" t="s">
        <v>1512</v>
      </c>
      <c r="D8" s="470" t="s">
        <v>2270</v>
      </c>
      <c r="E8" s="472">
        <v>900</v>
      </c>
      <c r="F8" s="472">
        <v>900</v>
      </c>
      <c r="G8" s="472">
        <v>900</v>
      </c>
      <c r="H8" s="472">
        <v>0</v>
      </c>
      <c r="I8" s="472">
        <v>-1</v>
      </c>
      <c r="J8" s="472" t="s">
        <v>2271</v>
      </c>
      <c r="K8" s="471">
        <f t="shared" si="1"/>
        <v>604800</v>
      </c>
      <c r="L8" s="471">
        <f t="shared" si="0"/>
        <v>250</v>
      </c>
      <c r="M8" s="470" t="s">
        <v>2272</v>
      </c>
      <c r="N8" s="472" t="s">
        <v>1515</v>
      </c>
      <c r="O8" s="347">
        <v>500</v>
      </c>
      <c r="P8" s="506">
        <f t="shared" si="2"/>
        <v>100</v>
      </c>
      <c r="Q8" s="347">
        <f t="shared" si="3"/>
        <v>100</v>
      </c>
    </row>
    <row r="9" spans="1:18" s="474" customFormat="1" x14ac:dyDescent="0.25">
      <c r="A9" s="2" t="s">
        <v>1533</v>
      </c>
      <c r="B9" s="472" t="s">
        <v>1511</v>
      </c>
      <c r="C9" s="472" t="s">
        <v>1512</v>
      </c>
      <c r="D9" s="470" t="s">
        <v>2401</v>
      </c>
      <c r="E9" s="472">
        <v>1000</v>
      </c>
      <c r="F9" s="472">
        <v>1000</v>
      </c>
      <c r="G9" s="472">
        <v>1000</v>
      </c>
      <c r="H9" s="472">
        <v>0</v>
      </c>
      <c r="I9" s="472">
        <v>-1</v>
      </c>
      <c r="J9" s="472" t="s">
        <v>2402</v>
      </c>
      <c r="K9" s="471">
        <f t="shared" si="1"/>
        <v>604800</v>
      </c>
      <c r="L9" s="471">
        <f t="shared" si="0"/>
        <v>300</v>
      </c>
      <c r="M9" s="470" t="s">
        <v>2403</v>
      </c>
      <c r="N9" s="472" t="s">
        <v>1515</v>
      </c>
      <c r="O9" s="347">
        <v>600</v>
      </c>
      <c r="P9" s="506">
        <f t="shared" si="2"/>
        <v>120</v>
      </c>
      <c r="Q9" s="347">
        <f t="shared" si="3"/>
        <v>120</v>
      </c>
    </row>
    <row r="10" spans="1:18" s="474" customFormat="1" x14ac:dyDescent="0.25">
      <c r="A10" s="2" t="s">
        <v>1534</v>
      </c>
      <c r="B10" s="472" t="s">
        <v>1511</v>
      </c>
      <c r="C10" s="472" t="s">
        <v>1512</v>
      </c>
      <c r="D10" s="472" t="s">
        <v>2404</v>
      </c>
      <c r="E10" s="472">
        <f>AVERAGE(F10:G10)</f>
        <v>1100</v>
      </c>
      <c r="F10" s="472">
        <v>1100</v>
      </c>
      <c r="G10" s="472">
        <v>1100</v>
      </c>
      <c r="H10" s="472">
        <v>0</v>
      </c>
      <c r="I10" s="472">
        <v>-1</v>
      </c>
      <c r="J10" s="472" t="s">
        <v>2423</v>
      </c>
      <c r="K10" s="471">
        <f t="shared" si="1"/>
        <v>604800</v>
      </c>
      <c r="L10" s="471">
        <f t="shared" si="0"/>
        <v>350</v>
      </c>
      <c r="M10" s="470" t="s">
        <v>2407</v>
      </c>
      <c r="N10" s="472" t="s">
        <v>1515</v>
      </c>
      <c r="O10" s="347">
        <v>700</v>
      </c>
      <c r="P10" s="506">
        <f t="shared" si="2"/>
        <v>140</v>
      </c>
      <c r="Q10" s="347">
        <f t="shared" si="3"/>
        <v>140</v>
      </c>
    </row>
    <row r="11" spans="1:18" s="474" customFormat="1" x14ac:dyDescent="0.25">
      <c r="A11" s="2" t="s">
        <v>1535</v>
      </c>
      <c r="B11" s="472" t="s">
        <v>1511</v>
      </c>
      <c r="C11" s="472" t="s">
        <v>1512</v>
      </c>
      <c r="D11" s="472" t="s">
        <v>2406</v>
      </c>
      <c r="E11" s="472">
        <f>AVERAGE(F11:G11)</f>
        <v>1200</v>
      </c>
      <c r="F11" s="472">
        <v>1200</v>
      </c>
      <c r="G11" s="472">
        <v>1200</v>
      </c>
      <c r="H11" s="472">
        <v>0</v>
      </c>
      <c r="I11" s="472">
        <v>-1</v>
      </c>
      <c r="J11" s="472" t="s">
        <v>2434</v>
      </c>
      <c r="K11" s="471">
        <f t="shared" si="1"/>
        <v>604800</v>
      </c>
      <c r="L11" s="471">
        <v>400</v>
      </c>
      <c r="M11" s="470" t="s">
        <v>2408</v>
      </c>
      <c r="N11" s="472" t="s">
        <v>1515</v>
      </c>
      <c r="O11" s="347"/>
      <c r="P11" s="347"/>
      <c r="Q11" s="347"/>
    </row>
    <row r="12" spans="1:18" s="474" customFormat="1" x14ac:dyDescent="0.25">
      <c r="A12" s="2" t="s">
        <v>1536</v>
      </c>
      <c r="B12" s="472" t="s">
        <v>1511</v>
      </c>
      <c r="C12" s="472" t="s">
        <v>1512</v>
      </c>
      <c r="D12" s="472" t="s">
        <v>2449</v>
      </c>
      <c r="E12" s="472">
        <f>AVERAGE(F12:G12)</f>
        <v>1500</v>
      </c>
      <c r="F12" s="472">
        <v>1500</v>
      </c>
      <c r="G12" s="472">
        <v>1500</v>
      </c>
      <c r="H12" s="472">
        <v>0</v>
      </c>
      <c r="I12" s="472">
        <v>-1</v>
      </c>
      <c r="J12" s="472" t="s">
        <v>2448</v>
      </c>
      <c r="K12" s="471">
        <f>5*24*60*60</f>
        <v>432000</v>
      </c>
      <c r="L12" s="471">
        <v>500</v>
      </c>
      <c r="M12" s="470" t="s">
        <v>1227</v>
      </c>
      <c r="N12" s="472" t="s">
        <v>1515</v>
      </c>
      <c r="O12" s="347"/>
      <c r="P12" s="347"/>
      <c r="Q12" s="347"/>
    </row>
    <row r="13" spans="1:18" s="474" customFormat="1" x14ac:dyDescent="0.25">
      <c r="A13" s="2" t="s">
        <v>1537</v>
      </c>
      <c r="B13" s="472" t="s">
        <v>1511</v>
      </c>
      <c r="C13" s="472" t="s">
        <v>1512</v>
      </c>
      <c r="D13" s="472" t="s">
        <v>2455</v>
      </c>
      <c r="E13" s="472">
        <f>AVERAGE(F13:G13)</f>
        <v>2000</v>
      </c>
      <c r="F13" s="472">
        <v>2000</v>
      </c>
      <c r="G13" s="472">
        <v>2000</v>
      </c>
      <c r="H13" s="472">
        <v>0</v>
      </c>
      <c r="I13" s="472">
        <v>-1</v>
      </c>
      <c r="J13" s="472" t="s">
        <v>2456</v>
      </c>
      <c r="K13" s="471">
        <f>10*24*60*60</f>
        <v>864000</v>
      </c>
      <c r="L13" s="471">
        <v>550</v>
      </c>
      <c r="M13" s="470" t="s">
        <v>1429</v>
      </c>
      <c r="N13" s="472" t="s">
        <v>1515</v>
      </c>
      <c r="O13" s="347"/>
      <c r="P13" s="347"/>
      <c r="Q13" s="347"/>
    </row>
    <row r="14" spans="1:18" s="542" customFormat="1" x14ac:dyDescent="0.25">
      <c r="A14" s="458" t="s">
        <v>1538</v>
      </c>
      <c r="B14" s="540" t="s">
        <v>1511</v>
      </c>
      <c r="C14" s="540" t="s">
        <v>1512</v>
      </c>
      <c r="D14" s="540" t="s">
        <v>2405</v>
      </c>
      <c r="E14" s="540">
        <v>2500</v>
      </c>
      <c r="F14" s="540">
        <v>2500</v>
      </c>
      <c r="G14" s="540">
        <v>2500</v>
      </c>
      <c r="H14" s="540">
        <v>0</v>
      </c>
      <c r="I14" s="540">
        <v>-1</v>
      </c>
      <c r="J14" s="540" t="s">
        <v>2614</v>
      </c>
      <c r="K14" s="539">
        <f>10*24*60*60</f>
        <v>864000</v>
      </c>
      <c r="L14" s="539">
        <v>600</v>
      </c>
      <c r="M14" s="538" t="s">
        <v>648</v>
      </c>
      <c r="N14" s="540" t="s">
        <v>1515</v>
      </c>
      <c r="O14" s="549"/>
      <c r="P14" s="549"/>
      <c r="Q14" s="549"/>
    </row>
    <row r="1928" spans="2:2" x14ac:dyDescent="0.25">
      <c r="B1928" s="330" t="s">
        <v>2447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K10" sqref="K10"/>
    </sheetView>
  </sheetViews>
  <sheetFormatPr defaultColWidth="117.7109375" defaultRowHeight="15" x14ac:dyDescent="0.25"/>
  <cols>
    <col min="1" max="1" width="5.140625" bestFit="1" customWidth="1"/>
    <col min="2" max="2" width="23" style="11" bestFit="1" customWidth="1"/>
    <col min="3" max="3" width="9.7109375" bestFit="1" customWidth="1"/>
    <col min="4" max="4" width="4.5703125" bestFit="1" customWidth="1"/>
    <col min="5" max="5" width="5.140625" bestFit="1" customWidth="1"/>
    <col min="6" max="6" width="24" bestFit="1" customWidth="1"/>
    <col min="7" max="7" width="8.85546875" bestFit="1" customWidth="1"/>
    <col min="8" max="8" width="10" bestFit="1" customWidth="1"/>
    <col min="9" max="9" width="10.5703125" bestFit="1" customWidth="1"/>
    <col min="10" max="10" width="8.5703125" bestFit="1" customWidth="1"/>
    <col min="11" max="11" width="28.140625" bestFit="1" customWidth="1"/>
    <col min="12" max="12" width="8.85546875" bestFit="1" customWidth="1"/>
    <col min="13" max="13" width="10" bestFit="1" customWidth="1"/>
    <col min="14" max="14" width="10.5703125" bestFit="1" customWidth="1"/>
    <col min="15" max="15" width="8.5703125" bestFit="1" customWidth="1"/>
    <col min="16" max="16" width="8.42578125" bestFit="1" customWidth="1"/>
    <col min="17" max="17" width="8.85546875" bestFit="1" customWidth="1"/>
    <col min="18" max="18" width="10" bestFit="1" customWidth="1"/>
    <col min="19" max="19" width="10.5703125" bestFit="1" customWidth="1"/>
    <col min="20" max="20" width="8.5703125" bestFit="1" customWidth="1"/>
  </cols>
  <sheetData>
    <row r="1" spans="1:20" s="132" customFormat="1" x14ac:dyDescent="0.25">
      <c r="A1" s="328" t="s">
        <v>88</v>
      </c>
      <c r="B1" s="328" t="s">
        <v>0</v>
      </c>
      <c r="C1" s="328" t="s">
        <v>1539</v>
      </c>
      <c r="D1" s="328" t="s">
        <v>1540</v>
      </c>
      <c r="E1" s="328" t="s">
        <v>1541</v>
      </c>
      <c r="F1" s="331" t="s">
        <v>1542</v>
      </c>
      <c r="G1" s="331" t="s">
        <v>1543</v>
      </c>
      <c r="H1" s="331" t="s">
        <v>1544</v>
      </c>
      <c r="I1" s="331" t="s">
        <v>1545</v>
      </c>
      <c r="J1" s="331" t="s">
        <v>1546</v>
      </c>
      <c r="K1" s="332" t="s">
        <v>1547</v>
      </c>
      <c r="L1" s="332" t="s">
        <v>1548</v>
      </c>
      <c r="M1" s="332" t="s">
        <v>1549</v>
      </c>
      <c r="N1" s="332" t="s">
        <v>1550</v>
      </c>
      <c r="O1" s="332" t="s">
        <v>1551</v>
      </c>
      <c r="P1" s="331" t="s">
        <v>1552</v>
      </c>
      <c r="Q1" s="331" t="s">
        <v>1553</v>
      </c>
      <c r="R1" s="331" t="s">
        <v>1554</v>
      </c>
      <c r="S1" s="331" t="s">
        <v>1555</v>
      </c>
      <c r="T1" s="331" t="s">
        <v>1556</v>
      </c>
    </row>
    <row r="2" spans="1:20" s="11" customFormat="1" x14ac:dyDescent="0.25">
      <c r="A2" s="470" t="s">
        <v>1557</v>
      </c>
      <c r="B2" s="470" t="s">
        <v>1513</v>
      </c>
      <c r="C2" s="470" t="s">
        <v>1510</v>
      </c>
      <c r="D2" s="471">
        <v>1</v>
      </c>
      <c r="E2" s="471">
        <v>0</v>
      </c>
      <c r="F2" s="472"/>
      <c r="G2" s="472"/>
      <c r="H2" s="473"/>
      <c r="I2" s="473"/>
      <c r="J2" s="472"/>
      <c r="K2" s="472"/>
      <c r="L2" s="472"/>
      <c r="M2" s="473"/>
      <c r="N2" s="473"/>
      <c r="O2" s="472"/>
      <c r="P2" s="4"/>
      <c r="Q2" s="4"/>
      <c r="R2" s="4"/>
      <c r="S2" s="4"/>
      <c r="T2" s="4"/>
    </row>
    <row r="3" spans="1:20" s="11" customFormat="1" x14ac:dyDescent="0.25">
      <c r="A3" s="470" t="s">
        <v>1558</v>
      </c>
      <c r="B3" s="470" t="s">
        <v>1517</v>
      </c>
      <c r="C3" s="470" t="s">
        <v>1516</v>
      </c>
      <c r="D3" s="471">
        <v>1</v>
      </c>
      <c r="E3" s="471">
        <v>0</v>
      </c>
      <c r="F3" s="4" t="s">
        <v>1578</v>
      </c>
      <c r="G3" s="4" t="s">
        <v>1560</v>
      </c>
      <c r="H3" s="473">
        <v>100</v>
      </c>
      <c r="I3" s="473">
        <v>0</v>
      </c>
      <c r="J3" s="472" t="s">
        <v>1562</v>
      </c>
      <c r="K3" s="472"/>
      <c r="L3" s="472"/>
      <c r="M3" s="473"/>
      <c r="N3" s="473"/>
      <c r="O3" s="472"/>
      <c r="P3" s="4"/>
      <c r="Q3" s="4"/>
      <c r="R3" s="4"/>
      <c r="S3" s="4"/>
      <c r="T3" s="4"/>
    </row>
    <row r="4" spans="1:20" s="11" customFormat="1" x14ac:dyDescent="0.25">
      <c r="A4" s="470" t="s">
        <v>1563</v>
      </c>
      <c r="B4" s="470" t="s">
        <v>1574</v>
      </c>
      <c r="C4" s="470" t="s">
        <v>1520</v>
      </c>
      <c r="D4" s="471">
        <v>1</v>
      </c>
      <c r="E4" s="471">
        <v>0</v>
      </c>
      <c r="F4" s="4" t="s">
        <v>1578</v>
      </c>
      <c r="G4" s="4" t="s">
        <v>1560</v>
      </c>
      <c r="H4" s="473">
        <v>150</v>
      </c>
      <c r="I4" s="473">
        <v>0</v>
      </c>
      <c r="J4" s="472" t="s">
        <v>1562</v>
      </c>
      <c r="K4" s="472"/>
      <c r="L4" s="472"/>
      <c r="M4" s="473"/>
      <c r="N4" s="473"/>
      <c r="O4" s="472"/>
      <c r="P4" s="4"/>
      <c r="Q4" s="4"/>
      <c r="R4" s="4"/>
      <c r="S4" s="4"/>
      <c r="T4" s="4"/>
    </row>
    <row r="5" spans="1:20" s="11" customFormat="1" x14ac:dyDescent="0.25">
      <c r="A5" s="470" t="s">
        <v>1564</v>
      </c>
      <c r="B5" s="470" t="s">
        <v>1575</v>
      </c>
      <c r="C5" s="470" t="s">
        <v>1523</v>
      </c>
      <c r="D5" s="471">
        <v>1</v>
      </c>
      <c r="E5" s="471">
        <v>0</v>
      </c>
      <c r="F5" s="472" t="s">
        <v>1559</v>
      </c>
      <c r="G5" s="472" t="s">
        <v>1560</v>
      </c>
      <c r="H5" s="473">
        <v>150</v>
      </c>
      <c r="I5" s="473">
        <v>0</v>
      </c>
      <c r="J5" s="472" t="s">
        <v>1562</v>
      </c>
      <c r="K5" s="472"/>
      <c r="L5" s="472"/>
      <c r="M5" s="473"/>
      <c r="N5" s="473"/>
      <c r="O5" s="472"/>
      <c r="P5" s="4"/>
      <c r="Q5" s="4"/>
      <c r="R5" s="4"/>
      <c r="S5" s="4"/>
      <c r="T5" s="4"/>
    </row>
    <row r="6" spans="1:20" s="11" customFormat="1" x14ac:dyDescent="0.25">
      <c r="A6" s="470" t="s">
        <v>1565</v>
      </c>
      <c r="B6" s="470" t="s">
        <v>1576</v>
      </c>
      <c r="C6" s="470" t="s">
        <v>1526</v>
      </c>
      <c r="D6" s="471">
        <v>1</v>
      </c>
      <c r="E6" s="471">
        <v>0</v>
      </c>
      <c r="F6" s="472" t="s">
        <v>1559</v>
      </c>
      <c r="G6" s="472" t="s">
        <v>1560</v>
      </c>
      <c r="H6" s="473">
        <v>200</v>
      </c>
      <c r="I6" s="473">
        <v>0</v>
      </c>
      <c r="J6" s="472" t="s">
        <v>1562</v>
      </c>
      <c r="K6" s="472"/>
      <c r="L6" s="472"/>
      <c r="M6" s="473"/>
      <c r="N6" s="473"/>
      <c r="O6" s="472"/>
      <c r="P6" s="4"/>
      <c r="Q6" s="4"/>
      <c r="R6" s="4"/>
      <c r="S6" s="4"/>
      <c r="T6" s="4"/>
    </row>
    <row r="7" spans="1:20" s="11" customFormat="1" x14ac:dyDescent="0.25">
      <c r="A7" s="470" t="s">
        <v>1566</v>
      </c>
      <c r="B7" s="470" t="s">
        <v>2269</v>
      </c>
      <c r="C7" s="470" t="s">
        <v>1529</v>
      </c>
      <c r="D7" s="471">
        <v>1</v>
      </c>
      <c r="E7" s="471">
        <v>0</v>
      </c>
      <c r="F7" s="4" t="s">
        <v>1578</v>
      </c>
      <c r="G7" s="472" t="s">
        <v>1666</v>
      </c>
      <c r="H7" s="4">
        <v>150</v>
      </c>
      <c r="I7" s="473">
        <v>0</v>
      </c>
      <c r="J7" s="472" t="s">
        <v>1562</v>
      </c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11" customFormat="1" x14ac:dyDescent="0.25">
      <c r="A8" s="470" t="s">
        <v>1567</v>
      </c>
      <c r="B8" s="470" t="s">
        <v>2270</v>
      </c>
      <c r="C8" s="470" t="s">
        <v>1532</v>
      </c>
      <c r="D8" s="471">
        <v>1</v>
      </c>
      <c r="E8" s="471">
        <v>0</v>
      </c>
      <c r="F8" s="472" t="s">
        <v>1559</v>
      </c>
      <c r="G8" s="472" t="s">
        <v>1666</v>
      </c>
      <c r="H8" s="4">
        <v>150</v>
      </c>
      <c r="I8" s="473">
        <v>0</v>
      </c>
      <c r="J8" s="472" t="s">
        <v>1562</v>
      </c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s="11" customFormat="1" x14ac:dyDescent="0.25">
      <c r="A9" s="470" t="s">
        <v>2450</v>
      </c>
      <c r="B9" s="470" t="s">
        <v>2401</v>
      </c>
      <c r="C9" s="470" t="s">
        <v>1533</v>
      </c>
      <c r="D9" s="471">
        <v>1</v>
      </c>
      <c r="E9" s="471">
        <v>0</v>
      </c>
      <c r="F9" s="472" t="s">
        <v>1559</v>
      </c>
      <c r="G9" s="472" t="s">
        <v>1666</v>
      </c>
      <c r="H9" s="4">
        <v>150</v>
      </c>
      <c r="I9" s="473">
        <v>0</v>
      </c>
      <c r="J9" s="472" t="s">
        <v>1562</v>
      </c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s="11" customFormat="1" x14ac:dyDescent="0.25">
      <c r="A10" s="470" t="s">
        <v>2451</v>
      </c>
      <c r="B10" s="470" t="s">
        <v>2404</v>
      </c>
      <c r="C10" s="470" t="s">
        <v>1534</v>
      </c>
      <c r="D10" s="471">
        <v>1</v>
      </c>
      <c r="E10" s="471">
        <v>0</v>
      </c>
      <c r="F10" s="472" t="s">
        <v>1578</v>
      </c>
      <c r="G10" s="472" t="s">
        <v>1666</v>
      </c>
      <c r="H10" s="4">
        <v>180</v>
      </c>
      <c r="I10" s="473">
        <v>0</v>
      </c>
      <c r="J10" s="472" t="s">
        <v>1562</v>
      </c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s="11" customFormat="1" x14ac:dyDescent="0.25">
      <c r="A11" s="470" t="s">
        <v>2452</v>
      </c>
      <c r="B11" s="472" t="s">
        <v>2406</v>
      </c>
      <c r="C11" s="470" t="s">
        <v>1535</v>
      </c>
      <c r="D11" s="471">
        <v>1</v>
      </c>
      <c r="E11" s="471">
        <v>0</v>
      </c>
      <c r="F11" s="472" t="s">
        <v>1559</v>
      </c>
      <c r="G11" s="472" t="s">
        <v>1560</v>
      </c>
      <c r="H11" s="4">
        <v>300</v>
      </c>
      <c r="I11" s="473">
        <v>0</v>
      </c>
      <c r="J11" s="472" t="s">
        <v>1562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s="11" customFormat="1" x14ac:dyDescent="0.25">
      <c r="A12" s="472" t="s">
        <v>2453</v>
      </c>
      <c r="B12" s="472" t="s">
        <v>2449</v>
      </c>
      <c r="C12" s="470" t="s">
        <v>1536</v>
      </c>
      <c r="D12" s="471">
        <v>1</v>
      </c>
      <c r="E12" s="471">
        <v>0</v>
      </c>
      <c r="F12" s="472" t="s">
        <v>1578</v>
      </c>
      <c r="G12" s="472" t="s">
        <v>1666</v>
      </c>
      <c r="H12" s="4">
        <v>180</v>
      </c>
      <c r="I12" s="473">
        <v>0</v>
      </c>
      <c r="J12" s="472" t="s">
        <v>1562</v>
      </c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s="233" customFormat="1" x14ac:dyDescent="0.25">
      <c r="A13" s="540" t="s">
        <v>2457</v>
      </c>
      <c r="B13" s="540" t="s">
        <v>2455</v>
      </c>
      <c r="C13" s="538" t="s">
        <v>1537</v>
      </c>
      <c r="D13" s="539">
        <v>1</v>
      </c>
      <c r="E13" s="539">
        <v>0</v>
      </c>
      <c r="F13" s="540" t="s">
        <v>1559</v>
      </c>
      <c r="G13" s="540" t="s">
        <v>1666</v>
      </c>
      <c r="H13" s="207">
        <v>220</v>
      </c>
      <c r="I13" s="541">
        <v>0</v>
      </c>
      <c r="J13" s="540" t="s">
        <v>1562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</row>
    <row r="14" spans="1:20" s="233" customFormat="1" x14ac:dyDescent="0.25">
      <c r="A14" s="540" t="s">
        <v>2615</v>
      </c>
      <c r="B14" s="540" t="s">
        <v>2405</v>
      </c>
      <c r="C14" s="538" t="s">
        <v>1538</v>
      </c>
      <c r="D14" s="539">
        <v>1</v>
      </c>
      <c r="E14" s="539">
        <v>0</v>
      </c>
      <c r="F14" s="540" t="s">
        <v>1578</v>
      </c>
      <c r="G14" s="540" t="s">
        <v>1666</v>
      </c>
      <c r="H14" s="207">
        <v>200</v>
      </c>
      <c r="I14" s="541">
        <v>0</v>
      </c>
      <c r="J14" s="540" t="s">
        <v>1562</v>
      </c>
      <c r="K14" s="207"/>
      <c r="L14" s="207"/>
      <c r="M14" s="207"/>
      <c r="N14" s="207"/>
      <c r="O14" s="207"/>
      <c r="P14" s="207"/>
      <c r="Q14" s="207"/>
      <c r="R14" s="207"/>
      <c r="S14" s="207"/>
      <c r="T14" s="20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113"/>
  <sheetViews>
    <sheetView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5" x14ac:dyDescent="0.25"/>
  <cols>
    <col min="1" max="1" width="25.85546875" style="72" bestFit="1" customWidth="1"/>
    <col min="2" max="2" width="14.7109375" style="72" customWidth="1"/>
    <col min="3" max="3" width="18.28515625" style="107" customWidth="1"/>
    <col min="4" max="4" width="57.85546875" style="108" customWidth="1"/>
    <col min="5" max="5" width="18.42578125" style="108" bestFit="1" customWidth="1"/>
    <col min="6" max="6" width="11.28515625" style="108" customWidth="1"/>
    <col min="7" max="7" width="8.28515625" style="108" customWidth="1"/>
    <col min="8" max="8" width="23.140625" style="108" customWidth="1"/>
    <col min="9" max="9" width="22.5703125" style="82" bestFit="1" customWidth="1"/>
    <col min="10" max="10" width="12.5703125" style="82" customWidth="1"/>
    <col min="11" max="11" width="18.85546875" style="82" bestFit="1" customWidth="1"/>
    <col min="12" max="12" width="9.140625" style="82"/>
    <col min="13" max="13" width="14.85546875" style="82" customWidth="1"/>
    <col min="14" max="14" width="9.140625" style="82"/>
    <col min="15" max="15" width="14.85546875" style="82" bestFit="1" customWidth="1"/>
    <col min="16" max="16" width="9.140625" style="82"/>
    <col min="17" max="17" width="15" style="82" bestFit="1" customWidth="1"/>
    <col min="18" max="20" width="9.140625" style="82"/>
    <col min="21" max="21" width="24.7109375" style="82" bestFit="1" customWidth="1"/>
    <col min="22" max="16384" width="9.140625" style="82"/>
  </cols>
  <sheetData>
    <row r="1" spans="1:21" ht="13.5" customHeight="1" x14ac:dyDescent="0.25">
      <c r="A1" s="65" t="s">
        <v>0</v>
      </c>
      <c r="B1" s="78" t="s">
        <v>93</v>
      </c>
      <c r="C1" s="65" t="s">
        <v>834</v>
      </c>
      <c r="D1" s="79" t="s">
        <v>835</v>
      </c>
      <c r="E1" s="65" t="s">
        <v>1003</v>
      </c>
      <c r="F1" s="65" t="s">
        <v>754</v>
      </c>
      <c r="G1" s="65" t="s">
        <v>755</v>
      </c>
      <c r="H1" s="121" t="s">
        <v>753</v>
      </c>
      <c r="I1" s="80" t="s">
        <v>914</v>
      </c>
      <c r="J1" s="81" t="s">
        <v>1008</v>
      </c>
      <c r="K1" s="112" t="s">
        <v>915</v>
      </c>
      <c r="L1" s="81" t="s">
        <v>1009</v>
      </c>
      <c r="M1" s="114" t="s">
        <v>916</v>
      </c>
      <c r="N1" s="81" t="s">
        <v>1010</v>
      </c>
      <c r="O1" s="116" t="s">
        <v>917</v>
      </c>
      <c r="P1" s="81" t="s">
        <v>1011</v>
      </c>
      <c r="Q1" s="111" t="s">
        <v>1004</v>
      </c>
      <c r="R1" s="113" t="s">
        <v>1005</v>
      </c>
      <c r="S1" s="115" t="s">
        <v>1006</v>
      </c>
      <c r="T1" s="117" t="s">
        <v>1007</v>
      </c>
      <c r="U1" s="276" t="s">
        <v>1293</v>
      </c>
    </row>
    <row r="2" spans="1:21" s="15" customFormat="1" ht="13.5" customHeight="1" x14ac:dyDescent="0.25">
      <c r="A2" s="109" t="s">
        <v>733</v>
      </c>
      <c r="B2" s="68">
        <v>1</v>
      </c>
      <c r="C2" s="91" t="s">
        <v>1024</v>
      </c>
      <c r="D2" s="92"/>
      <c r="E2" s="281">
        <v>120</v>
      </c>
      <c r="F2" s="94">
        <f>E2/60</f>
        <v>2</v>
      </c>
      <c r="G2" s="297">
        <f t="shared" ref="G2:G9" si="0">F2/60</f>
        <v>3.3333333333333333E-2</v>
      </c>
      <c r="H2" s="288">
        <v>1</v>
      </c>
      <c r="I2" s="76"/>
      <c r="J2" s="77"/>
      <c r="K2" s="76"/>
      <c r="L2" s="77"/>
      <c r="M2" s="76"/>
      <c r="N2" s="77"/>
      <c r="O2" s="76"/>
      <c r="P2" s="77"/>
      <c r="Q2" s="75"/>
      <c r="U2" s="298" t="str">
        <f t="shared" ref="U2:U33" si="1">IF(G2&gt;=4.5,"9",IF(G2&gt;=4,"8",IF(G2&gt;=2.5,"7",IF(G2&gt;=2,"6",IF(G2&gt;=1.17,"5",IF(G2&gt;=0.75,"4",IF(G2&gt;=0.58,"3",IF(G2&gt;=0.33,"2","1"))))))))</f>
        <v>1</v>
      </c>
    </row>
    <row r="3" spans="1:21" s="15" customFormat="1" ht="13.5" customHeight="1" x14ac:dyDescent="0.25">
      <c r="A3" s="109" t="s">
        <v>734</v>
      </c>
      <c r="B3" s="68">
        <v>6</v>
      </c>
      <c r="C3" s="91" t="s">
        <v>1024</v>
      </c>
      <c r="D3" s="92"/>
      <c r="E3" s="281">
        <v>180</v>
      </c>
      <c r="F3" s="94">
        <f t="shared" ref="F3:G18" si="2">E3/60</f>
        <v>3</v>
      </c>
      <c r="G3" s="297">
        <f t="shared" si="0"/>
        <v>0.05</v>
      </c>
      <c r="H3" s="288">
        <v>1</v>
      </c>
      <c r="I3" s="76"/>
      <c r="J3" s="77"/>
      <c r="K3" s="76"/>
      <c r="L3" s="77"/>
      <c r="M3" s="76"/>
      <c r="N3" s="77"/>
      <c r="O3" s="76"/>
      <c r="P3" s="77"/>
      <c r="Q3" s="75"/>
      <c r="U3" s="298" t="str">
        <f t="shared" si="1"/>
        <v>1</v>
      </c>
    </row>
    <row r="4" spans="1:21" s="15" customFormat="1" ht="13.5" customHeight="1" x14ac:dyDescent="0.25">
      <c r="A4" s="109" t="s">
        <v>735</v>
      </c>
      <c r="B4" s="68">
        <v>9</v>
      </c>
      <c r="C4" s="91" t="s">
        <v>1024</v>
      </c>
      <c r="D4" s="92"/>
      <c r="E4" s="281">
        <v>600</v>
      </c>
      <c r="F4" s="94">
        <f t="shared" si="2"/>
        <v>10</v>
      </c>
      <c r="G4" s="297">
        <f t="shared" si="0"/>
        <v>0.16666666666666666</v>
      </c>
      <c r="H4" s="288">
        <v>1</v>
      </c>
      <c r="I4" s="76"/>
      <c r="J4" s="77"/>
      <c r="K4" s="76"/>
      <c r="L4" s="77"/>
      <c r="M4" s="76"/>
      <c r="N4" s="77"/>
      <c r="O4" s="76"/>
      <c r="P4" s="77"/>
      <c r="Q4" s="75"/>
      <c r="U4" s="298" t="str">
        <f t="shared" si="1"/>
        <v>1</v>
      </c>
    </row>
    <row r="5" spans="1:21" s="15" customFormat="1" ht="13.5" customHeight="1" x14ac:dyDescent="0.25">
      <c r="A5" s="109" t="s">
        <v>736</v>
      </c>
      <c r="B5" s="68">
        <v>12</v>
      </c>
      <c r="C5" s="91" t="s">
        <v>1024</v>
      </c>
      <c r="D5" s="92"/>
      <c r="E5" s="281">
        <v>900</v>
      </c>
      <c r="F5" s="94">
        <f t="shared" si="2"/>
        <v>15</v>
      </c>
      <c r="G5" s="297">
        <f t="shared" si="0"/>
        <v>0.25</v>
      </c>
      <c r="H5" s="288">
        <v>1</v>
      </c>
      <c r="I5" s="76"/>
      <c r="J5" s="77"/>
      <c r="K5" s="76"/>
      <c r="L5" s="77"/>
      <c r="M5" s="76"/>
      <c r="N5" s="77"/>
      <c r="O5" s="76"/>
      <c r="P5" s="77"/>
      <c r="Q5" s="75"/>
      <c r="U5" s="298" t="str">
        <f t="shared" si="1"/>
        <v>1</v>
      </c>
    </row>
    <row r="6" spans="1:21" s="15" customFormat="1" ht="13.5" customHeight="1" x14ac:dyDescent="0.25">
      <c r="A6" s="109" t="s">
        <v>737</v>
      </c>
      <c r="B6" s="68">
        <v>15</v>
      </c>
      <c r="C6" s="91" t="s">
        <v>1024</v>
      </c>
      <c r="D6" s="92"/>
      <c r="E6" s="283">
        <v>1200</v>
      </c>
      <c r="F6" s="94">
        <f t="shared" si="2"/>
        <v>20</v>
      </c>
      <c r="G6" s="297">
        <f>F6/60</f>
        <v>0.33333333333333331</v>
      </c>
      <c r="H6" s="289">
        <v>2</v>
      </c>
      <c r="I6" s="76"/>
      <c r="J6" s="77"/>
      <c r="K6" s="76"/>
      <c r="L6" s="77"/>
      <c r="M6" s="76"/>
      <c r="N6" s="77"/>
      <c r="O6" s="76"/>
      <c r="P6" s="77"/>
      <c r="Q6" s="75"/>
      <c r="U6" s="298" t="str">
        <f t="shared" si="1"/>
        <v>2</v>
      </c>
    </row>
    <row r="7" spans="1:21" s="15" customFormat="1" ht="13.5" customHeight="1" x14ac:dyDescent="0.25">
      <c r="A7" s="109" t="s">
        <v>738</v>
      </c>
      <c r="B7" s="68">
        <v>17</v>
      </c>
      <c r="C7" s="91" t="s">
        <v>1024</v>
      </c>
      <c r="D7" s="92"/>
      <c r="E7" s="283">
        <v>1500</v>
      </c>
      <c r="F7" s="94">
        <f t="shared" si="2"/>
        <v>25</v>
      </c>
      <c r="G7" s="297">
        <f t="shared" si="0"/>
        <v>0.41666666666666669</v>
      </c>
      <c r="H7" s="289">
        <v>2</v>
      </c>
      <c r="I7" s="76"/>
      <c r="J7" s="77"/>
      <c r="K7" s="76"/>
      <c r="L7" s="77"/>
      <c r="M7" s="76"/>
      <c r="N7" s="77"/>
      <c r="O7" s="76"/>
      <c r="P7" s="77"/>
      <c r="Q7" s="75"/>
      <c r="U7" s="298" t="str">
        <f t="shared" si="1"/>
        <v>2</v>
      </c>
    </row>
    <row r="8" spans="1:21" s="15" customFormat="1" ht="13.5" customHeight="1" x14ac:dyDescent="0.25">
      <c r="A8" s="109" t="s">
        <v>739</v>
      </c>
      <c r="B8" s="68">
        <v>20</v>
      </c>
      <c r="C8" s="91" t="s">
        <v>1024</v>
      </c>
      <c r="D8" s="92"/>
      <c r="E8" s="102">
        <v>2100</v>
      </c>
      <c r="F8" s="94">
        <f t="shared" si="2"/>
        <v>35</v>
      </c>
      <c r="G8" s="297">
        <f t="shared" si="0"/>
        <v>0.58333333333333337</v>
      </c>
      <c r="H8" s="290">
        <v>3</v>
      </c>
      <c r="I8" s="76"/>
      <c r="J8" s="77"/>
      <c r="K8" s="76"/>
      <c r="L8" s="77"/>
      <c r="M8" s="76"/>
      <c r="N8" s="77"/>
      <c r="O8" s="76"/>
      <c r="P8" s="77"/>
      <c r="Q8" s="75"/>
      <c r="U8" s="298" t="str">
        <f t="shared" si="1"/>
        <v>3</v>
      </c>
    </row>
    <row r="9" spans="1:21" s="15" customFormat="1" ht="13.5" customHeight="1" x14ac:dyDescent="0.25">
      <c r="A9" s="109" t="s">
        <v>740</v>
      </c>
      <c r="B9" s="68">
        <v>25</v>
      </c>
      <c r="C9" s="91" t="s">
        <v>1024</v>
      </c>
      <c r="D9" s="92"/>
      <c r="E9" s="284">
        <v>2700</v>
      </c>
      <c r="F9" s="94">
        <f t="shared" si="2"/>
        <v>45</v>
      </c>
      <c r="G9" s="297">
        <f t="shared" si="0"/>
        <v>0.75</v>
      </c>
      <c r="H9" s="291">
        <v>4</v>
      </c>
      <c r="I9" s="76"/>
      <c r="J9" s="77"/>
      <c r="K9" s="76"/>
      <c r="L9" s="77"/>
      <c r="M9" s="76"/>
      <c r="N9" s="77"/>
      <c r="O9" s="76"/>
      <c r="P9" s="77"/>
      <c r="Q9" s="75"/>
      <c r="U9" s="298" t="str">
        <f t="shared" si="1"/>
        <v>4</v>
      </c>
    </row>
    <row r="10" spans="1:21" s="15" customFormat="1" ht="13.5" customHeight="1" x14ac:dyDescent="0.25">
      <c r="A10" s="109" t="s">
        <v>741</v>
      </c>
      <c r="B10" s="68">
        <v>33</v>
      </c>
      <c r="C10" s="91" t="s">
        <v>1024</v>
      </c>
      <c r="D10" s="92"/>
      <c r="E10" s="284">
        <v>3600</v>
      </c>
      <c r="F10" s="94">
        <f t="shared" si="2"/>
        <v>60</v>
      </c>
      <c r="G10" s="297">
        <f>F10/60</f>
        <v>1</v>
      </c>
      <c r="H10" s="291">
        <v>4</v>
      </c>
      <c r="I10" s="76"/>
      <c r="J10" s="77"/>
      <c r="K10" s="76"/>
      <c r="L10" s="77"/>
      <c r="M10" s="76"/>
      <c r="N10" s="77"/>
      <c r="O10" s="76"/>
      <c r="P10" s="77"/>
      <c r="Q10" s="75"/>
      <c r="U10" s="298" t="str">
        <f t="shared" si="1"/>
        <v>4</v>
      </c>
    </row>
    <row r="11" spans="1:21" s="15" customFormat="1" ht="13.5" customHeight="1" x14ac:dyDescent="0.25">
      <c r="A11" s="109" t="s">
        <v>742</v>
      </c>
      <c r="B11" s="68">
        <v>35</v>
      </c>
      <c r="C11" s="91" t="s">
        <v>1024</v>
      </c>
      <c r="D11" s="92"/>
      <c r="E11" s="282">
        <v>4200</v>
      </c>
      <c r="F11" s="94">
        <f t="shared" si="2"/>
        <v>70</v>
      </c>
      <c r="G11" s="297">
        <f t="shared" si="2"/>
        <v>1.1666666666666667</v>
      </c>
      <c r="H11" s="292">
        <v>5</v>
      </c>
      <c r="I11" s="76"/>
      <c r="J11" s="77"/>
      <c r="K11" s="76"/>
      <c r="L11" s="77"/>
      <c r="M11" s="76"/>
      <c r="N11" s="77"/>
      <c r="O11" s="76"/>
      <c r="P11" s="77"/>
      <c r="Q11" s="75"/>
      <c r="U11" s="298" t="str">
        <f t="shared" si="1"/>
        <v>4</v>
      </c>
    </row>
    <row r="12" spans="1:21" s="15" customFormat="1" ht="13.5" customHeight="1" x14ac:dyDescent="0.25">
      <c r="A12" s="109" t="s">
        <v>743</v>
      </c>
      <c r="B12" s="68">
        <v>37</v>
      </c>
      <c r="C12" s="91" t="s">
        <v>1024</v>
      </c>
      <c r="D12" s="92"/>
      <c r="E12" s="282">
        <v>4800</v>
      </c>
      <c r="F12" s="94">
        <f t="shared" si="2"/>
        <v>80</v>
      </c>
      <c r="G12" s="297">
        <f t="shared" si="2"/>
        <v>1.3333333333333333</v>
      </c>
      <c r="H12" s="292">
        <v>5</v>
      </c>
      <c r="I12" s="76"/>
      <c r="J12" s="77"/>
      <c r="K12" s="76"/>
      <c r="L12" s="77"/>
      <c r="M12" s="76"/>
      <c r="N12" s="77"/>
      <c r="O12" s="76"/>
      <c r="P12" s="77"/>
      <c r="Q12" s="75"/>
      <c r="U12" s="298" t="str">
        <f t="shared" si="1"/>
        <v>5</v>
      </c>
    </row>
    <row r="13" spans="1:21" s="15" customFormat="1" ht="13.5" customHeight="1" x14ac:dyDescent="0.25">
      <c r="A13" s="109" t="s">
        <v>744</v>
      </c>
      <c r="B13" s="68">
        <v>40</v>
      </c>
      <c r="C13" s="91" t="s">
        <v>1024</v>
      </c>
      <c r="D13" s="92"/>
      <c r="E13" s="282">
        <v>5100</v>
      </c>
      <c r="F13" s="94">
        <f t="shared" si="2"/>
        <v>85</v>
      </c>
      <c r="G13" s="297">
        <f t="shared" si="2"/>
        <v>1.4166666666666667</v>
      </c>
      <c r="H13" s="292">
        <v>5</v>
      </c>
      <c r="I13" s="76"/>
      <c r="J13" s="77"/>
      <c r="K13" s="76"/>
      <c r="L13" s="77"/>
      <c r="M13" s="76"/>
      <c r="N13" s="77"/>
      <c r="O13" s="76"/>
      <c r="P13" s="77"/>
      <c r="Q13" s="75"/>
      <c r="U13" s="298" t="str">
        <f t="shared" si="1"/>
        <v>5</v>
      </c>
    </row>
    <row r="14" spans="1:21" s="15" customFormat="1" ht="13.5" customHeight="1" x14ac:dyDescent="0.25">
      <c r="A14" s="109" t="s">
        <v>745</v>
      </c>
      <c r="B14" s="68">
        <v>46</v>
      </c>
      <c r="C14" s="91" t="s">
        <v>1024</v>
      </c>
      <c r="D14" s="92"/>
      <c r="E14" s="282">
        <v>5400</v>
      </c>
      <c r="F14" s="94">
        <f t="shared" si="2"/>
        <v>90</v>
      </c>
      <c r="G14" s="297">
        <f t="shared" si="2"/>
        <v>1.5</v>
      </c>
      <c r="H14" s="292">
        <v>5</v>
      </c>
      <c r="I14" s="76"/>
      <c r="J14" s="77"/>
      <c r="K14" s="76"/>
      <c r="L14" s="77"/>
      <c r="M14" s="76"/>
      <c r="N14" s="77"/>
      <c r="O14" s="76"/>
      <c r="P14" s="77"/>
      <c r="Q14" s="75"/>
      <c r="U14" s="298" t="str">
        <f t="shared" si="1"/>
        <v>5</v>
      </c>
    </row>
    <row r="15" spans="1:21" s="15" customFormat="1" ht="13.5" customHeight="1" x14ac:dyDescent="0.25">
      <c r="A15" s="109" t="s">
        <v>746</v>
      </c>
      <c r="B15" s="68">
        <v>49</v>
      </c>
      <c r="C15" s="91" t="s">
        <v>1024</v>
      </c>
      <c r="D15" s="92"/>
      <c r="E15" s="282">
        <v>6300</v>
      </c>
      <c r="F15" s="94">
        <f t="shared" si="2"/>
        <v>105</v>
      </c>
      <c r="G15" s="297">
        <f t="shared" si="2"/>
        <v>1.75</v>
      </c>
      <c r="H15" s="292">
        <v>5</v>
      </c>
      <c r="I15" s="76"/>
      <c r="J15" s="77"/>
      <c r="K15" s="76"/>
      <c r="L15" s="77"/>
      <c r="M15" s="76"/>
      <c r="N15" s="77"/>
      <c r="O15" s="76"/>
      <c r="P15" s="77"/>
      <c r="Q15" s="75"/>
      <c r="U15" s="298" t="str">
        <f t="shared" si="1"/>
        <v>5</v>
      </c>
    </row>
    <row r="16" spans="1:21" s="15" customFormat="1" ht="13.5" customHeight="1" x14ac:dyDescent="0.25">
      <c r="A16" s="109" t="s">
        <v>747</v>
      </c>
      <c r="B16" s="68">
        <v>58</v>
      </c>
      <c r="C16" s="91" t="s">
        <v>1024</v>
      </c>
      <c r="D16" s="92"/>
      <c r="E16" s="280">
        <v>7200</v>
      </c>
      <c r="F16" s="94">
        <f t="shared" si="2"/>
        <v>120</v>
      </c>
      <c r="G16" s="297">
        <f t="shared" si="2"/>
        <v>2</v>
      </c>
      <c r="H16" s="293">
        <v>6</v>
      </c>
      <c r="I16" s="76"/>
      <c r="J16" s="77"/>
      <c r="K16" s="76"/>
      <c r="L16" s="77"/>
      <c r="M16" s="76"/>
      <c r="N16" s="77"/>
      <c r="O16" s="76"/>
      <c r="P16" s="77"/>
      <c r="Q16" s="75"/>
      <c r="U16" s="298" t="str">
        <f t="shared" si="1"/>
        <v>6</v>
      </c>
    </row>
    <row r="17" spans="1:21" s="15" customFormat="1" ht="13.5" customHeight="1" x14ac:dyDescent="0.25">
      <c r="A17" s="109" t="s">
        <v>748</v>
      </c>
      <c r="B17" s="68">
        <v>62</v>
      </c>
      <c r="C17" s="91" t="s">
        <v>1024</v>
      </c>
      <c r="D17" s="92"/>
      <c r="E17" s="285">
        <v>9000</v>
      </c>
      <c r="F17" s="94">
        <f t="shared" si="2"/>
        <v>150</v>
      </c>
      <c r="G17" s="297">
        <f t="shared" si="2"/>
        <v>2.5</v>
      </c>
      <c r="H17" s="294">
        <v>7</v>
      </c>
      <c r="I17" s="76"/>
      <c r="J17" s="77"/>
      <c r="K17" s="76"/>
      <c r="L17" s="77"/>
      <c r="M17" s="76"/>
      <c r="N17" s="77"/>
      <c r="O17" s="76"/>
      <c r="P17" s="77"/>
      <c r="Q17" s="75"/>
      <c r="U17" s="298" t="str">
        <f t="shared" si="1"/>
        <v>7</v>
      </c>
    </row>
    <row r="18" spans="1:21" s="15" customFormat="1" x14ac:dyDescent="0.25">
      <c r="A18" s="109" t="s">
        <v>749</v>
      </c>
      <c r="B18" s="68">
        <v>74</v>
      </c>
      <c r="C18" s="91" t="s">
        <v>1024</v>
      </c>
      <c r="D18" s="92"/>
      <c r="E18" s="285">
        <v>10800</v>
      </c>
      <c r="F18" s="94">
        <f t="shared" si="2"/>
        <v>180</v>
      </c>
      <c r="G18" s="297">
        <f t="shared" si="2"/>
        <v>3</v>
      </c>
      <c r="H18" s="294">
        <v>7</v>
      </c>
      <c r="I18" s="76"/>
      <c r="J18" s="77"/>
      <c r="K18" s="76"/>
      <c r="L18" s="77"/>
      <c r="M18" s="76"/>
      <c r="N18" s="77"/>
      <c r="O18" s="76"/>
      <c r="P18" s="77"/>
      <c r="Q18" s="75"/>
      <c r="U18" s="298" t="str">
        <f t="shared" si="1"/>
        <v>7</v>
      </c>
    </row>
    <row r="19" spans="1:21" s="15" customFormat="1" x14ac:dyDescent="0.25">
      <c r="A19" s="109" t="s">
        <v>750</v>
      </c>
      <c r="B19" s="68">
        <v>83</v>
      </c>
      <c r="C19" s="91" t="s">
        <v>1024</v>
      </c>
      <c r="D19" s="92"/>
      <c r="E19" s="285">
        <v>12600</v>
      </c>
      <c r="F19" s="94">
        <f t="shared" ref="F19:G21" si="3">E19/60</f>
        <v>210</v>
      </c>
      <c r="G19" s="297">
        <f t="shared" si="3"/>
        <v>3.5</v>
      </c>
      <c r="H19" s="294">
        <v>7</v>
      </c>
      <c r="I19" s="76"/>
      <c r="J19" s="77"/>
      <c r="K19" s="76"/>
      <c r="L19" s="77"/>
      <c r="M19" s="76"/>
      <c r="N19" s="77"/>
      <c r="O19" s="76"/>
      <c r="P19" s="77"/>
      <c r="Q19" s="75"/>
      <c r="U19" s="298" t="str">
        <f t="shared" si="1"/>
        <v>7</v>
      </c>
    </row>
    <row r="20" spans="1:21" s="15" customFormat="1" x14ac:dyDescent="0.25">
      <c r="A20" s="109" t="s">
        <v>751</v>
      </c>
      <c r="B20" s="68">
        <v>95</v>
      </c>
      <c r="C20" s="91" t="s">
        <v>1024</v>
      </c>
      <c r="D20" s="92"/>
      <c r="E20" s="286">
        <v>14400</v>
      </c>
      <c r="F20" s="94">
        <f t="shared" si="3"/>
        <v>240</v>
      </c>
      <c r="G20" s="297">
        <f t="shared" si="3"/>
        <v>4</v>
      </c>
      <c r="H20" s="295">
        <v>8</v>
      </c>
      <c r="I20" s="76"/>
      <c r="J20" s="77"/>
      <c r="K20" s="76"/>
      <c r="L20" s="77"/>
      <c r="M20" s="76"/>
      <c r="N20" s="77"/>
      <c r="O20" s="76"/>
      <c r="P20" s="77"/>
      <c r="Q20" s="75"/>
      <c r="U20" s="298" t="str">
        <f t="shared" si="1"/>
        <v>8</v>
      </c>
    </row>
    <row r="21" spans="1:21" s="15" customFormat="1" x14ac:dyDescent="0.25">
      <c r="A21" s="109" t="s">
        <v>752</v>
      </c>
      <c r="B21" s="68">
        <v>106</v>
      </c>
      <c r="C21" s="91" t="s">
        <v>1024</v>
      </c>
      <c r="D21" s="92"/>
      <c r="E21" s="287">
        <v>16200</v>
      </c>
      <c r="F21" s="94">
        <f t="shared" si="3"/>
        <v>270</v>
      </c>
      <c r="G21" s="297">
        <f t="shared" si="3"/>
        <v>4.5</v>
      </c>
      <c r="H21" s="296">
        <v>9</v>
      </c>
      <c r="I21" s="76"/>
      <c r="J21" s="77"/>
      <c r="K21" s="76"/>
      <c r="L21" s="77"/>
      <c r="M21" s="76"/>
      <c r="N21" s="77"/>
      <c r="O21" s="76"/>
      <c r="P21" s="77"/>
      <c r="Q21" s="75"/>
      <c r="U21" s="298" t="str">
        <f t="shared" si="1"/>
        <v>9</v>
      </c>
    </row>
    <row r="22" spans="1:21" x14ac:dyDescent="0.25">
      <c r="A22" s="7" t="s">
        <v>756</v>
      </c>
      <c r="B22" s="68">
        <v>3</v>
      </c>
      <c r="C22" s="91" t="s">
        <v>97</v>
      </c>
      <c r="D22" s="92" t="s">
        <v>836</v>
      </c>
      <c r="E22" s="93">
        <v>300</v>
      </c>
      <c r="F22" s="94">
        <f>E22/60</f>
        <v>5</v>
      </c>
      <c r="G22" s="297">
        <f>F22/60</f>
        <v>8.3333333333333329E-2</v>
      </c>
      <c r="H22" s="110">
        <f t="shared" ref="H22:H53" si="4">Q22*J22+L22*R22+N22*S22+P22*T22+U22</f>
        <v>4</v>
      </c>
      <c r="I22" s="82" t="s">
        <v>932</v>
      </c>
      <c r="J22" s="82">
        <v>3</v>
      </c>
      <c r="Q22" s="82">
        <f>VLOOKUP(I22,$A$2:$H$21,8,0)</f>
        <v>1</v>
      </c>
      <c r="U22" s="298" t="str">
        <f t="shared" si="1"/>
        <v>1</v>
      </c>
    </row>
    <row r="23" spans="1:21" x14ac:dyDescent="0.25">
      <c r="A23" s="7" t="s">
        <v>757</v>
      </c>
      <c r="B23" s="68">
        <v>6</v>
      </c>
      <c r="C23" s="91" t="s">
        <v>99</v>
      </c>
      <c r="D23" s="92" t="s">
        <v>837</v>
      </c>
      <c r="E23" s="96">
        <v>480</v>
      </c>
      <c r="F23" s="94">
        <f t="shared" ref="F23:G86" si="5">E23/60</f>
        <v>8</v>
      </c>
      <c r="G23" s="297">
        <f t="shared" si="5"/>
        <v>0.13333333333333333</v>
      </c>
      <c r="H23" s="110">
        <f t="shared" si="4"/>
        <v>5</v>
      </c>
      <c r="I23" s="82" t="s">
        <v>933</v>
      </c>
      <c r="J23" s="82">
        <v>4</v>
      </c>
      <c r="Q23" s="82">
        <f>VLOOKUP(I23,$A$2:$H$21,8,0)</f>
        <v>1</v>
      </c>
      <c r="U23" s="298" t="str">
        <f t="shared" si="1"/>
        <v>1</v>
      </c>
    </row>
    <row r="24" spans="1:21" x14ac:dyDescent="0.25">
      <c r="A24" s="7" t="s">
        <v>758</v>
      </c>
      <c r="B24" s="68">
        <v>8</v>
      </c>
      <c r="C24" s="91" t="s">
        <v>97</v>
      </c>
      <c r="D24" s="97" t="s">
        <v>838</v>
      </c>
      <c r="E24" s="93">
        <v>600</v>
      </c>
      <c r="F24" s="94">
        <f t="shared" si="5"/>
        <v>10</v>
      </c>
      <c r="G24" s="297">
        <f t="shared" si="5"/>
        <v>0.16666666666666666</v>
      </c>
      <c r="H24" s="110">
        <f t="shared" si="4"/>
        <v>4</v>
      </c>
      <c r="I24" s="82" t="s">
        <v>933</v>
      </c>
      <c r="J24" s="82">
        <v>3</v>
      </c>
      <c r="Q24" s="82">
        <f>VLOOKUP(I24,$A$2:$H$21,8,0)</f>
        <v>1</v>
      </c>
      <c r="U24" s="298" t="str">
        <f t="shared" si="1"/>
        <v>1</v>
      </c>
    </row>
    <row r="25" spans="1:21" x14ac:dyDescent="0.25">
      <c r="A25" s="7" t="s">
        <v>759</v>
      </c>
      <c r="B25" s="68">
        <v>9</v>
      </c>
      <c r="C25" s="91" t="s">
        <v>101</v>
      </c>
      <c r="D25" s="92" t="s">
        <v>839</v>
      </c>
      <c r="E25" s="93">
        <v>600</v>
      </c>
      <c r="F25" s="94">
        <f t="shared" si="5"/>
        <v>10</v>
      </c>
      <c r="G25" s="297">
        <f t="shared" si="5"/>
        <v>0.16666666666666666</v>
      </c>
      <c r="H25" s="110">
        <f t="shared" si="4"/>
        <v>8</v>
      </c>
      <c r="I25" s="82" t="s">
        <v>946</v>
      </c>
      <c r="J25" s="82">
        <v>1</v>
      </c>
      <c r="K25" s="82" t="s">
        <v>954</v>
      </c>
      <c r="L25" s="82">
        <v>3</v>
      </c>
      <c r="Q25" s="82">
        <f>VLOOKUP(I25,$A$22:$H$86,8,0)</f>
        <v>4</v>
      </c>
      <c r="R25" s="82">
        <f>VLOOKUP(K25,$A$2:$H$21,8,0)</f>
        <v>1</v>
      </c>
      <c r="U25" s="298" t="str">
        <f t="shared" si="1"/>
        <v>1</v>
      </c>
    </row>
    <row r="26" spans="1:21" x14ac:dyDescent="0.25">
      <c r="A26" s="7" t="s">
        <v>760</v>
      </c>
      <c r="B26" s="68">
        <v>13</v>
      </c>
      <c r="C26" s="91" t="s">
        <v>99</v>
      </c>
      <c r="D26" s="92" t="s">
        <v>840</v>
      </c>
      <c r="E26" s="96">
        <v>720</v>
      </c>
      <c r="F26" s="94">
        <f t="shared" si="5"/>
        <v>12</v>
      </c>
      <c r="G26" s="297">
        <f t="shared" si="5"/>
        <v>0.2</v>
      </c>
      <c r="H26" s="110">
        <f t="shared" si="4"/>
        <v>5</v>
      </c>
      <c r="I26" s="82" t="s">
        <v>934</v>
      </c>
      <c r="J26" s="82">
        <v>4</v>
      </c>
      <c r="Q26" s="82">
        <f>VLOOKUP(I26,$A$2:$H$21,8,0)</f>
        <v>1</v>
      </c>
      <c r="U26" s="298" t="str">
        <f t="shared" si="1"/>
        <v>1</v>
      </c>
    </row>
    <row r="27" spans="1:21" x14ac:dyDescent="0.25">
      <c r="A27" s="7" t="s">
        <v>761</v>
      </c>
      <c r="B27" s="68">
        <v>14</v>
      </c>
      <c r="C27" s="91" t="s">
        <v>101</v>
      </c>
      <c r="D27" s="92" t="s">
        <v>841</v>
      </c>
      <c r="E27" s="93">
        <v>900</v>
      </c>
      <c r="F27" s="94">
        <f t="shared" si="5"/>
        <v>15</v>
      </c>
      <c r="G27" s="297">
        <f t="shared" si="5"/>
        <v>0.25</v>
      </c>
      <c r="H27" s="110">
        <f t="shared" si="4"/>
        <v>9</v>
      </c>
      <c r="I27" s="82" t="s">
        <v>947</v>
      </c>
      <c r="J27" s="82">
        <v>1</v>
      </c>
      <c r="K27" s="82" t="s">
        <v>954</v>
      </c>
      <c r="L27" s="82">
        <v>3</v>
      </c>
      <c r="Q27" s="82">
        <f>VLOOKUP(I27,$A$22:$H$86,8,0)</f>
        <v>5</v>
      </c>
      <c r="R27" s="82">
        <f>VLOOKUP(K27,$A$2:$H$21,8,0)</f>
        <v>1</v>
      </c>
      <c r="U27" s="298" t="str">
        <f t="shared" si="1"/>
        <v>1</v>
      </c>
    </row>
    <row r="28" spans="1:21" x14ac:dyDescent="0.25">
      <c r="A28" s="7" t="s">
        <v>762</v>
      </c>
      <c r="B28" s="68">
        <v>16</v>
      </c>
      <c r="C28" s="91" t="s">
        <v>97</v>
      </c>
      <c r="D28" s="92" t="s">
        <v>842</v>
      </c>
      <c r="E28" s="93">
        <v>900</v>
      </c>
      <c r="F28" s="94">
        <f t="shared" si="5"/>
        <v>15</v>
      </c>
      <c r="G28" s="297">
        <f t="shared" si="5"/>
        <v>0.25</v>
      </c>
      <c r="H28" s="110">
        <f t="shared" si="4"/>
        <v>7</v>
      </c>
      <c r="I28" s="82" t="s">
        <v>935</v>
      </c>
      <c r="J28" s="82">
        <v>3</v>
      </c>
      <c r="Q28" s="82">
        <f>VLOOKUP(I28,$A$2:$H$21,8,0)</f>
        <v>2</v>
      </c>
      <c r="U28" s="298" t="str">
        <f t="shared" si="1"/>
        <v>1</v>
      </c>
    </row>
    <row r="29" spans="1:21" x14ac:dyDescent="0.25">
      <c r="A29" s="7" t="s">
        <v>763</v>
      </c>
      <c r="B29" s="69">
        <v>18</v>
      </c>
      <c r="C29" s="98" t="s">
        <v>99</v>
      </c>
      <c r="D29" s="99" t="s">
        <v>843</v>
      </c>
      <c r="E29" s="98">
        <v>900</v>
      </c>
      <c r="F29" s="94">
        <f t="shared" si="5"/>
        <v>15</v>
      </c>
      <c r="G29" s="297">
        <f t="shared" si="5"/>
        <v>0.25</v>
      </c>
      <c r="H29" s="110">
        <f t="shared" si="4"/>
        <v>9</v>
      </c>
      <c r="I29" s="82" t="s">
        <v>936</v>
      </c>
      <c r="J29" s="82">
        <v>4</v>
      </c>
      <c r="Q29" s="82">
        <f>VLOOKUP(I29,$A$2:$H$21,8,0)</f>
        <v>2</v>
      </c>
      <c r="U29" s="298" t="str">
        <f t="shared" si="1"/>
        <v>1</v>
      </c>
    </row>
    <row r="30" spans="1:21" x14ac:dyDescent="0.25">
      <c r="A30" s="7" t="s">
        <v>764</v>
      </c>
      <c r="B30" s="69">
        <v>19</v>
      </c>
      <c r="C30" s="98" t="s">
        <v>97</v>
      </c>
      <c r="D30" s="99" t="s">
        <v>844</v>
      </c>
      <c r="E30" s="99">
        <v>720</v>
      </c>
      <c r="F30" s="94">
        <f t="shared" si="5"/>
        <v>12</v>
      </c>
      <c r="G30" s="297">
        <f t="shared" si="5"/>
        <v>0.2</v>
      </c>
      <c r="H30" s="110">
        <f t="shared" si="4"/>
        <v>7</v>
      </c>
      <c r="I30" s="82" t="s">
        <v>936</v>
      </c>
      <c r="J30" s="82">
        <v>3</v>
      </c>
      <c r="Q30" s="82">
        <f>VLOOKUP(I30,$A$2:$H$21,8,0)</f>
        <v>2</v>
      </c>
      <c r="U30" s="298" t="str">
        <f t="shared" si="1"/>
        <v>1</v>
      </c>
    </row>
    <row r="31" spans="1:21" x14ac:dyDescent="0.25">
      <c r="A31" s="7" t="s">
        <v>765</v>
      </c>
      <c r="B31" s="68">
        <v>20</v>
      </c>
      <c r="C31" s="91" t="s">
        <v>101</v>
      </c>
      <c r="D31" s="92" t="s">
        <v>845</v>
      </c>
      <c r="E31" s="96">
        <v>1500</v>
      </c>
      <c r="F31" s="94">
        <f t="shared" si="5"/>
        <v>25</v>
      </c>
      <c r="G31" s="297">
        <f t="shared" si="5"/>
        <v>0.41666666666666669</v>
      </c>
      <c r="H31" s="110">
        <f t="shared" si="4"/>
        <v>12</v>
      </c>
      <c r="I31" s="82" t="s">
        <v>948</v>
      </c>
      <c r="J31" s="82">
        <v>1</v>
      </c>
      <c r="K31" s="82" t="s">
        <v>954</v>
      </c>
      <c r="L31" s="82">
        <v>3</v>
      </c>
      <c r="Q31" s="82">
        <f>VLOOKUP(I31,$A$22:$H$86,8,0)</f>
        <v>7</v>
      </c>
      <c r="R31" s="82">
        <f>VLOOKUP(K31,$A$2:$H$21,8,0)</f>
        <v>1</v>
      </c>
      <c r="U31" s="298" t="str">
        <f t="shared" si="1"/>
        <v>2</v>
      </c>
    </row>
    <row r="32" spans="1:21" x14ac:dyDescent="0.25">
      <c r="A32" s="7" t="s">
        <v>766</v>
      </c>
      <c r="B32" s="68">
        <v>24</v>
      </c>
      <c r="C32" s="91" t="s">
        <v>99</v>
      </c>
      <c r="D32" s="92" t="s">
        <v>846</v>
      </c>
      <c r="E32" s="96">
        <v>1380</v>
      </c>
      <c r="F32" s="94">
        <f t="shared" si="5"/>
        <v>23</v>
      </c>
      <c r="G32" s="297">
        <f t="shared" si="5"/>
        <v>0.38333333333333336</v>
      </c>
      <c r="H32" s="110">
        <f t="shared" si="4"/>
        <v>14</v>
      </c>
      <c r="I32" s="82" t="s">
        <v>937</v>
      </c>
      <c r="J32" s="82">
        <v>4</v>
      </c>
      <c r="Q32" s="82">
        <f>VLOOKUP(I32,$A$2:$H$21,8,0)</f>
        <v>3</v>
      </c>
      <c r="U32" s="298" t="str">
        <f t="shared" si="1"/>
        <v>2</v>
      </c>
    </row>
    <row r="33" spans="1:21" x14ac:dyDescent="0.25">
      <c r="A33" s="7" t="s">
        <v>767</v>
      </c>
      <c r="B33" s="69">
        <v>28</v>
      </c>
      <c r="C33" s="98" t="s">
        <v>99</v>
      </c>
      <c r="D33" s="99" t="s">
        <v>847</v>
      </c>
      <c r="E33" s="96">
        <v>1680</v>
      </c>
      <c r="F33" s="94">
        <f t="shared" si="5"/>
        <v>28</v>
      </c>
      <c r="G33" s="297">
        <f t="shared" si="5"/>
        <v>0.46666666666666667</v>
      </c>
      <c r="H33" s="110">
        <f t="shared" si="4"/>
        <v>18</v>
      </c>
      <c r="I33" s="82" t="s">
        <v>938</v>
      </c>
      <c r="J33" s="82">
        <v>4</v>
      </c>
      <c r="Q33" s="82">
        <f>VLOOKUP(I33,$A$2:$H$21,8,0)</f>
        <v>4</v>
      </c>
      <c r="U33" s="298" t="str">
        <f t="shared" si="1"/>
        <v>2</v>
      </c>
    </row>
    <row r="34" spans="1:21" x14ac:dyDescent="0.25">
      <c r="A34" s="7" t="s">
        <v>768</v>
      </c>
      <c r="B34" s="68">
        <v>29</v>
      </c>
      <c r="C34" s="91" t="s">
        <v>101</v>
      </c>
      <c r="D34" s="92" t="s">
        <v>848</v>
      </c>
      <c r="E34" s="93">
        <v>4500</v>
      </c>
      <c r="F34" s="94">
        <f t="shared" si="5"/>
        <v>75</v>
      </c>
      <c r="G34" s="297">
        <f t="shared" si="5"/>
        <v>1.25</v>
      </c>
      <c r="H34" s="110">
        <f t="shared" si="4"/>
        <v>22</v>
      </c>
      <c r="I34" s="82" t="s">
        <v>949</v>
      </c>
      <c r="J34" s="82">
        <v>1</v>
      </c>
      <c r="K34" s="82" t="s">
        <v>954</v>
      </c>
      <c r="L34" s="82">
        <v>3</v>
      </c>
      <c r="Q34" s="82">
        <f>VLOOKUP(I34,$A$22:$H$86,8,0)</f>
        <v>14</v>
      </c>
      <c r="R34" s="82">
        <f>VLOOKUP(K34,$A$2:$H$21,8,0)</f>
        <v>1</v>
      </c>
      <c r="U34" s="298" t="str">
        <f t="shared" ref="U34:U65" si="6">IF(G34&gt;=4.5,"9",IF(G34&gt;=4,"8",IF(G34&gt;=2.5,"7",IF(G34&gt;=2,"6",IF(G34&gt;=1.17,"5",IF(G34&gt;=0.75,"4",IF(G34&gt;=0.58,"3",IF(G34&gt;=0.33,"2","1"))))))))</f>
        <v>5</v>
      </c>
    </row>
    <row r="35" spans="1:21" x14ac:dyDescent="0.25">
      <c r="A35" s="7" t="s">
        <v>769</v>
      </c>
      <c r="B35" s="69">
        <v>30</v>
      </c>
      <c r="C35" s="98" t="s">
        <v>97</v>
      </c>
      <c r="D35" s="99" t="s">
        <v>849</v>
      </c>
      <c r="E35" s="96">
        <v>1200</v>
      </c>
      <c r="F35" s="94">
        <f t="shared" si="5"/>
        <v>20</v>
      </c>
      <c r="G35" s="297">
        <f t="shared" si="5"/>
        <v>0.33333333333333331</v>
      </c>
      <c r="H35" s="110">
        <f t="shared" si="4"/>
        <v>14</v>
      </c>
      <c r="I35" s="82" t="s">
        <v>938</v>
      </c>
      <c r="J35" s="82">
        <v>3</v>
      </c>
      <c r="Q35" s="82">
        <f t="shared" ref="Q35:Q48" si="7">VLOOKUP(I35,$A$2:$H$21,8,0)</f>
        <v>4</v>
      </c>
      <c r="U35" s="298" t="str">
        <f t="shared" si="6"/>
        <v>2</v>
      </c>
    </row>
    <row r="36" spans="1:21" x14ac:dyDescent="0.25">
      <c r="A36" s="7" t="s">
        <v>770</v>
      </c>
      <c r="B36" s="68">
        <v>34</v>
      </c>
      <c r="C36" s="91" t="s">
        <v>97</v>
      </c>
      <c r="D36" s="92" t="s">
        <v>850</v>
      </c>
      <c r="E36" s="96">
        <v>1500</v>
      </c>
      <c r="F36" s="94">
        <f t="shared" si="5"/>
        <v>25</v>
      </c>
      <c r="G36" s="297">
        <f t="shared" si="5"/>
        <v>0.41666666666666669</v>
      </c>
      <c r="H36" s="110">
        <f t="shared" si="4"/>
        <v>14</v>
      </c>
      <c r="I36" s="82" t="s">
        <v>939</v>
      </c>
      <c r="J36" s="82">
        <v>3</v>
      </c>
      <c r="Q36" s="82">
        <f t="shared" si="7"/>
        <v>4</v>
      </c>
      <c r="U36" s="298" t="str">
        <f t="shared" si="6"/>
        <v>2</v>
      </c>
    </row>
    <row r="37" spans="1:21" x14ac:dyDescent="0.25">
      <c r="A37" s="7" t="s">
        <v>771</v>
      </c>
      <c r="B37" s="69">
        <v>35</v>
      </c>
      <c r="C37" s="98" t="s">
        <v>97</v>
      </c>
      <c r="D37" s="99" t="s">
        <v>851</v>
      </c>
      <c r="E37" s="96">
        <v>1620</v>
      </c>
      <c r="F37" s="94">
        <f t="shared" si="5"/>
        <v>27</v>
      </c>
      <c r="G37" s="297">
        <f t="shared" si="5"/>
        <v>0.45</v>
      </c>
      <c r="H37" s="110">
        <f t="shared" si="4"/>
        <v>17</v>
      </c>
      <c r="I37" s="82" t="s">
        <v>940</v>
      </c>
      <c r="J37" s="82">
        <v>3</v>
      </c>
      <c r="Q37" s="82">
        <f t="shared" si="7"/>
        <v>5</v>
      </c>
      <c r="U37" s="298" t="str">
        <f t="shared" si="6"/>
        <v>2</v>
      </c>
    </row>
    <row r="38" spans="1:21" x14ac:dyDescent="0.25">
      <c r="A38" s="7" t="s">
        <v>772</v>
      </c>
      <c r="B38" s="69">
        <v>35</v>
      </c>
      <c r="C38" s="98" t="s">
        <v>99</v>
      </c>
      <c r="D38" s="99" t="s">
        <v>852</v>
      </c>
      <c r="E38" s="96">
        <v>1800</v>
      </c>
      <c r="F38" s="94">
        <f t="shared" si="5"/>
        <v>30</v>
      </c>
      <c r="G38" s="297">
        <f t="shared" si="5"/>
        <v>0.5</v>
      </c>
      <c r="H38" s="110">
        <f t="shared" si="4"/>
        <v>22</v>
      </c>
      <c r="I38" s="82" t="s">
        <v>940</v>
      </c>
      <c r="J38" s="82">
        <v>4</v>
      </c>
      <c r="Q38" s="82">
        <f t="shared" si="7"/>
        <v>5</v>
      </c>
      <c r="U38" s="298" t="str">
        <f t="shared" si="6"/>
        <v>2</v>
      </c>
    </row>
    <row r="39" spans="1:21" x14ac:dyDescent="0.25">
      <c r="A39" s="7" t="s">
        <v>773</v>
      </c>
      <c r="B39" s="68">
        <v>36</v>
      </c>
      <c r="C39" s="91" t="s">
        <v>105</v>
      </c>
      <c r="D39" s="92" t="s">
        <v>853</v>
      </c>
      <c r="E39" s="96">
        <v>1380</v>
      </c>
      <c r="F39" s="94">
        <f t="shared" si="5"/>
        <v>23</v>
      </c>
      <c r="G39" s="297">
        <f t="shared" si="5"/>
        <v>0.38333333333333336</v>
      </c>
      <c r="H39" s="110">
        <f t="shared" si="4"/>
        <v>11</v>
      </c>
      <c r="I39" s="82" t="s">
        <v>934</v>
      </c>
      <c r="J39" s="82">
        <v>4</v>
      </c>
      <c r="K39" s="82" t="s">
        <v>932</v>
      </c>
      <c r="L39" s="82">
        <v>5</v>
      </c>
      <c r="Q39" s="82">
        <f t="shared" si="7"/>
        <v>1</v>
      </c>
      <c r="R39" s="82">
        <f>VLOOKUP(K39,$A$2:$H$21,8,0)</f>
        <v>1</v>
      </c>
      <c r="U39" s="298" t="str">
        <f t="shared" si="6"/>
        <v>2</v>
      </c>
    </row>
    <row r="40" spans="1:21" x14ac:dyDescent="0.25">
      <c r="A40" s="7" t="s">
        <v>774</v>
      </c>
      <c r="B40" s="69">
        <v>37</v>
      </c>
      <c r="C40" s="98" t="s">
        <v>97</v>
      </c>
      <c r="D40" s="99" t="s">
        <v>854</v>
      </c>
      <c r="E40" s="96">
        <v>1800</v>
      </c>
      <c r="F40" s="94">
        <f t="shared" si="5"/>
        <v>30</v>
      </c>
      <c r="G40" s="297">
        <f t="shared" si="5"/>
        <v>0.5</v>
      </c>
      <c r="H40" s="110">
        <f t="shared" si="4"/>
        <v>17</v>
      </c>
      <c r="I40" s="82" t="s">
        <v>941</v>
      </c>
      <c r="J40" s="82">
        <v>3</v>
      </c>
      <c r="Q40" s="82">
        <f t="shared" si="7"/>
        <v>5</v>
      </c>
      <c r="U40" s="298" t="str">
        <f t="shared" si="6"/>
        <v>2</v>
      </c>
    </row>
    <row r="41" spans="1:21" x14ac:dyDescent="0.25">
      <c r="A41" s="7" t="s">
        <v>775</v>
      </c>
      <c r="B41" s="69">
        <v>38</v>
      </c>
      <c r="C41" s="98" t="s">
        <v>99</v>
      </c>
      <c r="D41" s="99" t="s">
        <v>855</v>
      </c>
      <c r="E41" s="96">
        <v>1980</v>
      </c>
      <c r="F41" s="94">
        <f t="shared" si="5"/>
        <v>33</v>
      </c>
      <c r="G41" s="297">
        <f t="shared" si="5"/>
        <v>0.55000000000000004</v>
      </c>
      <c r="H41" s="110">
        <f t="shared" si="4"/>
        <v>22</v>
      </c>
      <c r="I41" s="82" t="s">
        <v>941</v>
      </c>
      <c r="J41" s="82">
        <v>4</v>
      </c>
      <c r="Q41" s="82">
        <f t="shared" si="7"/>
        <v>5</v>
      </c>
      <c r="U41" s="298" t="str">
        <f t="shared" si="6"/>
        <v>2</v>
      </c>
    </row>
    <row r="42" spans="1:21" x14ac:dyDescent="0.25">
      <c r="A42" s="7" t="s">
        <v>776</v>
      </c>
      <c r="B42" s="68">
        <v>40</v>
      </c>
      <c r="C42" s="91" t="s">
        <v>105</v>
      </c>
      <c r="D42" s="92" t="s">
        <v>856</v>
      </c>
      <c r="E42" s="96">
        <v>1980</v>
      </c>
      <c r="F42" s="94">
        <f t="shared" si="5"/>
        <v>33</v>
      </c>
      <c r="G42" s="297">
        <f t="shared" si="5"/>
        <v>0.55000000000000004</v>
      </c>
      <c r="H42" s="110">
        <f t="shared" si="4"/>
        <v>11</v>
      </c>
      <c r="I42" s="82" t="s">
        <v>934</v>
      </c>
      <c r="J42" s="82">
        <v>4</v>
      </c>
      <c r="K42" s="82" t="s">
        <v>933</v>
      </c>
      <c r="L42" s="82">
        <v>5</v>
      </c>
      <c r="Q42" s="82">
        <f t="shared" si="7"/>
        <v>1</v>
      </c>
      <c r="R42" s="82">
        <f>VLOOKUP(K42,$A$2:$H$21,8,0)</f>
        <v>1</v>
      </c>
      <c r="U42" s="298" t="str">
        <f t="shared" si="6"/>
        <v>2</v>
      </c>
    </row>
    <row r="43" spans="1:21" x14ac:dyDescent="0.25">
      <c r="A43" s="7" t="s">
        <v>777</v>
      </c>
      <c r="B43" s="68">
        <v>42</v>
      </c>
      <c r="C43" s="91" t="s">
        <v>105</v>
      </c>
      <c r="D43" s="92" t="s">
        <v>857</v>
      </c>
      <c r="E43" s="96">
        <v>2580</v>
      </c>
      <c r="F43" s="94">
        <f t="shared" si="5"/>
        <v>43</v>
      </c>
      <c r="G43" s="297">
        <f t="shared" si="5"/>
        <v>0.71666666666666667</v>
      </c>
      <c r="H43" s="110">
        <f t="shared" si="4"/>
        <v>17</v>
      </c>
      <c r="I43" s="82" t="s">
        <v>934</v>
      </c>
      <c r="J43" s="82">
        <v>4</v>
      </c>
      <c r="K43" s="82" t="s">
        <v>935</v>
      </c>
      <c r="L43" s="82">
        <v>5</v>
      </c>
      <c r="Q43" s="82">
        <f t="shared" si="7"/>
        <v>1</v>
      </c>
      <c r="R43" s="82">
        <f>VLOOKUP(K43,$A$2:$H$21,8,0)</f>
        <v>2</v>
      </c>
      <c r="U43" s="298" t="str">
        <f t="shared" si="6"/>
        <v>3</v>
      </c>
    </row>
    <row r="44" spans="1:21" x14ac:dyDescent="0.25">
      <c r="A44" s="7" t="s">
        <v>778</v>
      </c>
      <c r="B44" s="69">
        <v>43</v>
      </c>
      <c r="C44" s="98" t="s">
        <v>97</v>
      </c>
      <c r="D44" s="99" t="s">
        <v>858</v>
      </c>
      <c r="E44" s="96">
        <v>1980</v>
      </c>
      <c r="F44" s="94">
        <f t="shared" si="5"/>
        <v>33</v>
      </c>
      <c r="G44" s="297">
        <f t="shared" si="5"/>
        <v>0.55000000000000004</v>
      </c>
      <c r="H44" s="110">
        <f t="shared" si="4"/>
        <v>17</v>
      </c>
      <c r="I44" s="82" t="s">
        <v>942</v>
      </c>
      <c r="J44" s="82">
        <v>3</v>
      </c>
      <c r="Q44" s="82">
        <f t="shared" si="7"/>
        <v>5</v>
      </c>
      <c r="U44" s="298" t="str">
        <f t="shared" si="6"/>
        <v>2</v>
      </c>
    </row>
    <row r="45" spans="1:21" x14ac:dyDescent="0.25">
      <c r="A45" s="7" t="s">
        <v>779</v>
      </c>
      <c r="B45" s="69">
        <v>44</v>
      </c>
      <c r="C45" s="98" t="s">
        <v>99</v>
      </c>
      <c r="D45" s="99" t="s">
        <v>859</v>
      </c>
      <c r="E45" s="96">
        <v>2220</v>
      </c>
      <c r="F45" s="94">
        <f t="shared" si="5"/>
        <v>37</v>
      </c>
      <c r="G45" s="297">
        <f t="shared" si="5"/>
        <v>0.6166666666666667</v>
      </c>
      <c r="H45" s="110">
        <f t="shared" si="4"/>
        <v>23</v>
      </c>
      <c r="I45" s="82" t="s">
        <v>942</v>
      </c>
      <c r="J45" s="82">
        <v>4</v>
      </c>
      <c r="Q45" s="82">
        <f t="shared" si="7"/>
        <v>5</v>
      </c>
      <c r="U45" s="298" t="str">
        <f t="shared" si="6"/>
        <v>3</v>
      </c>
    </row>
    <row r="46" spans="1:21" x14ac:dyDescent="0.25">
      <c r="A46" s="7" t="s">
        <v>780</v>
      </c>
      <c r="B46" s="68">
        <v>48</v>
      </c>
      <c r="C46" s="91" t="s">
        <v>99</v>
      </c>
      <c r="D46" s="92" t="s">
        <v>860</v>
      </c>
      <c r="E46" s="96">
        <v>2400</v>
      </c>
      <c r="F46" s="94">
        <f t="shared" si="5"/>
        <v>40</v>
      </c>
      <c r="G46" s="297">
        <f t="shared" si="5"/>
        <v>0.66666666666666663</v>
      </c>
      <c r="H46" s="110">
        <f t="shared" si="4"/>
        <v>23</v>
      </c>
      <c r="I46" s="82" t="s">
        <v>943</v>
      </c>
      <c r="J46" s="82">
        <v>4</v>
      </c>
      <c r="Q46" s="82">
        <f t="shared" si="7"/>
        <v>5</v>
      </c>
      <c r="U46" s="298" t="str">
        <f t="shared" si="6"/>
        <v>3</v>
      </c>
    </row>
    <row r="47" spans="1:21" x14ac:dyDescent="0.25">
      <c r="A47" s="69" t="s">
        <v>781</v>
      </c>
      <c r="B47" s="69">
        <v>49</v>
      </c>
      <c r="C47" s="98" t="s">
        <v>105</v>
      </c>
      <c r="D47" s="99" t="s">
        <v>861</v>
      </c>
      <c r="E47" s="96">
        <v>2280</v>
      </c>
      <c r="F47" s="94">
        <f t="shared" si="5"/>
        <v>38</v>
      </c>
      <c r="G47" s="297">
        <f t="shared" si="5"/>
        <v>0.6333333333333333</v>
      </c>
      <c r="H47" s="110">
        <f t="shared" si="4"/>
        <v>17</v>
      </c>
      <c r="I47" s="82" t="s">
        <v>934</v>
      </c>
      <c r="J47" s="82">
        <v>4</v>
      </c>
      <c r="K47" s="82" t="s">
        <v>936</v>
      </c>
      <c r="L47" s="82">
        <v>5</v>
      </c>
      <c r="Q47" s="82">
        <f t="shared" si="7"/>
        <v>1</v>
      </c>
      <c r="R47" s="82">
        <f>VLOOKUP(K47,$A$2:$H$21,8,0)</f>
        <v>2</v>
      </c>
      <c r="U47" s="298" t="str">
        <f t="shared" si="6"/>
        <v>3</v>
      </c>
    </row>
    <row r="48" spans="1:21" x14ac:dyDescent="0.25">
      <c r="A48" s="7" t="s">
        <v>782</v>
      </c>
      <c r="B48" s="69">
        <v>50</v>
      </c>
      <c r="C48" s="98" t="s">
        <v>97</v>
      </c>
      <c r="D48" s="99" t="s">
        <v>862</v>
      </c>
      <c r="E48" s="96">
        <v>2100</v>
      </c>
      <c r="F48" s="94">
        <f t="shared" si="5"/>
        <v>35</v>
      </c>
      <c r="G48" s="297">
        <f t="shared" si="5"/>
        <v>0.58333333333333337</v>
      </c>
      <c r="H48" s="110">
        <f t="shared" si="4"/>
        <v>18</v>
      </c>
      <c r="I48" s="82" t="s">
        <v>944</v>
      </c>
      <c r="J48" s="82">
        <v>3</v>
      </c>
      <c r="Q48" s="82">
        <f t="shared" si="7"/>
        <v>5</v>
      </c>
      <c r="U48" s="298" t="str">
        <f t="shared" si="6"/>
        <v>3</v>
      </c>
    </row>
    <row r="49" spans="1:21" x14ac:dyDescent="0.25">
      <c r="A49" s="7" t="s">
        <v>783</v>
      </c>
      <c r="B49" s="68">
        <v>51</v>
      </c>
      <c r="C49" s="91" t="s">
        <v>107</v>
      </c>
      <c r="D49" s="92" t="s">
        <v>863</v>
      </c>
      <c r="E49" s="96">
        <v>1800</v>
      </c>
      <c r="F49" s="94">
        <f t="shared" si="5"/>
        <v>30</v>
      </c>
      <c r="G49" s="297">
        <f t="shared" si="5"/>
        <v>0.5</v>
      </c>
      <c r="H49" s="110">
        <f t="shared" si="4"/>
        <v>15</v>
      </c>
      <c r="I49" s="82" t="s">
        <v>950</v>
      </c>
      <c r="J49" s="82">
        <v>1</v>
      </c>
      <c r="K49" s="82" t="s">
        <v>946</v>
      </c>
      <c r="L49" s="82">
        <v>2</v>
      </c>
      <c r="Q49" s="82">
        <f>VLOOKUP(I49,$A$23:$H$77,8,0)</f>
        <v>5</v>
      </c>
      <c r="R49" s="82">
        <f>VLOOKUP(K49,$A$22:$H$86,8,0)</f>
        <v>4</v>
      </c>
      <c r="U49" s="298" t="str">
        <f t="shared" si="6"/>
        <v>2</v>
      </c>
    </row>
    <row r="50" spans="1:21" x14ac:dyDescent="0.25">
      <c r="A50" s="7" t="s">
        <v>784</v>
      </c>
      <c r="B50" s="68">
        <v>52</v>
      </c>
      <c r="C50" s="91" t="s">
        <v>107</v>
      </c>
      <c r="D50" s="92" t="s">
        <v>864</v>
      </c>
      <c r="E50" s="96">
        <v>2400</v>
      </c>
      <c r="F50" s="94">
        <f t="shared" si="5"/>
        <v>40</v>
      </c>
      <c r="G50" s="297">
        <f t="shared" si="5"/>
        <v>0.66666666666666663</v>
      </c>
      <c r="H50" s="110">
        <f t="shared" si="4"/>
        <v>21</v>
      </c>
      <c r="I50" s="82" t="s">
        <v>934</v>
      </c>
      <c r="J50" s="82">
        <v>4</v>
      </c>
      <c r="K50" s="82" t="s">
        <v>955</v>
      </c>
      <c r="L50" s="82">
        <v>1</v>
      </c>
      <c r="Q50" s="82">
        <f>VLOOKUP(I50,$A$2:$H$21,8,0)</f>
        <v>1</v>
      </c>
      <c r="R50" s="82">
        <f>VLOOKUP(K50,$A$22:$H$86,8,0)</f>
        <v>14</v>
      </c>
      <c r="U50" s="298" t="str">
        <f t="shared" si="6"/>
        <v>3</v>
      </c>
    </row>
    <row r="51" spans="1:21" x14ac:dyDescent="0.25">
      <c r="A51" s="7" t="s">
        <v>785</v>
      </c>
      <c r="B51" s="68">
        <v>54</v>
      </c>
      <c r="C51" s="91" t="s">
        <v>107</v>
      </c>
      <c r="D51" s="92" t="s">
        <v>865</v>
      </c>
      <c r="E51" s="96">
        <v>3600</v>
      </c>
      <c r="F51" s="94">
        <f t="shared" si="5"/>
        <v>60</v>
      </c>
      <c r="G51" s="297">
        <f t="shared" si="5"/>
        <v>1</v>
      </c>
      <c r="H51" s="110">
        <f t="shared" si="4"/>
        <v>27</v>
      </c>
      <c r="I51" s="82" t="s">
        <v>947</v>
      </c>
      <c r="J51" s="82">
        <v>1</v>
      </c>
      <c r="K51" s="82" t="s">
        <v>955</v>
      </c>
      <c r="L51" s="82">
        <v>1</v>
      </c>
      <c r="M51" s="82" t="s">
        <v>934</v>
      </c>
      <c r="N51" s="82">
        <v>4</v>
      </c>
      <c r="Q51" s="82">
        <f>VLOOKUP(I51,$A$23:$H$77,8,0)</f>
        <v>5</v>
      </c>
      <c r="R51" s="82">
        <f>VLOOKUP(K51,$A$22:$H$86,8,0)</f>
        <v>14</v>
      </c>
      <c r="S51" s="82">
        <f>VLOOKUP(M51,$A$2:$H$21,8,0)</f>
        <v>1</v>
      </c>
      <c r="U51" s="298" t="str">
        <f t="shared" si="6"/>
        <v>4</v>
      </c>
    </row>
    <row r="52" spans="1:21" x14ac:dyDescent="0.25">
      <c r="A52" s="7" t="s">
        <v>786</v>
      </c>
      <c r="B52" s="68">
        <v>56</v>
      </c>
      <c r="C52" s="91" t="s">
        <v>107</v>
      </c>
      <c r="D52" s="92" t="s">
        <v>866</v>
      </c>
      <c r="E52" s="96">
        <v>6300</v>
      </c>
      <c r="F52" s="94">
        <f t="shared" si="5"/>
        <v>105</v>
      </c>
      <c r="G52" s="297">
        <f t="shared" si="5"/>
        <v>1.75</v>
      </c>
      <c r="H52" s="110">
        <f t="shared" si="4"/>
        <v>37</v>
      </c>
      <c r="I52" s="82" t="s">
        <v>949</v>
      </c>
      <c r="J52" s="82">
        <v>1</v>
      </c>
      <c r="K52" s="82" t="s">
        <v>955</v>
      </c>
      <c r="L52" s="82">
        <v>1</v>
      </c>
      <c r="M52" s="82" t="s">
        <v>934</v>
      </c>
      <c r="N52" s="82">
        <v>4</v>
      </c>
      <c r="Q52" s="82">
        <f>VLOOKUP(I52,$A$23:$H$77,8,0)</f>
        <v>14</v>
      </c>
      <c r="R52" s="82">
        <f>VLOOKUP(K52,$A$22:$H$86,8,0)</f>
        <v>14</v>
      </c>
      <c r="S52" s="82">
        <f>VLOOKUP(M52,$A$2:$H$21,8,0)</f>
        <v>1</v>
      </c>
      <c r="U52" s="298" t="str">
        <f t="shared" si="6"/>
        <v>5</v>
      </c>
    </row>
    <row r="53" spans="1:21" x14ac:dyDescent="0.25">
      <c r="A53" s="7" t="s">
        <v>787</v>
      </c>
      <c r="B53" s="68">
        <v>59</v>
      </c>
      <c r="C53" s="91" t="s">
        <v>107</v>
      </c>
      <c r="D53" s="92" t="s">
        <v>867</v>
      </c>
      <c r="E53" s="96">
        <v>7200</v>
      </c>
      <c r="F53" s="94">
        <f t="shared" si="5"/>
        <v>120</v>
      </c>
      <c r="G53" s="297">
        <f t="shared" si="5"/>
        <v>2</v>
      </c>
      <c r="H53" s="110">
        <f t="shared" si="4"/>
        <v>47</v>
      </c>
      <c r="I53" s="82" t="s">
        <v>951</v>
      </c>
      <c r="J53" s="82">
        <v>1</v>
      </c>
      <c r="K53" s="82" t="s">
        <v>955</v>
      </c>
      <c r="L53" s="82">
        <v>1</v>
      </c>
      <c r="M53" s="82" t="s">
        <v>934</v>
      </c>
      <c r="N53" s="82">
        <v>4</v>
      </c>
      <c r="Q53" s="82">
        <f>VLOOKUP(I53,$A$23:$H$77,8,0)</f>
        <v>23</v>
      </c>
      <c r="R53" s="82">
        <f>VLOOKUP(K53,$A$22:$H$86,8,0)</f>
        <v>14</v>
      </c>
      <c r="S53" s="82">
        <f>VLOOKUP(M53,$A$2:$H$21,8,0)</f>
        <v>1</v>
      </c>
      <c r="U53" s="298" t="str">
        <f t="shared" si="6"/>
        <v>6</v>
      </c>
    </row>
    <row r="54" spans="1:21" x14ac:dyDescent="0.25">
      <c r="A54" s="7" t="s">
        <v>788</v>
      </c>
      <c r="B54" s="68">
        <v>60</v>
      </c>
      <c r="C54" s="91" t="s">
        <v>105</v>
      </c>
      <c r="D54" s="92" t="s">
        <v>868</v>
      </c>
      <c r="E54" s="93">
        <v>3180</v>
      </c>
      <c r="F54" s="94">
        <f t="shared" si="5"/>
        <v>53</v>
      </c>
      <c r="G54" s="297">
        <f t="shared" si="5"/>
        <v>0.8833333333333333</v>
      </c>
      <c r="H54" s="110">
        <f t="shared" ref="H54:H85" si="8">Q54*J54+L54*R54+N54*S54+P54*T54+U54</f>
        <v>23</v>
      </c>
      <c r="I54" s="82" t="s">
        <v>934</v>
      </c>
      <c r="J54" s="82">
        <v>4</v>
      </c>
      <c r="K54" s="82" t="s">
        <v>937</v>
      </c>
      <c r="L54" s="82">
        <v>5</v>
      </c>
      <c r="Q54" s="82">
        <f>VLOOKUP(I54,$A$2:$H$21,8,0)</f>
        <v>1</v>
      </c>
      <c r="R54" s="82">
        <f>VLOOKUP(K54,$A$2:$H$21,8,0)</f>
        <v>3</v>
      </c>
      <c r="U54" s="298" t="str">
        <f t="shared" si="6"/>
        <v>4</v>
      </c>
    </row>
    <row r="55" spans="1:21" x14ac:dyDescent="0.25">
      <c r="A55" s="7" t="s">
        <v>789</v>
      </c>
      <c r="B55" s="68">
        <v>61</v>
      </c>
      <c r="C55" s="91" t="s">
        <v>97</v>
      </c>
      <c r="D55" s="92" t="s">
        <v>869</v>
      </c>
      <c r="E55" s="96">
        <v>2280</v>
      </c>
      <c r="F55" s="94">
        <f t="shared" si="5"/>
        <v>38</v>
      </c>
      <c r="G55" s="297">
        <f t="shared" si="5"/>
        <v>0.6333333333333333</v>
      </c>
      <c r="H55" s="110">
        <f t="shared" si="8"/>
        <v>21</v>
      </c>
      <c r="I55" s="82" t="s">
        <v>945</v>
      </c>
      <c r="J55" s="82">
        <v>3</v>
      </c>
      <c r="Q55" s="82">
        <f>VLOOKUP(I55,$A$2:$H$21,8,0)</f>
        <v>6</v>
      </c>
      <c r="U55" s="298" t="str">
        <f t="shared" si="6"/>
        <v>3</v>
      </c>
    </row>
    <row r="56" spans="1:21" x14ac:dyDescent="0.25">
      <c r="A56" s="7" t="s">
        <v>790</v>
      </c>
      <c r="B56" s="68">
        <v>63</v>
      </c>
      <c r="C56" s="91" t="s">
        <v>109</v>
      </c>
      <c r="D56" s="92" t="s">
        <v>870</v>
      </c>
      <c r="E56" s="93">
        <v>3600</v>
      </c>
      <c r="F56" s="94">
        <f t="shared" si="5"/>
        <v>60</v>
      </c>
      <c r="G56" s="297">
        <f t="shared" si="5"/>
        <v>1</v>
      </c>
      <c r="H56" s="110">
        <f t="shared" si="8"/>
        <v>39</v>
      </c>
      <c r="I56" s="82" t="s">
        <v>952</v>
      </c>
      <c r="J56" s="82">
        <v>3</v>
      </c>
      <c r="K56" s="82" t="s">
        <v>932</v>
      </c>
      <c r="L56" s="82">
        <v>6</v>
      </c>
      <c r="M56" s="82" t="s">
        <v>956</v>
      </c>
      <c r="N56" s="82">
        <v>1</v>
      </c>
      <c r="Q56" s="82">
        <f>VLOOKUP(I56,$A$2:$H$21,8,0)</f>
        <v>7</v>
      </c>
      <c r="R56" s="82">
        <f>VLOOKUP(K56,$A$2:$H$21,8,0)</f>
        <v>1</v>
      </c>
      <c r="S56" s="82">
        <f>VLOOKUP(M56,$A$25:$H$79,8,0)</f>
        <v>8</v>
      </c>
      <c r="U56" s="298" t="str">
        <f t="shared" si="6"/>
        <v>4</v>
      </c>
    </row>
    <row r="57" spans="1:21" x14ac:dyDescent="0.25">
      <c r="A57" s="7" t="s">
        <v>791</v>
      </c>
      <c r="B57" s="68">
        <v>65</v>
      </c>
      <c r="C57" s="91" t="s">
        <v>101</v>
      </c>
      <c r="D57" s="97" t="s">
        <v>871</v>
      </c>
      <c r="E57" s="93">
        <v>6000</v>
      </c>
      <c r="F57" s="94">
        <f t="shared" si="5"/>
        <v>100</v>
      </c>
      <c r="G57" s="297">
        <f t="shared" si="5"/>
        <v>1.6666666666666667</v>
      </c>
      <c r="H57" s="110">
        <f t="shared" si="8"/>
        <v>29</v>
      </c>
      <c r="I57" s="82" t="s">
        <v>953</v>
      </c>
      <c r="J57" s="82">
        <v>1</v>
      </c>
      <c r="K57" s="82" t="s">
        <v>954</v>
      </c>
      <c r="L57" s="82">
        <v>3</v>
      </c>
      <c r="Q57" s="82">
        <f>VLOOKUP(I57,$A$22:$H$86,8,0)</f>
        <v>21</v>
      </c>
      <c r="R57" s="82">
        <f>VLOOKUP(K57,$A$2:$H$21,8,0)</f>
        <v>1</v>
      </c>
      <c r="U57" s="298" t="str">
        <f t="shared" si="6"/>
        <v>5</v>
      </c>
    </row>
    <row r="58" spans="1:21" x14ac:dyDescent="0.25">
      <c r="A58" s="7" t="s">
        <v>792</v>
      </c>
      <c r="B58" s="68">
        <v>66</v>
      </c>
      <c r="C58" s="91" t="s">
        <v>109</v>
      </c>
      <c r="D58" s="92" t="s">
        <v>872</v>
      </c>
      <c r="E58" s="93">
        <v>5400</v>
      </c>
      <c r="F58" s="94">
        <f t="shared" si="5"/>
        <v>90</v>
      </c>
      <c r="G58" s="297">
        <f t="shared" si="5"/>
        <v>1.5</v>
      </c>
      <c r="H58" s="110">
        <f t="shared" si="8"/>
        <v>50</v>
      </c>
      <c r="I58" s="82" t="s">
        <v>952</v>
      </c>
      <c r="J58" s="82">
        <v>3</v>
      </c>
      <c r="K58" s="82" t="s">
        <v>935</v>
      </c>
      <c r="L58" s="82">
        <v>6</v>
      </c>
      <c r="M58" s="82" t="s">
        <v>957</v>
      </c>
      <c r="N58" s="82">
        <v>1</v>
      </c>
      <c r="Q58" s="82">
        <f>VLOOKUP(I58,$A$2:$H$21,8,0)</f>
        <v>7</v>
      </c>
      <c r="R58" s="82">
        <f>VLOOKUP(K58,$A$2:$H$21,8,0)</f>
        <v>2</v>
      </c>
      <c r="S58" s="82">
        <f>VLOOKUP(M58,$A$25:$H$79,8,0)</f>
        <v>12</v>
      </c>
      <c r="U58" s="298" t="str">
        <f t="shared" si="6"/>
        <v>5</v>
      </c>
    </row>
    <row r="59" spans="1:21" x14ac:dyDescent="0.25">
      <c r="A59" s="7" t="s">
        <v>793</v>
      </c>
      <c r="B59" s="68">
        <v>69</v>
      </c>
      <c r="C59" s="91" t="s">
        <v>109</v>
      </c>
      <c r="D59" s="92" t="s">
        <v>873</v>
      </c>
      <c r="E59" s="93">
        <v>7200</v>
      </c>
      <c r="F59" s="94">
        <f t="shared" si="5"/>
        <v>120</v>
      </c>
      <c r="G59" s="297">
        <f t="shared" si="5"/>
        <v>2</v>
      </c>
      <c r="H59" s="110">
        <f t="shared" si="8"/>
        <v>92</v>
      </c>
      <c r="I59" s="82" t="s">
        <v>952</v>
      </c>
      <c r="J59" s="82">
        <v>3</v>
      </c>
      <c r="K59" s="82" t="s">
        <v>945</v>
      </c>
      <c r="L59" s="82">
        <v>6</v>
      </c>
      <c r="M59" s="82" t="s">
        <v>958</v>
      </c>
      <c r="N59" s="82">
        <v>1</v>
      </c>
      <c r="Q59" s="82">
        <f>VLOOKUP(I59,$A$2:$H$21,8,0)</f>
        <v>7</v>
      </c>
      <c r="R59" s="82">
        <f>VLOOKUP(K59,$A$2:$H$21,8,0)</f>
        <v>6</v>
      </c>
      <c r="S59" s="82">
        <f>VLOOKUP(M59,$A$25:$H$79,8,0)</f>
        <v>29</v>
      </c>
      <c r="U59" s="298" t="str">
        <f t="shared" si="6"/>
        <v>6</v>
      </c>
    </row>
    <row r="60" spans="1:21" x14ac:dyDescent="0.25">
      <c r="A60" s="7" t="s">
        <v>794</v>
      </c>
      <c r="B60" s="68">
        <v>70</v>
      </c>
      <c r="C60" s="91" t="s">
        <v>107</v>
      </c>
      <c r="D60" s="92" t="s">
        <v>874</v>
      </c>
      <c r="E60" s="96">
        <v>8100</v>
      </c>
      <c r="F60" s="94">
        <f t="shared" si="5"/>
        <v>135</v>
      </c>
      <c r="G60" s="297">
        <f t="shared" si="5"/>
        <v>2.25</v>
      </c>
      <c r="H60" s="110">
        <f t="shared" si="8"/>
        <v>53</v>
      </c>
      <c r="I60" s="82" t="s">
        <v>950</v>
      </c>
      <c r="J60" s="82">
        <v>1</v>
      </c>
      <c r="K60" s="82" t="s">
        <v>953</v>
      </c>
      <c r="L60" s="82">
        <v>2</v>
      </c>
      <c r="Q60" s="82">
        <f>VLOOKUP(I60,$A$23:$H$77,8,0)</f>
        <v>5</v>
      </c>
      <c r="R60" s="82">
        <f>VLOOKUP(K60,$A$22:$H$86,8,0)</f>
        <v>21</v>
      </c>
      <c r="U60" s="298" t="str">
        <f t="shared" si="6"/>
        <v>6</v>
      </c>
    </row>
    <row r="61" spans="1:21" x14ac:dyDescent="0.25">
      <c r="A61" s="7" t="s">
        <v>795</v>
      </c>
      <c r="B61" s="68">
        <v>73</v>
      </c>
      <c r="C61" s="91" t="s">
        <v>111</v>
      </c>
      <c r="D61" s="92" t="s">
        <v>875</v>
      </c>
      <c r="E61" s="96">
        <v>2700</v>
      </c>
      <c r="F61" s="94">
        <f t="shared" si="5"/>
        <v>45</v>
      </c>
      <c r="G61" s="297">
        <f t="shared" si="5"/>
        <v>0.75</v>
      </c>
      <c r="H61" s="110">
        <f t="shared" si="8"/>
        <v>19</v>
      </c>
      <c r="I61" s="82" t="s">
        <v>932</v>
      </c>
      <c r="J61" s="82">
        <v>4</v>
      </c>
      <c r="K61" s="82" t="s">
        <v>959</v>
      </c>
      <c r="L61" s="82">
        <v>1</v>
      </c>
      <c r="Q61" s="82">
        <f>VLOOKUP(I61,$A$2:$H$86,8,0)</f>
        <v>1</v>
      </c>
      <c r="R61" s="82">
        <f>VLOOKUP(K61,$A$39:$H$90,8,0)</f>
        <v>11</v>
      </c>
      <c r="U61" s="298" t="str">
        <f t="shared" si="6"/>
        <v>4</v>
      </c>
    </row>
    <row r="62" spans="1:21" x14ac:dyDescent="0.25">
      <c r="A62" s="66" t="s">
        <v>796</v>
      </c>
      <c r="B62" s="70">
        <v>74</v>
      </c>
      <c r="C62" s="100" t="s">
        <v>105</v>
      </c>
      <c r="D62" s="101" t="s">
        <v>876</v>
      </c>
      <c r="E62" s="102">
        <v>4500</v>
      </c>
      <c r="F62" s="94">
        <f t="shared" si="5"/>
        <v>75</v>
      </c>
      <c r="G62" s="297">
        <f t="shared" si="5"/>
        <v>1.25</v>
      </c>
      <c r="H62" s="110">
        <f t="shared" si="8"/>
        <v>44</v>
      </c>
      <c r="I62" s="82" t="s">
        <v>934</v>
      </c>
      <c r="J62" s="82">
        <v>4</v>
      </c>
      <c r="K62" s="82" t="s">
        <v>960</v>
      </c>
      <c r="L62" s="82">
        <v>5</v>
      </c>
      <c r="Q62" s="82">
        <f>VLOOKUP(I62,$A$2:$H$21,8,0)</f>
        <v>1</v>
      </c>
      <c r="R62" s="82">
        <f>VLOOKUP(K62,$A$2:$H$21,8,0)</f>
        <v>7</v>
      </c>
      <c r="U62" s="298" t="str">
        <f t="shared" si="6"/>
        <v>5</v>
      </c>
    </row>
    <row r="63" spans="1:21" x14ac:dyDescent="0.25">
      <c r="A63" s="7" t="s">
        <v>797</v>
      </c>
      <c r="B63" s="68">
        <v>76</v>
      </c>
      <c r="C63" s="91" t="s">
        <v>97</v>
      </c>
      <c r="D63" s="92" t="s">
        <v>877</v>
      </c>
      <c r="E63" s="93">
        <v>2700</v>
      </c>
      <c r="F63" s="94">
        <f t="shared" si="5"/>
        <v>45</v>
      </c>
      <c r="G63" s="297">
        <f t="shared" si="5"/>
        <v>0.75</v>
      </c>
      <c r="H63" s="110">
        <f t="shared" si="8"/>
        <v>25</v>
      </c>
      <c r="I63" s="82" t="s">
        <v>960</v>
      </c>
      <c r="J63" s="82">
        <v>3</v>
      </c>
      <c r="Q63" s="82">
        <f>VLOOKUP(I63,$A$2:$H$21,8,0)</f>
        <v>7</v>
      </c>
      <c r="U63" s="298" t="str">
        <f t="shared" si="6"/>
        <v>4</v>
      </c>
    </row>
    <row r="64" spans="1:21" x14ac:dyDescent="0.25">
      <c r="A64" s="7" t="s">
        <v>798</v>
      </c>
      <c r="B64" s="68">
        <v>77</v>
      </c>
      <c r="C64" s="91" t="s">
        <v>111</v>
      </c>
      <c r="D64" s="92" t="s">
        <v>878</v>
      </c>
      <c r="E64" s="93">
        <v>3600</v>
      </c>
      <c r="F64" s="94">
        <f t="shared" si="5"/>
        <v>60</v>
      </c>
      <c r="G64" s="297">
        <f t="shared" si="5"/>
        <v>1</v>
      </c>
      <c r="H64" s="110">
        <f t="shared" si="8"/>
        <v>20</v>
      </c>
      <c r="I64" s="82" t="s">
        <v>947</v>
      </c>
      <c r="J64" s="82">
        <v>1</v>
      </c>
      <c r="K64" s="82" t="s">
        <v>961</v>
      </c>
      <c r="L64" s="82">
        <v>1</v>
      </c>
      <c r="Q64" s="82">
        <f>VLOOKUP(I64,$A$2:$H$86,8,0)</f>
        <v>5</v>
      </c>
      <c r="R64" s="82">
        <f>VLOOKUP(K64,$A$39:$H$90,8,0)</f>
        <v>11</v>
      </c>
      <c r="U64" s="298" t="str">
        <f t="shared" si="6"/>
        <v>4</v>
      </c>
    </row>
    <row r="65" spans="1:21" x14ac:dyDescent="0.25">
      <c r="A65" s="69" t="s">
        <v>799</v>
      </c>
      <c r="B65" s="69">
        <v>80</v>
      </c>
      <c r="C65" s="98" t="s">
        <v>107</v>
      </c>
      <c r="D65" s="99" t="s">
        <v>879</v>
      </c>
      <c r="E65" s="96">
        <v>8400</v>
      </c>
      <c r="F65" s="94">
        <f t="shared" si="5"/>
        <v>140</v>
      </c>
      <c r="G65" s="297">
        <f t="shared" si="5"/>
        <v>2.3333333333333335</v>
      </c>
      <c r="H65" s="110">
        <f t="shared" si="8"/>
        <v>60</v>
      </c>
      <c r="I65" s="82" t="s">
        <v>962</v>
      </c>
      <c r="J65" s="82">
        <v>1</v>
      </c>
      <c r="K65" s="82" t="s">
        <v>963</v>
      </c>
      <c r="L65" s="82">
        <v>1</v>
      </c>
      <c r="M65" s="82" t="s">
        <v>955</v>
      </c>
      <c r="N65" s="82">
        <v>1</v>
      </c>
      <c r="Q65" s="82">
        <f>VLOOKUP(I65,$A$23:$H$77,8,0)</f>
        <v>18</v>
      </c>
      <c r="R65" s="82">
        <f>VLOOKUP(K65,$A$22:$H$86,8,0)</f>
        <v>22</v>
      </c>
      <c r="S65" s="82">
        <f>VLOOKUP(M65,$A$22:$H$86,8,0)</f>
        <v>14</v>
      </c>
      <c r="U65" s="298" t="str">
        <f t="shared" si="6"/>
        <v>6</v>
      </c>
    </row>
    <row r="66" spans="1:21" x14ac:dyDescent="0.25">
      <c r="A66" s="7" t="s">
        <v>800</v>
      </c>
      <c r="B66" s="68">
        <v>81</v>
      </c>
      <c r="C66" s="91" t="s">
        <v>111</v>
      </c>
      <c r="D66" s="92" t="s">
        <v>880</v>
      </c>
      <c r="E66" s="93">
        <v>5100</v>
      </c>
      <c r="F66" s="94">
        <f t="shared" si="5"/>
        <v>85</v>
      </c>
      <c r="G66" s="297">
        <f t="shared" si="5"/>
        <v>1.4166666666666667</v>
      </c>
      <c r="H66" s="110">
        <f t="shared" si="8"/>
        <v>30</v>
      </c>
      <c r="I66" s="82" t="s">
        <v>935</v>
      </c>
      <c r="J66" s="82">
        <v>4</v>
      </c>
      <c r="K66" s="82" t="s">
        <v>964</v>
      </c>
      <c r="L66" s="82">
        <v>1</v>
      </c>
      <c r="Q66" s="82">
        <f>VLOOKUP(I66,$A$2:$H$86,8,0)</f>
        <v>2</v>
      </c>
      <c r="R66" s="82">
        <f>VLOOKUP(K66,$A$39:$H$90,8,0)</f>
        <v>17</v>
      </c>
      <c r="U66" s="298" t="str">
        <f t="shared" ref="U66:U97" si="9">IF(G66&gt;=4.5,"9",IF(G66&gt;=4,"8",IF(G66&gt;=2.5,"7",IF(G66&gt;=2,"6",IF(G66&gt;=1.17,"5",IF(G66&gt;=0.75,"4",IF(G66&gt;=0.58,"3",IF(G66&gt;=0.33,"2","1"))))))))</f>
        <v>5</v>
      </c>
    </row>
    <row r="67" spans="1:21" x14ac:dyDescent="0.25">
      <c r="A67" s="66" t="s">
        <v>801</v>
      </c>
      <c r="B67" s="70">
        <v>82</v>
      </c>
      <c r="C67" s="100" t="s">
        <v>97</v>
      </c>
      <c r="D67" s="101" t="s">
        <v>881</v>
      </c>
      <c r="E67" s="102">
        <v>3000</v>
      </c>
      <c r="F67" s="94">
        <f t="shared" si="5"/>
        <v>50</v>
      </c>
      <c r="G67" s="297">
        <f t="shared" si="5"/>
        <v>0.83333333333333337</v>
      </c>
      <c r="H67" s="110">
        <f t="shared" si="8"/>
        <v>19</v>
      </c>
      <c r="I67" s="82" t="s">
        <v>943</v>
      </c>
      <c r="J67" s="82">
        <v>3</v>
      </c>
      <c r="Q67" s="82">
        <f>VLOOKUP(I67,$A$2:$H$21,8,0)</f>
        <v>5</v>
      </c>
      <c r="U67" s="298" t="str">
        <f t="shared" si="9"/>
        <v>4</v>
      </c>
    </row>
    <row r="68" spans="1:21" x14ac:dyDescent="0.25">
      <c r="A68" s="7" t="s">
        <v>802</v>
      </c>
      <c r="B68" s="68">
        <v>84</v>
      </c>
      <c r="C68" s="91" t="s">
        <v>109</v>
      </c>
      <c r="D68" s="92" t="s">
        <v>882</v>
      </c>
      <c r="E68" s="93">
        <v>9900</v>
      </c>
      <c r="F68" s="94">
        <f t="shared" si="5"/>
        <v>165</v>
      </c>
      <c r="G68" s="297">
        <f t="shared" si="5"/>
        <v>2.75</v>
      </c>
      <c r="H68" s="110">
        <f t="shared" si="8"/>
        <v>79</v>
      </c>
      <c r="I68" s="82" t="s">
        <v>952</v>
      </c>
      <c r="J68" s="82">
        <v>3</v>
      </c>
      <c r="K68" s="82" t="s">
        <v>965</v>
      </c>
      <c r="L68" s="82">
        <v>6</v>
      </c>
      <c r="M68" s="82" t="s">
        <v>966</v>
      </c>
      <c r="N68" s="82">
        <v>1</v>
      </c>
      <c r="Q68" s="82">
        <f>VLOOKUP(I68,$A$2:$H$21,8,0)</f>
        <v>7</v>
      </c>
      <c r="R68" s="82">
        <f>VLOOKUP(K68,$A$2:$H$21,8,0)</f>
        <v>7</v>
      </c>
      <c r="S68" s="82">
        <f>VLOOKUP(M68,$A$25:$H$79,8,0)</f>
        <v>9</v>
      </c>
      <c r="U68" s="298" t="str">
        <f t="shared" si="9"/>
        <v>7</v>
      </c>
    </row>
    <row r="69" spans="1:21" x14ac:dyDescent="0.25">
      <c r="A69" s="7" t="s">
        <v>803</v>
      </c>
      <c r="B69" s="68">
        <v>85</v>
      </c>
      <c r="C69" s="91" t="s">
        <v>113</v>
      </c>
      <c r="D69" s="97" t="s">
        <v>883</v>
      </c>
      <c r="E69" s="96">
        <v>7200</v>
      </c>
      <c r="F69" s="94">
        <f t="shared" si="5"/>
        <v>120</v>
      </c>
      <c r="G69" s="297">
        <f t="shared" si="5"/>
        <v>2</v>
      </c>
      <c r="H69" s="110">
        <f t="shared" si="8"/>
        <v>102</v>
      </c>
      <c r="I69" s="82" t="s">
        <v>967</v>
      </c>
      <c r="J69" s="82">
        <v>3</v>
      </c>
      <c r="K69" s="82" t="s">
        <v>956</v>
      </c>
      <c r="L69" s="82">
        <v>3</v>
      </c>
      <c r="M69" s="82" t="s">
        <v>946</v>
      </c>
      <c r="N69" s="82">
        <v>3</v>
      </c>
      <c r="O69" s="82" t="s">
        <v>932</v>
      </c>
      <c r="P69" s="82">
        <v>3</v>
      </c>
      <c r="Q69" s="82">
        <f>VLOOKUP(I69,$A$61:$H$97,8,0)</f>
        <v>19</v>
      </c>
      <c r="R69" s="82">
        <f>VLOOKUP(K69,$A$25:$H$79,8,0)</f>
        <v>8</v>
      </c>
      <c r="S69" s="82">
        <f>VLOOKUP(M69,$A$2:$H$83,8,0)</f>
        <v>4</v>
      </c>
      <c r="T69" s="82">
        <f>VLOOKUP(O69,$A$2:$H$21,8,0)</f>
        <v>1</v>
      </c>
      <c r="U69" s="298" t="str">
        <f t="shared" si="9"/>
        <v>6</v>
      </c>
    </row>
    <row r="70" spans="1:21" x14ac:dyDescent="0.25">
      <c r="A70" s="7" t="s">
        <v>804</v>
      </c>
      <c r="B70" s="68">
        <v>87</v>
      </c>
      <c r="C70" s="91" t="s">
        <v>113</v>
      </c>
      <c r="D70" s="97" t="s">
        <v>884</v>
      </c>
      <c r="E70" s="96">
        <v>8400</v>
      </c>
      <c r="F70" s="94">
        <f t="shared" si="5"/>
        <v>140</v>
      </c>
      <c r="G70" s="297">
        <f t="shared" si="5"/>
        <v>2.3333333333333335</v>
      </c>
      <c r="H70" s="110">
        <f t="shared" si="8"/>
        <v>108</v>
      </c>
      <c r="I70" s="82" t="s">
        <v>968</v>
      </c>
      <c r="J70" s="82">
        <v>3</v>
      </c>
      <c r="K70" s="82" t="s">
        <v>966</v>
      </c>
      <c r="L70" s="82">
        <v>3</v>
      </c>
      <c r="M70" s="82" t="s">
        <v>969</v>
      </c>
      <c r="N70" s="82">
        <v>3</v>
      </c>
      <c r="O70" s="82" t="s">
        <v>933</v>
      </c>
      <c r="P70" s="82">
        <v>3</v>
      </c>
      <c r="Q70" s="82">
        <f>VLOOKUP(I70,$A$61:$H$97,8,0)</f>
        <v>20</v>
      </c>
      <c r="R70" s="82">
        <f>VLOOKUP(K70,$A$25:$H$79,8,0)</f>
        <v>9</v>
      </c>
      <c r="S70" s="82">
        <f>VLOOKUP(M70,$A$2:$H$83,8,0)</f>
        <v>4</v>
      </c>
      <c r="T70" s="82">
        <f>VLOOKUP(O70,$A$2:$H$21,8,0)</f>
        <v>1</v>
      </c>
      <c r="U70" s="298" t="str">
        <f t="shared" si="9"/>
        <v>6</v>
      </c>
    </row>
    <row r="71" spans="1:21" x14ac:dyDescent="0.25">
      <c r="A71" s="7" t="s">
        <v>805</v>
      </c>
      <c r="B71" s="68">
        <v>88</v>
      </c>
      <c r="C71" s="91" t="s">
        <v>101</v>
      </c>
      <c r="D71" s="92" t="s">
        <v>885</v>
      </c>
      <c r="E71" s="93">
        <v>6600</v>
      </c>
      <c r="F71" s="94">
        <f t="shared" si="5"/>
        <v>110</v>
      </c>
      <c r="G71" s="297">
        <f t="shared" si="5"/>
        <v>1.8333333333333333</v>
      </c>
      <c r="H71" s="110">
        <f t="shared" si="8"/>
        <v>29</v>
      </c>
      <c r="I71" s="82" t="s">
        <v>960</v>
      </c>
      <c r="J71" s="82">
        <v>3</v>
      </c>
      <c r="K71" s="82" t="s">
        <v>954</v>
      </c>
      <c r="L71" s="82">
        <v>3</v>
      </c>
      <c r="Q71" s="82">
        <f>VLOOKUP(I71,$A$2:$H$21,8,0)</f>
        <v>7</v>
      </c>
      <c r="R71" s="82">
        <f>VLOOKUP(K71,$A$2:$H$21,8,0)</f>
        <v>1</v>
      </c>
      <c r="U71" s="298" t="str">
        <f t="shared" si="9"/>
        <v>5</v>
      </c>
    </row>
    <row r="72" spans="1:21" x14ac:dyDescent="0.25">
      <c r="A72" s="7" t="s">
        <v>806</v>
      </c>
      <c r="B72" s="68">
        <v>89</v>
      </c>
      <c r="C72" s="91" t="s">
        <v>109</v>
      </c>
      <c r="D72" s="92" t="s">
        <v>886</v>
      </c>
      <c r="E72" s="93">
        <v>11100</v>
      </c>
      <c r="F72" s="94">
        <f t="shared" si="5"/>
        <v>185</v>
      </c>
      <c r="G72" s="297">
        <f t="shared" si="5"/>
        <v>3.0833333333333335</v>
      </c>
      <c r="H72" s="110">
        <f t="shared" si="8"/>
        <v>78</v>
      </c>
      <c r="K72" s="82" t="s">
        <v>960</v>
      </c>
      <c r="L72" s="82">
        <v>6</v>
      </c>
      <c r="M72" s="82" t="s">
        <v>970</v>
      </c>
      <c r="N72" s="82">
        <v>1</v>
      </c>
      <c r="R72" s="82">
        <f>VLOOKUP(K72,$A$2:$H$21,8,0)</f>
        <v>7</v>
      </c>
      <c r="S72" s="82">
        <f>VLOOKUP(M72,$A$25:$H$79,8,0)</f>
        <v>29</v>
      </c>
      <c r="U72" s="298" t="str">
        <f t="shared" si="9"/>
        <v>7</v>
      </c>
    </row>
    <row r="73" spans="1:21" x14ac:dyDescent="0.25">
      <c r="A73" s="66" t="s">
        <v>807</v>
      </c>
      <c r="B73" s="70">
        <v>90</v>
      </c>
      <c r="C73" s="100" t="s">
        <v>101</v>
      </c>
      <c r="D73" s="101" t="s">
        <v>887</v>
      </c>
      <c r="E73" s="102">
        <v>7500</v>
      </c>
      <c r="F73" s="94">
        <f t="shared" si="5"/>
        <v>125</v>
      </c>
      <c r="G73" s="297">
        <f t="shared" si="5"/>
        <v>2.0833333333333335</v>
      </c>
      <c r="H73" s="110">
        <f t="shared" si="8"/>
        <v>112</v>
      </c>
      <c r="I73" s="82" t="s">
        <v>971</v>
      </c>
      <c r="J73" s="82">
        <v>3</v>
      </c>
      <c r="K73" s="82" t="s">
        <v>954</v>
      </c>
      <c r="L73" s="82">
        <v>3</v>
      </c>
      <c r="M73" s="82" t="s">
        <v>983</v>
      </c>
      <c r="N73" s="82">
        <v>1</v>
      </c>
      <c r="Q73" s="82">
        <f>VLOOKUP(I73,$A$22:$H$86,8,0)</f>
        <v>19</v>
      </c>
      <c r="R73" s="82">
        <f>VLOOKUP(K73,$A$2:$H$21,8,0)</f>
        <v>1</v>
      </c>
      <c r="S73" s="82">
        <f>VLOOKUP(M73,$A$25:$H$79,8,0)</f>
        <v>46</v>
      </c>
      <c r="U73" s="298" t="str">
        <f t="shared" si="9"/>
        <v>6</v>
      </c>
    </row>
    <row r="74" spans="1:21" x14ac:dyDescent="0.25">
      <c r="A74" s="66" t="s">
        <v>808</v>
      </c>
      <c r="B74" s="70">
        <v>90</v>
      </c>
      <c r="C74" s="100" t="s">
        <v>107</v>
      </c>
      <c r="D74" s="101" t="s">
        <v>888</v>
      </c>
      <c r="E74" s="103">
        <v>10500</v>
      </c>
      <c r="F74" s="94">
        <f t="shared" si="5"/>
        <v>175</v>
      </c>
      <c r="G74" s="297">
        <f t="shared" si="5"/>
        <v>2.9166666666666665</v>
      </c>
      <c r="H74" s="110">
        <f t="shared" si="8"/>
        <v>71</v>
      </c>
      <c r="I74" s="82" t="s">
        <v>972</v>
      </c>
      <c r="J74" s="82">
        <v>1</v>
      </c>
      <c r="K74" s="82" t="s">
        <v>955</v>
      </c>
      <c r="L74" s="82">
        <v>2</v>
      </c>
      <c r="Q74" s="82">
        <f>VLOOKUP(I74,$A$23:$H$77,8,0)</f>
        <v>36</v>
      </c>
      <c r="R74" s="82">
        <f>VLOOKUP(K74,$A$22:$H$86,8,0)</f>
        <v>14</v>
      </c>
      <c r="U74" s="298" t="str">
        <f t="shared" si="9"/>
        <v>7</v>
      </c>
    </row>
    <row r="75" spans="1:21" x14ac:dyDescent="0.25">
      <c r="A75" s="67" t="s">
        <v>809</v>
      </c>
      <c r="B75" s="70">
        <v>91</v>
      </c>
      <c r="C75" s="100" t="s">
        <v>97</v>
      </c>
      <c r="D75" s="101" t="s">
        <v>889</v>
      </c>
      <c r="E75" s="102">
        <v>3900</v>
      </c>
      <c r="F75" s="94">
        <f t="shared" si="5"/>
        <v>65</v>
      </c>
      <c r="G75" s="297">
        <f t="shared" si="5"/>
        <v>1.0833333333333333</v>
      </c>
      <c r="H75" s="110">
        <f t="shared" si="8"/>
        <v>25</v>
      </c>
      <c r="I75" s="82" t="s">
        <v>965</v>
      </c>
      <c r="J75" s="82">
        <v>3</v>
      </c>
      <c r="Q75" s="82">
        <f>VLOOKUP(I75,$A$2:$H$21,8,0)</f>
        <v>7</v>
      </c>
      <c r="U75" s="298" t="str">
        <f t="shared" si="9"/>
        <v>4</v>
      </c>
    </row>
    <row r="76" spans="1:21" x14ac:dyDescent="0.25">
      <c r="A76" s="7" t="s">
        <v>810</v>
      </c>
      <c r="B76" s="68">
        <v>94</v>
      </c>
      <c r="C76" s="91" t="s">
        <v>111</v>
      </c>
      <c r="D76" s="92" t="s">
        <v>890</v>
      </c>
      <c r="E76" s="93">
        <v>6000</v>
      </c>
      <c r="F76" s="94">
        <f t="shared" si="5"/>
        <v>100</v>
      </c>
      <c r="G76" s="297">
        <f t="shared" si="5"/>
        <v>1.6666666666666667</v>
      </c>
      <c r="H76" s="110">
        <f t="shared" si="8"/>
        <v>42</v>
      </c>
      <c r="I76" s="82" t="s">
        <v>949</v>
      </c>
      <c r="J76" s="82">
        <v>1</v>
      </c>
      <c r="K76" s="82" t="s">
        <v>973</v>
      </c>
      <c r="L76" s="82">
        <v>1</v>
      </c>
      <c r="Q76" s="82">
        <f>VLOOKUP(I76,$A$2:$H$86,8,0)</f>
        <v>14</v>
      </c>
      <c r="R76" s="82">
        <f>VLOOKUP(K76,$A$39:$H$90,8,0)</f>
        <v>23</v>
      </c>
      <c r="U76" s="298" t="str">
        <f t="shared" si="9"/>
        <v>5</v>
      </c>
    </row>
    <row r="77" spans="1:21" x14ac:dyDescent="0.25">
      <c r="A77" s="7" t="s">
        <v>811</v>
      </c>
      <c r="B77" s="68">
        <v>97</v>
      </c>
      <c r="C77" s="91" t="s">
        <v>99</v>
      </c>
      <c r="D77" s="92" t="s">
        <v>891</v>
      </c>
      <c r="E77" s="96">
        <v>3300</v>
      </c>
      <c r="F77" s="94">
        <f t="shared" si="5"/>
        <v>55</v>
      </c>
      <c r="G77" s="297">
        <f t="shared" si="5"/>
        <v>0.91666666666666663</v>
      </c>
      <c r="H77" s="110">
        <f t="shared" si="8"/>
        <v>36</v>
      </c>
      <c r="I77" s="82" t="s">
        <v>974</v>
      </c>
      <c r="J77" s="82">
        <v>4</v>
      </c>
      <c r="Q77" s="82">
        <f>VLOOKUP(I77,$A$2:$H$21,8,0)</f>
        <v>8</v>
      </c>
      <c r="U77" s="298" t="str">
        <f t="shared" si="9"/>
        <v>4</v>
      </c>
    </row>
    <row r="78" spans="1:21" x14ac:dyDescent="0.25">
      <c r="A78" s="7" t="s">
        <v>812</v>
      </c>
      <c r="B78" s="68">
        <v>98</v>
      </c>
      <c r="C78" s="91" t="s">
        <v>105</v>
      </c>
      <c r="D78" s="92" t="s">
        <v>892</v>
      </c>
      <c r="E78" s="93">
        <v>6300</v>
      </c>
      <c r="F78" s="94">
        <f t="shared" si="5"/>
        <v>105</v>
      </c>
      <c r="G78" s="297">
        <f t="shared" si="5"/>
        <v>1.75</v>
      </c>
      <c r="H78" s="110">
        <f t="shared" si="8"/>
        <v>49</v>
      </c>
      <c r="I78" s="82" t="s">
        <v>934</v>
      </c>
      <c r="J78" s="82">
        <v>4</v>
      </c>
      <c r="K78" s="82" t="s">
        <v>974</v>
      </c>
      <c r="L78" s="82">
        <v>5</v>
      </c>
      <c r="Q78" s="82">
        <f>VLOOKUP(I78,$A$2:$H$21,8,0)</f>
        <v>1</v>
      </c>
      <c r="R78" s="82">
        <f>VLOOKUP(K78,$A$2:$H$21,8,0)</f>
        <v>8</v>
      </c>
      <c r="U78" s="298" t="str">
        <f t="shared" si="9"/>
        <v>5</v>
      </c>
    </row>
    <row r="79" spans="1:21" x14ac:dyDescent="0.25">
      <c r="A79" s="66" t="s">
        <v>813</v>
      </c>
      <c r="B79" s="70">
        <v>98</v>
      </c>
      <c r="C79" s="100" t="s">
        <v>101</v>
      </c>
      <c r="D79" s="101" t="s">
        <v>893</v>
      </c>
      <c r="E79" s="102">
        <v>9600</v>
      </c>
      <c r="F79" s="94">
        <f t="shared" si="5"/>
        <v>160</v>
      </c>
      <c r="G79" s="297">
        <f t="shared" si="5"/>
        <v>2.6666666666666665</v>
      </c>
      <c r="H79" s="110">
        <f t="shared" si="8"/>
        <v>46</v>
      </c>
      <c r="I79" s="82" t="s">
        <v>972</v>
      </c>
      <c r="J79" s="82">
        <v>1</v>
      </c>
      <c r="K79" s="82" t="s">
        <v>954</v>
      </c>
      <c r="L79" s="82">
        <v>3</v>
      </c>
      <c r="Q79" s="82">
        <f>VLOOKUP(I79,$A$22:$H$86,8,0)</f>
        <v>36</v>
      </c>
      <c r="R79" s="82">
        <f>VLOOKUP(K79,$A$2:$H$21,8,0)</f>
        <v>1</v>
      </c>
      <c r="U79" s="298" t="str">
        <f t="shared" si="9"/>
        <v>7</v>
      </c>
    </row>
    <row r="80" spans="1:21" x14ac:dyDescent="0.25">
      <c r="A80" s="66" t="s">
        <v>814</v>
      </c>
      <c r="B80" s="70">
        <v>100</v>
      </c>
      <c r="C80" s="100" t="s">
        <v>107</v>
      </c>
      <c r="D80" s="101" t="s">
        <v>894</v>
      </c>
      <c r="E80" s="103">
        <v>12600</v>
      </c>
      <c r="F80" s="94">
        <f t="shared" si="5"/>
        <v>210</v>
      </c>
      <c r="G80" s="297">
        <f t="shared" si="5"/>
        <v>3.5</v>
      </c>
      <c r="H80" s="110">
        <f t="shared" si="8"/>
        <v>67</v>
      </c>
      <c r="I80" s="82" t="s">
        <v>950</v>
      </c>
      <c r="J80" s="82">
        <v>2</v>
      </c>
      <c r="K80" s="82" t="s">
        <v>975</v>
      </c>
      <c r="L80" s="82">
        <v>2</v>
      </c>
      <c r="Q80" s="82">
        <f>VLOOKUP(I80,$A$23:$H$77,8,0)</f>
        <v>5</v>
      </c>
      <c r="R80" s="82">
        <f>VLOOKUP(K80,$A$22:$H$86,8,0)</f>
        <v>25</v>
      </c>
      <c r="U80" s="298" t="str">
        <f t="shared" si="9"/>
        <v>7</v>
      </c>
    </row>
    <row r="81" spans="1:21" x14ac:dyDescent="0.25">
      <c r="A81" s="7" t="s">
        <v>815</v>
      </c>
      <c r="B81" s="68">
        <v>101</v>
      </c>
      <c r="C81" s="91" t="s">
        <v>113</v>
      </c>
      <c r="D81" s="97" t="s">
        <v>895</v>
      </c>
      <c r="E81" s="96">
        <v>10080</v>
      </c>
      <c r="F81" s="94">
        <f t="shared" si="5"/>
        <v>168</v>
      </c>
      <c r="G81" s="297">
        <f t="shared" si="5"/>
        <v>2.8</v>
      </c>
      <c r="H81" s="110">
        <f t="shared" si="8"/>
        <v>160</v>
      </c>
      <c r="I81" s="82" t="s">
        <v>976</v>
      </c>
      <c r="J81" s="82">
        <v>3</v>
      </c>
      <c r="K81" s="82" t="s">
        <v>957</v>
      </c>
      <c r="L81" s="82">
        <v>3</v>
      </c>
      <c r="M81" s="82" t="s">
        <v>948</v>
      </c>
      <c r="N81" s="82">
        <v>3</v>
      </c>
      <c r="O81" s="82" t="s">
        <v>935</v>
      </c>
      <c r="P81" s="82">
        <v>3</v>
      </c>
      <c r="Q81" s="82">
        <f>VLOOKUP(I81,$A$61:$H$97,8,0)</f>
        <v>30</v>
      </c>
      <c r="R81" s="82">
        <f>VLOOKUP(K81,$A$25:$H$79,8,0)</f>
        <v>12</v>
      </c>
      <c r="S81" s="82">
        <f>VLOOKUP(M81,$A$2:$H$83,8,0)</f>
        <v>7</v>
      </c>
      <c r="T81" s="82">
        <f>VLOOKUP(O81,$A$2:$H$21,8,0)</f>
        <v>2</v>
      </c>
      <c r="U81" s="298" t="str">
        <f t="shared" si="9"/>
        <v>7</v>
      </c>
    </row>
    <row r="82" spans="1:21" x14ac:dyDescent="0.25">
      <c r="A82" s="7" t="s">
        <v>816</v>
      </c>
      <c r="B82" s="68">
        <v>102</v>
      </c>
      <c r="C82" s="91" t="s">
        <v>111</v>
      </c>
      <c r="D82" s="92" t="s">
        <v>896</v>
      </c>
      <c r="E82" s="93">
        <v>10620</v>
      </c>
      <c r="F82" s="94">
        <f t="shared" si="5"/>
        <v>177</v>
      </c>
      <c r="G82" s="297">
        <f t="shared" si="5"/>
        <v>2.95</v>
      </c>
      <c r="H82" s="110">
        <f t="shared" si="8"/>
        <v>92</v>
      </c>
      <c r="I82" s="82" t="s">
        <v>972</v>
      </c>
      <c r="J82" s="82">
        <v>1</v>
      </c>
      <c r="K82" s="82" t="s">
        <v>977</v>
      </c>
      <c r="L82" s="82">
        <v>1</v>
      </c>
      <c r="Q82" s="82">
        <f>VLOOKUP(I82,$A$2:$H$86,8,0)</f>
        <v>36</v>
      </c>
      <c r="R82" s="82">
        <f>VLOOKUP(K82,$A$39:$H$90,8,0)</f>
        <v>49</v>
      </c>
      <c r="U82" s="298" t="str">
        <f t="shared" si="9"/>
        <v>7</v>
      </c>
    </row>
    <row r="83" spans="1:21" x14ac:dyDescent="0.25">
      <c r="A83" s="66" t="s">
        <v>817</v>
      </c>
      <c r="B83" s="70">
        <v>103</v>
      </c>
      <c r="C83" s="100" t="s">
        <v>97</v>
      </c>
      <c r="D83" s="101" t="s">
        <v>897</v>
      </c>
      <c r="E83" s="102">
        <v>5400</v>
      </c>
      <c r="F83" s="94">
        <f t="shared" si="5"/>
        <v>90</v>
      </c>
      <c r="G83" s="297">
        <f t="shared" si="5"/>
        <v>1.5</v>
      </c>
      <c r="H83" s="110">
        <f t="shared" si="8"/>
        <v>29</v>
      </c>
      <c r="I83" s="82" t="s">
        <v>974</v>
      </c>
      <c r="J83" s="82">
        <v>3</v>
      </c>
      <c r="Q83" s="82">
        <f>VLOOKUP(I83,$A$2:$H$21,8,0)</f>
        <v>8</v>
      </c>
      <c r="U83" s="298" t="str">
        <f t="shared" si="9"/>
        <v>5</v>
      </c>
    </row>
    <row r="84" spans="1:21" x14ac:dyDescent="0.25">
      <c r="A84" s="7" t="s">
        <v>818</v>
      </c>
      <c r="B84" s="68">
        <v>104</v>
      </c>
      <c r="C84" s="91" t="s">
        <v>113</v>
      </c>
      <c r="D84" s="97" t="s">
        <v>898</v>
      </c>
      <c r="E84" s="96">
        <v>11700</v>
      </c>
      <c r="F84" s="94">
        <f t="shared" si="5"/>
        <v>195</v>
      </c>
      <c r="G84" s="297">
        <f t="shared" si="5"/>
        <v>3.25</v>
      </c>
      <c r="H84" s="110">
        <f t="shared" si="8"/>
        <v>235</v>
      </c>
      <c r="I84" s="82" t="s">
        <v>978</v>
      </c>
      <c r="J84" s="82">
        <v>3</v>
      </c>
      <c r="K84" s="82" t="s">
        <v>979</v>
      </c>
      <c r="L84" s="82">
        <v>3</v>
      </c>
      <c r="M84" s="82" t="s">
        <v>937</v>
      </c>
      <c r="N84" s="82">
        <v>12</v>
      </c>
      <c r="Q84" s="82">
        <f>VLOOKUP(I84,$A$61:$H$97,8,0)</f>
        <v>42</v>
      </c>
      <c r="R84" s="82">
        <f>VLOOKUP(K84,$A$25:$H$79,8,0)</f>
        <v>22</v>
      </c>
      <c r="S84" s="82">
        <f>VLOOKUP(M84,$A$2:$H$83,8,0)</f>
        <v>3</v>
      </c>
      <c r="U84" s="298" t="str">
        <f t="shared" si="9"/>
        <v>7</v>
      </c>
    </row>
    <row r="85" spans="1:21" x14ac:dyDescent="0.25">
      <c r="A85" s="66" t="s">
        <v>819</v>
      </c>
      <c r="B85" s="69">
        <v>105</v>
      </c>
      <c r="C85" s="98" t="s">
        <v>115</v>
      </c>
      <c r="D85" s="99" t="s">
        <v>899</v>
      </c>
      <c r="E85" s="93">
        <v>7500</v>
      </c>
      <c r="F85" s="94">
        <f t="shared" si="5"/>
        <v>125</v>
      </c>
      <c r="G85" s="297">
        <f t="shared" si="5"/>
        <v>2.0833333333333335</v>
      </c>
      <c r="H85" s="110">
        <f t="shared" si="8"/>
        <v>87</v>
      </c>
      <c r="I85" s="82" t="s">
        <v>967</v>
      </c>
      <c r="J85" s="82">
        <v>2</v>
      </c>
      <c r="K85" s="82" t="s">
        <v>956</v>
      </c>
      <c r="L85" s="82">
        <v>2</v>
      </c>
      <c r="M85" s="82" t="s">
        <v>980</v>
      </c>
      <c r="N85" s="82">
        <v>3</v>
      </c>
      <c r="Q85" s="82">
        <f>VLOOKUP(I85,$A$61:$H$97,8,0)</f>
        <v>19</v>
      </c>
      <c r="R85" s="82">
        <f>VLOOKUP(K85,$A$25:$H$79,8,0)</f>
        <v>8</v>
      </c>
      <c r="S85" s="82">
        <f>VLOOKUP(M85,$A$100:$H$106,8,0)</f>
        <v>9</v>
      </c>
      <c r="U85" s="298" t="str">
        <f t="shared" si="9"/>
        <v>6</v>
      </c>
    </row>
    <row r="86" spans="1:21" x14ac:dyDescent="0.25">
      <c r="A86" s="7" t="s">
        <v>820</v>
      </c>
      <c r="B86" s="68">
        <v>106</v>
      </c>
      <c r="C86" s="91" t="s">
        <v>99</v>
      </c>
      <c r="D86" s="92" t="s">
        <v>900</v>
      </c>
      <c r="E86" s="96">
        <v>5400</v>
      </c>
      <c r="F86" s="94">
        <f t="shared" si="5"/>
        <v>90</v>
      </c>
      <c r="G86" s="297">
        <f t="shared" si="5"/>
        <v>1.5</v>
      </c>
      <c r="H86" s="110">
        <f t="shared" ref="H86:H106" si="10">Q86*J86+L86*R86+N86*S86+P86*T86+U86</f>
        <v>41</v>
      </c>
      <c r="I86" s="82" t="s">
        <v>981</v>
      </c>
      <c r="J86" s="82">
        <v>4</v>
      </c>
      <c r="Q86" s="82">
        <f>VLOOKUP(I86,$A$2:$H$21,8,0)</f>
        <v>9</v>
      </c>
      <c r="U86" s="298" t="str">
        <f t="shared" si="9"/>
        <v>5</v>
      </c>
    </row>
    <row r="87" spans="1:21" x14ac:dyDescent="0.25">
      <c r="A87" s="7" t="s">
        <v>821</v>
      </c>
      <c r="B87" s="68">
        <v>107</v>
      </c>
      <c r="C87" s="91" t="s">
        <v>113</v>
      </c>
      <c r="D87" s="97" t="s">
        <v>901</v>
      </c>
      <c r="E87" s="96">
        <v>12300</v>
      </c>
      <c r="F87" s="94">
        <f t="shared" ref="F87:G106" si="11">E87/60</f>
        <v>205</v>
      </c>
      <c r="G87" s="297">
        <f t="shared" si="11"/>
        <v>3.4166666666666665</v>
      </c>
      <c r="H87" s="110">
        <f t="shared" si="10"/>
        <v>469</v>
      </c>
      <c r="I87" s="82" t="s">
        <v>982</v>
      </c>
      <c r="J87" s="82">
        <v>3</v>
      </c>
      <c r="K87" s="82" t="s">
        <v>983</v>
      </c>
      <c r="L87" s="82">
        <v>3</v>
      </c>
      <c r="M87" s="82" t="s">
        <v>974</v>
      </c>
      <c r="N87" s="82">
        <v>6</v>
      </c>
      <c r="Q87" s="82">
        <f>VLOOKUP(I87,$A$61:$H$97,8,0)</f>
        <v>92</v>
      </c>
      <c r="R87" s="82">
        <f>VLOOKUP(K87,$A$25:$H$79,8,0)</f>
        <v>46</v>
      </c>
      <c r="S87" s="82">
        <f>VLOOKUP(M87,$A$2:$H$83,8,0)</f>
        <v>8</v>
      </c>
      <c r="U87" s="298" t="str">
        <f t="shared" si="9"/>
        <v>7</v>
      </c>
    </row>
    <row r="88" spans="1:21" x14ac:dyDescent="0.25">
      <c r="A88" s="299" t="s">
        <v>1291</v>
      </c>
      <c r="B88" s="69">
        <v>109</v>
      </c>
      <c r="C88" s="98" t="s">
        <v>115</v>
      </c>
      <c r="D88" s="99" t="s">
        <v>902</v>
      </c>
      <c r="E88" s="93">
        <v>7800</v>
      </c>
      <c r="F88" s="94">
        <f t="shared" si="11"/>
        <v>130</v>
      </c>
      <c r="G88" s="297">
        <f t="shared" si="11"/>
        <v>2.1666666666666665</v>
      </c>
      <c r="H88" s="110">
        <f t="shared" si="10"/>
        <v>115</v>
      </c>
      <c r="I88" s="82" t="s">
        <v>968</v>
      </c>
      <c r="J88" s="82">
        <v>2</v>
      </c>
      <c r="K88" s="82" t="s">
        <v>966</v>
      </c>
      <c r="L88" s="82">
        <v>2</v>
      </c>
      <c r="M88" s="82" t="s">
        <v>984</v>
      </c>
      <c r="N88" s="82">
        <v>3</v>
      </c>
      <c r="Q88" s="82">
        <f>VLOOKUP(I88,$A$61:$H$97,8,0)</f>
        <v>20</v>
      </c>
      <c r="R88" s="82">
        <f>VLOOKUP(K88,$A$25:$H$79,8,0)</f>
        <v>9</v>
      </c>
      <c r="S88" s="82">
        <f>VLOOKUP(M88,$A$100:$H$106,8,0)</f>
        <v>17</v>
      </c>
      <c r="U88" s="298" t="str">
        <f t="shared" si="9"/>
        <v>6</v>
      </c>
    </row>
    <row r="89" spans="1:21" x14ac:dyDescent="0.25">
      <c r="A89" s="66" t="s">
        <v>823</v>
      </c>
      <c r="B89" s="69">
        <v>111</v>
      </c>
      <c r="C89" s="98" t="s">
        <v>115</v>
      </c>
      <c r="D89" s="99" t="s">
        <v>903</v>
      </c>
      <c r="E89" s="93">
        <v>9300</v>
      </c>
      <c r="F89" s="94">
        <f t="shared" si="11"/>
        <v>155</v>
      </c>
      <c r="G89" s="297">
        <f t="shared" si="11"/>
        <v>2.5833333333333335</v>
      </c>
      <c r="H89" s="110">
        <f t="shared" si="10"/>
        <v>157</v>
      </c>
      <c r="I89" s="82" t="s">
        <v>978</v>
      </c>
      <c r="J89" s="82">
        <v>2</v>
      </c>
      <c r="K89" s="82" t="s">
        <v>957</v>
      </c>
      <c r="L89" s="82">
        <v>2</v>
      </c>
      <c r="M89" s="82" t="s">
        <v>985</v>
      </c>
      <c r="N89" s="82">
        <v>3</v>
      </c>
      <c r="Q89" s="82">
        <f>VLOOKUP(I89,$A$61:$H$97,8,0)</f>
        <v>42</v>
      </c>
      <c r="R89" s="82">
        <f>VLOOKUP(K89,$A$25:$H$79,8,0)</f>
        <v>12</v>
      </c>
      <c r="S89" s="82">
        <f>VLOOKUP(M89,$A$100:$H$106,8,0)</f>
        <v>14</v>
      </c>
      <c r="U89" s="298" t="str">
        <f t="shared" si="9"/>
        <v>7</v>
      </c>
    </row>
    <row r="90" spans="1:21" x14ac:dyDescent="0.25">
      <c r="A90" s="66" t="s">
        <v>824</v>
      </c>
      <c r="B90" s="71">
        <v>113</v>
      </c>
      <c r="C90" s="100" t="s">
        <v>105</v>
      </c>
      <c r="D90" s="104" t="s">
        <v>904</v>
      </c>
      <c r="E90" s="102">
        <v>5700</v>
      </c>
      <c r="F90" s="94">
        <f t="shared" si="11"/>
        <v>95</v>
      </c>
      <c r="G90" s="297">
        <f t="shared" si="11"/>
        <v>1.5833333333333333</v>
      </c>
      <c r="H90" s="110">
        <f t="shared" si="10"/>
        <v>54</v>
      </c>
      <c r="I90" s="82" t="s">
        <v>934</v>
      </c>
      <c r="J90" s="82">
        <v>4</v>
      </c>
      <c r="K90" s="82" t="s">
        <v>981</v>
      </c>
      <c r="L90" s="82">
        <v>5</v>
      </c>
      <c r="Q90" s="82">
        <f>VLOOKUP(I90,$A$2:$H$21,8,0)</f>
        <v>1</v>
      </c>
      <c r="R90" s="82">
        <f>VLOOKUP(K90,$A$2:$H$21,8,0)</f>
        <v>9</v>
      </c>
      <c r="U90" s="298" t="str">
        <f t="shared" si="9"/>
        <v>5</v>
      </c>
    </row>
    <row r="91" spans="1:21" x14ac:dyDescent="0.25">
      <c r="A91" s="66" t="s">
        <v>825</v>
      </c>
      <c r="B91" s="70">
        <v>114</v>
      </c>
      <c r="C91" s="100" t="s">
        <v>111</v>
      </c>
      <c r="D91" s="101" t="s">
        <v>905</v>
      </c>
      <c r="E91" s="102">
        <v>12000</v>
      </c>
      <c r="F91" s="94">
        <f t="shared" si="11"/>
        <v>200</v>
      </c>
      <c r="G91" s="297">
        <f t="shared" si="11"/>
        <v>3.3333333333333335</v>
      </c>
      <c r="H91" s="110">
        <f t="shared" si="10"/>
        <v>79</v>
      </c>
      <c r="I91" s="82" t="s">
        <v>960</v>
      </c>
      <c r="J91" s="82">
        <v>4</v>
      </c>
      <c r="K91" s="82" t="s">
        <v>986</v>
      </c>
      <c r="L91" s="82">
        <v>1</v>
      </c>
      <c r="Q91" s="82">
        <f>VLOOKUP(I91,$A$2:$H$86,8,0)</f>
        <v>7</v>
      </c>
      <c r="R91" s="82">
        <f>VLOOKUP(K91,$A$39:$H$90,8,0)</f>
        <v>44</v>
      </c>
      <c r="U91" s="298" t="str">
        <f t="shared" si="9"/>
        <v>7</v>
      </c>
    </row>
    <row r="92" spans="1:21" x14ac:dyDescent="0.25">
      <c r="A92" s="300" t="s">
        <v>833</v>
      </c>
      <c r="B92" s="69">
        <v>115</v>
      </c>
      <c r="C92" s="98" t="s">
        <v>115</v>
      </c>
      <c r="D92" s="99" t="s">
        <v>906</v>
      </c>
      <c r="E92" s="93">
        <v>10200</v>
      </c>
      <c r="F92" s="94">
        <f t="shared" si="11"/>
        <v>170</v>
      </c>
      <c r="G92" s="297">
        <f t="shared" si="11"/>
        <v>2.8333333333333335</v>
      </c>
      <c r="H92" s="110">
        <f t="shared" si="10"/>
        <v>225</v>
      </c>
      <c r="I92" s="82" t="s">
        <v>976</v>
      </c>
      <c r="J92" s="82">
        <v>2</v>
      </c>
      <c r="K92" s="82" t="s">
        <v>979</v>
      </c>
      <c r="L92" s="82">
        <v>2</v>
      </c>
      <c r="M92" s="82" t="s">
        <v>987</v>
      </c>
      <c r="N92" s="82">
        <v>3</v>
      </c>
      <c r="Q92" s="82">
        <f>VLOOKUP(I92,$A$61:$H$97,8,0)</f>
        <v>30</v>
      </c>
      <c r="R92" s="82">
        <f>VLOOKUP(K92,$A$25:$H$79,8,0)</f>
        <v>22</v>
      </c>
      <c r="S92" s="82">
        <f>VLOOKUP(M92,$A$100:$H$106,8,0)</f>
        <v>38</v>
      </c>
      <c r="U92" s="298" t="str">
        <f t="shared" si="9"/>
        <v>7</v>
      </c>
    </row>
    <row r="93" spans="1:21" x14ac:dyDescent="0.25">
      <c r="A93" s="66" t="s">
        <v>827</v>
      </c>
      <c r="B93" s="70">
        <v>117</v>
      </c>
      <c r="C93" s="100" t="s">
        <v>113</v>
      </c>
      <c r="D93" s="105" t="s">
        <v>907</v>
      </c>
      <c r="E93" s="103">
        <v>14100</v>
      </c>
      <c r="F93" s="94">
        <f t="shared" si="11"/>
        <v>235</v>
      </c>
      <c r="G93" s="297">
        <f t="shared" si="11"/>
        <v>3.9166666666666665</v>
      </c>
      <c r="H93" s="110">
        <f t="shared" si="10"/>
        <v>373</v>
      </c>
      <c r="I93" s="82" t="s">
        <v>988</v>
      </c>
      <c r="J93" s="82">
        <v>3</v>
      </c>
      <c r="K93" s="82" t="s">
        <v>970</v>
      </c>
      <c r="L93" s="82">
        <v>3</v>
      </c>
      <c r="M93" s="82" t="s">
        <v>960</v>
      </c>
      <c r="N93" s="82">
        <v>6</v>
      </c>
      <c r="Q93" s="82">
        <f>VLOOKUP(I93,$A$61:$H$97,8,0)</f>
        <v>79</v>
      </c>
      <c r="R93" s="82">
        <f>VLOOKUP(K93,$A$25:$H$79,8,0)</f>
        <v>29</v>
      </c>
      <c r="S93" s="82">
        <f>VLOOKUP(M93,$A$2:$H$83,8,0)</f>
        <v>7</v>
      </c>
      <c r="U93" s="298" t="str">
        <f t="shared" si="9"/>
        <v>7</v>
      </c>
    </row>
    <row r="94" spans="1:21" x14ac:dyDescent="0.25">
      <c r="A94" s="67" t="s">
        <v>828</v>
      </c>
      <c r="B94" s="69">
        <v>120</v>
      </c>
      <c r="C94" s="98" t="s">
        <v>115</v>
      </c>
      <c r="D94" s="99" t="s">
        <v>908</v>
      </c>
      <c r="E94" s="93">
        <v>12900</v>
      </c>
      <c r="F94" s="94">
        <f t="shared" si="11"/>
        <v>215</v>
      </c>
      <c r="G94" s="297">
        <f t="shared" si="11"/>
        <v>3.5833333333333335</v>
      </c>
      <c r="H94" s="110">
        <f t="shared" si="10"/>
        <v>985</v>
      </c>
      <c r="I94" s="82" t="s">
        <v>988</v>
      </c>
      <c r="J94" s="82">
        <v>2</v>
      </c>
      <c r="K94" s="82" t="s">
        <v>970</v>
      </c>
      <c r="L94" s="82">
        <v>2</v>
      </c>
      <c r="M94" s="82" t="s">
        <v>989</v>
      </c>
      <c r="N94" s="82">
        <v>3</v>
      </c>
      <c r="Q94" s="82">
        <f>VLOOKUP(I94,$A$61:$H$97,8,0)</f>
        <v>79</v>
      </c>
      <c r="R94" s="82">
        <f>VLOOKUP(K94,$A$25:$H$79,8,0)</f>
        <v>29</v>
      </c>
      <c r="S94" s="82">
        <f>VLOOKUP(M94,$A$100:$H$106,8,0)</f>
        <v>254</v>
      </c>
      <c r="U94" s="298" t="str">
        <f t="shared" si="9"/>
        <v>7</v>
      </c>
    </row>
    <row r="95" spans="1:21" x14ac:dyDescent="0.25">
      <c r="A95" s="71" t="s">
        <v>829</v>
      </c>
      <c r="B95" s="71">
        <v>122</v>
      </c>
      <c r="C95" s="106" t="s">
        <v>109</v>
      </c>
      <c r="D95" s="104" t="s">
        <v>909</v>
      </c>
      <c r="E95" s="102">
        <v>13600</v>
      </c>
      <c r="F95" s="94">
        <f t="shared" si="11"/>
        <v>226.66666666666666</v>
      </c>
      <c r="G95" s="297">
        <f t="shared" si="11"/>
        <v>3.7777777777777777</v>
      </c>
      <c r="H95" s="110">
        <f t="shared" si="10"/>
        <v>83</v>
      </c>
      <c r="K95" s="82" t="s">
        <v>944</v>
      </c>
      <c r="L95" s="82">
        <v>6</v>
      </c>
      <c r="M95" s="82" t="s">
        <v>983</v>
      </c>
      <c r="N95" s="82">
        <v>1</v>
      </c>
      <c r="R95" s="82">
        <f>VLOOKUP(K95,$A$2:$H$21,8,0)</f>
        <v>5</v>
      </c>
      <c r="S95" s="82">
        <f>VLOOKUP(M95,$A$25:$H$79,8,0)</f>
        <v>46</v>
      </c>
      <c r="U95" s="298" t="str">
        <f t="shared" si="9"/>
        <v>7</v>
      </c>
    </row>
    <row r="96" spans="1:21" x14ac:dyDescent="0.25">
      <c r="A96" s="66" t="s">
        <v>830</v>
      </c>
      <c r="B96" s="69">
        <v>124</v>
      </c>
      <c r="C96" s="98" t="s">
        <v>115</v>
      </c>
      <c r="D96" s="99" t="s">
        <v>910</v>
      </c>
      <c r="E96" s="93">
        <v>11400</v>
      </c>
      <c r="F96" s="94">
        <f t="shared" si="11"/>
        <v>190</v>
      </c>
      <c r="G96" s="297">
        <f t="shared" si="11"/>
        <v>3.1666666666666665</v>
      </c>
      <c r="H96" s="110">
        <f t="shared" si="10"/>
        <v>402</v>
      </c>
      <c r="I96" s="82" t="s">
        <v>982</v>
      </c>
      <c r="J96" s="82">
        <v>2</v>
      </c>
      <c r="K96" s="82" t="s">
        <v>958</v>
      </c>
      <c r="L96" s="82">
        <v>2</v>
      </c>
      <c r="M96" s="82" t="s">
        <v>990</v>
      </c>
      <c r="N96" s="82">
        <v>3</v>
      </c>
      <c r="Q96" s="82">
        <f>VLOOKUP(I96,$A$61:$H$97,8,0)</f>
        <v>92</v>
      </c>
      <c r="R96" s="82">
        <f>VLOOKUP(K96,$A$25:$H$79,8,0)</f>
        <v>29</v>
      </c>
      <c r="S96" s="82">
        <f>VLOOKUP(M96,$A$100:$H$106,8,0)</f>
        <v>51</v>
      </c>
      <c r="U96" s="298" t="str">
        <f t="shared" si="9"/>
        <v>7</v>
      </c>
    </row>
    <row r="97" spans="1:21" x14ac:dyDescent="0.25">
      <c r="A97" s="66" t="s">
        <v>831</v>
      </c>
      <c r="B97" s="71">
        <v>126</v>
      </c>
      <c r="C97" s="100" t="s">
        <v>111</v>
      </c>
      <c r="D97" s="104" t="s">
        <v>911</v>
      </c>
      <c r="E97" s="103">
        <v>14400</v>
      </c>
      <c r="F97" s="94">
        <f t="shared" si="11"/>
        <v>240</v>
      </c>
      <c r="G97" s="297">
        <f t="shared" si="11"/>
        <v>4</v>
      </c>
      <c r="H97" s="110">
        <f t="shared" si="10"/>
        <v>103</v>
      </c>
      <c r="I97" s="82" t="s">
        <v>991</v>
      </c>
      <c r="J97" s="82">
        <v>1</v>
      </c>
      <c r="K97" s="82" t="s">
        <v>992</v>
      </c>
      <c r="L97" s="82">
        <v>1</v>
      </c>
      <c r="Q97" s="82">
        <f>VLOOKUP(I97,$A$2:$H$86,8,0)</f>
        <v>41</v>
      </c>
      <c r="R97" s="82">
        <f>VLOOKUP(K97,$A$39:$H$90,8,0)</f>
        <v>54</v>
      </c>
      <c r="U97" s="298" t="str">
        <f t="shared" si="9"/>
        <v>8</v>
      </c>
    </row>
    <row r="98" spans="1:21" x14ac:dyDescent="0.25">
      <c r="A98" s="66" t="s">
        <v>832</v>
      </c>
      <c r="B98" s="71">
        <v>128</v>
      </c>
      <c r="C98" s="106" t="s">
        <v>115</v>
      </c>
      <c r="D98" s="104" t="s">
        <v>912</v>
      </c>
      <c r="E98" s="103">
        <v>13200</v>
      </c>
      <c r="F98" s="94">
        <f t="shared" si="11"/>
        <v>220</v>
      </c>
      <c r="G98" s="297">
        <f t="shared" si="11"/>
        <v>3.6666666666666665</v>
      </c>
      <c r="H98" s="110">
        <f t="shared" si="10"/>
        <v>323</v>
      </c>
      <c r="I98" s="82" t="s">
        <v>967</v>
      </c>
      <c r="J98" s="82">
        <v>2</v>
      </c>
      <c r="K98" s="82" t="s">
        <v>983</v>
      </c>
      <c r="L98" s="82">
        <v>2</v>
      </c>
      <c r="M98" s="82" t="s">
        <v>993</v>
      </c>
      <c r="N98" s="82">
        <v>3</v>
      </c>
      <c r="Q98" s="82">
        <f>VLOOKUP(I98,$A$61:$H$97,8,0)</f>
        <v>19</v>
      </c>
      <c r="R98" s="82">
        <f>VLOOKUP(K98,$A$25:$H$79,8,0)</f>
        <v>46</v>
      </c>
      <c r="S98" s="82">
        <f>VLOOKUP(M98,$A$100:$H$106,8,0)</f>
        <v>62</v>
      </c>
      <c r="U98" s="298" t="str">
        <f t="shared" ref="U98:U106" si="12">IF(G98&gt;=4.5,"9",IF(G98&gt;=4,"8",IF(G98&gt;=2.5,"7",IF(G98&gt;=2,"6",IF(G98&gt;=1.17,"5",IF(G98&gt;=0.75,"4",IF(G98&gt;=0.58,"3",IF(G98&gt;=0.33,"2","1"))))))))</f>
        <v>7</v>
      </c>
    </row>
    <row r="99" spans="1:21" x14ac:dyDescent="0.25">
      <c r="A99" s="299" t="s">
        <v>1292</v>
      </c>
      <c r="B99" s="71">
        <v>135</v>
      </c>
      <c r="C99" s="106" t="s">
        <v>115</v>
      </c>
      <c r="D99" s="104" t="s">
        <v>913</v>
      </c>
      <c r="E99" s="103">
        <v>15000</v>
      </c>
      <c r="F99" s="94">
        <f t="shared" si="11"/>
        <v>250</v>
      </c>
      <c r="G99" s="297">
        <f t="shared" si="11"/>
        <v>4.166666666666667</v>
      </c>
      <c r="H99" s="110">
        <f t="shared" si="10"/>
        <v>1200</v>
      </c>
      <c r="I99" s="82" t="s">
        <v>994</v>
      </c>
      <c r="J99" s="82">
        <v>2</v>
      </c>
      <c r="K99" s="82" t="s">
        <v>995</v>
      </c>
      <c r="L99" s="82">
        <v>2</v>
      </c>
      <c r="M99" s="82" t="s">
        <v>989</v>
      </c>
      <c r="N99" s="82">
        <v>3</v>
      </c>
      <c r="Q99" s="82">
        <f>VLOOKUP(I99,$A$61:$H$97,8,0)</f>
        <v>103</v>
      </c>
      <c r="R99" s="82">
        <f>VLOOKUP(K99,$A$25:$H$79,8,0)</f>
        <v>112</v>
      </c>
      <c r="S99" s="82">
        <f>VLOOKUP(M99,$A$100:$H$106,8,0)</f>
        <v>254</v>
      </c>
      <c r="U99" s="298" t="str">
        <f t="shared" si="12"/>
        <v>8</v>
      </c>
    </row>
    <row r="100" spans="1:21" x14ac:dyDescent="0.25">
      <c r="A100" s="7" t="s">
        <v>918</v>
      </c>
      <c r="B100" s="68">
        <v>23</v>
      </c>
      <c r="C100" s="91" t="s">
        <v>103</v>
      </c>
      <c r="D100" s="92" t="s">
        <v>919</v>
      </c>
      <c r="E100" s="99">
        <v>1800</v>
      </c>
      <c r="F100" s="94">
        <f t="shared" si="11"/>
        <v>30</v>
      </c>
      <c r="G100" s="297">
        <f t="shared" si="11"/>
        <v>0.5</v>
      </c>
      <c r="H100" s="110">
        <f t="shared" si="10"/>
        <v>9</v>
      </c>
      <c r="I100" s="82" t="s">
        <v>934</v>
      </c>
      <c r="J100" s="82">
        <v>1</v>
      </c>
      <c r="K100" s="82" t="s">
        <v>996</v>
      </c>
      <c r="L100" s="82">
        <v>2</v>
      </c>
      <c r="Q100" s="82">
        <f t="shared" ref="Q100:Q106" si="13">VLOOKUP(I100,$A$2:$H$21,8,0)</f>
        <v>1</v>
      </c>
      <c r="R100" s="82">
        <f t="shared" ref="R100:R106" si="14">VLOOKUP(K100,$A$107:$H$113,8,0)</f>
        <v>3</v>
      </c>
      <c r="U100" s="298" t="str">
        <f t="shared" si="12"/>
        <v>2</v>
      </c>
    </row>
    <row r="101" spans="1:21" x14ac:dyDescent="0.25">
      <c r="A101" s="7" t="s">
        <v>920</v>
      </c>
      <c r="B101" s="68">
        <v>25</v>
      </c>
      <c r="C101" s="91" t="s">
        <v>103</v>
      </c>
      <c r="D101" s="92" t="s">
        <v>921</v>
      </c>
      <c r="E101" s="99">
        <v>2700</v>
      </c>
      <c r="F101" s="94">
        <f t="shared" si="11"/>
        <v>45</v>
      </c>
      <c r="G101" s="297">
        <f t="shared" si="11"/>
        <v>0.75</v>
      </c>
      <c r="H101" s="110">
        <f t="shared" si="10"/>
        <v>14</v>
      </c>
      <c r="I101" s="82" t="s">
        <v>934</v>
      </c>
      <c r="J101" s="82">
        <v>1</v>
      </c>
      <c r="K101" s="82" t="s">
        <v>997</v>
      </c>
      <c r="L101" s="82">
        <v>3</v>
      </c>
      <c r="Q101" s="82">
        <f t="shared" si="13"/>
        <v>1</v>
      </c>
      <c r="R101" s="82">
        <f t="shared" si="14"/>
        <v>3</v>
      </c>
      <c r="U101" s="298" t="str">
        <f t="shared" si="12"/>
        <v>4</v>
      </c>
    </row>
    <row r="102" spans="1:21" x14ac:dyDescent="0.25">
      <c r="A102" s="7" t="s">
        <v>922</v>
      </c>
      <c r="B102" s="68">
        <v>27</v>
      </c>
      <c r="C102" s="91" t="s">
        <v>103</v>
      </c>
      <c r="D102" s="97" t="s">
        <v>923</v>
      </c>
      <c r="E102" s="99">
        <v>3600</v>
      </c>
      <c r="F102" s="94">
        <f t="shared" si="11"/>
        <v>60</v>
      </c>
      <c r="G102" s="297">
        <f t="shared" si="11"/>
        <v>1</v>
      </c>
      <c r="H102" s="110">
        <f t="shared" si="10"/>
        <v>17</v>
      </c>
      <c r="I102" s="82" t="s">
        <v>934</v>
      </c>
      <c r="J102" s="82">
        <v>1</v>
      </c>
      <c r="K102" s="82" t="s">
        <v>998</v>
      </c>
      <c r="L102" s="82">
        <v>4</v>
      </c>
      <c r="Q102" s="82">
        <f t="shared" si="13"/>
        <v>1</v>
      </c>
      <c r="R102" s="82">
        <f t="shared" si="14"/>
        <v>3</v>
      </c>
      <c r="U102" s="298" t="str">
        <f t="shared" si="12"/>
        <v>4</v>
      </c>
    </row>
    <row r="103" spans="1:21" x14ac:dyDescent="0.25">
      <c r="A103" s="7" t="s">
        <v>924</v>
      </c>
      <c r="B103" s="68">
        <v>33</v>
      </c>
      <c r="C103" s="91" t="s">
        <v>103</v>
      </c>
      <c r="D103" s="97" t="s">
        <v>925</v>
      </c>
      <c r="E103" s="99">
        <v>5400</v>
      </c>
      <c r="F103" s="94">
        <f t="shared" si="11"/>
        <v>90</v>
      </c>
      <c r="G103" s="297">
        <f t="shared" si="11"/>
        <v>1.5</v>
      </c>
      <c r="H103" s="110">
        <f t="shared" si="10"/>
        <v>38</v>
      </c>
      <c r="I103" s="82" t="s">
        <v>934</v>
      </c>
      <c r="J103" s="82">
        <v>2</v>
      </c>
      <c r="K103" s="82" t="s">
        <v>999</v>
      </c>
      <c r="L103" s="82">
        <v>2</v>
      </c>
      <c r="M103" s="82" t="s">
        <v>980</v>
      </c>
      <c r="N103" s="82">
        <v>1</v>
      </c>
      <c r="O103" s="82" t="s">
        <v>985</v>
      </c>
      <c r="P103" s="82">
        <v>1</v>
      </c>
      <c r="Q103" s="82">
        <f t="shared" si="13"/>
        <v>1</v>
      </c>
      <c r="R103" s="82">
        <f t="shared" si="14"/>
        <v>4</v>
      </c>
      <c r="S103" s="82">
        <f>VLOOKUP(M103,$A$100:$H$102,8,0)</f>
        <v>9</v>
      </c>
      <c r="T103" s="82">
        <f>VLOOKUP(O103,$A$100:$H$102,8,0)</f>
        <v>14</v>
      </c>
      <c r="U103" s="298" t="str">
        <f t="shared" si="12"/>
        <v>5</v>
      </c>
    </row>
    <row r="104" spans="1:21" x14ac:dyDescent="0.25">
      <c r="A104" s="7" t="s">
        <v>926</v>
      </c>
      <c r="B104" s="68">
        <v>41</v>
      </c>
      <c r="C104" s="91" t="s">
        <v>103</v>
      </c>
      <c r="D104" s="97" t="s">
        <v>927</v>
      </c>
      <c r="E104" s="99">
        <v>7200</v>
      </c>
      <c r="F104" s="94">
        <f t="shared" si="11"/>
        <v>120</v>
      </c>
      <c r="G104" s="297">
        <f t="shared" si="11"/>
        <v>2</v>
      </c>
      <c r="H104" s="110">
        <f t="shared" si="10"/>
        <v>51</v>
      </c>
      <c r="I104" s="82" t="s">
        <v>934</v>
      </c>
      <c r="J104" s="82">
        <v>2</v>
      </c>
      <c r="K104" s="82" t="s">
        <v>1000</v>
      </c>
      <c r="L104" s="82">
        <v>2</v>
      </c>
      <c r="M104" s="82" t="s">
        <v>984</v>
      </c>
      <c r="N104" s="82">
        <v>1</v>
      </c>
      <c r="O104" s="82" t="s">
        <v>980</v>
      </c>
      <c r="P104" s="82">
        <v>2</v>
      </c>
      <c r="Q104" s="82">
        <f t="shared" si="13"/>
        <v>1</v>
      </c>
      <c r="R104" s="82">
        <f t="shared" si="14"/>
        <v>4</v>
      </c>
      <c r="S104" s="82">
        <f>VLOOKUP(M104,$A$100:$H$102,8,0)</f>
        <v>17</v>
      </c>
      <c r="T104" s="82">
        <f>VLOOKUP(O104,$A$100:$H$102,8,0)</f>
        <v>9</v>
      </c>
      <c r="U104" s="298" t="str">
        <f t="shared" si="12"/>
        <v>6</v>
      </c>
    </row>
    <row r="105" spans="1:21" x14ac:dyDescent="0.25">
      <c r="A105" s="7" t="s">
        <v>928</v>
      </c>
      <c r="B105" s="68">
        <v>53</v>
      </c>
      <c r="C105" s="91" t="s">
        <v>103</v>
      </c>
      <c r="D105" s="97" t="s">
        <v>929</v>
      </c>
      <c r="E105" s="99">
        <v>9000</v>
      </c>
      <c r="F105" s="94">
        <f t="shared" si="11"/>
        <v>150</v>
      </c>
      <c r="G105" s="297">
        <f t="shared" si="11"/>
        <v>2.5</v>
      </c>
      <c r="H105" s="110">
        <f t="shared" si="10"/>
        <v>62</v>
      </c>
      <c r="I105" s="82" t="s">
        <v>934</v>
      </c>
      <c r="J105" s="82">
        <v>2</v>
      </c>
      <c r="K105" s="82" t="s">
        <v>1001</v>
      </c>
      <c r="L105" s="82">
        <v>2</v>
      </c>
      <c r="M105" s="82" t="s">
        <v>984</v>
      </c>
      <c r="N105" s="82">
        <v>1</v>
      </c>
      <c r="O105" s="82" t="s">
        <v>985</v>
      </c>
      <c r="P105" s="82">
        <v>2</v>
      </c>
      <c r="Q105" s="82">
        <f t="shared" si="13"/>
        <v>1</v>
      </c>
      <c r="R105" s="82">
        <f t="shared" si="14"/>
        <v>4</v>
      </c>
      <c r="S105" s="82">
        <f>VLOOKUP(M105,$A$100:$H$102,8,0)</f>
        <v>17</v>
      </c>
      <c r="T105" s="82">
        <f>VLOOKUP(O105,$A$100:$H$102,8,0)</f>
        <v>14</v>
      </c>
      <c r="U105" s="298" t="str">
        <f t="shared" si="12"/>
        <v>7</v>
      </c>
    </row>
    <row r="106" spans="1:21" x14ac:dyDescent="0.25">
      <c r="A106" s="69" t="s">
        <v>930</v>
      </c>
      <c r="B106" s="73">
        <v>55</v>
      </c>
      <c r="C106" s="91" t="s">
        <v>103</v>
      </c>
      <c r="D106" s="92" t="s">
        <v>931</v>
      </c>
      <c r="E106" s="99">
        <v>10800</v>
      </c>
      <c r="F106" s="94">
        <f t="shared" si="11"/>
        <v>180</v>
      </c>
      <c r="G106" s="297">
        <f t="shared" si="11"/>
        <v>3</v>
      </c>
      <c r="H106" s="110">
        <f t="shared" si="10"/>
        <v>254</v>
      </c>
      <c r="I106" s="82" t="s">
        <v>944</v>
      </c>
      <c r="J106" s="82">
        <v>2</v>
      </c>
      <c r="K106" s="82" t="s">
        <v>1002</v>
      </c>
      <c r="L106" s="82">
        <v>2</v>
      </c>
      <c r="M106" s="82" t="s">
        <v>993</v>
      </c>
      <c r="N106" s="82">
        <v>3</v>
      </c>
      <c r="O106" s="82" t="s">
        <v>980</v>
      </c>
      <c r="P106" s="82">
        <v>5</v>
      </c>
      <c r="Q106" s="82">
        <f t="shared" si="13"/>
        <v>5</v>
      </c>
      <c r="R106" s="82">
        <f t="shared" si="14"/>
        <v>3</v>
      </c>
      <c r="S106" s="82">
        <f>VLOOKUP(M106,$A$100:$H$105,8,0)</f>
        <v>62</v>
      </c>
      <c r="T106" s="82">
        <f>VLOOKUP(O106,$A$100:$H$102,8,0)</f>
        <v>9</v>
      </c>
      <c r="U106" s="298" t="str">
        <f t="shared" si="12"/>
        <v>7</v>
      </c>
    </row>
    <row r="107" spans="1:21" x14ac:dyDescent="0.25">
      <c r="A107" s="69" t="s">
        <v>1012</v>
      </c>
      <c r="B107" s="69"/>
      <c r="C107" s="98" t="s">
        <v>1019</v>
      </c>
      <c r="D107" s="99"/>
      <c r="E107" s="99"/>
      <c r="H107" s="118">
        <v>3</v>
      </c>
      <c r="U107" s="298"/>
    </row>
    <row r="108" spans="1:21" x14ac:dyDescent="0.25">
      <c r="A108" s="69" t="s">
        <v>1013</v>
      </c>
      <c r="B108" s="69"/>
      <c r="C108" s="98" t="s">
        <v>1019</v>
      </c>
      <c r="D108" s="99"/>
      <c r="E108" s="99"/>
      <c r="H108" s="118">
        <v>3</v>
      </c>
      <c r="U108" s="298"/>
    </row>
    <row r="109" spans="1:21" x14ac:dyDescent="0.25">
      <c r="A109" s="69" t="s">
        <v>1014</v>
      </c>
      <c r="B109" s="69"/>
      <c r="C109" s="98" t="s">
        <v>1019</v>
      </c>
      <c r="D109" s="99"/>
      <c r="E109" s="99"/>
      <c r="H109" s="118">
        <v>3</v>
      </c>
      <c r="U109" s="298"/>
    </row>
    <row r="110" spans="1:21" x14ac:dyDescent="0.25">
      <c r="A110" s="69" t="s">
        <v>1015</v>
      </c>
      <c r="B110" s="69"/>
      <c r="C110" s="98" t="s">
        <v>1019</v>
      </c>
      <c r="D110" s="99"/>
      <c r="E110" s="99"/>
      <c r="H110" s="118">
        <v>4</v>
      </c>
      <c r="U110" s="298"/>
    </row>
    <row r="111" spans="1:21" x14ac:dyDescent="0.25">
      <c r="A111" s="69" t="s">
        <v>1016</v>
      </c>
      <c r="B111" s="69"/>
      <c r="C111" s="98" t="s">
        <v>1019</v>
      </c>
      <c r="D111" s="99"/>
      <c r="E111" s="99"/>
      <c r="H111" s="118">
        <v>4</v>
      </c>
      <c r="U111" s="298"/>
    </row>
    <row r="112" spans="1:21" x14ac:dyDescent="0.25">
      <c r="A112" s="69" t="s">
        <v>1017</v>
      </c>
      <c r="B112" s="69"/>
      <c r="C112" s="98" t="s">
        <v>1019</v>
      </c>
      <c r="D112" s="99"/>
      <c r="E112" s="99"/>
      <c r="H112" s="118">
        <v>4</v>
      </c>
      <c r="U112" s="298"/>
    </row>
    <row r="113" spans="1:21" x14ac:dyDescent="0.25">
      <c r="A113" s="69" t="s">
        <v>1018</v>
      </c>
      <c r="B113" s="69"/>
      <c r="C113" s="98" t="s">
        <v>1019</v>
      </c>
      <c r="D113" s="99"/>
      <c r="E113" s="99"/>
      <c r="H113" s="118">
        <v>3</v>
      </c>
      <c r="U113" s="298"/>
    </row>
  </sheetData>
  <autoFilter ref="A1:Q113"/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D1" workbookViewId="0">
      <selection activeCell="F2" sqref="F2"/>
    </sheetView>
  </sheetViews>
  <sheetFormatPr defaultRowHeight="15" x14ac:dyDescent="0.25"/>
  <cols>
    <col min="1" max="1" width="11.5703125" style="132" customWidth="1"/>
    <col min="2" max="2" width="11.85546875" customWidth="1"/>
    <col min="3" max="3" width="20.5703125" customWidth="1"/>
    <col min="4" max="4" width="15.85546875" bestFit="1" customWidth="1"/>
    <col min="5" max="5" width="63.5703125" customWidth="1"/>
    <col min="6" max="6" width="24.42578125" bestFit="1" customWidth="1"/>
    <col min="7" max="7" width="34.140625" bestFit="1" customWidth="1"/>
    <col min="15" max="15" width="11.5703125" bestFit="1" customWidth="1"/>
  </cols>
  <sheetData>
    <row r="1" spans="1:17" x14ac:dyDescent="0.25">
      <c r="A1" s="141" t="s">
        <v>88</v>
      </c>
      <c r="B1" s="141" t="s">
        <v>91</v>
      </c>
      <c r="C1" s="141" t="s">
        <v>0</v>
      </c>
      <c r="D1" s="141" t="s">
        <v>1121</v>
      </c>
      <c r="E1" s="141" t="s">
        <v>1122</v>
      </c>
      <c r="F1" s="141" t="s">
        <v>1123</v>
      </c>
      <c r="G1" s="142" t="s">
        <v>1124</v>
      </c>
      <c r="J1" s="50" t="s">
        <v>1128</v>
      </c>
      <c r="K1" s="50"/>
      <c r="L1" s="50" t="s">
        <v>1130</v>
      </c>
      <c r="M1" s="50"/>
      <c r="N1" s="50" t="s">
        <v>1133</v>
      </c>
      <c r="O1" s="241" t="s">
        <v>1136</v>
      </c>
    </row>
    <row r="2" spans="1:17" x14ac:dyDescent="0.25">
      <c r="A2" s="50" t="s">
        <v>1125</v>
      </c>
      <c r="B2" s="50" t="s">
        <v>1126</v>
      </c>
      <c r="C2" s="143" t="s">
        <v>1127</v>
      </c>
      <c r="D2" s="144"/>
      <c r="E2" s="144"/>
      <c r="F2" s="386">
        <f>5*60</f>
        <v>300</v>
      </c>
      <c r="G2" s="39"/>
      <c r="I2" s="278">
        <v>1500</v>
      </c>
      <c r="J2" s="145">
        <f>I2</f>
        <v>1500</v>
      </c>
      <c r="K2" s="278">
        <v>20</v>
      </c>
      <c r="L2" s="145">
        <f>K2</f>
        <v>20</v>
      </c>
      <c r="M2" s="278">
        <v>20</v>
      </c>
      <c r="N2" s="145">
        <f>M2</f>
        <v>20</v>
      </c>
      <c r="O2" s="145">
        <f>N2*5</f>
        <v>100</v>
      </c>
      <c r="Q2" s="145"/>
    </row>
    <row r="3" spans="1:17" ht="13.5" customHeight="1" x14ac:dyDescent="0.25">
      <c r="A3" s="50" t="s">
        <v>1128</v>
      </c>
      <c r="B3" s="50" t="s">
        <v>1126</v>
      </c>
      <c r="C3" s="143" t="s">
        <v>1129</v>
      </c>
      <c r="D3" s="144" t="s">
        <v>90</v>
      </c>
      <c r="E3" s="146" t="str">
        <f>CONCATENATE(J2,":",J3,":",J4,":",J5,":",J6,":",J7,":",J8,":",J9,":",J10,":",J11,":",J12)</f>
        <v>1500:3500:6500:10000:14000:19000:25000:33000:44000:59000:79000</v>
      </c>
      <c r="F3" s="144">
        <v>900</v>
      </c>
      <c r="G3" s="39"/>
      <c r="I3" s="278">
        <v>2000</v>
      </c>
      <c r="J3" s="145">
        <f>J2+I3</f>
        <v>3500</v>
      </c>
      <c r="K3" s="278">
        <v>30</v>
      </c>
      <c r="L3" s="145">
        <f>L2+K3</f>
        <v>50</v>
      </c>
      <c r="M3" s="278">
        <v>40</v>
      </c>
      <c r="N3" s="145">
        <f>N2+M3</f>
        <v>60</v>
      </c>
      <c r="O3" s="145">
        <f t="shared" ref="O3:O12" si="0">N3*5</f>
        <v>300</v>
      </c>
    </row>
    <row r="4" spans="1:17" ht="14.25" customHeight="1" x14ac:dyDescent="0.25">
      <c r="A4" s="50" t="s">
        <v>1130</v>
      </c>
      <c r="B4" s="50" t="s">
        <v>1126</v>
      </c>
      <c r="C4" s="143" t="s">
        <v>1131</v>
      </c>
      <c r="D4" s="144" t="s">
        <v>1132</v>
      </c>
      <c r="E4" s="146" t="str">
        <f>CONCATENATE(L2,":",L3,":",L4,":",L5,":",L6,":",L7,":",L8,":",L9,":",L10,":",L11,":",L12)</f>
        <v>20:50:90:140:190:250:320:400:490:590:710</v>
      </c>
      <c r="F4" s="144">
        <v>600</v>
      </c>
      <c r="G4" s="39"/>
      <c r="I4" s="278">
        <v>3000</v>
      </c>
      <c r="J4" s="145">
        <f t="shared" ref="J4:J12" si="1">J3+I4</f>
        <v>6500</v>
      </c>
      <c r="K4" s="278">
        <v>40</v>
      </c>
      <c r="L4" s="145">
        <f t="shared" ref="L4:L12" si="2">L3+K4</f>
        <v>90</v>
      </c>
      <c r="M4" s="278">
        <v>50</v>
      </c>
      <c r="N4" s="145">
        <f>N3+M4</f>
        <v>110</v>
      </c>
      <c r="O4" s="145">
        <f t="shared" si="0"/>
        <v>550</v>
      </c>
    </row>
    <row r="5" spans="1:17" ht="15" customHeight="1" x14ac:dyDescent="0.25">
      <c r="A5" s="50" t="s">
        <v>1133</v>
      </c>
      <c r="B5" s="50" t="s">
        <v>1126</v>
      </c>
      <c r="C5" s="143" t="s">
        <v>1134</v>
      </c>
      <c r="D5" s="144" t="s">
        <v>1135</v>
      </c>
      <c r="E5" s="146" t="str">
        <f>CONCATENATE(N2,":",N3,":",N4,":",N5,":",N6,":",N7,":",N8,":",N9,":",N10,":",N11,":",N12)</f>
        <v>20:60:110:200:385:660:940:1265:1660:2180:2850</v>
      </c>
      <c r="F5" s="144">
        <v>0</v>
      </c>
      <c r="G5" s="39"/>
      <c r="I5" s="278">
        <v>3500</v>
      </c>
      <c r="J5" s="145">
        <f t="shared" si="1"/>
        <v>10000</v>
      </c>
      <c r="K5" s="278">
        <v>50</v>
      </c>
      <c r="L5" s="145">
        <f t="shared" si="2"/>
        <v>140</v>
      </c>
      <c r="M5" s="278">
        <f>N5-N4</f>
        <v>90</v>
      </c>
      <c r="N5" s="145">
        <v>200</v>
      </c>
      <c r="O5" s="145">
        <f t="shared" si="0"/>
        <v>1000</v>
      </c>
    </row>
    <row r="6" spans="1:17" ht="30" x14ac:dyDescent="0.25">
      <c r="A6" s="50" t="s">
        <v>1136</v>
      </c>
      <c r="B6" s="50" t="s">
        <v>1126</v>
      </c>
      <c r="C6" s="39" t="s">
        <v>1137</v>
      </c>
      <c r="D6" s="144" t="s">
        <v>1135</v>
      </c>
      <c r="E6" s="146" t="str">
        <f>CONCATENATE(O2,":",O3,":",O4,":",O5,":",O6,":",O7,":",O8,":",O9,":",O10,":",O11,":",O12)</f>
        <v>100:300:550:1000:1925:3300:4700:6325:8300:10900:14250</v>
      </c>
      <c r="F6" s="144">
        <v>0</v>
      </c>
      <c r="G6" s="148" t="s">
        <v>2421</v>
      </c>
      <c r="I6" s="278">
        <v>4000</v>
      </c>
      <c r="J6" s="145">
        <f t="shared" si="1"/>
        <v>14000</v>
      </c>
      <c r="K6" s="278">
        <v>50</v>
      </c>
      <c r="L6" s="145">
        <f t="shared" si="2"/>
        <v>190</v>
      </c>
      <c r="M6" s="278">
        <f t="shared" ref="M6:M12" si="3">N6-N5</f>
        <v>185</v>
      </c>
      <c r="N6" s="145">
        <v>385</v>
      </c>
      <c r="O6" s="145">
        <f t="shared" si="0"/>
        <v>1925</v>
      </c>
    </row>
    <row r="7" spans="1:17" x14ac:dyDescent="0.25">
      <c r="I7" s="278">
        <v>5000</v>
      </c>
      <c r="J7" s="145">
        <f t="shared" si="1"/>
        <v>19000</v>
      </c>
      <c r="K7" s="278">
        <v>60</v>
      </c>
      <c r="L7" s="145">
        <f t="shared" si="2"/>
        <v>250</v>
      </c>
      <c r="M7" s="278">
        <f t="shared" si="3"/>
        <v>275</v>
      </c>
      <c r="N7" s="145">
        <v>660</v>
      </c>
      <c r="O7" s="145">
        <f t="shared" si="0"/>
        <v>3300</v>
      </c>
      <c r="Q7" s="231"/>
    </row>
    <row r="8" spans="1:17" x14ac:dyDescent="0.25">
      <c r="I8" s="278">
        <v>6000</v>
      </c>
      <c r="J8" s="145">
        <f t="shared" si="1"/>
        <v>25000</v>
      </c>
      <c r="K8" s="278">
        <v>70</v>
      </c>
      <c r="L8" s="145">
        <f t="shared" si="2"/>
        <v>320</v>
      </c>
      <c r="M8" s="278">
        <f t="shared" si="3"/>
        <v>280</v>
      </c>
      <c r="N8" s="145">
        <v>940</v>
      </c>
      <c r="O8" s="145">
        <f t="shared" si="0"/>
        <v>4700</v>
      </c>
      <c r="Q8" s="231"/>
    </row>
    <row r="9" spans="1:17" x14ac:dyDescent="0.25">
      <c r="I9" s="278">
        <v>8000</v>
      </c>
      <c r="J9" s="145">
        <f t="shared" si="1"/>
        <v>33000</v>
      </c>
      <c r="K9" s="278">
        <v>80</v>
      </c>
      <c r="L9" s="145">
        <f t="shared" si="2"/>
        <v>400</v>
      </c>
      <c r="M9" s="278">
        <f t="shared" si="3"/>
        <v>325</v>
      </c>
      <c r="N9" s="145">
        <v>1265</v>
      </c>
      <c r="O9" s="145">
        <f t="shared" si="0"/>
        <v>6325</v>
      </c>
      <c r="Q9" s="231"/>
    </row>
    <row r="10" spans="1:17" x14ac:dyDescent="0.25">
      <c r="I10" s="278">
        <v>11000</v>
      </c>
      <c r="J10" s="145">
        <f t="shared" si="1"/>
        <v>44000</v>
      </c>
      <c r="K10" s="278">
        <v>90</v>
      </c>
      <c r="L10" s="145">
        <f t="shared" si="2"/>
        <v>490</v>
      </c>
      <c r="M10" s="278">
        <f t="shared" si="3"/>
        <v>395</v>
      </c>
      <c r="N10" s="145">
        <v>1660</v>
      </c>
      <c r="O10" s="145">
        <f t="shared" si="0"/>
        <v>8300</v>
      </c>
      <c r="Q10" s="231"/>
    </row>
    <row r="11" spans="1:17" x14ac:dyDescent="0.25">
      <c r="I11" s="278">
        <v>15000</v>
      </c>
      <c r="J11" s="145">
        <f t="shared" si="1"/>
        <v>59000</v>
      </c>
      <c r="K11" s="278">
        <v>100</v>
      </c>
      <c r="L11" s="145">
        <f t="shared" si="2"/>
        <v>590</v>
      </c>
      <c r="M11" s="278">
        <f t="shared" si="3"/>
        <v>520</v>
      </c>
      <c r="N11" s="145">
        <v>2180</v>
      </c>
      <c r="O11" s="145">
        <f t="shared" si="0"/>
        <v>10900</v>
      </c>
      <c r="Q11" s="231"/>
    </row>
    <row r="12" spans="1:17" x14ac:dyDescent="0.25">
      <c r="I12" s="278">
        <v>20000</v>
      </c>
      <c r="J12" s="145">
        <f t="shared" si="1"/>
        <v>79000</v>
      </c>
      <c r="K12" s="278">
        <v>120</v>
      </c>
      <c r="L12" s="145">
        <f t="shared" si="2"/>
        <v>710</v>
      </c>
      <c r="M12" s="278">
        <f t="shared" si="3"/>
        <v>670</v>
      </c>
      <c r="N12" s="145">
        <v>2850</v>
      </c>
      <c r="O12" s="145">
        <f t="shared" si="0"/>
        <v>14250</v>
      </c>
      <c r="Q12" s="231"/>
    </row>
    <row r="13" spans="1:17" x14ac:dyDescent="0.25">
      <c r="I13" s="248"/>
      <c r="J13" s="248">
        <f>SUM(J2:J12)</f>
        <v>294500</v>
      </c>
      <c r="K13" s="248"/>
      <c r="L13" s="248">
        <f>SUM(L2:L12)</f>
        <v>3250</v>
      </c>
      <c r="M13" s="248"/>
      <c r="N13" s="248">
        <f>SUM(N2:N12)</f>
        <v>10330</v>
      </c>
      <c r="O13" s="248">
        <f>SUM(O2:O12)</f>
        <v>51650</v>
      </c>
    </row>
    <row r="14" spans="1:17" x14ac:dyDescent="0.25">
      <c r="I14" s="147"/>
      <c r="J14" s="248">
        <f>J13/500</f>
        <v>589</v>
      </c>
      <c r="K14" s="248"/>
      <c r="L14" s="248">
        <f>L13/10</f>
        <v>325</v>
      </c>
      <c r="M14" s="248"/>
      <c r="N14" s="248">
        <f>N13</f>
        <v>10330</v>
      </c>
      <c r="O14" s="248">
        <f>O13</f>
        <v>51650</v>
      </c>
    </row>
    <row r="15" spans="1:17" x14ac:dyDescent="0.25">
      <c r="J15" s="277">
        <f>J14/4</f>
        <v>147.25</v>
      </c>
      <c r="K15" s="277"/>
      <c r="L15" s="248">
        <f>L14*2</f>
        <v>650</v>
      </c>
      <c r="M15" s="248"/>
      <c r="O15" s="504">
        <f>O14*100</f>
        <v>5165000</v>
      </c>
    </row>
    <row r="16" spans="1:17" x14ac:dyDescent="0.25">
      <c r="O16" s="505"/>
    </row>
  </sheetData>
  <autoFilter ref="D1:D6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"/>
  <sheetViews>
    <sheetView workbookViewId="0">
      <selection activeCell="C2" sqref="C2:C22"/>
    </sheetView>
  </sheetViews>
  <sheetFormatPr defaultRowHeight="15" x14ac:dyDescent="0.25"/>
  <cols>
    <col min="1" max="1" width="7.5703125" bestFit="1" customWidth="1"/>
    <col min="2" max="2" width="21" bestFit="1" customWidth="1"/>
    <col min="3" max="3" width="21" customWidth="1"/>
    <col min="4" max="4" width="21" bestFit="1" customWidth="1"/>
    <col min="5" max="7" width="13.7109375" customWidth="1"/>
    <col min="8" max="8" width="23.42578125" customWidth="1"/>
    <col min="9" max="11" width="15" customWidth="1"/>
    <col min="12" max="12" width="29.5703125" customWidth="1"/>
    <col min="13" max="15" width="15.140625" customWidth="1"/>
    <col min="16" max="16" width="28.28515625" bestFit="1" customWidth="1"/>
    <col min="17" max="17" width="14" customWidth="1"/>
    <col min="18" max="18" width="11.5703125" bestFit="1" customWidth="1"/>
  </cols>
  <sheetData>
    <row r="1" spans="1:19" x14ac:dyDescent="0.25">
      <c r="A1" s="141" t="s">
        <v>1138</v>
      </c>
      <c r="B1" s="141" t="s">
        <v>1125</v>
      </c>
      <c r="C1" s="141" t="s">
        <v>2604</v>
      </c>
      <c r="D1" s="141" t="s">
        <v>1128</v>
      </c>
      <c r="E1" s="141" t="s">
        <v>1274</v>
      </c>
      <c r="F1" s="141" t="s">
        <v>1283</v>
      </c>
      <c r="G1" s="141" t="s">
        <v>1284</v>
      </c>
      <c r="H1" s="141" t="s">
        <v>1130</v>
      </c>
      <c r="I1" s="141" t="s">
        <v>1275</v>
      </c>
      <c r="J1" s="141" t="s">
        <v>1283</v>
      </c>
      <c r="K1" s="141" t="s">
        <v>1284</v>
      </c>
      <c r="L1" s="141" t="s">
        <v>1133</v>
      </c>
      <c r="M1" s="141" t="s">
        <v>1276</v>
      </c>
      <c r="N1" s="141" t="s">
        <v>1283</v>
      </c>
      <c r="O1" s="141" t="s">
        <v>1284</v>
      </c>
      <c r="P1" s="141" t="s">
        <v>1136</v>
      </c>
      <c r="Q1" s="141" t="s">
        <v>1277</v>
      </c>
    </row>
    <row r="2" spans="1:19" x14ac:dyDescent="0.25">
      <c r="A2" s="149">
        <v>1</v>
      </c>
      <c r="B2" s="149" t="s">
        <v>1246</v>
      </c>
      <c r="C2" s="149" t="s">
        <v>2643</v>
      </c>
      <c r="D2" s="149" t="s">
        <v>1222</v>
      </c>
      <c r="E2" s="249">
        <v>17</v>
      </c>
      <c r="F2" s="249"/>
      <c r="G2" s="249"/>
      <c r="H2" s="149" t="s">
        <v>1145</v>
      </c>
      <c r="I2" s="249">
        <v>203</v>
      </c>
      <c r="J2" s="249"/>
      <c r="K2" s="249"/>
      <c r="L2" s="149" t="s">
        <v>1272</v>
      </c>
      <c r="M2" s="250">
        <v>673.20512820512818</v>
      </c>
      <c r="N2" s="249"/>
      <c r="O2" s="249"/>
      <c r="P2" s="149" t="s">
        <v>1225</v>
      </c>
      <c r="Q2" s="250">
        <v>1190.909090909091</v>
      </c>
      <c r="S2" s="180"/>
    </row>
    <row r="3" spans="1:19" x14ac:dyDescent="0.25">
      <c r="A3" s="149">
        <v>1</v>
      </c>
      <c r="B3" s="149" t="s">
        <v>1221</v>
      </c>
      <c r="C3" s="149" t="s">
        <v>2644</v>
      </c>
      <c r="D3" s="149" t="s">
        <v>1142</v>
      </c>
      <c r="E3" s="249">
        <v>14</v>
      </c>
      <c r="F3" s="249"/>
      <c r="G3" s="249"/>
      <c r="H3" s="149" t="s">
        <v>1146</v>
      </c>
      <c r="I3" s="249">
        <v>208</v>
      </c>
      <c r="J3" s="249"/>
      <c r="K3" s="249"/>
      <c r="L3" s="149" t="s">
        <v>1270</v>
      </c>
      <c r="M3" s="250">
        <v>706.66666666666674</v>
      </c>
      <c r="N3" s="249"/>
      <c r="O3" s="249"/>
      <c r="P3" s="149" t="s">
        <v>1247</v>
      </c>
      <c r="Q3" s="250">
        <v>1321.2727272727273</v>
      </c>
    </row>
    <row r="4" spans="1:19" x14ac:dyDescent="0.25">
      <c r="A4" s="149">
        <v>1</v>
      </c>
      <c r="B4" s="149" t="s">
        <v>1154</v>
      </c>
      <c r="C4" s="149" t="s">
        <v>2642</v>
      </c>
      <c r="D4" s="149" t="s">
        <v>1139</v>
      </c>
      <c r="E4" s="251">
        <v>11</v>
      </c>
      <c r="F4" s="251"/>
      <c r="G4" s="251"/>
      <c r="H4" s="149" t="s">
        <v>1254</v>
      </c>
      <c r="I4" s="249">
        <v>10</v>
      </c>
      <c r="J4" s="251"/>
      <c r="K4" s="251"/>
      <c r="L4" s="149" t="s">
        <v>1289</v>
      </c>
      <c r="M4" s="250">
        <v>831.66666666666674</v>
      </c>
      <c r="N4" s="251"/>
      <c r="O4" s="251"/>
      <c r="P4" s="149" t="s">
        <v>1160</v>
      </c>
      <c r="Q4" s="499">
        <v>1416</v>
      </c>
    </row>
    <row r="5" spans="1:19" x14ac:dyDescent="0.25">
      <c r="A5" s="149">
        <v>1</v>
      </c>
      <c r="B5" s="149" t="s">
        <v>1248</v>
      </c>
      <c r="C5" s="149" t="s">
        <v>2645</v>
      </c>
      <c r="D5" s="149" t="s">
        <v>1152</v>
      </c>
      <c r="E5" s="249">
        <v>9</v>
      </c>
      <c r="F5" s="249"/>
      <c r="G5" s="249"/>
      <c r="H5" s="149" t="s">
        <v>1257</v>
      </c>
      <c r="I5" s="249">
        <v>10</v>
      </c>
      <c r="J5" s="249"/>
      <c r="K5" s="249"/>
      <c r="L5" s="7" t="s">
        <v>1273</v>
      </c>
      <c r="M5" s="250">
        <v>986.66666666666674</v>
      </c>
      <c r="N5" s="249"/>
      <c r="O5" s="249"/>
      <c r="P5" s="149" t="s">
        <v>1217</v>
      </c>
      <c r="Q5" s="250">
        <v>2126</v>
      </c>
    </row>
    <row r="6" spans="1:19" x14ac:dyDescent="0.25">
      <c r="A6" s="149">
        <v>1</v>
      </c>
      <c r="B6" s="149"/>
      <c r="C6" s="149"/>
      <c r="D6" s="149" t="s">
        <v>1249</v>
      </c>
      <c r="E6" s="249">
        <v>5</v>
      </c>
      <c r="F6" s="250">
        <f>AVERAGE(E2:E6)</f>
        <v>11.2</v>
      </c>
      <c r="G6" s="250">
        <f>F6*11</f>
        <v>123.19999999999999</v>
      </c>
      <c r="H6" s="149" t="s">
        <v>1149</v>
      </c>
      <c r="I6" s="249">
        <f>1000/500</f>
        <v>2</v>
      </c>
      <c r="J6" s="250">
        <f>AVERAGE(I2:I6)</f>
        <v>86.6</v>
      </c>
      <c r="K6" s="250">
        <f>J6*11</f>
        <v>952.59999999999991</v>
      </c>
      <c r="L6" s="7" t="s">
        <v>1158</v>
      </c>
      <c r="M6" s="250">
        <v>1116.3636363636365</v>
      </c>
      <c r="N6" s="250">
        <f>AVERAGE(M2:M6)</f>
        <v>862.913752913753</v>
      </c>
      <c r="O6" s="250">
        <f>N6*11</f>
        <v>9492.0512820512831</v>
      </c>
      <c r="Q6" s="249"/>
    </row>
    <row r="7" spans="1:19" x14ac:dyDescent="0.25">
      <c r="A7" s="150">
        <v>2</v>
      </c>
      <c r="B7" s="150" t="s">
        <v>1250</v>
      </c>
      <c r="C7" s="150" t="s">
        <v>2613</v>
      </c>
      <c r="D7" s="150" t="s">
        <v>1155</v>
      </c>
      <c r="E7" s="249">
        <v>15</v>
      </c>
      <c r="F7" s="249"/>
      <c r="G7" s="249"/>
      <c r="H7" s="150" t="s">
        <v>1140</v>
      </c>
      <c r="I7" s="249">
        <v>300</v>
      </c>
      <c r="J7" s="249"/>
      <c r="K7" s="249"/>
      <c r="L7" s="150" t="s">
        <v>1225</v>
      </c>
      <c r="M7" s="250">
        <v>1190.909090909091</v>
      </c>
      <c r="N7" s="249"/>
      <c r="O7" s="249"/>
      <c r="P7" s="150" t="s">
        <v>1161</v>
      </c>
      <c r="Q7" s="249">
        <v>2868</v>
      </c>
    </row>
    <row r="8" spans="1:19" x14ac:dyDescent="0.25">
      <c r="A8" s="150">
        <v>2</v>
      </c>
      <c r="B8" s="150" t="s">
        <v>1223</v>
      </c>
      <c r="C8" s="150" t="s">
        <v>2607</v>
      </c>
      <c r="D8" s="150" t="s">
        <v>1251</v>
      </c>
      <c r="E8" s="249">
        <v>10</v>
      </c>
      <c r="F8" s="249"/>
      <c r="G8" s="249"/>
      <c r="H8" s="150" t="s">
        <v>1252</v>
      </c>
      <c r="I8" s="249">
        <f>2500/500</f>
        <v>5</v>
      </c>
      <c r="J8" s="249"/>
      <c r="K8" s="249"/>
      <c r="L8" s="179" t="s">
        <v>1247</v>
      </c>
      <c r="M8" s="250">
        <v>1321.2727272727273</v>
      </c>
      <c r="N8" s="249"/>
      <c r="O8" s="249"/>
      <c r="P8" s="150" t="s">
        <v>1153</v>
      </c>
      <c r="Q8" s="249">
        <v>3204</v>
      </c>
    </row>
    <row r="9" spans="1:19" x14ac:dyDescent="0.25">
      <c r="A9" s="150">
        <v>2</v>
      </c>
      <c r="B9" s="150" t="s">
        <v>1185</v>
      </c>
      <c r="C9" s="150" t="s">
        <v>2606</v>
      </c>
      <c r="D9" s="150" t="s">
        <v>1253</v>
      </c>
      <c r="E9" s="249">
        <v>10</v>
      </c>
      <c r="F9" s="249"/>
      <c r="G9" s="249"/>
      <c r="H9" s="150" t="s">
        <v>1147</v>
      </c>
      <c r="I9" s="249">
        <v>211</v>
      </c>
      <c r="J9" s="249"/>
      <c r="K9" s="254"/>
      <c r="L9" s="179" t="s">
        <v>1160</v>
      </c>
      <c r="M9" s="250">
        <v>1416</v>
      </c>
      <c r="N9" s="249"/>
      <c r="O9" s="249"/>
      <c r="P9" s="150" t="s">
        <v>1141</v>
      </c>
      <c r="Q9" s="249">
        <v>4510</v>
      </c>
    </row>
    <row r="10" spans="1:19" x14ac:dyDescent="0.25">
      <c r="A10" s="150">
        <v>2</v>
      </c>
      <c r="B10" s="150" t="s">
        <v>1255</v>
      </c>
      <c r="C10" s="150" t="s">
        <v>2608</v>
      </c>
      <c r="D10" s="150" t="s">
        <v>1256</v>
      </c>
      <c r="E10" s="249">
        <v>20</v>
      </c>
      <c r="F10" s="249"/>
      <c r="G10" s="249"/>
      <c r="H10" s="150" t="s">
        <v>1155</v>
      </c>
      <c r="I10" s="249">
        <v>15</v>
      </c>
      <c r="J10" s="249"/>
      <c r="K10" s="254"/>
      <c r="L10" s="150" t="s">
        <v>1217</v>
      </c>
      <c r="M10" s="249">
        <v>2126</v>
      </c>
      <c r="N10" s="249"/>
      <c r="O10" s="249"/>
      <c r="P10" s="150" t="s">
        <v>1143</v>
      </c>
      <c r="Q10" s="249">
        <v>4745</v>
      </c>
    </row>
    <row r="11" spans="1:19" x14ac:dyDescent="0.25">
      <c r="A11" s="150">
        <v>2</v>
      </c>
      <c r="B11" s="150"/>
      <c r="C11" s="150"/>
      <c r="D11" s="150"/>
      <c r="E11" s="249"/>
      <c r="F11" s="250">
        <f>AVERAGE(E7:E11)</f>
        <v>13.75</v>
      </c>
      <c r="G11" s="250">
        <f>F11*11</f>
        <v>151.25</v>
      </c>
      <c r="H11" s="150"/>
      <c r="I11" s="249">
        <v>50</v>
      </c>
      <c r="J11" s="250">
        <f>AVERAGE(I7:I11)</f>
        <v>116.2</v>
      </c>
      <c r="K11" s="250">
        <f>J11*11</f>
        <v>1278.2</v>
      </c>
      <c r="L11" s="150" t="s">
        <v>1161</v>
      </c>
      <c r="M11" s="249">
        <v>2868</v>
      </c>
      <c r="N11" s="250">
        <f>AVERAGE(M7:M11)</f>
        <v>1784.4363636363637</v>
      </c>
      <c r="O11" s="250">
        <f>N11*11</f>
        <v>19628.8</v>
      </c>
      <c r="P11" s="150"/>
      <c r="Q11" s="249"/>
    </row>
    <row r="12" spans="1:19" x14ac:dyDescent="0.25">
      <c r="A12" s="151">
        <v>3</v>
      </c>
      <c r="B12" s="579" t="s">
        <v>1258</v>
      </c>
      <c r="C12" s="151" t="s">
        <v>1221</v>
      </c>
      <c r="D12" s="151" t="s">
        <v>1259</v>
      </c>
      <c r="E12" s="249">
        <v>10</v>
      </c>
      <c r="F12" s="249"/>
      <c r="G12" s="249"/>
      <c r="H12" s="151" t="s">
        <v>1226</v>
      </c>
      <c r="I12" s="249">
        <f>3000/500</f>
        <v>6</v>
      </c>
      <c r="J12" s="249"/>
      <c r="K12" s="249"/>
      <c r="L12" s="151" t="s">
        <v>1153</v>
      </c>
      <c r="M12" s="249">
        <v>3204</v>
      </c>
      <c r="N12" s="249"/>
      <c r="O12" s="249"/>
      <c r="P12" s="152" t="s">
        <v>1144</v>
      </c>
      <c r="Q12" s="250">
        <v>5353.5714285714284</v>
      </c>
    </row>
    <row r="13" spans="1:19" x14ac:dyDescent="0.25">
      <c r="A13" s="151">
        <v>3</v>
      </c>
      <c r="B13" s="247" t="s">
        <v>1224</v>
      </c>
      <c r="C13" s="152" t="s">
        <v>1223</v>
      </c>
      <c r="D13" s="151" t="s">
        <v>1184</v>
      </c>
      <c r="E13" s="250">
        <v>69</v>
      </c>
      <c r="F13" s="250"/>
      <c r="G13" s="250"/>
      <c r="H13" s="151" t="s">
        <v>1260</v>
      </c>
      <c r="I13" s="250">
        <v>314.72527472527474</v>
      </c>
      <c r="J13" s="250"/>
      <c r="K13" s="250"/>
      <c r="L13" s="151" t="s">
        <v>1141</v>
      </c>
      <c r="M13" s="249">
        <v>4510</v>
      </c>
      <c r="N13" s="250"/>
      <c r="O13" s="250"/>
      <c r="P13" s="151" t="s">
        <v>1148</v>
      </c>
      <c r="Q13" s="250">
        <v>5937.1428571428578</v>
      </c>
    </row>
    <row r="14" spans="1:19" x14ac:dyDescent="0.25">
      <c r="A14" s="151">
        <v>3</v>
      </c>
      <c r="B14" s="579" t="s">
        <v>1163</v>
      </c>
      <c r="C14" s="151" t="s">
        <v>2605</v>
      </c>
      <c r="D14" s="151" t="s">
        <v>1261</v>
      </c>
      <c r="E14" s="250">
        <v>208.57142857142858</v>
      </c>
      <c r="F14" s="250"/>
      <c r="G14" s="250"/>
      <c r="H14" s="151" t="s">
        <v>1262</v>
      </c>
      <c r="I14" s="250">
        <v>338.46153846153845</v>
      </c>
      <c r="J14" s="250"/>
      <c r="K14" s="250"/>
      <c r="L14" s="151" t="s">
        <v>1143</v>
      </c>
      <c r="M14" s="250">
        <v>4745</v>
      </c>
      <c r="N14" s="250"/>
      <c r="O14" s="250"/>
      <c r="P14" s="152" t="s">
        <v>1150</v>
      </c>
      <c r="Q14" s="250">
        <v>15008.571428571429</v>
      </c>
    </row>
    <row r="15" spans="1:19" x14ac:dyDescent="0.25">
      <c r="A15" s="151">
        <v>3</v>
      </c>
      <c r="B15" s="579" t="s">
        <v>1186</v>
      </c>
      <c r="C15" s="151" t="s">
        <v>2610</v>
      </c>
      <c r="D15" s="151" t="s">
        <v>1260</v>
      </c>
      <c r="E15" s="250">
        <v>314.72527472527474</v>
      </c>
      <c r="F15" s="250"/>
      <c r="G15" s="250"/>
      <c r="H15" s="151" t="s">
        <v>1263</v>
      </c>
      <c r="I15" s="250">
        <v>458.46153846153845</v>
      </c>
      <c r="J15" s="250"/>
      <c r="K15" s="250"/>
      <c r="L15" s="151" t="s">
        <v>1144</v>
      </c>
      <c r="M15" s="250">
        <v>5353.5714285714284</v>
      </c>
      <c r="N15" s="250"/>
      <c r="O15" s="250"/>
      <c r="P15" s="151" t="s">
        <v>1151</v>
      </c>
      <c r="Q15" s="250">
        <v>26189.047619047618</v>
      </c>
    </row>
    <row r="16" spans="1:19" x14ac:dyDescent="0.25">
      <c r="A16" s="151">
        <v>3</v>
      </c>
      <c r="B16" s="579"/>
      <c r="C16" s="151"/>
      <c r="D16" s="151"/>
      <c r="E16" s="250"/>
      <c r="F16" s="250">
        <f>AVERAGE(E12:E16)</f>
        <v>150.57417582417582</v>
      </c>
      <c r="G16" s="250">
        <f>F16*11</f>
        <v>1656.315934065934</v>
      </c>
      <c r="H16" s="151" t="s">
        <v>1156</v>
      </c>
      <c r="I16" s="250"/>
      <c r="J16" s="250">
        <f>AVERAGE(I12:I16)</f>
        <v>279.41208791208794</v>
      </c>
      <c r="K16" s="250">
        <f>J16*11</f>
        <v>3073.5329670329675</v>
      </c>
      <c r="L16" s="151" t="s">
        <v>1148</v>
      </c>
      <c r="M16" s="250">
        <v>5937.1428571428578</v>
      </c>
      <c r="N16" s="250">
        <f>AVERAGE(M12:M16)</f>
        <v>4749.9428571428571</v>
      </c>
      <c r="O16" s="250">
        <f>N16*11</f>
        <v>52249.37142857143</v>
      </c>
      <c r="P16" s="151"/>
      <c r="Q16" s="250"/>
    </row>
    <row r="17" spans="1:18" x14ac:dyDescent="0.25">
      <c r="A17" s="153">
        <v>4</v>
      </c>
      <c r="B17" s="153" t="s">
        <v>1266</v>
      </c>
      <c r="C17" s="153" t="s">
        <v>1224</v>
      </c>
      <c r="D17" s="153" t="s">
        <v>1157</v>
      </c>
      <c r="E17" s="250">
        <v>375.38461538461542</v>
      </c>
      <c r="F17" s="250"/>
      <c r="G17" s="250"/>
      <c r="H17" s="153" t="s">
        <v>1267</v>
      </c>
      <c r="I17" s="250">
        <f>4000/500</f>
        <v>8</v>
      </c>
      <c r="J17" s="250"/>
      <c r="K17" s="250"/>
      <c r="L17" s="153" t="s">
        <v>1150</v>
      </c>
      <c r="M17" s="250">
        <v>15008.571428571429</v>
      </c>
      <c r="N17" s="250"/>
      <c r="O17" s="250"/>
      <c r="P17" s="153" t="s">
        <v>1162</v>
      </c>
      <c r="Q17" s="250">
        <v>29260</v>
      </c>
    </row>
    <row r="18" spans="1:18" x14ac:dyDescent="0.25">
      <c r="A18" s="153">
        <v>4</v>
      </c>
      <c r="B18" s="153" t="s">
        <v>1268</v>
      </c>
      <c r="C18" s="153" t="s">
        <v>2611</v>
      </c>
      <c r="D18" s="153" t="s">
        <v>1264</v>
      </c>
      <c r="E18" s="250">
        <v>416.92307692307691</v>
      </c>
      <c r="F18" s="250"/>
      <c r="G18" s="250"/>
      <c r="H18" s="153" t="s">
        <v>1265</v>
      </c>
      <c r="I18" s="250">
        <v>470.76923076923077</v>
      </c>
      <c r="J18" s="250"/>
      <c r="K18" s="250"/>
      <c r="L18" s="153" t="s">
        <v>1162</v>
      </c>
      <c r="M18" s="250">
        <v>29260</v>
      </c>
      <c r="N18" s="250"/>
      <c r="O18" s="250"/>
      <c r="P18" s="153" t="s">
        <v>1218</v>
      </c>
      <c r="Q18" s="250">
        <v>33083.333333333336</v>
      </c>
    </row>
    <row r="19" spans="1:18" x14ac:dyDescent="0.25">
      <c r="A19" s="153">
        <v>4</v>
      </c>
      <c r="B19" s="153" t="s">
        <v>1271</v>
      </c>
      <c r="C19" s="153" t="s">
        <v>2609</v>
      </c>
      <c r="D19" s="153" t="s">
        <v>1263</v>
      </c>
      <c r="E19" s="250">
        <v>458.46153846153845</v>
      </c>
      <c r="F19" s="250"/>
      <c r="G19" s="250"/>
      <c r="H19" s="153" t="s">
        <v>1269</v>
      </c>
      <c r="I19" s="250">
        <v>578.46153846153845</v>
      </c>
      <c r="J19" s="250"/>
      <c r="K19" s="250"/>
      <c r="L19" s="153" t="s">
        <v>1218</v>
      </c>
      <c r="M19" s="250">
        <v>33083.333333333336</v>
      </c>
      <c r="N19" s="250"/>
      <c r="O19" s="250"/>
      <c r="P19" s="153" t="s">
        <v>1219</v>
      </c>
      <c r="Q19" s="250">
        <v>40610.666666666672</v>
      </c>
    </row>
    <row r="20" spans="1:18" x14ac:dyDescent="0.25">
      <c r="A20" s="153">
        <v>4</v>
      </c>
      <c r="B20" s="153" t="s">
        <v>1186</v>
      </c>
      <c r="C20" s="153" t="s">
        <v>2612</v>
      </c>
      <c r="D20" s="153" t="s">
        <v>1159</v>
      </c>
      <c r="E20" s="250">
        <v>507.69230769230768</v>
      </c>
      <c r="F20" s="250"/>
      <c r="G20" s="250"/>
      <c r="H20" s="153" t="s">
        <v>1272</v>
      </c>
      <c r="I20" s="250">
        <v>673.20512820512818</v>
      </c>
      <c r="J20" s="250"/>
      <c r="K20" s="250"/>
      <c r="L20" s="153" t="s">
        <v>1219</v>
      </c>
      <c r="M20" s="250">
        <v>40610.666666666672</v>
      </c>
      <c r="N20" s="250"/>
      <c r="O20" s="250"/>
      <c r="P20" s="154" t="s">
        <v>1294</v>
      </c>
      <c r="Q20" s="250">
        <v>113920</v>
      </c>
    </row>
    <row r="21" spans="1:18" x14ac:dyDescent="0.25">
      <c r="A21" s="153">
        <v>4</v>
      </c>
      <c r="B21" s="153"/>
      <c r="C21" s="153"/>
      <c r="D21" s="153" t="s">
        <v>1269</v>
      </c>
      <c r="E21" s="250">
        <v>578.46153846153845</v>
      </c>
      <c r="F21" s="250">
        <f>AVERAGE(E17:E21)</f>
        <v>467.38461538461542</v>
      </c>
      <c r="G21" s="250">
        <f>F21*11</f>
        <v>5141.2307692307695</v>
      </c>
      <c r="H21" s="153" t="s">
        <v>1288</v>
      </c>
      <c r="I21" s="250">
        <v>726.66666666666674</v>
      </c>
      <c r="J21" s="250">
        <f>AVERAGE(I17:I21)</f>
        <v>491.4205128205129</v>
      </c>
      <c r="K21" s="250">
        <f>J21*11</f>
        <v>5405.6256410256419</v>
      </c>
      <c r="L21" s="153" t="s">
        <v>1220</v>
      </c>
      <c r="M21" s="250">
        <v>50204</v>
      </c>
      <c r="N21" s="250">
        <f>AVERAGE(M17:M22)</f>
        <v>47014.428571428572</v>
      </c>
      <c r="O21" s="250">
        <f>N21*11</f>
        <v>517158.71428571432</v>
      </c>
      <c r="P21" s="154" t="s">
        <v>2322</v>
      </c>
      <c r="Q21" s="250">
        <v>126910</v>
      </c>
    </row>
    <row r="22" spans="1:18" x14ac:dyDescent="0.25">
      <c r="A22" s="153">
        <v>4</v>
      </c>
      <c r="B22" s="153"/>
      <c r="C22" s="153"/>
      <c r="D22" s="153"/>
      <c r="E22" s="249"/>
      <c r="F22" s="249"/>
      <c r="G22" s="249"/>
      <c r="H22" s="153"/>
      <c r="I22" s="249"/>
      <c r="J22" s="249"/>
      <c r="K22" s="249"/>
      <c r="L22" s="153" t="s">
        <v>1294</v>
      </c>
      <c r="M22" s="250">
        <v>113920</v>
      </c>
      <c r="N22" s="249"/>
      <c r="O22" s="249"/>
      <c r="P22" s="154" t="s">
        <v>2323</v>
      </c>
      <c r="Q22" s="249">
        <v>140500</v>
      </c>
    </row>
    <row r="23" spans="1:18" x14ac:dyDescent="0.25">
      <c r="E23" s="231"/>
      <c r="F23" s="231"/>
      <c r="G23" s="231"/>
      <c r="I23" s="231"/>
      <c r="J23" s="231"/>
      <c r="K23" s="231"/>
      <c r="M23" s="231">
        <f>AVERAGE(M2:M22)</f>
        <v>15193.954109382679</v>
      </c>
      <c r="N23" s="231"/>
      <c r="O23" s="231"/>
      <c r="Q23" s="231">
        <f>AVERAGE(Q2:Q22)</f>
        <v>31008.528619528617</v>
      </c>
      <c r="R23" s="504">
        <f>Q23*11</f>
        <v>341093.81481481477</v>
      </c>
    </row>
    <row r="24" spans="1:18" x14ac:dyDescent="0.25">
      <c r="E24" s="231"/>
      <c r="F24" s="231"/>
      <c r="G24" s="231"/>
      <c r="I24" s="231"/>
      <c r="J24" s="231"/>
      <c r="K24" s="231"/>
      <c r="M24" s="231"/>
      <c r="N24" s="231"/>
      <c r="O24" s="231"/>
      <c r="R24" s="504">
        <f>R23/5</f>
        <v>68218.762962962952</v>
      </c>
    </row>
  </sheetData>
  <conditionalFormatting sqref="D23:G65524">
    <cfRule type="duplicateValues" dxfId="1335" priority="1703" stopIfTrue="1"/>
  </conditionalFormatting>
  <conditionalFormatting sqref="D23:G65524">
    <cfRule type="duplicateValues" dxfId="1334" priority="1702" stopIfTrue="1"/>
  </conditionalFormatting>
  <conditionalFormatting sqref="D23:G65524">
    <cfRule type="duplicateValues" dxfId="1333" priority="1701" stopIfTrue="1"/>
  </conditionalFormatting>
  <conditionalFormatting sqref="H27:K65524 H23:H24 J25:K26 I25:I28">
    <cfRule type="duplicateValues" dxfId="1332" priority="1692" stopIfTrue="1"/>
    <cfRule type="duplicateValues" dxfId="1331" priority="1693" stopIfTrue="1"/>
  </conditionalFormatting>
  <conditionalFormatting sqref="S2">
    <cfRule type="duplicateValues" dxfId="1330" priority="1553" stopIfTrue="1"/>
  </conditionalFormatting>
  <conditionalFormatting sqref="H14">
    <cfRule type="duplicateValues" dxfId="1329" priority="1176" stopIfTrue="1"/>
  </conditionalFormatting>
  <conditionalFormatting sqref="B23:C65522">
    <cfRule type="duplicateValues" dxfId="1328" priority="1794" stopIfTrue="1"/>
  </conditionalFormatting>
  <conditionalFormatting sqref="B1:C1">
    <cfRule type="duplicateValues" dxfId="1327" priority="1461" stopIfTrue="1"/>
  </conditionalFormatting>
  <conditionalFormatting sqref="B1:C1">
    <cfRule type="duplicateValues" dxfId="1326" priority="1460" stopIfTrue="1"/>
  </conditionalFormatting>
  <conditionalFormatting sqref="B17:C17">
    <cfRule type="duplicateValues" dxfId="1325" priority="1458" stopIfTrue="1"/>
  </conditionalFormatting>
  <conditionalFormatting sqref="B17:C17">
    <cfRule type="duplicateValues" dxfId="1324" priority="1459" stopIfTrue="1"/>
  </conditionalFormatting>
  <conditionalFormatting sqref="B4:C4 B6:C6">
    <cfRule type="duplicateValues" dxfId="1323" priority="1462" stopIfTrue="1"/>
  </conditionalFormatting>
  <conditionalFormatting sqref="B19:C19">
    <cfRule type="duplicateValues" dxfId="1322" priority="1455" stopIfTrue="1"/>
  </conditionalFormatting>
  <conditionalFormatting sqref="B19:C19">
    <cfRule type="duplicateValues" dxfId="1321" priority="1456" stopIfTrue="1"/>
  </conditionalFormatting>
  <conditionalFormatting sqref="B19:C19">
    <cfRule type="duplicateValues" dxfId="1320" priority="1457" stopIfTrue="1"/>
  </conditionalFormatting>
  <conditionalFormatting sqref="B22:C22 B14:C14 B2:C4 B16:C16 B6:C10">
    <cfRule type="duplicateValues" dxfId="1319" priority="1463" stopIfTrue="1"/>
  </conditionalFormatting>
  <conditionalFormatting sqref="B22:C22 B14:C14 B2:C4 B16:C17 B6:C10">
    <cfRule type="duplicateValues" dxfId="1318" priority="1464" stopIfTrue="1"/>
  </conditionalFormatting>
  <conditionalFormatting sqref="B1:C1">
    <cfRule type="duplicateValues" dxfId="1317" priority="1465" stopIfTrue="1"/>
  </conditionalFormatting>
  <conditionalFormatting sqref="B21:C21">
    <cfRule type="duplicateValues" dxfId="1316" priority="1453" stopIfTrue="1"/>
  </conditionalFormatting>
  <conditionalFormatting sqref="B21:C21">
    <cfRule type="duplicateValues" dxfId="1315" priority="1454" stopIfTrue="1"/>
  </conditionalFormatting>
  <conditionalFormatting sqref="B18:C18">
    <cfRule type="duplicateValues" dxfId="1314" priority="1448" stopIfTrue="1"/>
  </conditionalFormatting>
  <conditionalFormatting sqref="B18:C18">
    <cfRule type="duplicateValues" dxfId="1313" priority="1449" stopIfTrue="1"/>
  </conditionalFormatting>
  <conditionalFormatting sqref="B18:C18">
    <cfRule type="duplicateValues" dxfId="1312" priority="1450" stopIfTrue="1"/>
  </conditionalFormatting>
  <conditionalFormatting sqref="B19:C19">
    <cfRule type="duplicateValues" dxfId="1311" priority="1451" stopIfTrue="1"/>
  </conditionalFormatting>
  <conditionalFormatting sqref="B19:C19">
    <cfRule type="duplicateValues" dxfId="1310" priority="1452" stopIfTrue="1"/>
  </conditionalFormatting>
  <conditionalFormatting sqref="B22:C22">
    <cfRule type="duplicateValues" dxfId="1309" priority="1446" stopIfTrue="1"/>
  </conditionalFormatting>
  <conditionalFormatting sqref="B22:C22">
    <cfRule type="duplicateValues" dxfId="1308" priority="1447" stopIfTrue="1"/>
  </conditionalFormatting>
  <conditionalFormatting sqref="D1:P1">
    <cfRule type="duplicateValues" dxfId="1307" priority="1442" stopIfTrue="1"/>
  </conditionalFormatting>
  <conditionalFormatting sqref="D1:P1">
    <cfRule type="duplicateValues" dxfId="1306" priority="1441" stopIfTrue="1"/>
  </conditionalFormatting>
  <conditionalFormatting sqref="D1:P1">
    <cfRule type="duplicateValues" dxfId="1305" priority="1443" stopIfTrue="1"/>
  </conditionalFormatting>
  <conditionalFormatting sqref="D2:G6">
    <cfRule type="duplicateValues" dxfId="1304" priority="1439" stopIfTrue="1"/>
  </conditionalFormatting>
  <conditionalFormatting sqref="D2:G6">
    <cfRule type="duplicateValues" dxfId="1303" priority="1440" stopIfTrue="1"/>
  </conditionalFormatting>
  <conditionalFormatting sqref="D19:G19">
    <cfRule type="duplicateValues" dxfId="1302" priority="1434" stopIfTrue="1"/>
  </conditionalFormatting>
  <conditionalFormatting sqref="D19:G19">
    <cfRule type="duplicateValues" dxfId="1301" priority="1435" stopIfTrue="1"/>
  </conditionalFormatting>
  <conditionalFormatting sqref="D19:G19">
    <cfRule type="duplicateValues" dxfId="1300" priority="1436" stopIfTrue="1"/>
  </conditionalFormatting>
  <conditionalFormatting sqref="D20:G20 D7:G7 D9:G9">
    <cfRule type="duplicateValues" dxfId="1299" priority="1437" stopIfTrue="1"/>
  </conditionalFormatting>
  <conditionalFormatting sqref="D20:G20">
    <cfRule type="duplicateValues" dxfId="1298" priority="1438" stopIfTrue="1"/>
  </conditionalFormatting>
  <conditionalFormatting sqref="H17">
    <cfRule type="duplicateValues" dxfId="1297" priority="1432" stopIfTrue="1"/>
  </conditionalFormatting>
  <conditionalFormatting sqref="H17">
    <cfRule type="duplicateValues" dxfId="1296" priority="1433" stopIfTrue="1"/>
  </conditionalFormatting>
  <conditionalFormatting sqref="H19">
    <cfRule type="duplicateValues" dxfId="1295" priority="1429" stopIfTrue="1"/>
  </conditionalFormatting>
  <conditionalFormatting sqref="H19">
    <cfRule type="duplicateValues" dxfId="1294" priority="1430" stopIfTrue="1"/>
  </conditionalFormatting>
  <conditionalFormatting sqref="H19">
    <cfRule type="duplicateValues" dxfId="1293" priority="1431" stopIfTrue="1"/>
  </conditionalFormatting>
  <conditionalFormatting sqref="H18">
    <cfRule type="duplicateValues" dxfId="1292" priority="1427" stopIfTrue="1"/>
  </conditionalFormatting>
  <conditionalFormatting sqref="H18">
    <cfRule type="duplicateValues" dxfId="1291" priority="1428" stopIfTrue="1"/>
  </conditionalFormatting>
  <conditionalFormatting sqref="E21">
    <cfRule type="duplicateValues" dxfId="1290" priority="1425" stopIfTrue="1"/>
  </conditionalFormatting>
  <conditionalFormatting sqref="E21">
    <cfRule type="duplicateValues" dxfId="1289" priority="1426" stopIfTrue="1"/>
  </conditionalFormatting>
  <conditionalFormatting sqref="L4:L5">
    <cfRule type="duplicateValues" dxfId="1288" priority="1444" stopIfTrue="1"/>
  </conditionalFormatting>
  <conditionalFormatting sqref="L7 L9:L11">
    <cfRule type="duplicateValues" dxfId="1287" priority="1445" stopIfTrue="1"/>
  </conditionalFormatting>
  <conditionalFormatting sqref="L8">
    <cfRule type="duplicateValues" dxfId="1286" priority="1421" stopIfTrue="1"/>
  </conditionalFormatting>
  <conditionalFormatting sqref="L8">
    <cfRule type="duplicateValues" dxfId="1285" priority="1422" stopIfTrue="1"/>
  </conditionalFormatting>
  <conditionalFormatting sqref="P18">
    <cfRule type="duplicateValues" dxfId="1284" priority="1414" stopIfTrue="1"/>
  </conditionalFormatting>
  <conditionalFormatting sqref="P18">
    <cfRule type="duplicateValues" dxfId="1283" priority="1415" stopIfTrue="1"/>
  </conditionalFormatting>
  <conditionalFormatting sqref="P13">
    <cfRule type="duplicateValues" dxfId="1282" priority="1412" stopIfTrue="1"/>
  </conditionalFormatting>
  <conditionalFormatting sqref="P13">
    <cfRule type="duplicateValues" dxfId="1281" priority="1413" stopIfTrue="1"/>
  </conditionalFormatting>
  <conditionalFormatting sqref="P17">
    <cfRule type="duplicateValues" dxfId="1280" priority="1409" stopIfTrue="1"/>
  </conditionalFormatting>
  <conditionalFormatting sqref="P17">
    <cfRule type="duplicateValues" dxfId="1279" priority="1410" stopIfTrue="1"/>
  </conditionalFormatting>
  <conditionalFormatting sqref="P17">
    <cfRule type="duplicateValues" dxfId="1278" priority="1411" stopIfTrue="1"/>
  </conditionalFormatting>
  <conditionalFormatting sqref="P3">
    <cfRule type="duplicateValues" dxfId="1277" priority="1405" stopIfTrue="1"/>
  </conditionalFormatting>
  <conditionalFormatting sqref="P3">
    <cfRule type="duplicateValues" dxfId="1276" priority="1406" stopIfTrue="1"/>
  </conditionalFormatting>
  <conditionalFormatting sqref="P15:P16 P9:P11">
    <cfRule type="duplicateValues" dxfId="1275" priority="1417" stopIfTrue="1"/>
  </conditionalFormatting>
  <conditionalFormatting sqref="P15:P16">
    <cfRule type="duplicateValues" dxfId="1274" priority="1418" stopIfTrue="1"/>
  </conditionalFormatting>
  <conditionalFormatting sqref="P19">
    <cfRule type="duplicateValues" dxfId="1273" priority="1403" stopIfTrue="1"/>
  </conditionalFormatting>
  <conditionalFormatting sqref="P19">
    <cfRule type="duplicateValues" dxfId="1272" priority="1404" stopIfTrue="1"/>
  </conditionalFormatting>
  <conditionalFormatting sqref="P2">
    <cfRule type="duplicateValues" dxfId="1271" priority="1401" stopIfTrue="1"/>
  </conditionalFormatting>
  <conditionalFormatting sqref="P2">
    <cfRule type="duplicateValues" dxfId="1270" priority="1402" stopIfTrue="1"/>
  </conditionalFormatting>
  <conditionalFormatting sqref="L12">
    <cfRule type="duplicateValues" dxfId="1269" priority="1399" stopIfTrue="1"/>
  </conditionalFormatting>
  <conditionalFormatting sqref="L12">
    <cfRule type="duplicateValues" dxfId="1268" priority="1400" stopIfTrue="1"/>
  </conditionalFormatting>
  <conditionalFormatting sqref="L9">
    <cfRule type="duplicateValues" dxfId="1267" priority="1398" stopIfTrue="1"/>
  </conditionalFormatting>
  <conditionalFormatting sqref="L10">
    <cfRule type="duplicateValues" dxfId="1266" priority="1397" stopIfTrue="1"/>
  </conditionalFormatting>
  <conditionalFormatting sqref="B11:C11">
    <cfRule type="duplicateValues" dxfId="1265" priority="1396" stopIfTrue="1"/>
  </conditionalFormatting>
  <conditionalFormatting sqref="H11">
    <cfRule type="duplicateValues" dxfId="1264" priority="1394" stopIfTrue="1"/>
  </conditionalFormatting>
  <conditionalFormatting sqref="H11">
    <cfRule type="duplicateValues" dxfId="1263" priority="1395" stopIfTrue="1"/>
  </conditionalFormatting>
  <conditionalFormatting sqref="H19">
    <cfRule type="duplicateValues" dxfId="1262" priority="1387" stopIfTrue="1"/>
  </conditionalFormatting>
  <conditionalFormatting sqref="H19">
    <cfRule type="duplicateValues" dxfId="1261" priority="1388" stopIfTrue="1"/>
  </conditionalFormatting>
  <conditionalFormatting sqref="H22">
    <cfRule type="duplicateValues" dxfId="1260" priority="1385" stopIfTrue="1"/>
  </conditionalFormatting>
  <conditionalFormatting sqref="H22">
    <cfRule type="duplicateValues" dxfId="1259" priority="1386" stopIfTrue="1"/>
  </conditionalFormatting>
  <conditionalFormatting sqref="H18">
    <cfRule type="duplicateValues" dxfId="1258" priority="1380" stopIfTrue="1"/>
  </conditionalFormatting>
  <conditionalFormatting sqref="H18">
    <cfRule type="duplicateValues" dxfId="1257" priority="1381" stopIfTrue="1"/>
  </conditionalFormatting>
  <conditionalFormatting sqref="H18">
    <cfRule type="duplicateValues" dxfId="1256" priority="1382" stopIfTrue="1"/>
  </conditionalFormatting>
  <conditionalFormatting sqref="H19">
    <cfRule type="duplicateValues" dxfId="1255" priority="1383" stopIfTrue="1"/>
  </conditionalFormatting>
  <conditionalFormatting sqref="H19">
    <cfRule type="duplicateValues" dxfId="1254" priority="1384" stopIfTrue="1"/>
  </conditionalFormatting>
  <conditionalFormatting sqref="H19">
    <cfRule type="duplicateValues" dxfId="1253" priority="1373" stopIfTrue="1"/>
  </conditionalFormatting>
  <conditionalFormatting sqref="H19">
    <cfRule type="duplicateValues" dxfId="1252" priority="1374" stopIfTrue="1"/>
  </conditionalFormatting>
  <conditionalFormatting sqref="H19">
    <cfRule type="duplicateValues" dxfId="1251" priority="1375" stopIfTrue="1"/>
  </conditionalFormatting>
  <conditionalFormatting sqref="H18">
    <cfRule type="duplicateValues" dxfId="1250" priority="1371" stopIfTrue="1"/>
  </conditionalFormatting>
  <conditionalFormatting sqref="H18">
    <cfRule type="duplicateValues" dxfId="1249" priority="1372" stopIfTrue="1"/>
  </conditionalFormatting>
  <conditionalFormatting sqref="H19">
    <cfRule type="duplicateValues" dxfId="1248" priority="1362" stopIfTrue="1"/>
  </conditionalFormatting>
  <conditionalFormatting sqref="H19">
    <cfRule type="duplicateValues" dxfId="1247" priority="1363" stopIfTrue="1"/>
  </conditionalFormatting>
  <conditionalFormatting sqref="H22">
    <cfRule type="duplicateValues" dxfId="1246" priority="1360" stopIfTrue="1"/>
  </conditionalFormatting>
  <conditionalFormatting sqref="H22">
    <cfRule type="duplicateValues" dxfId="1245" priority="1361" stopIfTrue="1"/>
  </conditionalFormatting>
  <conditionalFormatting sqref="H22">
    <cfRule type="duplicateValues" dxfId="1244" priority="1358" stopIfTrue="1"/>
  </conditionalFormatting>
  <conditionalFormatting sqref="H22">
    <cfRule type="duplicateValues" dxfId="1243" priority="1359" stopIfTrue="1"/>
  </conditionalFormatting>
  <conditionalFormatting sqref="H19">
    <cfRule type="duplicateValues" dxfId="1242" priority="1348" stopIfTrue="1"/>
  </conditionalFormatting>
  <conditionalFormatting sqref="H19">
    <cfRule type="duplicateValues" dxfId="1241" priority="1349" stopIfTrue="1"/>
  </conditionalFormatting>
  <conditionalFormatting sqref="H19">
    <cfRule type="duplicateValues" dxfId="1240" priority="1350" stopIfTrue="1"/>
  </conditionalFormatting>
  <conditionalFormatting sqref="H19">
    <cfRule type="duplicateValues" dxfId="1239" priority="1339" stopIfTrue="1"/>
  </conditionalFormatting>
  <conditionalFormatting sqref="H19">
    <cfRule type="duplicateValues" dxfId="1238" priority="1340" stopIfTrue="1"/>
  </conditionalFormatting>
  <conditionalFormatting sqref="H22">
    <cfRule type="duplicateValues" dxfId="1237" priority="1337" stopIfTrue="1"/>
  </conditionalFormatting>
  <conditionalFormatting sqref="H22">
    <cfRule type="duplicateValues" dxfId="1236" priority="1338" stopIfTrue="1"/>
  </conditionalFormatting>
  <conditionalFormatting sqref="H2:H3 H6">
    <cfRule type="duplicateValues" dxfId="1235" priority="1466" stopIfTrue="1"/>
  </conditionalFormatting>
  <conditionalFormatting sqref="H7">
    <cfRule type="duplicateValues" dxfId="1234" priority="1335" stopIfTrue="1"/>
  </conditionalFormatting>
  <conditionalFormatting sqref="H7">
    <cfRule type="duplicateValues" dxfId="1233" priority="1336" stopIfTrue="1"/>
  </conditionalFormatting>
  <conditionalFormatting sqref="L17:L21">
    <cfRule type="duplicateValues" dxfId="1232" priority="1329" stopIfTrue="1"/>
  </conditionalFormatting>
  <conditionalFormatting sqref="L17:L21">
    <cfRule type="duplicateValues" dxfId="1231" priority="1330" stopIfTrue="1"/>
  </conditionalFormatting>
  <conditionalFormatting sqref="L17:L21">
    <cfRule type="duplicateValues" dxfId="1230" priority="1327" stopIfTrue="1"/>
  </conditionalFormatting>
  <conditionalFormatting sqref="L17:L21">
    <cfRule type="duplicateValues" dxfId="1229" priority="1328" stopIfTrue="1"/>
  </conditionalFormatting>
  <conditionalFormatting sqref="L12:L16">
    <cfRule type="duplicateValues" dxfId="1228" priority="1325" stopIfTrue="1"/>
  </conditionalFormatting>
  <conditionalFormatting sqref="L12:L16">
    <cfRule type="duplicateValues" dxfId="1227" priority="1326" stopIfTrue="1"/>
  </conditionalFormatting>
  <conditionalFormatting sqref="D9:G9">
    <cfRule type="duplicateValues" dxfId="1226" priority="1324" stopIfTrue="1"/>
  </conditionalFormatting>
  <conditionalFormatting sqref="D13:G14 E15:G15 D16:E16">
    <cfRule type="duplicateValues" dxfId="1225" priority="1323" stopIfTrue="1"/>
  </conditionalFormatting>
  <conditionalFormatting sqref="D17:G17">
    <cfRule type="duplicateValues" dxfId="1224" priority="1321" stopIfTrue="1"/>
  </conditionalFormatting>
  <conditionalFormatting sqref="D17:G17">
    <cfRule type="duplicateValues" dxfId="1223" priority="1322" stopIfTrue="1"/>
  </conditionalFormatting>
  <conditionalFormatting sqref="D18:G18">
    <cfRule type="duplicateValues" dxfId="1222" priority="1319" stopIfTrue="1"/>
  </conditionalFormatting>
  <conditionalFormatting sqref="D18:G18">
    <cfRule type="duplicateValues" dxfId="1221" priority="1320" stopIfTrue="1"/>
  </conditionalFormatting>
  <conditionalFormatting sqref="B19:C19">
    <cfRule type="duplicateValues" dxfId="1220" priority="1317" stopIfTrue="1"/>
  </conditionalFormatting>
  <conditionalFormatting sqref="B19:C19">
    <cfRule type="duplicateValues" dxfId="1219" priority="1318" stopIfTrue="1"/>
  </conditionalFormatting>
  <conditionalFormatting sqref="B22:C22">
    <cfRule type="duplicateValues" dxfId="1218" priority="1315" stopIfTrue="1"/>
  </conditionalFormatting>
  <conditionalFormatting sqref="B22:C22">
    <cfRule type="duplicateValues" dxfId="1217" priority="1316" stopIfTrue="1"/>
  </conditionalFormatting>
  <conditionalFormatting sqref="B19:C19">
    <cfRule type="duplicateValues" dxfId="1216" priority="1313" stopIfTrue="1"/>
  </conditionalFormatting>
  <conditionalFormatting sqref="B19:C19">
    <cfRule type="duplicateValues" dxfId="1215" priority="1314" stopIfTrue="1"/>
  </conditionalFormatting>
  <conditionalFormatting sqref="B20:C20">
    <cfRule type="duplicateValues" dxfId="1214" priority="1310" stopIfTrue="1"/>
  </conditionalFormatting>
  <conditionalFormatting sqref="B20:C20">
    <cfRule type="duplicateValues" dxfId="1213" priority="1311" stopIfTrue="1"/>
  </conditionalFormatting>
  <conditionalFormatting sqref="B20:C20">
    <cfRule type="duplicateValues" dxfId="1212" priority="1312" stopIfTrue="1"/>
  </conditionalFormatting>
  <conditionalFormatting sqref="B20:C20">
    <cfRule type="duplicateValues" dxfId="1211" priority="1308" stopIfTrue="1"/>
  </conditionalFormatting>
  <conditionalFormatting sqref="B20:C20">
    <cfRule type="duplicateValues" dxfId="1210" priority="1309" stopIfTrue="1"/>
  </conditionalFormatting>
  <conditionalFormatting sqref="B20:C20">
    <cfRule type="duplicateValues" dxfId="1209" priority="1306" stopIfTrue="1"/>
  </conditionalFormatting>
  <conditionalFormatting sqref="B20:C20">
    <cfRule type="duplicateValues" dxfId="1208" priority="1307" stopIfTrue="1"/>
  </conditionalFormatting>
  <conditionalFormatting sqref="B20:C20">
    <cfRule type="duplicateValues" dxfId="1207" priority="1304" stopIfTrue="1"/>
  </conditionalFormatting>
  <conditionalFormatting sqref="B20:C20">
    <cfRule type="duplicateValues" dxfId="1206" priority="1305" stopIfTrue="1"/>
  </conditionalFormatting>
  <conditionalFormatting sqref="B12:C12">
    <cfRule type="duplicateValues" dxfId="1205" priority="1302" stopIfTrue="1"/>
  </conditionalFormatting>
  <conditionalFormatting sqref="B12:C12">
    <cfRule type="duplicateValues" dxfId="1204" priority="1303" stopIfTrue="1"/>
  </conditionalFormatting>
  <conditionalFormatting sqref="D13:G13">
    <cfRule type="duplicateValues" dxfId="1203" priority="1301" stopIfTrue="1"/>
  </conditionalFormatting>
  <conditionalFormatting sqref="D7:G7">
    <cfRule type="duplicateValues" dxfId="1202" priority="1300" stopIfTrue="1"/>
  </conditionalFormatting>
  <conditionalFormatting sqref="D7:G7">
    <cfRule type="duplicateValues" dxfId="1201" priority="1299" stopIfTrue="1"/>
  </conditionalFormatting>
  <conditionalFormatting sqref="D10:G10">
    <cfRule type="duplicateValues" dxfId="1200" priority="1297" stopIfTrue="1"/>
  </conditionalFormatting>
  <conditionalFormatting sqref="D10:G10">
    <cfRule type="duplicateValues" dxfId="1199" priority="1298" stopIfTrue="1"/>
  </conditionalFormatting>
  <conditionalFormatting sqref="E16">
    <cfRule type="duplicateValues" dxfId="1198" priority="1295" stopIfTrue="1"/>
  </conditionalFormatting>
  <conditionalFormatting sqref="E16">
    <cfRule type="duplicateValues" dxfId="1197" priority="1296" stopIfTrue="1"/>
  </conditionalFormatting>
  <conditionalFormatting sqref="E15:G15 D16">
    <cfRule type="duplicateValues" dxfId="1196" priority="1293" stopIfTrue="1"/>
  </conditionalFormatting>
  <conditionalFormatting sqref="H15">
    <cfRule type="duplicateValues" dxfId="1195" priority="1291" stopIfTrue="1"/>
  </conditionalFormatting>
  <conditionalFormatting sqref="H15">
    <cfRule type="duplicateValues" dxfId="1194" priority="1292" stopIfTrue="1"/>
  </conditionalFormatting>
  <conditionalFormatting sqref="B17:C17">
    <cfRule type="duplicateValues" dxfId="1193" priority="1286" stopIfTrue="1"/>
  </conditionalFormatting>
  <conditionalFormatting sqref="B17:C17">
    <cfRule type="duplicateValues" dxfId="1192" priority="1287" stopIfTrue="1"/>
  </conditionalFormatting>
  <conditionalFormatting sqref="B17:C17">
    <cfRule type="duplicateValues" dxfId="1191" priority="1288" stopIfTrue="1"/>
  </conditionalFormatting>
  <conditionalFormatting sqref="B20:C20">
    <cfRule type="duplicateValues" dxfId="1190" priority="1289" stopIfTrue="1"/>
  </conditionalFormatting>
  <conditionalFormatting sqref="B20:C20">
    <cfRule type="duplicateValues" dxfId="1189" priority="1290" stopIfTrue="1"/>
  </conditionalFormatting>
  <conditionalFormatting sqref="B19:C19">
    <cfRule type="duplicateValues" dxfId="1188" priority="1284" stopIfTrue="1"/>
  </conditionalFormatting>
  <conditionalFormatting sqref="B19:C19">
    <cfRule type="duplicateValues" dxfId="1187" priority="1285" stopIfTrue="1"/>
  </conditionalFormatting>
  <conditionalFormatting sqref="B17:C17">
    <cfRule type="duplicateValues" dxfId="1186" priority="1282" stopIfTrue="1"/>
  </conditionalFormatting>
  <conditionalFormatting sqref="B17:C17">
    <cfRule type="duplicateValues" dxfId="1185" priority="1283" stopIfTrue="1"/>
  </conditionalFormatting>
  <conditionalFormatting sqref="B20:C20">
    <cfRule type="duplicateValues" dxfId="1184" priority="1280" stopIfTrue="1"/>
  </conditionalFormatting>
  <conditionalFormatting sqref="B20:C20">
    <cfRule type="duplicateValues" dxfId="1183" priority="1281" stopIfTrue="1"/>
  </conditionalFormatting>
  <conditionalFormatting sqref="B17:C17">
    <cfRule type="duplicateValues" dxfId="1182" priority="1278" stopIfTrue="1"/>
  </conditionalFormatting>
  <conditionalFormatting sqref="B17:C17">
    <cfRule type="duplicateValues" dxfId="1181" priority="1279" stopIfTrue="1"/>
  </conditionalFormatting>
  <conditionalFormatting sqref="B20:C20">
    <cfRule type="duplicateValues" dxfId="1180" priority="1276" stopIfTrue="1"/>
  </conditionalFormatting>
  <conditionalFormatting sqref="B20:C20">
    <cfRule type="duplicateValues" dxfId="1179" priority="1277" stopIfTrue="1"/>
  </conditionalFormatting>
  <conditionalFormatting sqref="B17:C17">
    <cfRule type="duplicateValues" dxfId="1178" priority="1274" stopIfTrue="1"/>
  </conditionalFormatting>
  <conditionalFormatting sqref="B17:C17">
    <cfRule type="duplicateValues" dxfId="1177" priority="1275" stopIfTrue="1"/>
  </conditionalFormatting>
  <conditionalFormatting sqref="B18:C18">
    <cfRule type="duplicateValues" dxfId="1176" priority="1271" stopIfTrue="1"/>
  </conditionalFormatting>
  <conditionalFormatting sqref="B18:C18">
    <cfRule type="duplicateValues" dxfId="1175" priority="1272" stopIfTrue="1"/>
  </conditionalFormatting>
  <conditionalFormatting sqref="B18:C18">
    <cfRule type="duplicateValues" dxfId="1174" priority="1273" stopIfTrue="1"/>
  </conditionalFormatting>
  <conditionalFormatting sqref="B18:C18">
    <cfRule type="duplicateValues" dxfId="1173" priority="1269" stopIfTrue="1"/>
  </conditionalFormatting>
  <conditionalFormatting sqref="B18:C18">
    <cfRule type="duplicateValues" dxfId="1172" priority="1270" stopIfTrue="1"/>
  </conditionalFormatting>
  <conditionalFormatting sqref="B18:C18">
    <cfRule type="duplicateValues" dxfId="1171" priority="1267" stopIfTrue="1"/>
  </conditionalFormatting>
  <conditionalFormatting sqref="B18:C18">
    <cfRule type="duplicateValues" dxfId="1170" priority="1268" stopIfTrue="1"/>
  </conditionalFormatting>
  <conditionalFormatting sqref="B18:C18">
    <cfRule type="duplicateValues" dxfId="1169" priority="1265" stopIfTrue="1"/>
  </conditionalFormatting>
  <conditionalFormatting sqref="B18:C18">
    <cfRule type="duplicateValues" dxfId="1168" priority="1266" stopIfTrue="1"/>
  </conditionalFormatting>
  <conditionalFormatting sqref="B15:C15">
    <cfRule type="duplicateValues" dxfId="1167" priority="1263" stopIfTrue="1"/>
  </conditionalFormatting>
  <conditionalFormatting sqref="B15:C15">
    <cfRule type="duplicateValues" dxfId="1166" priority="1264" stopIfTrue="1"/>
  </conditionalFormatting>
  <conditionalFormatting sqref="B5:C5">
    <cfRule type="duplicateValues" dxfId="1165" priority="1260" stopIfTrue="1"/>
  </conditionalFormatting>
  <conditionalFormatting sqref="B5:C5">
    <cfRule type="duplicateValues" dxfId="1164" priority="1261" stopIfTrue="1"/>
  </conditionalFormatting>
  <conditionalFormatting sqref="B5:C5">
    <cfRule type="duplicateValues" dxfId="1163" priority="1262" stopIfTrue="1"/>
  </conditionalFormatting>
  <conditionalFormatting sqref="D20:G20">
    <cfRule type="duplicateValues" dxfId="1162" priority="1255" stopIfTrue="1"/>
  </conditionalFormatting>
  <conditionalFormatting sqref="D20:G20">
    <cfRule type="duplicateValues" dxfId="1161" priority="1256" stopIfTrue="1"/>
  </conditionalFormatting>
  <conditionalFormatting sqref="D20:G20">
    <cfRule type="duplicateValues" dxfId="1160" priority="1257" stopIfTrue="1"/>
  </conditionalFormatting>
  <conditionalFormatting sqref="E21">
    <cfRule type="duplicateValues" dxfId="1159" priority="1258" stopIfTrue="1"/>
  </conditionalFormatting>
  <conditionalFormatting sqref="E21">
    <cfRule type="duplicateValues" dxfId="1158" priority="1259" stopIfTrue="1"/>
  </conditionalFormatting>
  <conditionalFormatting sqref="D22:G22">
    <cfRule type="duplicateValues" dxfId="1157" priority="1253" stopIfTrue="1"/>
  </conditionalFormatting>
  <conditionalFormatting sqref="D22:G22">
    <cfRule type="duplicateValues" dxfId="1156" priority="1254" stopIfTrue="1"/>
  </conditionalFormatting>
  <conditionalFormatting sqref="D22:G22">
    <cfRule type="duplicateValues" dxfId="1155" priority="1251" stopIfTrue="1"/>
  </conditionalFormatting>
  <conditionalFormatting sqref="D22:G22">
    <cfRule type="duplicateValues" dxfId="1154" priority="1252" stopIfTrue="1"/>
  </conditionalFormatting>
  <conditionalFormatting sqref="D8:G8">
    <cfRule type="duplicateValues" dxfId="1153" priority="1249" stopIfTrue="1"/>
  </conditionalFormatting>
  <conditionalFormatting sqref="D8:G8">
    <cfRule type="duplicateValues" dxfId="1152" priority="1250" stopIfTrue="1"/>
  </conditionalFormatting>
  <conditionalFormatting sqref="D13:G13">
    <cfRule type="duplicateValues" dxfId="1151" priority="1248" stopIfTrue="1"/>
  </conditionalFormatting>
  <conditionalFormatting sqref="D14:G14">
    <cfRule type="duplicateValues" dxfId="1150" priority="1247" stopIfTrue="1"/>
  </conditionalFormatting>
  <conditionalFormatting sqref="D14:G14">
    <cfRule type="duplicateValues" dxfId="1149" priority="1246" stopIfTrue="1"/>
  </conditionalFormatting>
  <conditionalFormatting sqref="E16">
    <cfRule type="duplicateValues" dxfId="1148" priority="1244" stopIfTrue="1"/>
  </conditionalFormatting>
  <conditionalFormatting sqref="E16">
    <cfRule type="duplicateValues" dxfId="1147" priority="1245" stopIfTrue="1"/>
  </conditionalFormatting>
  <conditionalFormatting sqref="D14:G14">
    <cfRule type="duplicateValues" dxfId="1146" priority="1243" stopIfTrue="1"/>
  </conditionalFormatting>
  <conditionalFormatting sqref="D13:G13">
    <cfRule type="duplicateValues" dxfId="1145" priority="1241" stopIfTrue="1"/>
  </conditionalFormatting>
  <conditionalFormatting sqref="D13:G13">
    <cfRule type="duplicateValues" dxfId="1144" priority="1240" stopIfTrue="1"/>
  </conditionalFormatting>
  <conditionalFormatting sqref="D13:G13">
    <cfRule type="duplicateValues" dxfId="1143" priority="1239" stopIfTrue="1"/>
  </conditionalFormatting>
  <conditionalFormatting sqref="H12">
    <cfRule type="duplicateValues" dxfId="1142" priority="1237" stopIfTrue="1"/>
  </conditionalFormatting>
  <conditionalFormatting sqref="H12">
    <cfRule type="duplicateValues" dxfId="1141" priority="1238" stopIfTrue="1"/>
  </conditionalFormatting>
  <conditionalFormatting sqref="D14:G14">
    <cfRule type="duplicateValues" dxfId="1140" priority="1233" stopIfTrue="1"/>
  </conditionalFormatting>
  <conditionalFormatting sqref="D14:G14">
    <cfRule type="duplicateValues" dxfId="1139" priority="1234" stopIfTrue="1"/>
  </conditionalFormatting>
  <conditionalFormatting sqref="D13:G13">
    <cfRule type="duplicateValues" dxfId="1138" priority="1232" stopIfTrue="1"/>
  </conditionalFormatting>
  <conditionalFormatting sqref="D13:G13">
    <cfRule type="duplicateValues" dxfId="1137" priority="1231" stopIfTrue="1"/>
  </conditionalFormatting>
  <conditionalFormatting sqref="D13:G13">
    <cfRule type="duplicateValues" dxfId="1136" priority="1228" stopIfTrue="1"/>
  </conditionalFormatting>
  <conditionalFormatting sqref="D14:G14">
    <cfRule type="duplicateValues" dxfId="1135" priority="1227" stopIfTrue="1"/>
  </conditionalFormatting>
  <conditionalFormatting sqref="H9">
    <cfRule type="duplicateValues" dxfId="1134" priority="1225" stopIfTrue="1"/>
  </conditionalFormatting>
  <conditionalFormatting sqref="H9">
    <cfRule type="duplicateValues" dxfId="1133" priority="1226" stopIfTrue="1"/>
  </conditionalFormatting>
  <conditionalFormatting sqref="D14:G14">
    <cfRule type="duplicateValues" dxfId="1132" priority="1224" stopIfTrue="1"/>
  </conditionalFormatting>
  <conditionalFormatting sqref="E16">
    <cfRule type="duplicateValues" dxfId="1131" priority="1222" stopIfTrue="1"/>
  </conditionalFormatting>
  <conditionalFormatting sqref="E16">
    <cfRule type="duplicateValues" dxfId="1130" priority="1223" stopIfTrue="1"/>
  </conditionalFormatting>
  <conditionalFormatting sqref="D13:G13">
    <cfRule type="duplicateValues" dxfId="1129" priority="1218" stopIfTrue="1"/>
  </conditionalFormatting>
  <conditionalFormatting sqref="D13:G13">
    <cfRule type="duplicateValues" dxfId="1128" priority="1217" stopIfTrue="1"/>
  </conditionalFormatting>
  <conditionalFormatting sqref="D14:G14">
    <cfRule type="duplicateValues" dxfId="1127" priority="1221" stopIfTrue="1"/>
  </conditionalFormatting>
  <conditionalFormatting sqref="D13:G13">
    <cfRule type="duplicateValues" dxfId="1126" priority="1219" stopIfTrue="1"/>
  </conditionalFormatting>
  <conditionalFormatting sqref="E16">
    <cfRule type="duplicateValues" dxfId="1125" priority="1214" stopIfTrue="1"/>
  </conditionalFormatting>
  <conditionalFormatting sqref="D14:G14">
    <cfRule type="duplicateValues" dxfId="1124" priority="1213" stopIfTrue="1"/>
  </conditionalFormatting>
  <conditionalFormatting sqref="D14:G14">
    <cfRule type="duplicateValues" dxfId="1123" priority="1212" stopIfTrue="1"/>
  </conditionalFormatting>
  <conditionalFormatting sqref="D14:G14">
    <cfRule type="duplicateValues" dxfId="1122" priority="1211" stopIfTrue="1"/>
  </conditionalFormatting>
  <conditionalFormatting sqref="D13:G13">
    <cfRule type="duplicateValues" dxfId="1121" priority="1210" stopIfTrue="1"/>
  </conditionalFormatting>
  <conditionalFormatting sqref="E16">
    <cfRule type="duplicateValues" dxfId="1120" priority="1208" stopIfTrue="1"/>
  </conditionalFormatting>
  <conditionalFormatting sqref="E16">
    <cfRule type="duplicateValues" dxfId="1119" priority="1209" stopIfTrue="1"/>
  </conditionalFormatting>
  <conditionalFormatting sqref="D13:G13">
    <cfRule type="duplicateValues" dxfId="1118" priority="1205" stopIfTrue="1"/>
  </conditionalFormatting>
  <conditionalFormatting sqref="D14:G14">
    <cfRule type="duplicateValues" dxfId="1117" priority="1204" stopIfTrue="1"/>
  </conditionalFormatting>
  <conditionalFormatting sqref="D14:G14">
    <cfRule type="duplicateValues" dxfId="1116" priority="1203" stopIfTrue="1"/>
  </conditionalFormatting>
  <conditionalFormatting sqref="E16">
    <cfRule type="duplicateValues" dxfId="1115" priority="1201" stopIfTrue="1"/>
  </conditionalFormatting>
  <conditionalFormatting sqref="E16">
    <cfRule type="duplicateValues" dxfId="1114" priority="1202" stopIfTrue="1"/>
  </conditionalFormatting>
  <conditionalFormatting sqref="D14:G14">
    <cfRule type="duplicateValues" dxfId="1113" priority="1200" stopIfTrue="1"/>
  </conditionalFormatting>
  <conditionalFormatting sqref="D13:G13">
    <cfRule type="duplicateValues" dxfId="1112" priority="1198" stopIfTrue="1"/>
  </conditionalFormatting>
  <conditionalFormatting sqref="D13:G13">
    <cfRule type="duplicateValues" dxfId="1111" priority="1197" stopIfTrue="1"/>
  </conditionalFormatting>
  <conditionalFormatting sqref="D13:G13">
    <cfRule type="duplicateValues" dxfId="1110" priority="1196" stopIfTrue="1"/>
  </conditionalFormatting>
  <conditionalFormatting sqref="D12:G12">
    <cfRule type="duplicateValues" dxfId="1109" priority="1194" stopIfTrue="1"/>
  </conditionalFormatting>
  <conditionalFormatting sqref="D12:G12">
    <cfRule type="duplicateValues" dxfId="1108" priority="1195" stopIfTrue="1"/>
  </conditionalFormatting>
  <conditionalFormatting sqref="D12:G12">
    <cfRule type="duplicateValues" dxfId="1107" priority="1192" stopIfTrue="1"/>
  </conditionalFormatting>
  <conditionalFormatting sqref="D12:G12">
    <cfRule type="duplicateValues" dxfId="1106" priority="1193" stopIfTrue="1"/>
  </conditionalFormatting>
  <conditionalFormatting sqref="H13">
    <cfRule type="duplicateValues" dxfId="1105" priority="1190" stopIfTrue="1"/>
  </conditionalFormatting>
  <conditionalFormatting sqref="H13">
    <cfRule type="duplicateValues" dxfId="1104" priority="1191" stopIfTrue="1"/>
  </conditionalFormatting>
  <conditionalFormatting sqref="H13">
    <cfRule type="duplicateValues" dxfId="1103" priority="1188" stopIfTrue="1"/>
  </conditionalFormatting>
  <conditionalFormatting sqref="H13">
    <cfRule type="duplicateValues" dxfId="1102" priority="1189" stopIfTrue="1"/>
  </conditionalFormatting>
  <conditionalFormatting sqref="D11:E11">
    <cfRule type="duplicateValues" dxfId="1101" priority="1186" stopIfTrue="1"/>
  </conditionalFormatting>
  <conditionalFormatting sqref="D11:E11">
    <cfRule type="duplicateValues" dxfId="1100" priority="1187" stopIfTrue="1"/>
  </conditionalFormatting>
  <conditionalFormatting sqref="D11:E11">
    <cfRule type="duplicateValues" dxfId="1099" priority="1184" stopIfTrue="1"/>
  </conditionalFormatting>
  <conditionalFormatting sqref="D11:E11">
    <cfRule type="duplicateValues" dxfId="1098" priority="1185" stopIfTrue="1"/>
  </conditionalFormatting>
  <conditionalFormatting sqref="H16 H8:H9 H11">
    <cfRule type="duplicateValues" dxfId="1097" priority="1467" stopIfTrue="1"/>
  </conditionalFormatting>
  <conditionalFormatting sqref="H16:H17 H8:H9 H11">
    <cfRule type="duplicateValues" dxfId="1096" priority="1468" stopIfTrue="1"/>
  </conditionalFormatting>
  <conditionalFormatting sqref="H10">
    <cfRule type="duplicateValues" dxfId="1095" priority="1180" stopIfTrue="1"/>
  </conditionalFormatting>
  <conditionalFormatting sqref="H10">
    <cfRule type="duplicateValues" dxfId="1094" priority="1181" stopIfTrue="1"/>
  </conditionalFormatting>
  <conditionalFormatting sqref="H10">
    <cfRule type="duplicateValues" dxfId="1093" priority="1182" stopIfTrue="1"/>
  </conditionalFormatting>
  <conditionalFormatting sqref="H10">
    <cfRule type="duplicateValues" dxfId="1092" priority="1183" stopIfTrue="1"/>
  </conditionalFormatting>
  <conditionalFormatting sqref="H14">
    <cfRule type="duplicateValues" dxfId="1091" priority="1178" stopIfTrue="1"/>
  </conditionalFormatting>
  <conditionalFormatting sqref="H14">
    <cfRule type="duplicateValues" dxfId="1090" priority="1179" stopIfTrue="1"/>
  </conditionalFormatting>
  <conditionalFormatting sqref="H14">
    <cfRule type="duplicateValues" dxfId="1089" priority="1177" stopIfTrue="1"/>
  </conditionalFormatting>
  <conditionalFormatting sqref="L4">
    <cfRule type="duplicateValues" dxfId="1088" priority="1172" stopIfTrue="1"/>
  </conditionalFormatting>
  <conditionalFormatting sqref="L4">
    <cfRule type="duplicateValues" dxfId="1087" priority="1173" stopIfTrue="1"/>
  </conditionalFormatting>
  <conditionalFormatting sqref="Q1">
    <cfRule type="duplicateValues" dxfId="1086" priority="1168" stopIfTrue="1"/>
  </conditionalFormatting>
  <conditionalFormatting sqref="Q1">
    <cfRule type="duplicateValues" dxfId="1085" priority="1167" stopIfTrue="1"/>
  </conditionalFormatting>
  <conditionalFormatting sqref="Q1">
    <cfRule type="duplicateValues" dxfId="1084" priority="1169" stopIfTrue="1"/>
  </conditionalFormatting>
  <conditionalFormatting sqref="I2:I3 I6">
    <cfRule type="duplicateValues" dxfId="1083" priority="1165" stopIfTrue="1"/>
  </conditionalFormatting>
  <conditionalFormatting sqref="I2:I3">
    <cfRule type="duplicateValues" dxfId="1082" priority="1166" stopIfTrue="1"/>
  </conditionalFormatting>
  <conditionalFormatting sqref="I19">
    <cfRule type="duplicateValues" dxfId="1081" priority="1160" stopIfTrue="1"/>
  </conditionalFormatting>
  <conditionalFormatting sqref="I19">
    <cfRule type="duplicateValues" dxfId="1080" priority="1161" stopIfTrue="1"/>
  </conditionalFormatting>
  <conditionalFormatting sqref="I19">
    <cfRule type="duplicateValues" dxfId="1079" priority="1162" stopIfTrue="1"/>
  </conditionalFormatting>
  <conditionalFormatting sqref="I7 I9">
    <cfRule type="duplicateValues" dxfId="1078" priority="1163" stopIfTrue="1"/>
  </conditionalFormatting>
  <conditionalFormatting sqref="I9">
    <cfRule type="duplicateValues" dxfId="1077" priority="1157" stopIfTrue="1"/>
  </conditionalFormatting>
  <conditionalFormatting sqref="I13:I16">
    <cfRule type="duplicateValues" dxfId="1076" priority="1156" stopIfTrue="1"/>
  </conditionalFormatting>
  <conditionalFormatting sqref="I17">
    <cfRule type="duplicateValues" dxfId="1075" priority="1154" stopIfTrue="1"/>
  </conditionalFormatting>
  <conditionalFormatting sqref="I17">
    <cfRule type="duplicateValues" dxfId="1074" priority="1155" stopIfTrue="1"/>
  </conditionalFormatting>
  <conditionalFormatting sqref="I18">
    <cfRule type="duplicateValues" dxfId="1073" priority="1152" stopIfTrue="1"/>
  </conditionalFormatting>
  <conditionalFormatting sqref="I18">
    <cfRule type="duplicateValues" dxfId="1072" priority="1153" stopIfTrue="1"/>
  </conditionalFormatting>
  <conditionalFormatting sqref="I13">
    <cfRule type="duplicateValues" dxfId="1071" priority="1151" stopIfTrue="1"/>
  </conditionalFormatting>
  <conditionalFormatting sqref="I7">
    <cfRule type="duplicateValues" dxfId="1070" priority="1150" stopIfTrue="1"/>
  </conditionalFormatting>
  <conditionalFormatting sqref="I7">
    <cfRule type="duplicateValues" dxfId="1069" priority="1149" stopIfTrue="1"/>
  </conditionalFormatting>
  <conditionalFormatting sqref="I10">
    <cfRule type="duplicateValues" dxfId="1068" priority="1147" stopIfTrue="1"/>
  </conditionalFormatting>
  <conditionalFormatting sqref="I10">
    <cfRule type="duplicateValues" dxfId="1067" priority="1148" stopIfTrue="1"/>
  </conditionalFormatting>
  <conditionalFormatting sqref="I16">
    <cfRule type="duplicateValues" dxfId="1066" priority="1145" stopIfTrue="1"/>
  </conditionalFormatting>
  <conditionalFormatting sqref="I16">
    <cfRule type="duplicateValues" dxfId="1065" priority="1146" stopIfTrue="1"/>
  </conditionalFormatting>
  <conditionalFormatting sqref="I15">
    <cfRule type="duplicateValues" dxfId="1064" priority="1143" stopIfTrue="1"/>
  </conditionalFormatting>
  <conditionalFormatting sqref="I15">
    <cfRule type="duplicateValues" dxfId="1063" priority="1144" stopIfTrue="1"/>
  </conditionalFormatting>
  <conditionalFormatting sqref="I22:K22">
    <cfRule type="duplicateValues" dxfId="1062" priority="1136" stopIfTrue="1"/>
  </conditionalFormatting>
  <conditionalFormatting sqref="I22:K22">
    <cfRule type="duplicateValues" dxfId="1061" priority="1137" stopIfTrue="1"/>
  </conditionalFormatting>
  <conditionalFormatting sqref="I22:K22">
    <cfRule type="duplicateValues" dxfId="1060" priority="1134" stopIfTrue="1"/>
  </conditionalFormatting>
  <conditionalFormatting sqref="I22:K22">
    <cfRule type="duplicateValues" dxfId="1059" priority="1135" stopIfTrue="1"/>
  </conditionalFormatting>
  <conditionalFormatting sqref="I8">
    <cfRule type="duplicateValues" dxfId="1058" priority="1132" stopIfTrue="1"/>
  </conditionalFormatting>
  <conditionalFormatting sqref="I8">
    <cfRule type="duplicateValues" dxfId="1057" priority="1133" stopIfTrue="1"/>
  </conditionalFormatting>
  <conditionalFormatting sqref="I13">
    <cfRule type="duplicateValues" dxfId="1056" priority="1131" stopIfTrue="1"/>
  </conditionalFormatting>
  <conditionalFormatting sqref="I14">
    <cfRule type="duplicateValues" dxfId="1055" priority="1130" stopIfTrue="1"/>
  </conditionalFormatting>
  <conditionalFormatting sqref="I14">
    <cfRule type="duplicateValues" dxfId="1054" priority="1129" stopIfTrue="1"/>
  </conditionalFormatting>
  <conditionalFormatting sqref="I16">
    <cfRule type="duplicateValues" dxfId="1053" priority="1127" stopIfTrue="1"/>
  </conditionalFormatting>
  <conditionalFormatting sqref="I16">
    <cfRule type="duplicateValues" dxfId="1052" priority="1128" stopIfTrue="1"/>
  </conditionalFormatting>
  <conditionalFormatting sqref="I14">
    <cfRule type="duplicateValues" dxfId="1051" priority="1126" stopIfTrue="1"/>
  </conditionalFormatting>
  <conditionalFormatting sqref="I15">
    <cfRule type="duplicateValues" dxfId="1050" priority="1125" stopIfTrue="1"/>
  </conditionalFormatting>
  <conditionalFormatting sqref="I13">
    <cfRule type="duplicateValues" dxfId="1049" priority="1124" stopIfTrue="1"/>
  </conditionalFormatting>
  <conditionalFormatting sqref="I13">
    <cfRule type="duplicateValues" dxfId="1048" priority="1123" stopIfTrue="1"/>
  </conditionalFormatting>
  <conditionalFormatting sqref="I13">
    <cfRule type="duplicateValues" dxfId="1047" priority="1122" stopIfTrue="1"/>
  </conditionalFormatting>
  <conditionalFormatting sqref="I15">
    <cfRule type="duplicateValues" dxfId="1046" priority="1120" stopIfTrue="1"/>
  </conditionalFormatting>
  <conditionalFormatting sqref="I15">
    <cfRule type="duplicateValues" dxfId="1045" priority="1121" stopIfTrue="1"/>
  </conditionalFormatting>
  <conditionalFormatting sqref="I14">
    <cfRule type="duplicateValues" dxfId="1044" priority="1118" stopIfTrue="1"/>
  </conditionalFormatting>
  <conditionalFormatting sqref="I14">
    <cfRule type="duplicateValues" dxfId="1043" priority="1119" stopIfTrue="1"/>
  </conditionalFormatting>
  <conditionalFormatting sqref="I13">
    <cfRule type="duplicateValues" dxfId="1042" priority="1117" stopIfTrue="1"/>
  </conditionalFormatting>
  <conditionalFormatting sqref="I13">
    <cfRule type="duplicateValues" dxfId="1041" priority="1116" stopIfTrue="1"/>
  </conditionalFormatting>
  <conditionalFormatting sqref="I15">
    <cfRule type="duplicateValues" dxfId="1040" priority="1114" stopIfTrue="1"/>
  </conditionalFormatting>
  <conditionalFormatting sqref="I15">
    <cfRule type="duplicateValues" dxfId="1039" priority="1115" stopIfTrue="1"/>
  </conditionalFormatting>
  <conditionalFormatting sqref="I13">
    <cfRule type="duplicateValues" dxfId="1038" priority="1113" stopIfTrue="1"/>
  </conditionalFormatting>
  <conditionalFormatting sqref="I14">
    <cfRule type="duplicateValues" dxfId="1037" priority="1112" stopIfTrue="1"/>
  </conditionalFormatting>
  <conditionalFormatting sqref="I14">
    <cfRule type="duplicateValues" dxfId="1036" priority="1111" stopIfTrue="1"/>
  </conditionalFormatting>
  <conditionalFormatting sqref="I16">
    <cfRule type="duplicateValues" dxfId="1035" priority="1109" stopIfTrue="1"/>
  </conditionalFormatting>
  <conditionalFormatting sqref="I16">
    <cfRule type="duplicateValues" dxfId="1034" priority="1110" stopIfTrue="1"/>
  </conditionalFormatting>
  <conditionalFormatting sqref="I13">
    <cfRule type="duplicateValues" dxfId="1033" priority="1105" stopIfTrue="1"/>
  </conditionalFormatting>
  <conditionalFormatting sqref="I13">
    <cfRule type="duplicateValues" dxfId="1032" priority="1104" stopIfTrue="1"/>
  </conditionalFormatting>
  <conditionalFormatting sqref="I14">
    <cfRule type="duplicateValues" dxfId="1031" priority="1108" stopIfTrue="1"/>
  </conditionalFormatting>
  <conditionalFormatting sqref="I15">
    <cfRule type="duplicateValues" dxfId="1030" priority="1107" stopIfTrue="1"/>
  </conditionalFormatting>
  <conditionalFormatting sqref="I13">
    <cfRule type="duplicateValues" dxfId="1029" priority="1106" stopIfTrue="1"/>
  </conditionalFormatting>
  <conditionalFormatting sqref="I15">
    <cfRule type="duplicateValues" dxfId="1028" priority="1103" stopIfTrue="1"/>
  </conditionalFormatting>
  <conditionalFormatting sqref="I15">
    <cfRule type="duplicateValues" dxfId="1027" priority="1102" stopIfTrue="1"/>
  </conditionalFormatting>
  <conditionalFormatting sqref="I16">
    <cfRule type="duplicateValues" dxfId="1026" priority="1101" stopIfTrue="1"/>
  </conditionalFormatting>
  <conditionalFormatting sqref="I14">
    <cfRule type="duplicateValues" dxfId="1025" priority="1100" stopIfTrue="1"/>
  </conditionalFormatting>
  <conditionalFormatting sqref="I14">
    <cfRule type="duplicateValues" dxfId="1024" priority="1099" stopIfTrue="1"/>
  </conditionalFormatting>
  <conditionalFormatting sqref="I14">
    <cfRule type="duplicateValues" dxfId="1023" priority="1098" stopIfTrue="1"/>
  </conditionalFormatting>
  <conditionalFormatting sqref="I13">
    <cfRule type="duplicateValues" dxfId="1022" priority="1097" stopIfTrue="1"/>
  </conditionalFormatting>
  <conditionalFormatting sqref="I16">
    <cfRule type="duplicateValues" dxfId="1021" priority="1095" stopIfTrue="1"/>
  </conditionalFormatting>
  <conditionalFormatting sqref="I16">
    <cfRule type="duplicateValues" dxfId="1020" priority="1096" stopIfTrue="1"/>
  </conditionalFormatting>
  <conditionalFormatting sqref="I15">
    <cfRule type="duplicateValues" dxfId="1019" priority="1093" stopIfTrue="1"/>
  </conditionalFormatting>
  <conditionalFormatting sqref="I15">
    <cfRule type="duplicateValues" dxfId="1018" priority="1094" stopIfTrue="1"/>
  </conditionalFormatting>
  <conditionalFormatting sqref="I13">
    <cfRule type="duplicateValues" dxfId="1017" priority="1092" stopIfTrue="1"/>
  </conditionalFormatting>
  <conditionalFormatting sqref="I14">
    <cfRule type="duplicateValues" dxfId="1016" priority="1091" stopIfTrue="1"/>
  </conditionalFormatting>
  <conditionalFormatting sqref="I14">
    <cfRule type="duplicateValues" dxfId="1015" priority="1090" stopIfTrue="1"/>
  </conditionalFormatting>
  <conditionalFormatting sqref="I16">
    <cfRule type="duplicateValues" dxfId="1014" priority="1088" stopIfTrue="1"/>
  </conditionalFormatting>
  <conditionalFormatting sqref="I16">
    <cfRule type="duplicateValues" dxfId="1013" priority="1089" stopIfTrue="1"/>
  </conditionalFormatting>
  <conditionalFormatting sqref="I14">
    <cfRule type="duplicateValues" dxfId="1012" priority="1087" stopIfTrue="1"/>
  </conditionalFormatting>
  <conditionalFormatting sqref="I15">
    <cfRule type="duplicateValues" dxfId="1011" priority="1086" stopIfTrue="1"/>
  </conditionalFormatting>
  <conditionalFormatting sqref="I13">
    <cfRule type="duplicateValues" dxfId="1010" priority="1085" stopIfTrue="1"/>
  </conditionalFormatting>
  <conditionalFormatting sqref="I13">
    <cfRule type="duplicateValues" dxfId="1009" priority="1084" stopIfTrue="1"/>
  </conditionalFormatting>
  <conditionalFormatting sqref="I13">
    <cfRule type="duplicateValues" dxfId="1008" priority="1083" stopIfTrue="1"/>
  </conditionalFormatting>
  <conditionalFormatting sqref="I12">
    <cfRule type="duplicateValues" dxfId="1007" priority="1081" stopIfTrue="1"/>
  </conditionalFormatting>
  <conditionalFormatting sqref="I12">
    <cfRule type="duplicateValues" dxfId="1006" priority="1082" stopIfTrue="1"/>
  </conditionalFormatting>
  <conditionalFormatting sqref="I12">
    <cfRule type="duplicateValues" dxfId="1005" priority="1079" stopIfTrue="1"/>
  </conditionalFormatting>
  <conditionalFormatting sqref="I12">
    <cfRule type="duplicateValues" dxfId="1004" priority="1080" stopIfTrue="1"/>
  </conditionalFormatting>
  <conditionalFormatting sqref="I11">
    <cfRule type="duplicateValues" dxfId="1003" priority="1077" stopIfTrue="1"/>
  </conditionalFormatting>
  <conditionalFormatting sqref="I11">
    <cfRule type="duplicateValues" dxfId="1002" priority="1078" stopIfTrue="1"/>
  </conditionalFormatting>
  <conditionalFormatting sqref="I11">
    <cfRule type="duplicateValues" dxfId="1001" priority="1075" stopIfTrue="1"/>
  </conditionalFormatting>
  <conditionalFormatting sqref="I11">
    <cfRule type="duplicateValues" dxfId="1000" priority="1076" stopIfTrue="1"/>
  </conditionalFormatting>
  <conditionalFormatting sqref="M4:M6">
    <cfRule type="duplicateValues" dxfId="999" priority="1073" stopIfTrue="1"/>
  </conditionalFormatting>
  <conditionalFormatting sqref="M4:M6">
    <cfRule type="duplicateValues" dxfId="998" priority="1074" stopIfTrue="1"/>
  </conditionalFormatting>
  <conditionalFormatting sqref="M7 M9">
    <cfRule type="duplicateValues" dxfId="997" priority="1071" stopIfTrue="1"/>
  </conditionalFormatting>
  <conditionalFormatting sqref="M21">
    <cfRule type="duplicateValues" dxfId="996" priority="1066" stopIfTrue="1"/>
  </conditionalFormatting>
  <conditionalFormatting sqref="M21">
    <cfRule type="duplicateValues" dxfId="995" priority="1067" stopIfTrue="1"/>
  </conditionalFormatting>
  <conditionalFormatting sqref="M9">
    <cfRule type="duplicateValues" dxfId="994" priority="1065" stopIfTrue="1"/>
  </conditionalFormatting>
  <conditionalFormatting sqref="M12:M16">
    <cfRule type="duplicateValues" dxfId="993" priority="1064" stopIfTrue="1"/>
  </conditionalFormatting>
  <conditionalFormatting sqref="M18">
    <cfRule type="duplicateValues" dxfId="992" priority="1060" stopIfTrue="1"/>
  </conditionalFormatting>
  <conditionalFormatting sqref="M18">
    <cfRule type="duplicateValues" dxfId="991" priority="1061" stopIfTrue="1"/>
  </conditionalFormatting>
  <conditionalFormatting sqref="M13">
    <cfRule type="duplicateValues" dxfId="990" priority="1059" stopIfTrue="1"/>
  </conditionalFormatting>
  <conditionalFormatting sqref="M7">
    <cfRule type="duplicateValues" dxfId="989" priority="1058" stopIfTrue="1"/>
  </conditionalFormatting>
  <conditionalFormatting sqref="M7">
    <cfRule type="duplicateValues" dxfId="988" priority="1057" stopIfTrue="1"/>
  </conditionalFormatting>
  <conditionalFormatting sqref="M10">
    <cfRule type="duplicateValues" dxfId="987" priority="1055" stopIfTrue="1"/>
  </conditionalFormatting>
  <conditionalFormatting sqref="M10">
    <cfRule type="duplicateValues" dxfId="986" priority="1056" stopIfTrue="1"/>
  </conditionalFormatting>
  <conditionalFormatting sqref="M16">
    <cfRule type="duplicateValues" dxfId="985" priority="1053" stopIfTrue="1"/>
  </conditionalFormatting>
  <conditionalFormatting sqref="M16">
    <cfRule type="duplicateValues" dxfId="984" priority="1054" stopIfTrue="1"/>
  </conditionalFormatting>
  <conditionalFormatting sqref="M15">
    <cfRule type="duplicateValues" dxfId="983" priority="1051" stopIfTrue="1"/>
  </conditionalFormatting>
  <conditionalFormatting sqref="M15">
    <cfRule type="duplicateValues" dxfId="982" priority="1052" stopIfTrue="1"/>
  </conditionalFormatting>
  <conditionalFormatting sqref="M21">
    <cfRule type="duplicateValues" dxfId="981" priority="1049" stopIfTrue="1"/>
  </conditionalFormatting>
  <conditionalFormatting sqref="M21">
    <cfRule type="duplicateValues" dxfId="980" priority="1050" stopIfTrue="1"/>
  </conditionalFormatting>
  <conditionalFormatting sqref="M22:O22">
    <cfRule type="duplicateValues" dxfId="979" priority="1044" stopIfTrue="1"/>
  </conditionalFormatting>
  <conditionalFormatting sqref="M22:O22">
    <cfRule type="duplicateValues" dxfId="978" priority="1045" stopIfTrue="1"/>
  </conditionalFormatting>
  <conditionalFormatting sqref="M22:O22">
    <cfRule type="duplicateValues" dxfId="977" priority="1042" stopIfTrue="1"/>
  </conditionalFormatting>
  <conditionalFormatting sqref="M22:O22">
    <cfRule type="duplicateValues" dxfId="976" priority="1043" stopIfTrue="1"/>
  </conditionalFormatting>
  <conditionalFormatting sqref="M8">
    <cfRule type="duplicateValues" dxfId="975" priority="1040" stopIfTrue="1"/>
  </conditionalFormatting>
  <conditionalFormatting sqref="M8">
    <cfRule type="duplicateValues" dxfId="974" priority="1041" stopIfTrue="1"/>
  </conditionalFormatting>
  <conditionalFormatting sqref="M13">
    <cfRule type="duplicateValues" dxfId="973" priority="1039" stopIfTrue="1"/>
  </conditionalFormatting>
  <conditionalFormatting sqref="M14">
    <cfRule type="duplicateValues" dxfId="972" priority="1038" stopIfTrue="1"/>
  </conditionalFormatting>
  <conditionalFormatting sqref="M14">
    <cfRule type="duplicateValues" dxfId="971" priority="1037" stopIfTrue="1"/>
  </conditionalFormatting>
  <conditionalFormatting sqref="M16">
    <cfRule type="duplicateValues" dxfId="970" priority="1035" stopIfTrue="1"/>
  </conditionalFormatting>
  <conditionalFormatting sqref="M16">
    <cfRule type="duplicateValues" dxfId="969" priority="1036" stopIfTrue="1"/>
  </conditionalFormatting>
  <conditionalFormatting sqref="M14">
    <cfRule type="duplicateValues" dxfId="968" priority="1034" stopIfTrue="1"/>
  </conditionalFormatting>
  <conditionalFormatting sqref="M15">
    <cfRule type="duplicateValues" dxfId="967" priority="1033" stopIfTrue="1"/>
  </conditionalFormatting>
  <conditionalFormatting sqref="M13">
    <cfRule type="duplicateValues" dxfId="966" priority="1032" stopIfTrue="1"/>
  </conditionalFormatting>
  <conditionalFormatting sqref="M13">
    <cfRule type="duplicateValues" dxfId="965" priority="1031" stopIfTrue="1"/>
  </conditionalFormatting>
  <conditionalFormatting sqref="M13">
    <cfRule type="duplicateValues" dxfId="964" priority="1030" stopIfTrue="1"/>
  </conditionalFormatting>
  <conditionalFormatting sqref="M15">
    <cfRule type="duplicateValues" dxfId="963" priority="1028" stopIfTrue="1"/>
  </conditionalFormatting>
  <conditionalFormatting sqref="M15">
    <cfRule type="duplicateValues" dxfId="962" priority="1029" stopIfTrue="1"/>
  </conditionalFormatting>
  <conditionalFormatting sqref="M14">
    <cfRule type="duplicateValues" dxfId="961" priority="1026" stopIfTrue="1"/>
  </conditionalFormatting>
  <conditionalFormatting sqref="M14">
    <cfRule type="duplicateValues" dxfId="960" priority="1027" stopIfTrue="1"/>
  </conditionalFormatting>
  <conditionalFormatting sqref="M13">
    <cfRule type="duplicateValues" dxfId="959" priority="1025" stopIfTrue="1"/>
  </conditionalFormatting>
  <conditionalFormatting sqref="M13">
    <cfRule type="duplicateValues" dxfId="958" priority="1024" stopIfTrue="1"/>
  </conditionalFormatting>
  <conditionalFormatting sqref="M15">
    <cfRule type="duplicateValues" dxfId="957" priority="1022" stopIfTrue="1"/>
  </conditionalFormatting>
  <conditionalFormatting sqref="M15">
    <cfRule type="duplicateValues" dxfId="956" priority="1023" stopIfTrue="1"/>
  </conditionalFormatting>
  <conditionalFormatting sqref="M13">
    <cfRule type="duplicateValues" dxfId="955" priority="1021" stopIfTrue="1"/>
  </conditionalFormatting>
  <conditionalFormatting sqref="M14">
    <cfRule type="duplicateValues" dxfId="954" priority="1020" stopIfTrue="1"/>
  </conditionalFormatting>
  <conditionalFormatting sqref="M14">
    <cfRule type="duplicateValues" dxfId="953" priority="1019" stopIfTrue="1"/>
  </conditionalFormatting>
  <conditionalFormatting sqref="M16">
    <cfRule type="duplicateValues" dxfId="952" priority="1017" stopIfTrue="1"/>
  </conditionalFormatting>
  <conditionalFormatting sqref="M16">
    <cfRule type="duplicateValues" dxfId="951" priority="1018" stopIfTrue="1"/>
  </conditionalFormatting>
  <conditionalFormatting sqref="M13">
    <cfRule type="duplicateValues" dxfId="950" priority="1013" stopIfTrue="1"/>
  </conditionalFormatting>
  <conditionalFormatting sqref="M13">
    <cfRule type="duplicateValues" dxfId="949" priority="1012" stopIfTrue="1"/>
  </conditionalFormatting>
  <conditionalFormatting sqref="M14">
    <cfRule type="duplicateValues" dxfId="948" priority="1016" stopIfTrue="1"/>
  </conditionalFormatting>
  <conditionalFormatting sqref="M15">
    <cfRule type="duplicateValues" dxfId="947" priority="1015" stopIfTrue="1"/>
  </conditionalFormatting>
  <conditionalFormatting sqref="M13">
    <cfRule type="duplicateValues" dxfId="946" priority="1014" stopIfTrue="1"/>
  </conditionalFormatting>
  <conditionalFormatting sqref="M15">
    <cfRule type="duplicateValues" dxfId="945" priority="1011" stopIfTrue="1"/>
  </conditionalFormatting>
  <conditionalFormatting sqref="M15">
    <cfRule type="duplicateValues" dxfId="944" priority="1010" stopIfTrue="1"/>
  </conditionalFormatting>
  <conditionalFormatting sqref="M16">
    <cfRule type="duplicateValues" dxfId="943" priority="1009" stopIfTrue="1"/>
  </conditionalFormatting>
  <conditionalFormatting sqref="M14">
    <cfRule type="duplicateValues" dxfId="942" priority="1008" stopIfTrue="1"/>
  </conditionalFormatting>
  <conditionalFormatting sqref="M14">
    <cfRule type="duplicateValues" dxfId="941" priority="1007" stopIfTrue="1"/>
  </conditionalFormatting>
  <conditionalFormatting sqref="M14">
    <cfRule type="duplicateValues" dxfId="940" priority="1006" stopIfTrue="1"/>
  </conditionalFormatting>
  <conditionalFormatting sqref="M13">
    <cfRule type="duplicateValues" dxfId="939" priority="1005" stopIfTrue="1"/>
  </conditionalFormatting>
  <conditionalFormatting sqref="M16">
    <cfRule type="duplicateValues" dxfId="938" priority="1003" stopIfTrue="1"/>
  </conditionalFormatting>
  <conditionalFormatting sqref="M16">
    <cfRule type="duplicateValues" dxfId="937" priority="1004" stopIfTrue="1"/>
  </conditionalFormatting>
  <conditionalFormatting sqref="M15">
    <cfRule type="duplicateValues" dxfId="936" priority="1001" stopIfTrue="1"/>
  </conditionalFormatting>
  <conditionalFormatting sqref="M15">
    <cfRule type="duplicateValues" dxfId="935" priority="1002" stopIfTrue="1"/>
  </conditionalFormatting>
  <conditionalFormatting sqref="M13">
    <cfRule type="duplicateValues" dxfId="934" priority="1000" stopIfTrue="1"/>
  </conditionalFormatting>
  <conditionalFormatting sqref="M14">
    <cfRule type="duplicateValues" dxfId="933" priority="999" stopIfTrue="1"/>
  </conditionalFormatting>
  <conditionalFormatting sqref="M14">
    <cfRule type="duplicateValues" dxfId="932" priority="998" stopIfTrue="1"/>
  </conditionalFormatting>
  <conditionalFormatting sqref="M16">
    <cfRule type="duplicateValues" dxfId="931" priority="996" stopIfTrue="1"/>
  </conditionalFormatting>
  <conditionalFormatting sqref="M16">
    <cfRule type="duplicateValues" dxfId="930" priority="997" stopIfTrue="1"/>
  </conditionalFormatting>
  <conditionalFormatting sqref="M14">
    <cfRule type="duplicateValues" dxfId="929" priority="995" stopIfTrue="1"/>
  </conditionalFormatting>
  <conditionalFormatting sqref="M15">
    <cfRule type="duplicateValues" dxfId="928" priority="994" stopIfTrue="1"/>
  </conditionalFormatting>
  <conditionalFormatting sqref="M13">
    <cfRule type="duplicateValues" dxfId="927" priority="993" stopIfTrue="1"/>
  </conditionalFormatting>
  <conditionalFormatting sqref="M13">
    <cfRule type="duplicateValues" dxfId="926" priority="992" stopIfTrue="1"/>
  </conditionalFormatting>
  <conditionalFormatting sqref="M13">
    <cfRule type="duplicateValues" dxfId="925" priority="991" stopIfTrue="1"/>
  </conditionalFormatting>
  <conditionalFormatting sqref="M12">
    <cfRule type="duplicateValues" dxfId="924" priority="989" stopIfTrue="1"/>
  </conditionalFormatting>
  <conditionalFormatting sqref="M12">
    <cfRule type="duplicateValues" dxfId="923" priority="990" stopIfTrue="1"/>
  </conditionalFormatting>
  <conditionalFormatting sqref="M12">
    <cfRule type="duplicateValues" dxfId="922" priority="987" stopIfTrue="1"/>
  </conditionalFormatting>
  <conditionalFormatting sqref="M12">
    <cfRule type="duplicateValues" dxfId="921" priority="988" stopIfTrue="1"/>
  </conditionalFormatting>
  <conditionalFormatting sqref="M11">
    <cfRule type="duplicateValues" dxfId="920" priority="985" stopIfTrue="1"/>
  </conditionalFormatting>
  <conditionalFormatting sqref="M11">
    <cfRule type="duplicateValues" dxfId="919" priority="986" stopIfTrue="1"/>
  </conditionalFormatting>
  <conditionalFormatting sqref="M11">
    <cfRule type="duplicateValues" dxfId="918" priority="983" stopIfTrue="1"/>
  </conditionalFormatting>
  <conditionalFormatting sqref="M11">
    <cfRule type="duplicateValues" dxfId="917" priority="984" stopIfTrue="1"/>
  </conditionalFormatting>
  <conditionalFormatting sqref="Q2:Q6">
    <cfRule type="duplicateValues" dxfId="916" priority="981" stopIfTrue="1"/>
  </conditionalFormatting>
  <conditionalFormatting sqref="Q2:Q6">
    <cfRule type="duplicateValues" dxfId="915" priority="982" stopIfTrue="1"/>
  </conditionalFormatting>
  <conditionalFormatting sqref="Q19">
    <cfRule type="duplicateValues" dxfId="914" priority="976" stopIfTrue="1"/>
  </conditionalFormatting>
  <conditionalFormatting sqref="Q19">
    <cfRule type="duplicateValues" dxfId="913" priority="977" stopIfTrue="1"/>
  </conditionalFormatting>
  <conditionalFormatting sqref="Q19">
    <cfRule type="duplicateValues" dxfId="912" priority="978" stopIfTrue="1"/>
  </conditionalFormatting>
  <conditionalFormatting sqref="Q20 Q7 Q9">
    <cfRule type="duplicateValues" dxfId="911" priority="979" stopIfTrue="1"/>
  </conditionalFormatting>
  <conditionalFormatting sqref="Q20">
    <cfRule type="duplicateValues" dxfId="910" priority="980" stopIfTrue="1"/>
  </conditionalFormatting>
  <conditionalFormatting sqref="Q21">
    <cfRule type="duplicateValues" dxfId="909" priority="974" stopIfTrue="1"/>
  </conditionalFormatting>
  <conditionalFormatting sqref="Q21">
    <cfRule type="duplicateValues" dxfId="908" priority="975" stopIfTrue="1"/>
  </conditionalFormatting>
  <conditionalFormatting sqref="Q9">
    <cfRule type="duplicateValues" dxfId="907" priority="973" stopIfTrue="1"/>
  </conditionalFormatting>
  <conditionalFormatting sqref="Q13:Q14 Q16">
    <cfRule type="duplicateValues" dxfId="906" priority="972" stopIfTrue="1"/>
  </conditionalFormatting>
  <conditionalFormatting sqref="Q17">
    <cfRule type="duplicateValues" dxfId="905" priority="970" stopIfTrue="1"/>
  </conditionalFormatting>
  <conditionalFormatting sqref="Q17">
    <cfRule type="duplicateValues" dxfId="904" priority="971" stopIfTrue="1"/>
  </conditionalFormatting>
  <conditionalFormatting sqref="Q18">
    <cfRule type="duplicateValues" dxfId="903" priority="968" stopIfTrue="1"/>
  </conditionalFormatting>
  <conditionalFormatting sqref="Q18">
    <cfRule type="duplicateValues" dxfId="902" priority="969" stopIfTrue="1"/>
  </conditionalFormatting>
  <conditionalFormatting sqref="Q13">
    <cfRule type="duplicateValues" dxfId="901" priority="967" stopIfTrue="1"/>
  </conditionalFormatting>
  <conditionalFormatting sqref="Q7">
    <cfRule type="duplicateValues" dxfId="900" priority="966" stopIfTrue="1"/>
  </conditionalFormatting>
  <conditionalFormatting sqref="Q7">
    <cfRule type="duplicateValues" dxfId="899" priority="965" stopIfTrue="1"/>
  </conditionalFormatting>
  <conditionalFormatting sqref="Q10">
    <cfRule type="duplicateValues" dxfId="898" priority="963" stopIfTrue="1"/>
  </conditionalFormatting>
  <conditionalFormatting sqref="Q10">
    <cfRule type="duplicateValues" dxfId="897" priority="964" stopIfTrue="1"/>
  </conditionalFormatting>
  <conditionalFormatting sqref="Q16">
    <cfRule type="duplicateValues" dxfId="896" priority="961" stopIfTrue="1"/>
  </conditionalFormatting>
  <conditionalFormatting sqref="Q16">
    <cfRule type="duplicateValues" dxfId="895" priority="962" stopIfTrue="1"/>
  </conditionalFormatting>
  <conditionalFormatting sqref="Q20">
    <cfRule type="duplicateValues" dxfId="894" priority="954" stopIfTrue="1"/>
  </conditionalFormatting>
  <conditionalFormatting sqref="Q20">
    <cfRule type="duplicateValues" dxfId="893" priority="955" stopIfTrue="1"/>
  </conditionalFormatting>
  <conditionalFormatting sqref="Q20">
    <cfRule type="duplicateValues" dxfId="892" priority="956" stopIfTrue="1"/>
  </conditionalFormatting>
  <conditionalFormatting sqref="Q21">
    <cfRule type="duplicateValues" dxfId="891" priority="957" stopIfTrue="1"/>
  </conditionalFormatting>
  <conditionalFormatting sqref="Q21">
    <cfRule type="duplicateValues" dxfId="890" priority="958" stopIfTrue="1"/>
  </conditionalFormatting>
  <conditionalFormatting sqref="Q22">
    <cfRule type="duplicateValues" dxfId="889" priority="952" stopIfTrue="1"/>
  </conditionalFormatting>
  <conditionalFormatting sqref="Q22">
    <cfRule type="duplicateValues" dxfId="888" priority="953" stopIfTrue="1"/>
  </conditionalFormatting>
  <conditionalFormatting sqref="Q22">
    <cfRule type="duplicateValues" dxfId="887" priority="950" stopIfTrue="1"/>
  </conditionalFormatting>
  <conditionalFormatting sqref="Q22">
    <cfRule type="duplicateValues" dxfId="886" priority="951" stopIfTrue="1"/>
  </conditionalFormatting>
  <conditionalFormatting sqref="Q8">
    <cfRule type="duplicateValues" dxfId="885" priority="948" stopIfTrue="1"/>
  </conditionalFormatting>
  <conditionalFormatting sqref="Q8">
    <cfRule type="duplicateValues" dxfId="884" priority="949" stopIfTrue="1"/>
  </conditionalFormatting>
  <conditionalFormatting sqref="Q13">
    <cfRule type="duplicateValues" dxfId="883" priority="947" stopIfTrue="1"/>
  </conditionalFormatting>
  <conditionalFormatting sqref="Q14">
    <cfRule type="duplicateValues" dxfId="882" priority="946" stopIfTrue="1"/>
  </conditionalFormatting>
  <conditionalFormatting sqref="Q14">
    <cfRule type="duplicateValues" dxfId="881" priority="945" stopIfTrue="1"/>
  </conditionalFormatting>
  <conditionalFormatting sqref="Q16">
    <cfRule type="duplicateValues" dxfId="880" priority="943" stopIfTrue="1"/>
  </conditionalFormatting>
  <conditionalFormatting sqref="Q16">
    <cfRule type="duplicateValues" dxfId="879" priority="944" stopIfTrue="1"/>
  </conditionalFormatting>
  <conditionalFormatting sqref="Q14">
    <cfRule type="duplicateValues" dxfId="878" priority="942" stopIfTrue="1"/>
  </conditionalFormatting>
  <conditionalFormatting sqref="Q13">
    <cfRule type="duplicateValues" dxfId="877" priority="940" stopIfTrue="1"/>
  </conditionalFormatting>
  <conditionalFormatting sqref="Q13">
    <cfRule type="duplicateValues" dxfId="876" priority="939" stopIfTrue="1"/>
  </conditionalFormatting>
  <conditionalFormatting sqref="Q13">
    <cfRule type="duplicateValues" dxfId="875" priority="938" stopIfTrue="1"/>
  </conditionalFormatting>
  <conditionalFormatting sqref="Q14">
    <cfRule type="duplicateValues" dxfId="874" priority="934" stopIfTrue="1"/>
  </conditionalFormatting>
  <conditionalFormatting sqref="Q14">
    <cfRule type="duplicateValues" dxfId="873" priority="935" stopIfTrue="1"/>
  </conditionalFormatting>
  <conditionalFormatting sqref="Q13">
    <cfRule type="duplicateValues" dxfId="872" priority="933" stopIfTrue="1"/>
  </conditionalFormatting>
  <conditionalFormatting sqref="Q13">
    <cfRule type="duplicateValues" dxfId="871" priority="932" stopIfTrue="1"/>
  </conditionalFormatting>
  <conditionalFormatting sqref="Q13">
    <cfRule type="duplicateValues" dxfId="870" priority="929" stopIfTrue="1"/>
  </conditionalFormatting>
  <conditionalFormatting sqref="Q14">
    <cfRule type="duplicateValues" dxfId="869" priority="928" stopIfTrue="1"/>
  </conditionalFormatting>
  <conditionalFormatting sqref="Q14">
    <cfRule type="duplicateValues" dxfId="868" priority="927" stopIfTrue="1"/>
  </conditionalFormatting>
  <conditionalFormatting sqref="Q16">
    <cfRule type="duplicateValues" dxfId="867" priority="925" stopIfTrue="1"/>
  </conditionalFormatting>
  <conditionalFormatting sqref="Q16">
    <cfRule type="duplicateValues" dxfId="866" priority="926" stopIfTrue="1"/>
  </conditionalFormatting>
  <conditionalFormatting sqref="Q13">
    <cfRule type="duplicateValues" dxfId="865" priority="921" stopIfTrue="1"/>
  </conditionalFormatting>
  <conditionalFormatting sqref="Q13">
    <cfRule type="duplicateValues" dxfId="864" priority="920" stopIfTrue="1"/>
  </conditionalFormatting>
  <conditionalFormatting sqref="Q14">
    <cfRule type="duplicateValues" dxfId="863" priority="924" stopIfTrue="1"/>
  </conditionalFormatting>
  <conditionalFormatting sqref="Q13">
    <cfRule type="duplicateValues" dxfId="862" priority="922" stopIfTrue="1"/>
  </conditionalFormatting>
  <conditionalFormatting sqref="Q16">
    <cfRule type="duplicateValues" dxfId="861" priority="917" stopIfTrue="1"/>
  </conditionalFormatting>
  <conditionalFormatting sqref="Q14">
    <cfRule type="duplicateValues" dxfId="860" priority="916" stopIfTrue="1"/>
  </conditionalFormatting>
  <conditionalFormatting sqref="Q14">
    <cfRule type="duplicateValues" dxfId="859" priority="915" stopIfTrue="1"/>
  </conditionalFormatting>
  <conditionalFormatting sqref="Q14">
    <cfRule type="duplicateValues" dxfId="858" priority="914" stopIfTrue="1"/>
  </conditionalFormatting>
  <conditionalFormatting sqref="Q13">
    <cfRule type="duplicateValues" dxfId="857" priority="913" stopIfTrue="1"/>
  </conditionalFormatting>
  <conditionalFormatting sqref="Q16">
    <cfRule type="duplicateValues" dxfId="856" priority="911" stopIfTrue="1"/>
  </conditionalFormatting>
  <conditionalFormatting sqref="Q16">
    <cfRule type="duplicateValues" dxfId="855" priority="912" stopIfTrue="1"/>
  </conditionalFormatting>
  <conditionalFormatting sqref="Q13">
    <cfRule type="duplicateValues" dxfId="854" priority="908" stopIfTrue="1"/>
  </conditionalFormatting>
  <conditionalFormatting sqref="Q14">
    <cfRule type="duplicateValues" dxfId="853" priority="907" stopIfTrue="1"/>
  </conditionalFormatting>
  <conditionalFormatting sqref="Q14">
    <cfRule type="duplicateValues" dxfId="852" priority="906" stopIfTrue="1"/>
  </conditionalFormatting>
  <conditionalFormatting sqref="Q16">
    <cfRule type="duplicateValues" dxfId="851" priority="904" stopIfTrue="1"/>
  </conditionalFormatting>
  <conditionalFormatting sqref="Q16">
    <cfRule type="duplicateValues" dxfId="850" priority="905" stopIfTrue="1"/>
  </conditionalFormatting>
  <conditionalFormatting sqref="Q14">
    <cfRule type="duplicateValues" dxfId="849" priority="903" stopIfTrue="1"/>
  </conditionalFormatting>
  <conditionalFormatting sqref="Q13">
    <cfRule type="duplicateValues" dxfId="848" priority="901" stopIfTrue="1"/>
  </conditionalFormatting>
  <conditionalFormatting sqref="Q13">
    <cfRule type="duplicateValues" dxfId="847" priority="900" stopIfTrue="1"/>
  </conditionalFormatting>
  <conditionalFormatting sqref="Q13">
    <cfRule type="duplicateValues" dxfId="846" priority="899" stopIfTrue="1"/>
  </conditionalFormatting>
  <conditionalFormatting sqref="Q12">
    <cfRule type="duplicateValues" dxfId="845" priority="897" stopIfTrue="1"/>
  </conditionalFormatting>
  <conditionalFormatting sqref="Q12">
    <cfRule type="duplicateValues" dxfId="844" priority="898" stopIfTrue="1"/>
  </conditionalFormatting>
  <conditionalFormatting sqref="Q12">
    <cfRule type="duplicateValues" dxfId="843" priority="895" stopIfTrue="1"/>
  </conditionalFormatting>
  <conditionalFormatting sqref="Q12">
    <cfRule type="duplicateValues" dxfId="842" priority="896" stopIfTrue="1"/>
  </conditionalFormatting>
  <conditionalFormatting sqref="Q11">
    <cfRule type="duplicateValues" dxfId="841" priority="893" stopIfTrue="1"/>
  </conditionalFormatting>
  <conditionalFormatting sqref="Q11">
    <cfRule type="duplicateValues" dxfId="840" priority="894" stopIfTrue="1"/>
  </conditionalFormatting>
  <conditionalFormatting sqref="Q11">
    <cfRule type="duplicateValues" dxfId="839" priority="891" stopIfTrue="1"/>
  </conditionalFormatting>
  <conditionalFormatting sqref="Q11">
    <cfRule type="duplicateValues" dxfId="838" priority="892" stopIfTrue="1"/>
  </conditionalFormatting>
  <conditionalFormatting sqref="I23:K23">
    <cfRule type="duplicateValues" dxfId="837" priority="890" stopIfTrue="1"/>
  </conditionalFormatting>
  <conditionalFormatting sqref="I23:K23">
    <cfRule type="duplicateValues" dxfId="836" priority="889" stopIfTrue="1"/>
  </conditionalFormatting>
  <conditionalFormatting sqref="I23:K23">
    <cfRule type="duplicateValues" dxfId="835" priority="888" stopIfTrue="1"/>
  </conditionalFormatting>
  <conditionalFormatting sqref="I24:K24">
    <cfRule type="duplicateValues" dxfId="834" priority="887" stopIfTrue="1"/>
  </conditionalFormatting>
  <conditionalFormatting sqref="I24:K24">
    <cfRule type="duplicateValues" dxfId="833" priority="886" stopIfTrue="1"/>
  </conditionalFormatting>
  <conditionalFormatting sqref="I24:K24">
    <cfRule type="duplicateValues" dxfId="832" priority="885" stopIfTrue="1"/>
  </conditionalFormatting>
  <conditionalFormatting sqref="N23:O23">
    <cfRule type="duplicateValues" dxfId="831" priority="884" stopIfTrue="1"/>
  </conditionalFormatting>
  <conditionalFormatting sqref="N23:O23">
    <cfRule type="duplicateValues" dxfId="830" priority="883" stopIfTrue="1"/>
  </conditionalFormatting>
  <conditionalFormatting sqref="N23:O23">
    <cfRule type="duplicateValues" dxfId="829" priority="882" stopIfTrue="1"/>
  </conditionalFormatting>
  <conditionalFormatting sqref="M24:O24">
    <cfRule type="duplicateValues" dxfId="828" priority="881" stopIfTrue="1"/>
  </conditionalFormatting>
  <conditionalFormatting sqref="M24:O24">
    <cfRule type="duplicateValues" dxfId="827" priority="880" stopIfTrue="1"/>
  </conditionalFormatting>
  <conditionalFormatting sqref="M24:O24">
    <cfRule type="duplicateValues" dxfId="826" priority="879" stopIfTrue="1"/>
  </conditionalFormatting>
  <conditionalFormatting sqref="F11">
    <cfRule type="duplicateValues" dxfId="825" priority="877" stopIfTrue="1"/>
  </conditionalFormatting>
  <conditionalFormatting sqref="F11">
    <cfRule type="duplicateValues" dxfId="824" priority="878" stopIfTrue="1"/>
  </conditionalFormatting>
  <conditionalFormatting sqref="F16">
    <cfRule type="duplicateValues" dxfId="823" priority="875" stopIfTrue="1"/>
  </conditionalFormatting>
  <conditionalFormatting sqref="F16">
    <cfRule type="duplicateValues" dxfId="822" priority="876" stopIfTrue="1"/>
  </conditionalFormatting>
  <conditionalFormatting sqref="F21">
    <cfRule type="duplicateValues" dxfId="821" priority="873" stopIfTrue="1"/>
  </conditionalFormatting>
  <conditionalFormatting sqref="F21">
    <cfRule type="duplicateValues" dxfId="820" priority="874" stopIfTrue="1"/>
  </conditionalFormatting>
  <conditionalFormatting sqref="J2:K6">
    <cfRule type="duplicateValues" dxfId="819" priority="871" stopIfTrue="1"/>
  </conditionalFormatting>
  <conditionalFormatting sqref="J2:K6">
    <cfRule type="duplicateValues" dxfId="818" priority="872" stopIfTrue="1"/>
  </conditionalFormatting>
  <conditionalFormatting sqref="J19:K19">
    <cfRule type="duplicateValues" dxfId="817" priority="866" stopIfTrue="1"/>
  </conditionalFormatting>
  <conditionalFormatting sqref="J19:K19">
    <cfRule type="duplicateValues" dxfId="816" priority="867" stopIfTrue="1"/>
  </conditionalFormatting>
  <conditionalFormatting sqref="J19:K19">
    <cfRule type="duplicateValues" dxfId="815" priority="868" stopIfTrue="1"/>
  </conditionalFormatting>
  <conditionalFormatting sqref="J20:K20 J7:K7 J9:K9">
    <cfRule type="duplicateValues" dxfId="814" priority="869" stopIfTrue="1"/>
  </conditionalFormatting>
  <conditionalFormatting sqref="J20:K20">
    <cfRule type="duplicateValues" dxfId="813" priority="870" stopIfTrue="1"/>
  </conditionalFormatting>
  <conditionalFormatting sqref="J9:K9">
    <cfRule type="duplicateValues" dxfId="812" priority="865" stopIfTrue="1"/>
  </conditionalFormatting>
  <conditionalFormatting sqref="J13:K15">
    <cfRule type="duplicateValues" dxfId="811" priority="864" stopIfTrue="1"/>
  </conditionalFormatting>
  <conditionalFormatting sqref="J17:K17">
    <cfRule type="duplicateValues" dxfId="810" priority="862" stopIfTrue="1"/>
  </conditionalFormatting>
  <conditionalFormatting sqref="J17:K17">
    <cfRule type="duplicateValues" dxfId="809" priority="863" stopIfTrue="1"/>
  </conditionalFormatting>
  <conditionalFormatting sqref="J18:K18">
    <cfRule type="duplicateValues" dxfId="808" priority="860" stopIfTrue="1"/>
  </conditionalFormatting>
  <conditionalFormatting sqref="J18:K18">
    <cfRule type="duplicateValues" dxfId="807" priority="861" stopIfTrue="1"/>
  </conditionalFormatting>
  <conditionalFormatting sqref="J13:K13">
    <cfRule type="duplicateValues" dxfId="806" priority="859" stopIfTrue="1"/>
  </conditionalFormatting>
  <conditionalFormatting sqref="J7:K7">
    <cfRule type="duplicateValues" dxfId="805" priority="858" stopIfTrue="1"/>
  </conditionalFormatting>
  <conditionalFormatting sqref="J7:K7">
    <cfRule type="duplicateValues" dxfId="804" priority="857" stopIfTrue="1"/>
  </conditionalFormatting>
  <conditionalFormatting sqref="J10:K10">
    <cfRule type="duplicateValues" dxfId="803" priority="855" stopIfTrue="1"/>
  </conditionalFormatting>
  <conditionalFormatting sqref="J10:K10">
    <cfRule type="duplicateValues" dxfId="802" priority="856" stopIfTrue="1"/>
  </conditionalFormatting>
  <conditionalFormatting sqref="J15:K15">
    <cfRule type="duplicateValues" dxfId="801" priority="853" stopIfTrue="1"/>
  </conditionalFormatting>
  <conditionalFormatting sqref="J15:K15">
    <cfRule type="duplicateValues" dxfId="800" priority="854" stopIfTrue="1"/>
  </conditionalFormatting>
  <conditionalFormatting sqref="J20:K20">
    <cfRule type="duplicateValues" dxfId="799" priority="850" stopIfTrue="1"/>
  </conditionalFormatting>
  <conditionalFormatting sqref="J20:K20">
    <cfRule type="duplicateValues" dxfId="798" priority="851" stopIfTrue="1"/>
  </conditionalFormatting>
  <conditionalFormatting sqref="J20:K20">
    <cfRule type="duplicateValues" dxfId="797" priority="852" stopIfTrue="1"/>
  </conditionalFormatting>
  <conditionalFormatting sqref="J8:K8">
    <cfRule type="duplicateValues" dxfId="796" priority="848" stopIfTrue="1"/>
  </conditionalFormatting>
  <conditionalFormatting sqref="J8:K8">
    <cfRule type="duplicateValues" dxfId="795" priority="849" stopIfTrue="1"/>
  </conditionalFormatting>
  <conditionalFormatting sqref="J13:K13">
    <cfRule type="duplicateValues" dxfId="794" priority="847" stopIfTrue="1"/>
  </conditionalFormatting>
  <conditionalFormatting sqref="J14:K14">
    <cfRule type="duplicateValues" dxfId="793" priority="846" stopIfTrue="1"/>
  </conditionalFormatting>
  <conditionalFormatting sqref="J14:K14">
    <cfRule type="duplicateValues" dxfId="792" priority="845" stopIfTrue="1"/>
  </conditionalFormatting>
  <conditionalFormatting sqref="J14:K14">
    <cfRule type="duplicateValues" dxfId="791" priority="844" stopIfTrue="1"/>
  </conditionalFormatting>
  <conditionalFormatting sqref="J15:K15">
    <cfRule type="duplicateValues" dxfId="790" priority="843" stopIfTrue="1"/>
  </conditionalFormatting>
  <conditionalFormatting sqref="J13:K13">
    <cfRule type="duplicateValues" dxfId="789" priority="842" stopIfTrue="1"/>
  </conditionalFormatting>
  <conditionalFormatting sqref="J13:K13">
    <cfRule type="duplicateValues" dxfId="788" priority="841" stopIfTrue="1"/>
  </conditionalFormatting>
  <conditionalFormatting sqref="J13:K13">
    <cfRule type="duplicateValues" dxfId="787" priority="840" stopIfTrue="1"/>
  </conditionalFormatting>
  <conditionalFormatting sqref="J15:K15">
    <cfRule type="duplicateValues" dxfId="786" priority="838" stopIfTrue="1"/>
  </conditionalFormatting>
  <conditionalFormatting sqref="J15:K15">
    <cfRule type="duplicateValues" dxfId="785" priority="839" stopIfTrue="1"/>
  </conditionalFormatting>
  <conditionalFormatting sqref="J14:K14">
    <cfRule type="duplicateValues" dxfId="784" priority="836" stopIfTrue="1"/>
  </conditionalFormatting>
  <conditionalFormatting sqref="J14:K14">
    <cfRule type="duplicateValues" dxfId="783" priority="837" stopIfTrue="1"/>
  </conditionalFormatting>
  <conditionalFormatting sqref="J13:K13">
    <cfRule type="duplicateValues" dxfId="782" priority="835" stopIfTrue="1"/>
  </conditionalFormatting>
  <conditionalFormatting sqref="J13:K13">
    <cfRule type="duplicateValues" dxfId="781" priority="834" stopIfTrue="1"/>
  </conditionalFormatting>
  <conditionalFormatting sqref="J15:K15">
    <cfRule type="duplicateValues" dxfId="780" priority="832" stopIfTrue="1"/>
  </conditionalFormatting>
  <conditionalFormatting sqref="J15:K15">
    <cfRule type="duplicateValues" dxfId="779" priority="833" stopIfTrue="1"/>
  </conditionalFormatting>
  <conditionalFormatting sqref="J13:K13">
    <cfRule type="duplicateValues" dxfId="778" priority="831" stopIfTrue="1"/>
  </conditionalFormatting>
  <conditionalFormatting sqref="J14:K14">
    <cfRule type="duplicateValues" dxfId="777" priority="830" stopIfTrue="1"/>
  </conditionalFormatting>
  <conditionalFormatting sqref="J14:K14">
    <cfRule type="duplicateValues" dxfId="776" priority="829" stopIfTrue="1"/>
  </conditionalFormatting>
  <conditionalFormatting sqref="J13:K13">
    <cfRule type="duplicateValues" dxfId="775" priority="825" stopIfTrue="1"/>
  </conditionalFormatting>
  <conditionalFormatting sqref="J13:K13">
    <cfRule type="duplicateValues" dxfId="774" priority="824" stopIfTrue="1"/>
  </conditionalFormatting>
  <conditionalFormatting sqref="J14:K14">
    <cfRule type="duplicateValues" dxfId="773" priority="828" stopIfTrue="1"/>
  </conditionalFormatting>
  <conditionalFormatting sqref="J15:K15">
    <cfRule type="duplicateValues" dxfId="772" priority="827" stopIfTrue="1"/>
  </conditionalFormatting>
  <conditionalFormatting sqref="J13:K13">
    <cfRule type="duplicateValues" dxfId="771" priority="826" stopIfTrue="1"/>
  </conditionalFormatting>
  <conditionalFormatting sqref="J15:K15">
    <cfRule type="duplicateValues" dxfId="770" priority="823" stopIfTrue="1"/>
  </conditionalFormatting>
  <conditionalFormatting sqref="J15:K15">
    <cfRule type="duplicateValues" dxfId="769" priority="822" stopIfTrue="1"/>
  </conditionalFormatting>
  <conditionalFormatting sqref="J14:K14">
    <cfRule type="duplicateValues" dxfId="768" priority="821" stopIfTrue="1"/>
  </conditionalFormatting>
  <conditionalFormatting sqref="J14:K14">
    <cfRule type="duplicateValues" dxfId="767" priority="820" stopIfTrue="1"/>
  </conditionalFormatting>
  <conditionalFormatting sqref="J14:K14">
    <cfRule type="duplicateValues" dxfId="766" priority="819" stopIfTrue="1"/>
  </conditionalFormatting>
  <conditionalFormatting sqref="J13:K13">
    <cfRule type="duplicateValues" dxfId="765" priority="818" stopIfTrue="1"/>
  </conditionalFormatting>
  <conditionalFormatting sqref="J15:K15">
    <cfRule type="duplicateValues" dxfId="764" priority="816" stopIfTrue="1"/>
  </conditionalFormatting>
  <conditionalFormatting sqref="J15:K15">
    <cfRule type="duplicateValues" dxfId="763" priority="817" stopIfTrue="1"/>
  </conditionalFormatting>
  <conditionalFormatting sqref="J13:K13">
    <cfRule type="duplicateValues" dxfId="762" priority="815" stopIfTrue="1"/>
  </conditionalFormatting>
  <conditionalFormatting sqref="J14:K14">
    <cfRule type="duplicateValues" dxfId="761" priority="814" stopIfTrue="1"/>
  </conditionalFormatting>
  <conditionalFormatting sqref="J14:K14">
    <cfRule type="duplicateValues" dxfId="760" priority="813" stopIfTrue="1"/>
  </conditionalFormatting>
  <conditionalFormatting sqref="J14:K14">
    <cfRule type="duplicateValues" dxfId="759" priority="812" stopIfTrue="1"/>
  </conditionalFormatting>
  <conditionalFormatting sqref="J15:K15">
    <cfRule type="duplicateValues" dxfId="758" priority="811" stopIfTrue="1"/>
  </conditionalFormatting>
  <conditionalFormatting sqref="J13:K13">
    <cfRule type="duplicateValues" dxfId="757" priority="810" stopIfTrue="1"/>
  </conditionalFormatting>
  <conditionalFormatting sqref="J13:K13">
    <cfRule type="duplicateValues" dxfId="756" priority="809" stopIfTrue="1"/>
  </conditionalFormatting>
  <conditionalFormatting sqref="J13:K13">
    <cfRule type="duplicateValues" dxfId="755" priority="808" stopIfTrue="1"/>
  </conditionalFormatting>
  <conditionalFormatting sqref="J12:K12">
    <cfRule type="duplicateValues" dxfId="754" priority="806" stopIfTrue="1"/>
  </conditionalFormatting>
  <conditionalFormatting sqref="J12:K12">
    <cfRule type="duplicateValues" dxfId="753" priority="807" stopIfTrue="1"/>
  </conditionalFormatting>
  <conditionalFormatting sqref="J12:K12">
    <cfRule type="duplicateValues" dxfId="752" priority="804" stopIfTrue="1"/>
  </conditionalFormatting>
  <conditionalFormatting sqref="J12:K12">
    <cfRule type="duplicateValues" dxfId="751" priority="805" stopIfTrue="1"/>
  </conditionalFormatting>
  <conditionalFormatting sqref="J11">
    <cfRule type="duplicateValues" dxfId="750" priority="802" stopIfTrue="1"/>
  </conditionalFormatting>
  <conditionalFormatting sqref="J11">
    <cfRule type="duplicateValues" dxfId="749" priority="803" stopIfTrue="1"/>
  </conditionalFormatting>
  <conditionalFormatting sqref="J16">
    <cfRule type="duplicateValues" dxfId="748" priority="800" stopIfTrue="1"/>
  </conditionalFormatting>
  <conditionalFormatting sqref="J16">
    <cfRule type="duplicateValues" dxfId="747" priority="801" stopIfTrue="1"/>
  </conditionalFormatting>
  <conditionalFormatting sqref="J21">
    <cfRule type="duplicateValues" dxfId="746" priority="798" stopIfTrue="1"/>
  </conditionalFormatting>
  <conditionalFormatting sqref="J21">
    <cfRule type="duplicateValues" dxfId="745" priority="799" stopIfTrue="1"/>
  </conditionalFormatting>
  <conditionalFormatting sqref="N2:O6">
    <cfRule type="duplicateValues" dxfId="744" priority="796" stopIfTrue="1"/>
  </conditionalFormatting>
  <conditionalFormatting sqref="N2:O6">
    <cfRule type="duplicateValues" dxfId="743" priority="797" stopIfTrue="1"/>
  </conditionalFormatting>
  <conditionalFormatting sqref="N19:O19">
    <cfRule type="duplicateValues" dxfId="742" priority="791" stopIfTrue="1"/>
  </conditionalFormatting>
  <conditionalFormatting sqref="N19:O19">
    <cfRule type="duplicateValues" dxfId="741" priority="792" stopIfTrue="1"/>
  </conditionalFormatting>
  <conditionalFormatting sqref="N19:O19">
    <cfRule type="duplicateValues" dxfId="740" priority="793" stopIfTrue="1"/>
  </conditionalFormatting>
  <conditionalFormatting sqref="N20:O20 N7:O7 N9:O9">
    <cfRule type="duplicateValues" dxfId="739" priority="794" stopIfTrue="1"/>
  </conditionalFormatting>
  <conditionalFormatting sqref="N20:O20">
    <cfRule type="duplicateValues" dxfId="738" priority="795" stopIfTrue="1"/>
  </conditionalFormatting>
  <conditionalFormatting sqref="N9:O9">
    <cfRule type="duplicateValues" dxfId="737" priority="790" stopIfTrue="1"/>
  </conditionalFormatting>
  <conditionalFormatting sqref="N13:O15">
    <cfRule type="duplicateValues" dxfId="736" priority="789" stopIfTrue="1"/>
  </conditionalFormatting>
  <conditionalFormatting sqref="N17:O17">
    <cfRule type="duplicateValues" dxfId="735" priority="787" stopIfTrue="1"/>
  </conditionalFormatting>
  <conditionalFormatting sqref="N17:O17">
    <cfRule type="duplicateValues" dxfId="734" priority="788" stopIfTrue="1"/>
  </conditionalFormatting>
  <conditionalFormatting sqref="N18:O18">
    <cfRule type="duplicateValues" dxfId="733" priority="785" stopIfTrue="1"/>
  </conditionalFormatting>
  <conditionalFormatting sqref="N18:O18">
    <cfRule type="duplicateValues" dxfId="732" priority="786" stopIfTrue="1"/>
  </conditionalFormatting>
  <conditionalFormatting sqref="N13:O13">
    <cfRule type="duplicateValues" dxfId="731" priority="784" stopIfTrue="1"/>
  </conditionalFormatting>
  <conditionalFormatting sqref="N7:O7">
    <cfRule type="duplicateValues" dxfId="730" priority="783" stopIfTrue="1"/>
  </conditionalFormatting>
  <conditionalFormatting sqref="N7:O7">
    <cfRule type="duplicateValues" dxfId="729" priority="782" stopIfTrue="1"/>
  </conditionalFormatting>
  <conditionalFormatting sqref="N10:O10">
    <cfRule type="duplicateValues" dxfId="728" priority="780" stopIfTrue="1"/>
  </conditionalFormatting>
  <conditionalFormatting sqref="N10:O10">
    <cfRule type="duplicateValues" dxfId="727" priority="781" stopIfTrue="1"/>
  </conditionalFormatting>
  <conditionalFormatting sqref="N15:O15">
    <cfRule type="duplicateValues" dxfId="726" priority="778" stopIfTrue="1"/>
  </conditionalFormatting>
  <conditionalFormatting sqref="N15:O15">
    <cfRule type="duplicateValues" dxfId="725" priority="779" stopIfTrue="1"/>
  </conditionalFormatting>
  <conditionalFormatting sqref="N20:O20">
    <cfRule type="duplicateValues" dxfId="724" priority="775" stopIfTrue="1"/>
  </conditionalFormatting>
  <conditionalFormatting sqref="N20:O20">
    <cfRule type="duplicateValues" dxfId="723" priority="776" stopIfTrue="1"/>
  </conditionalFormatting>
  <conditionalFormatting sqref="N20:O20">
    <cfRule type="duplicateValues" dxfId="722" priority="777" stopIfTrue="1"/>
  </conditionalFormatting>
  <conditionalFormatting sqref="N8:O8">
    <cfRule type="duplicateValues" dxfId="721" priority="773" stopIfTrue="1"/>
  </conditionalFormatting>
  <conditionalFormatting sqref="N8:O8">
    <cfRule type="duplicateValues" dxfId="720" priority="774" stopIfTrue="1"/>
  </conditionalFormatting>
  <conditionalFormatting sqref="N13:O13">
    <cfRule type="duplicateValues" dxfId="719" priority="772" stopIfTrue="1"/>
  </conditionalFormatting>
  <conditionalFormatting sqref="N14:O14">
    <cfRule type="duplicateValues" dxfId="718" priority="771" stopIfTrue="1"/>
  </conditionalFormatting>
  <conditionalFormatting sqref="N14:O14">
    <cfRule type="duplicateValues" dxfId="717" priority="770" stopIfTrue="1"/>
  </conditionalFormatting>
  <conditionalFormatting sqref="N14:O14">
    <cfRule type="duplicateValues" dxfId="716" priority="769" stopIfTrue="1"/>
  </conditionalFormatting>
  <conditionalFormatting sqref="N15:O15">
    <cfRule type="duplicateValues" dxfId="715" priority="768" stopIfTrue="1"/>
  </conditionalFormatting>
  <conditionalFormatting sqref="N13:O13">
    <cfRule type="duplicateValues" dxfId="714" priority="767" stopIfTrue="1"/>
  </conditionalFormatting>
  <conditionalFormatting sqref="N13:O13">
    <cfRule type="duplicateValues" dxfId="713" priority="766" stopIfTrue="1"/>
  </conditionalFormatting>
  <conditionalFormatting sqref="N13:O13">
    <cfRule type="duplicateValues" dxfId="712" priority="765" stopIfTrue="1"/>
  </conditionalFormatting>
  <conditionalFormatting sqref="N15:O15">
    <cfRule type="duplicateValues" dxfId="711" priority="763" stopIfTrue="1"/>
  </conditionalFormatting>
  <conditionalFormatting sqref="N15:O15">
    <cfRule type="duplicateValues" dxfId="710" priority="764" stopIfTrue="1"/>
  </conditionalFormatting>
  <conditionalFormatting sqref="N14:O14">
    <cfRule type="duplicateValues" dxfId="709" priority="761" stopIfTrue="1"/>
  </conditionalFormatting>
  <conditionalFormatting sqref="N14:O14">
    <cfRule type="duplicateValues" dxfId="708" priority="762" stopIfTrue="1"/>
  </conditionalFormatting>
  <conditionalFormatting sqref="N13:O13">
    <cfRule type="duplicateValues" dxfId="707" priority="760" stopIfTrue="1"/>
  </conditionalFormatting>
  <conditionalFormatting sqref="N13:O13">
    <cfRule type="duplicateValues" dxfId="706" priority="759" stopIfTrue="1"/>
  </conditionalFormatting>
  <conditionalFormatting sqref="N15:O15">
    <cfRule type="duplicateValues" dxfId="705" priority="757" stopIfTrue="1"/>
  </conditionalFormatting>
  <conditionalFormatting sqref="N15:O15">
    <cfRule type="duplicateValues" dxfId="704" priority="758" stopIfTrue="1"/>
  </conditionalFormatting>
  <conditionalFormatting sqref="N13:O13">
    <cfRule type="duplicateValues" dxfId="703" priority="756" stopIfTrue="1"/>
  </conditionalFormatting>
  <conditionalFormatting sqref="N14:O14">
    <cfRule type="duplicateValues" dxfId="702" priority="755" stopIfTrue="1"/>
  </conditionalFormatting>
  <conditionalFormatting sqref="N14:O14">
    <cfRule type="duplicateValues" dxfId="701" priority="754" stopIfTrue="1"/>
  </conditionalFormatting>
  <conditionalFormatting sqref="N13:O13">
    <cfRule type="duplicateValues" dxfId="700" priority="750" stopIfTrue="1"/>
  </conditionalFormatting>
  <conditionalFormatting sqref="N13:O13">
    <cfRule type="duplicateValues" dxfId="699" priority="749" stopIfTrue="1"/>
  </conditionalFormatting>
  <conditionalFormatting sqref="N14:O14">
    <cfRule type="duplicateValues" dxfId="698" priority="753" stopIfTrue="1"/>
  </conditionalFormatting>
  <conditionalFormatting sqref="N15:O15">
    <cfRule type="duplicateValues" dxfId="697" priority="752" stopIfTrue="1"/>
  </conditionalFormatting>
  <conditionalFormatting sqref="N13:O13">
    <cfRule type="duplicateValues" dxfId="696" priority="751" stopIfTrue="1"/>
  </conditionalFormatting>
  <conditionalFormatting sqref="N15:O15">
    <cfRule type="duplicateValues" dxfId="695" priority="748" stopIfTrue="1"/>
  </conditionalFormatting>
  <conditionalFormatting sqref="N15:O15">
    <cfRule type="duplicateValues" dxfId="694" priority="747" stopIfTrue="1"/>
  </conditionalFormatting>
  <conditionalFormatting sqref="N14:O14">
    <cfRule type="duplicateValues" dxfId="693" priority="746" stopIfTrue="1"/>
  </conditionalFormatting>
  <conditionalFormatting sqref="N14:O14">
    <cfRule type="duplicateValues" dxfId="692" priority="745" stopIfTrue="1"/>
  </conditionalFormatting>
  <conditionalFormatting sqref="N14:O14">
    <cfRule type="duplicateValues" dxfId="691" priority="744" stopIfTrue="1"/>
  </conditionalFormatting>
  <conditionalFormatting sqref="N13:O13">
    <cfRule type="duplicateValues" dxfId="690" priority="743" stopIfTrue="1"/>
  </conditionalFormatting>
  <conditionalFormatting sqref="N15:O15">
    <cfRule type="duplicateValues" dxfId="689" priority="741" stopIfTrue="1"/>
  </conditionalFormatting>
  <conditionalFormatting sqref="N15:O15">
    <cfRule type="duplicateValues" dxfId="688" priority="742" stopIfTrue="1"/>
  </conditionalFormatting>
  <conditionalFormatting sqref="N13:O13">
    <cfRule type="duplicateValues" dxfId="687" priority="740" stopIfTrue="1"/>
  </conditionalFormatting>
  <conditionalFormatting sqref="N14:O14">
    <cfRule type="duplicateValues" dxfId="686" priority="739" stopIfTrue="1"/>
  </conditionalFormatting>
  <conditionalFormatting sqref="N14:O14">
    <cfRule type="duplicateValues" dxfId="685" priority="738" stopIfTrue="1"/>
  </conditionalFormatting>
  <conditionalFormatting sqref="N14:O14">
    <cfRule type="duplicateValues" dxfId="684" priority="737" stopIfTrue="1"/>
  </conditionalFormatting>
  <conditionalFormatting sqref="N15:O15">
    <cfRule type="duplicateValues" dxfId="683" priority="736" stopIfTrue="1"/>
  </conditionalFormatting>
  <conditionalFormatting sqref="N13:O13">
    <cfRule type="duplicateValues" dxfId="682" priority="735" stopIfTrue="1"/>
  </conditionalFormatting>
  <conditionalFormatting sqref="N13:O13">
    <cfRule type="duplicateValues" dxfId="681" priority="734" stopIfTrue="1"/>
  </conditionalFormatting>
  <conditionalFormatting sqref="N13:O13">
    <cfRule type="duplicateValues" dxfId="680" priority="733" stopIfTrue="1"/>
  </conditionalFormatting>
  <conditionalFormatting sqref="N12:O12">
    <cfRule type="duplicateValues" dxfId="679" priority="731" stopIfTrue="1"/>
  </conditionalFormatting>
  <conditionalFormatting sqref="N12:O12">
    <cfRule type="duplicateValues" dxfId="678" priority="732" stopIfTrue="1"/>
  </conditionalFormatting>
  <conditionalFormatting sqref="N12:O12">
    <cfRule type="duplicateValues" dxfId="677" priority="729" stopIfTrue="1"/>
  </conditionalFormatting>
  <conditionalFormatting sqref="N12:O12">
    <cfRule type="duplicateValues" dxfId="676" priority="730" stopIfTrue="1"/>
  </conditionalFormatting>
  <conditionalFormatting sqref="N11">
    <cfRule type="duplicateValues" dxfId="675" priority="727" stopIfTrue="1"/>
  </conditionalFormatting>
  <conditionalFormatting sqref="N11">
    <cfRule type="duplicateValues" dxfId="674" priority="728" stopIfTrue="1"/>
  </conditionalFormatting>
  <conditionalFormatting sqref="N16">
    <cfRule type="duplicateValues" dxfId="673" priority="725" stopIfTrue="1"/>
  </conditionalFormatting>
  <conditionalFormatting sqref="N16">
    <cfRule type="duplicateValues" dxfId="672" priority="726" stopIfTrue="1"/>
  </conditionalFormatting>
  <conditionalFormatting sqref="N21">
    <cfRule type="duplicateValues" dxfId="671" priority="723" stopIfTrue="1"/>
  </conditionalFormatting>
  <conditionalFormatting sqref="N21">
    <cfRule type="duplicateValues" dxfId="670" priority="724" stopIfTrue="1"/>
  </conditionalFormatting>
  <conditionalFormatting sqref="G11">
    <cfRule type="duplicateValues" dxfId="669" priority="721" stopIfTrue="1"/>
  </conditionalFormatting>
  <conditionalFormatting sqref="G11">
    <cfRule type="duplicateValues" dxfId="668" priority="722" stopIfTrue="1"/>
  </conditionalFormatting>
  <conditionalFormatting sqref="G16">
    <cfRule type="duplicateValues" dxfId="667" priority="719" stopIfTrue="1"/>
  </conditionalFormatting>
  <conditionalFormatting sqref="G16">
    <cfRule type="duplicateValues" dxfId="666" priority="720" stopIfTrue="1"/>
  </conditionalFormatting>
  <conditionalFormatting sqref="G21">
    <cfRule type="duplicateValues" dxfId="665" priority="717" stopIfTrue="1"/>
  </conditionalFormatting>
  <conditionalFormatting sqref="G21">
    <cfRule type="duplicateValues" dxfId="664" priority="718" stopIfTrue="1"/>
  </conditionalFormatting>
  <conditionalFormatting sqref="I25:I26">
    <cfRule type="duplicateValues" dxfId="663" priority="712" stopIfTrue="1"/>
  </conditionalFormatting>
  <conditionalFormatting sqref="I25:I26">
    <cfRule type="duplicateValues" dxfId="662" priority="713" stopIfTrue="1"/>
  </conditionalFormatting>
  <conditionalFormatting sqref="I4">
    <cfRule type="duplicateValues" dxfId="661" priority="703" stopIfTrue="1"/>
  </conditionalFormatting>
  <conditionalFormatting sqref="I4">
    <cfRule type="duplicateValues" dxfId="660" priority="702" stopIfTrue="1"/>
  </conditionalFormatting>
  <conditionalFormatting sqref="I5">
    <cfRule type="duplicateValues" dxfId="659" priority="700" stopIfTrue="1"/>
  </conditionalFormatting>
  <conditionalFormatting sqref="I5">
    <cfRule type="duplicateValues" dxfId="658" priority="701" stopIfTrue="1"/>
  </conditionalFormatting>
  <conditionalFormatting sqref="H4:H5">
    <cfRule type="duplicateValues" dxfId="657" priority="699" stopIfTrue="1"/>
  </conditionalFormatting>
  <conditionalFormatting sqref="H25:H26">
    <cfRule type="duplicateValues" dxfId="656" priority="697" stopIfTrue="1"/>
    <cfRule type="duplicateValues" dxfId="655" priority="698" stopIfTrue="1"/>
  </conditionalFormatting>
  <conditionalFormatting sqref="K11">
    <cfRule type="duplicateValues" dxfId="654" priority="695" stopIfTrue="1"/>
  </conditionalFormatting>
  <conditionalFormatting sqref="K11">
    <cfRule type="duplicateValues" dxfId="653" priority="696" stopIfTrue="1"/>
  </conditionalFormatting>
  <conditionalFormatting sqref="K16">
    <cfRule type="duplicateValues" dxfId="652" priority="693" stopIfTrue="1"/>
  </conditionalFormatting>
  <conditionalFormatting sqref="K16">
    <cfRule type="duplicateValues" dxfId="651" priority="694" stopIfTrue="1"/>
  </conditionalFormatting>
  <conditionalFormatting sqref="K21">
    <cfRule type="duplicateValues" dxfId="650" priority="691" stopIfTrue="1"/>
  </conditionalFormatting>
  <conditionalFormatting sqref="K21">
    <cfRule type="duplicateValues" dxfId="649" priority="692" stopIfTrue="1"/>
  </conditionalFormatting>
  <conditionalFormatting sqref="O11">
    <cfRule type="duplicateValues" dxfId="648" priority="689" stopIfTrue="1"/>
  </conditionalFormatting>
  <conditionalFormatting sqref="O11">
    <cfRule type="duplicateValues" dxfId="647" priority="690" stopIfTrue="1"/>
  </conditionalFormatting>
  <conditionalFormatting sqref="O16">
    <cfRule type="duplicateValues" dxfId="646" priority="687" stopIfTrue="1"/>
  </conditionalFormatting>
  <conditionalFormatting sqref="O16">
    <cfRule type="duplicateValues" dxfId="645" priority="688" stopIfTrue="1"/>
  </conditionalFormatting>
  <conditionalFormatting sqref="O21">
    <cfRule type="duplicateValues" dxfId="644" priority="685" stopIfTrue="1"/>
  </conditionalFormatting>
  <conditionalFormatting sqref="O21">
    <cfRule type="duplicateValues" dxfId="643" priority="686" stopIfTrue="1"/>
  </conditionalFormatting>
  <conditionalFormatting sqref="D21">
    <cfRule type="duplicateValues" dxfId="642" priority="674" stopIfTrue="1"/>
  </conditionalFormatting>
  <conditionalFormatting sqref="D21">
    <cfRule type="duplicateValues" dxfId="641" priority="675" stopIfTrue="1"/>
  </conditionalFormatting>
  <conditionalFormatting sqref="D21">
    <cfRule type="duplicateValues" dxfId="640" priority="671" stopIfTrue="1"/>
  </conditionalFormatting>
  <conditionalFormatting sqref="D21">
    <cfRule type="duplicateValues" dxfId="639" priority="672" stopIfTrue="1"/>
  </conditionalFormatting>
  <conditionalFormatting sqref="D21">
    <cfRule type="duplicateValues" dxfId="638" priority="673" stopIfTrue="1"/>
  </conditionalFormatting>
  <conditionalFormatting sqref="D20">
    <cfRule type="duplicateValues" dxfId="637" priority="668" stopIfTrue="1"/>
  </conditionalFormatting>
  <conditionalFormatting sqref="D20">
    <cfRule type="duplicateValues" dxfId="636" priority="669" stopIfTrue="1"/>
  </conditionalFormatting>
  <conditionalFormatting sqref="D20">
    <cfRule type="duplicateValues" dxfId="635" priority="670" stopIfTrue="1"/>
  </conditionalFormatting>
  <conditionalFormatting sqref="D18">
    <cfRule type="duplicateValues" dxfId="634" priority="666" stopIfTrue="1"/>
  </conditionalFormatting>
  <conditionalFormatting sqref="D18">
    <cfRule type="duplicateValues" dxfId="633" priority="667" stopIfTrue="1"/>
  </conditionalFormatting>
  <conditionalFormatting sqref="D19">
    <cfRule type="duplicateValues" dxfId="632" priority="664" stopIfTrue="1"/>
  </conditionalFormatting>
  <conditionalFormatting sqref="D19">
    <cfRule type="duplicateValues" dxfId="631" priority="665" stopIfTrue="1"/>
  </conditionalFormatting>
  <conditionalFormatting sqref="D15">
    <cfRule type="duplicateValues" dxfId="630" priority="663" stopIfTrue="1"/>
  </conditionalFormatting>
  <conditionalFormatting sqref="D15">
    <cfRule type="duplicateValues" dxfId="629" priority="662" stopIfTrue="1"/>
  </conditionalFormatting>
  <conditionalFormatting sqref="D15">
    <cfRule type="duplicateValues" dxfId="628" priority="661" stopIfTrue="1"/>
  </conditionalFormatting>
  <conditionalFormatting sqref="D15">
    <cfRule type="duplicateValues" dxfId="627" priority="660" stopIfTrue="1"/>
  </conditionalFormatting>
  <conditionalFormatting sqref="D15">
    <cfRule type="duplicateValues" dxfId="626" priority="658" stopIfTrue="1"/>
  </conditionalFormatting>
  <conditionalFormatting sqref="D15">
    <cfRule type="duplicateValues" dxfId="625" priority="659" stopIfTrue="1"/>
  </conditionalFormatting>
  <conditionalFormatting sqref="D15">
    <cfRule type="duplicateValues" dxfId="624" priority="657" stopIfTrue="1"/>
  </conditionalFormatting>
  <conditionalFormatting sqref="D15">
    <cfRule type="duplicateValues" dxfId="623" priority="656" stopIfTrue="1"/>
  </conditionalFormatting>
  <conditionalFormatting sqref="D15">
    <cfRule type="duplicateValues" dxfId="622" priority="655" stopIfTrue="1"/>
  </conditionalFormatting>
  <conditionalFormatting sqref="D15">
    <cfRule type="duplicateValues" dxfId="621" priority="654" stopIfTrue="1"/>
  </conditionalFormatting>
  <conditionalFormatting sqref="D15">
    <cfRule type="duplicateValues" dxfId="620" priority="653" stopIfTrue="1"/>
  </conditionalFormatting>
  <conditionalFormatting sqref="D15">
    <cfRule type="duplicateValues" dxfId="619" priority="652" stopIfTrue="1"/>
  </conditionalFormatting>
  <conditionalFormatting sqref="D15">
    <cfRule type="duplicateValues" dxfId="618" priority="651" stopIfTrue="1"/>
  </conditionalFormatting>
  <conditionalFormatting sqref="D15">
    <cfRule type="duplicateValues" dxfId="617" priority="650" stopIfTrue="1"/>
  </conditionalFormatting>
  <conditionalFormatting sqref="D15">
    <cfRule type="duplicateValues" dxfId="616" priority="649" stopIfTrue="1"/>
  </conditionalFormatting>
  <conditionalFormatting sqref="D20:E20">
    <cfRule type="duplicateValues" dxfId="615" priority="644" stopIfTrue="1"/>
  </conditionalFormatting>
  <conditionalFormatting sqref="D20:E20">
    <cfRule type="duplicateValues" dxfId="614" priority="645" stopIfTrue="1"/>
  </conditionalFormatting>
  <conditionalFormatting sqref="D20:E20">
    <cfRule type="duplicateValues" dxfId="613" priority="646" stopIfTrue="1"/>
  </conditionalFormatting>
  <conditionalFormatting sqref="D21:E21">
    <cfRule type="duplicateValues" dxfId="612" priority="647" stopIfTrue="1"/>
  </conditionalFormatting>
  <conditionalFormatting sqref="D21:E21">
    <cfRule type="duplicateValues" dxfId="611" priority="648" stopIfTrue="1"/>
  </conditionalFormatting>
  <conditionalFormatting sqref="D18:E18">
    <cfRule type="duplicateValues" dxfId="610" priority="642" stopIfTrue="1"/>
  </conditionalFormatting>
  <conditionalFormatting sqref="D18:E18">
    <cfRule type="duplicateValues" dxfId="609" priority="643" stopIfTrue="1"/>
  </conditionalFormatting>
  <conditionalFormatting sqref="D19:E19">
    <cfRule type="duplicateValues" dxfId="608" priority="640" stopIfTrue="1"/>
  </conditionalFormatting>
  <conditionalFormatting sqref="D19:E19">
    <cfRule type="duplicateValues" dxfId="607" priority="641" stopIfTrue="1"/>
  </conditionalFormatting>
  <conditionalFormatting sqref="D21:E21">
    <cfRule type="duplicateValues" dxfId="606" priority="637" stopIfTrue="1"/>
  </conditionalFormatting>
  <conditionalFormatting sqref="D21:E21">
    <cfRule type="duplicateValues" dxfId="605" priority="638" stopIfTrue="1"/>
  </conditionalFormatting>
  <conditionalFormatting sqref="D21:E21">
    <cfRule type="duplicateValues" dxfId="604" priority="639" stopIfTrue="1"/>
  </conditionalFormatting>
  <conditionalFormatting sqref="D21">
    <cfRule type="duplicateValues" dxfId="603" priority="634" stopIfTrue="1"/>
  </conditionalFormatting>
  <conditionalFormatting sqref="D21">
    <cfRule type="duplicateValues" dxfId="602" priority="635" stopIfTrue="1"/>
  </conditionalFormatting>
  <conditionalFormatting sqref="D21">
    <cfRule type="duplicateValues" dxfId="601" priority="636" stopIfTrue="1"/>
  </conditionalFormatting>
  <conditionalFormatting sqref="D19">
    <cfRule type="duplicateValues" dxfId="600" priority="632" stopIfTrue="1"/>
  </conditionalFormatting>
  <conditionalFormatting sqref="D19">
    <cfRule type="duplicateValues" dxfId="599" priority="633" stopIfTrue="1"/>
  </conditionalFormatting>
  <conditionalFormatting sqref="D20">
    <cfRule type="duplicateValues" dxfId="598" priority="630" stopIfTrue="1"/>
  </conditionalFormatting>
  <conditionalFormatting sqref="D20">
    <cfRule type="duplicateValues" dxfId="597" priority="631" stopIfTrue="1"/>
  </conditionalFormatting>
  <conditionalFormatting sqref="H21">
    <cfRule type="duplicateValues" dxfId="596" priority="625" stopIfTrue="1"/>
  </conditionalFormatting>
  <conditionalFormatting sqref="H21">
    <cfRule type="duplicateValues" dxfId="595" priority="626" stopIfTrue="1"/>
  </conditionalFormatting>
  <conditionalFormatting sqref="H21">
    <cfRule type="duplicateValues" dxfId="594" priority="627" stopIfTrue="1"/>
  </conditionalFormatting>
  <conditionalFormatting sqref="H21">
    <cfRule type="duplicateValues" dxfId="593" priority="623" stopIfTrue="1"/>
  </conditionalFormatting>
  <conditionalFormatting sqref="H21">
    <cfRule type="duplicateValues" dxfId="592" priority="624" stopIfTrue="1"/>
  </conditionalFormatting>
  <conditionalFormatting sqref="H21">
    <cfRule type="duplicateValues" dxfId="591" priority="621" stopIfTrue="1"/>
  </conditionalFormatting>
  <conditionalFormatting sqref="H21">
    <cfRule type="duplicateValues" dxfId="590" priority="622" stopIfTrue="1"/>
  </conditionalFormatting>
  <conditionalFormatting sqref="H21">
    <cfRule type="duplicateValues" dxfId="589" priority="618" stopIfTrue="1"/>
  </conditionalFormatting>
  <conditionalFormatting sqref="H21">
    <cfRule type="duplicateValues" dxfId="588" priority="619" stopIfTrue="1"/>
  </conditionalFormatting>
  <conditionalFormatting sqref="H21">
    <cfRule type="duplicateValues" dxfId="587" priority="620" stopIfTrue="1"/>
  </conditionalFormatting>
  <conditionalFormatting sqref="H21">
    <cfRule type="duplicateValues" dxfId="586" priority="616" stopIfTrue="1"/>
  </conditionalFormatting>
  <conditionalFormatting sqref="H21">
    <cfRule type="duplicateValues" dxfId="585" priority="617" stopIfTrue="1"/>
  </conditionalFormatting>
  <conditionalFormatting sqref="H21">
    <cfRule type="duplicateValues" dxfId="584" priority="614" stopIfTrue="1"/>
  </conditionalFormatting>
  <conditionalFormatting sqref="H21">
    <cfRule type="duplicateValues" dxfId="583" priority="615" stopIfTrue="1"/>
  </conditionalFormatting>
  <conditionalFormatting sqref="H21">
    <cfRule type="duplicateValues" dxfId="582" priority="611" stopIfTrue="1"/>
  </conditionalFormatting>
  <conditionalFormatting sqref="H21">
    <cfRule type="duplicateValues" dxfId="581" priority="612" stopIfTrue="1"/>
  </conditionalFormatting>
  <conditionalFormatting sqref="H21">
    <cfRule type="duplicateValues" dxfId="580" priority="613" stopIfTrue="1"/>
  </conditionalFormatting>
  <conditionalFormatting sqref="H21">
    <cfRule type="duplicateValues" dxfId="579" priority="628" stopIfTrue="1"/>
  </conditionalFormatting>
  <conditionalFormatting sqref="H21">
    <cfRule type="duplicateValues" dxfId="578" priority="629" stopIfTrue="1"/>
  </conditionalFormatting>
  <conditionalFormatting sqref="I21">
    <cfRule type="duplicateValues" dxfId="577" priority="609" stopIfTrue="1"/>
  </conditionalFormatting>
  <conditionalFormatting sqref="I21">
    <cfRule type="duplicateValues" dxfId="576" priority="610" stopIfTrue="1"/>
  </conditionalFormatting>
  <conditionalFormatting sqref="I21">
    <cfRule type="duplicateValues" dxfId="575" priority="606" stopIfTrue="1"/>
  </conditionalFormatting>
  <conditionalFormatting sqref="I21">
    <cfRule type="duplicateValues" dxfId="574" priority="607" stopIfTrue="1"/>
  </conditionalFormatting>
  <conditionalFormatting sqref="I21">
    <cfRule type="duplicateValues" dxfId="573" priority="608" stopIfTrue="1"/>
  </conditionalFormatting>
  <conditionalFormatting sqref="H20">
    <cfRule type="duplicateValues" dxfId="572" priority="603" stopIfTrue="1"/>
  </conditionalFormatting>
  <conditionalFormatting sqref="H20">
    <cfRule type="duplicateValues" dxfId="571" priority="604" stopIfTrue="1"/>
  </conditionalFormatting>
  <conditionalFormatting sqref="H20">
    <cfRule type="duplicateValues" dxfId="570" priority="605" stopIfTrue="1"/>
  </conditionalFormatting>
  <conditionalFormatting sqref="H20">
    <cfRule type="duplicateValues" dxfId="569" priority="601" stopIfTrue="1"/>
  </conditionalFormatting>
  <conditionalFormatting sqref="H20">
    <cfRule type="duplicateValues" dxfId="568" priority="602" stopIfTrue="1"/>
  </conditionalFormatting>
  <conditionalFormatting sqref="H20">
    <cfRule type="duplicateValues" dxfId="567" priority="599" stopIfTrue="1"/>
  </conditionalFormatting>
  <conditionalFormatting sqref="H20">
    <cfRule type="duplicateValues" dxfId="566" priority="600" stopIfTrue="1"/>
  </conditionalFormatting>
  <conditionalFormatting sqref="H20">
    <cfRule type="duplicateValues" dxfId="565" priority="596" stopIfTrue="1"/>
  </conditionalFormatting>
  <conditionalFormatting sqref="H20">
    <cfRule type="duplicateValues" dxfId="564" priority="597" stopIfTrue="1"/>
  </conditionalFormatting>
  <conditionalFormatting sqref="H20">
    <cfRule type="duplicateValues" dxfId="563" priority="598" stopIfTrue="1"/>
  </conditionalFormatting>
  <conditionalFormatting sqref="H20">
    <cfRule type="duplicateValues" dxfId="562" priority="594" stopIfTrue="1"/>
  </conditionalFormatting>
  <conditionalFormatting sqref="H20">
    <cfRule type="duplicateValues" dxfId="561" priority="595" stopIfTrue="1"/>
  </conditionalFormatting>
  <conditionalFormatting sqref="H20">
    <cfRule type="duplicateValues" dxfId="560" priority="591" stopIfTrue="1"/>
  </conditionalFormatting>
  <conditionalFormatting sqref="H20">
    <cfRule type="duplicateValues" dxfId="559" priority="592" stopIfTrue="1"/>
  </conditionalFormatting>
  <conditionalFormatting sqref="H20">
    <cfRule type="duplicateValues" dxfId="558" priority="593" stopIfTrue="1"/>
  </conditionalFormatting>
  <conditionalFormatting sqref="H20">
    <cfRule type="duplicateValues" dxfId="557" priority="589" stopIfTrue="1"/>
  </conditionalFormatting>
  <conditionalFormatting sqref="H20">
    <cfRule type="duplicateValues" dxfId="556" priority="590" stopIfTrue="1"/>
  </conditionalFormatting>
  <conditionalFormatting sqref="I20">
    <cfRule type="duplicateValues" dxfId="555" priority="586" stopIfTrue="1"/>
  </conditionalFormatting>
  <conditionalFormatting sqref="I20">
    <cfRule type="duplicateValues" dxfId="554" priority="587" stopIfTrue="1"/>
  </conditionalFormatting>
  <conditionalFormatting sqref="I20">
    <cfRule type="duplicateValues" dxfId="553" priority="588" stopIfTrue="1"/>
  </conditionalFormatting>
  <conditionalFormatting sqref="L3">
    <cfRule type="duplicateValues" dxfId="552" priority="585" stopIfTrue="1"/>
  </conditionalFormatting>
  <conditionalFormatting sqref="L3">
    <cfRule type="duplicateValues" dxfId="551" priority="583" stopIfTrue="1"/>
  </conditionalFormatting>
  <conditionalFormatting sqref="L3">
    <cfRule type="duplicateValues" dxfId="550" priority="584" stopIfTrue="1"/>
  </conditionalFormatting>
  <conditionalFormatting sqref="M3">
    <cfRule type="duplicateValues" dxfId="549" priority="581" stopIfTrue="1"/>
  </conditionalFormatting>
  <conditionalFormatting sqref="M3">
    <cfRule type="duplicateValues" dxfId="548" priority="582" stopIfTrue="1"/>
  </conditionalFormatting>
  <conditionalFormatting sqref="M2">
    <cfRule type="duplicateValues" dxfId="547" priority="561" stopIfTrue="1"/>
  </conditionalFormatting>
  <conditionalFormatting sqref="M2">
    <cfRule type="duplicateValues" dxfId="546" priority="562" stopIfTrue="1"/>
  </conditionalFormatting>
  <conditionalFormatting sqref="M2">
    <cfRule type="duplicateValues" dxfId="545" priority="563" stopIfTrue="1"/>
  </conditionalFormatting>
  <conditionalFormatting sqref="L2">
    <cfRule type="duplicateValues" dxfId="544" priority="560" stopIfTrue="1"/>
  </conditionalFormatting>
  <conditionalFormatting sqref="L2">
    <cfRule type="duplicateValues" dxfId="543" priority="558" stopIfTrue="1"/>
  </conditionalFormatting>
  <conditionalFormatting sqref="L2">
    <cfRule type="duplicateValues" dxfId="542" priority="559" stopIfTrue="1"/>
  </conditionalFormatting>
  <conditionalFormatting sqref="L13">
    <cfRule type="duplicateValues" dxfId="541" priority="556" stopIfTrue="1"/>
  </conditionalFormatting>
  <conditionalFormatting sqref="L13">
    <cfRule type="duplicateValues" dxfId="540" priority="557" stopIfTrue="1"/>
  </conditionalFormatting>
  <conditionalFormatting sqref="M14">
    <cfRule type="duplicateValues" dxfId="539" priority="555" stopIfTrue="1"/>
  </conditionalFormatting>
  <conditionalFormatting sqref="M16">
    <cfRule type="duplicateValues" dxfId="538" priority="553" stopIfTrue="1"/>
  </conditionalFormatting>
  <conditionalFormatting sqref="M16">
    <cfRule type="duplicateValues" dxfId="537" priority="554" stopIfTrue="1"/>
  </conditionalFormatting>
  <conditionalFormatting sqref="M14">
    <cfRule type="duplicateValues" dxfId="536" priority="552" stopIfTrue="1"/>
  </conditionalFormatting>
  <conditionalFormatting sqref="M15">
    <cfRule type="duplicateValues" dxfId="535" priority="551" stopIfTrue="1"/>
  </conditionalFormatting>
  <conditionalFormatting sqref="M15">
    <cfRule type="duplicateValues" dxfId="534" priority="550" stopIfTrue="1"/>
  </conditionalFormatting>
  <conditionalFormatting sqref="M15">
    <cfRule type="duplicateValues" dxfId="533" priority="549" stopIfTrue="1"/>
  </conditionalFormatting>
  <conditionalFormatting sqref="M16">
    <cfRule type="duplicateValues" dxfId="532" priority="548" stopIfTrue="1"/>
  </conditionalFormatting>
  <conditionalFormatting sqref="M14">
    <cfRule type="duplicateValues" dxfId="531" priority="547" stopIfTrue="1"/>
  </conditionalFormatting>
  <conditionalFormatting sqref="M14">
    <cfRule type="duplicateValues" dxfId="530" priority="546" stopIfTrue="1"/>
  </conditionalFormatting>
  <conditionalFormatting sqref="M14">
    <cfRule type="duplicateValues" dxfId="529" priority="545" stopIfTrue="1"/>
  </conditionalFormatting>
  <conditionalFormatting sqref="M16">
    <cfRule type="duplicateValues" dxfId="528" priority="543" stopIfTrue="1"/>
  </conditionalFormatting>
  <conditionalFormatting sqref="M16">
    <cfRule type="duplicateValues" dxfId="527" priority="544" stopIfTrue="1"/>
  </conditionalFormatting>
  <conditionalFormatting sqref="M15">
    <cfRule type="duplicateValues" dxfId="526" priority="541" stopIfTrue="1"/>
  </conditionalFormatting>
  <conditionalFormatting sqref="M15">
    <cfRule type="duplicateValues" dxfId="525" priority="542" stopIfTrue="1"/>
  </conditionalFormatting>
  <conditionalFormatting sqref="M14">
    <cfRule type="duplicateValues" dxfId="524" priority="540" stopIfTrue="1"/>
  </conditionalFormatting>
  <conditionalFormatting sqref="M14">
    <cfRule type="duplicateValues" dxfId="523" priority="539" stopIfTrue="1"/>
  </conditionalFormatting>
  <conditionalFormatting sqref="M16">
    <cfRule type="duplicateValues" dxfId="522" priority="537" stopIfTrue="1"/>
  </conditionalFormatting>
  <conditionalFormatting sqref="M16">
    <cfRule type="duplicateValues" dxfId="521" priority="538" stopIfTrue="1"/>
  </conditionalFormatting>
  <conditionalFormatting sqref="M14">
    <cfRule type="duplicateValues" dxfId="520" priority="536" stopIfTrue="1"/>
  </conditionalFormatting>
  <conditionalFormatting sqref="M15">
    <cfRule type="duplicateValues" dxfId="519" priority="535" stopIfTrue="1"/>
  </conditionalFormatting>
  <conditionalFormatting sqref="M15">
    <cfRule type="duplicateValues" dxfId="518" priority="534" stopIfTrue="1"/>
  </conditionalFormatting>
  <conditionalFormatting sqref="M14">
    <cfRule type="duplicateValues" dxfId="517" priority="530" stopIfTrue="1"/>
  </conditionalFormatting>
  <conditionalFormatting sqref="M14">
    <cfRule type="duplicateValues" dxfId="516" priority="529" stopIfTrue="1"/>
  </conditionalFormatting>
  <conditionalFormatting sqref="M15">
    <cfRule type="duplicateValues" dxfId="515" priority="533" stopIfTrue="1"/>
  </conditionalFormatting>
  <conditionalFormatting sqref="M16">
    <cfRule type="duplicateValues" dxfId="514" priority="532" stopIfTrue="1"/>
  </conditionalFormatting>
  <conditionalFormatting sqref="M14">
    <cfRule type="duplicateValues" dxfId="513" priority="531" stopIfTrue="1"/>
  </conditionalFormatting>
  <conditionalFormatting sqref="M16">
    <cfRule type="duplicateValues" dxfId="512" priority="528" stopIfTrue="1"/>
  </conditionalFormatting>
  <conditionalFormatting sqref="M16">
    <cfRule type="duplicateValues" dxfId="511" priority="527" stopIfTrue="1"/>
  </conditionalFormatting>
  <conditionalFormatting sqref="M15">
    <cfRule type="duplicateValues" dxfId="510" priority="526" stopIfTrue="1"/>
  </conditionalFormatting>
  <conditionalFormatting sqref="M15">
    <cfRule type="duplicateValues" dxfId="509" priority="525" stopIfTrue="1"/>
  </conditionalFormatting>
  <conditionalFormatting sqref="M15">
    <cfRule type="duplicateValues" dxfId="508" priority="524" stopIfTrue="1"/>
  </conditionalFormatting>
  <conditionalFormatting sqref="M14">
    <cfRule type="duplicateValues" dxfId="507" priority="523" stopIfTrue="1"/>
  </conditionalFormatting>
  <conditionalFormatting sqref="M16">
    <cfRule type="duplicateValues" dxfId="506" priority="521" stopIfTrue="1"/>
  </conditionalFormatting>
  <conditionalFormatting sqref="M16">
    <cfRule type="duplicateValues" dxfId="505" priority="522" stopIfTrue="1"/>
  </conditionalFormatting>
  <conditionalFormatting sqref="M14">
    <cfRule type="duplicateValues" dxfId="504" priority="520" stopIfTrue="1"/>
  </conditionalFormatting>
  <conditionalFormatting sqref="M15">
    <cfRule type="duplicateValues" dxfId="503" priority="519" stopIfTrue="1"/>
  </conditionalFormatting>
  <conditionalFormatting sqref="M15">
    <cfRule type="duplicateValues" dxfId="502" priority="518" stopIfTrue="1"/>
  </conditionalFormatting>
  <conditionalFormatting sqref="M15">
    <cfRule type="duplicateValues" dxfId="501" priority="517" stopIfTrue="1"/>
  </conditionalFormatting>
  <conditionalFormatting sqref="M16">
    <cfRule type="duplicateValues" dxfId="500" priority="516" stopIfTrue="1"/>
  </conditionalFormatting>
  <conditionalFormatting sqref="M14">
    <cfRule type="duplicateValues" dxfId="499" priority="515" stopIfTrue="1"/>
  </conditionalFormatting>
  <conditionalFormatting sqref="M14">
    <cfRule type="duplicateValues" dxfId="498" priority="514" stopIfTrue="1"/>
  </conditionalFormatting>
  <conditionalFormatting sqref="M14">
    <cfRule type="duplicateValues" dxfId="497" priority="513" stopIfTrue="1"/>
  </conditionalFormatting>
  <conditionalFormatting sqref="M13">
    <cfRule type="duplicateValues" dxfId="496" priority="511" stopIfTrue="1"/>
  </conditionalFormatting>
  <conditionalFormatting sqref="M13">
    <cfRule type="duplicateValues" dxfId="495" priority="512" stopIfTrue="1"/>
  </conditionalFormatting>
  <conditionalFormatting sqref="M13">
    <cfRule type="duplicateValues" dxfId="494" priority="509" stopIfTrue="1"/>
  </conditionalFormatting>
  <conditionalFormatting sqref="M13">
    <cfRule type="duplicateValues" dxfId="493" priority="510" stopIfTrue="1"/>
  </conditionalFormatting>
  <conditionalFormatting sqref="L19">
    <cfRule type="duplicateValues" dxfId="492" priority="507" stopIfTrue="1"/>
  </conditionalFormatting>
  <conditionalFormatting sqref="L19">
    <cfRule type="duplicateValues" dxfId="491" priority="508" stopIfTrue="1"/>
  </conditionalFormatting>
  <conditionalFormatting sqref="L19">
    <cfRule type="duplicateValues" dxfId="490" priority="505" stopIfTrue="1"/>
  </conditionalFormatting>
  <conditionalFormatting sqref="L19">
    <cfRule type="duplicateValues" dxfId="489" priority="506" stopIfTrue="1"/>
  </conditionalFormatting>
  <conditionalFormatting sqref="L20">
    <cfRule type="duplicateValues" dxfId="488" priority="503" stopIfTrue="1"/>
  </conditionalFormatting>
  <conditionalFormatting sqref="L20">
    <cfRule type="duplicateValues" dxfId="487" priority="504" stopIfTrue="1"/>
  </conditionalFormatting>
  <conditionalFormatting sqref="L20">
    <cfRule type="duplicateValues" dxfId="486" priority="501" stopIfTrue="1"/>
  </conditionalFormatting>
  <conditionalFormatting sqref="L20">
    <cfRule type="duplicateValues" dxfId="485" priority="502" stopIfTrue="1"/>
  </conditionalFormatting>
  <conditionalFormatting sqref="M19">
    <cfRule type="duplicateValues" dxfId="484" priority="499" stopIfTrue="1"/>
  </conditionalFormatting>
  <conditionalFormatting sqref="M19">
    <cfRule type="duplicateValues" dxfId="483" priority="500" stopIfTrue="1"/>
  </conditionalFormatting>
  <conditionalFormatting sqref="M20">
    <cfRule type="duplicateValues" dxfId="482" priority="497" stopIfTrue="1"/>
  </conditionalFormatting>
  <conditionalFormatting sqref="M20">
    <cfRule type="duplicateValues" dxfId="481" priority="498" stopIfTrue="1"/>
  </conditionalFormatting>
  <conditionalFormatting sqref="L13">
    <cfRule type="duplicateValues" dxfId="480" priority="495" stopIfTrue="1"/>
  </conditionalFormatting>
  <conditionalFormatting sqref="L13">
    <cfRule type="duplicateValues" dxfId="479" priority="496" stopIfTrue="1"/>
  </conditionalFormatting>
  <conditionalFormatting sqref="M14">
    <cfRule type="duplicateValues" dxfId="478" priority="494" stopIfTrue="1"/>
  </conditionalFormatting>
  <conditionalFormatting sqref="M14">
    <cfRule type="duplicateValues" dxfId="477" priority="493" stopIfTrue="1"/>
  </conditionalFormatting>
  <conditionalFormatting sqref="M14">
    <cfRule type="duplicateValues" dxfId="476" priority="492" stopIfTrue="1"/>
  </conditionalFormatting>
  <conditionalFormatting sqref="M14">
    <cfRule type="duplicateValues" dxfId="475" priority="491" stopIfTrue="1"/>
  </conditionalFormatting>
  <conditionalFormatting sqref="M14">
    <cfRule type="duplicateValues" dxfId="474" priority="490" stopIfTrue="1"/>
  </conditionalFormatting>
  <conditionalFormatting sqref="M14">
    <cfRule type="duplicateValues" dxfId="473" priority="489" stopIfTrue="1"/>
  </conditionalFormatting>
  <conditionalFormatting sqref="M14">
    <cfRule type="duplicateValues" dxfId="472" priority="488" stopIfTrue="1"/>
  </conditionalFormatting>
  <conditionalFormatting sqref="M14">
    <cfRule type="duplicateValues" dxfId="471" priority="487" stopIfTrue="1"/>
  </conditionalFormatting>
  <conditionalFormatting sqref="M14">
    <cfRule type="duplicateValues" dxfId="470" priority="485" stopIfTrue="1"/>
  </conditionalFormatting>
  <conditionalFormatting sqref="M14">
    <cfRule type="duplicateValues" dxfId="469" priority="484" stopIfTrue="1"/>
  </conditionalFormatting>
  <conditionalFormatting sqref="M14">
    <cfRule type="duplicateValues" dxfId="468" priority="486" stopIfTrue="1"/>
  </conditionalFormatting>
  <conditionalFormatting sqref="M14">
    <cfRule type="duplicateValues" dxfId="467" priority="483" stopIfTrue="1"/>
  </conditionalFormatting>
  <conditionalFormatting sqref="M14">
    <cfRule type="duplicateValues" dxfId="466" priority="482" stopIfTrue="1"/>
  </conditionalFormatting>
  <conditionalFormatting sqref="M14">
    <cfRule type="duplicateValues" dxfId="465" priority="481" stopIfTrue="1"/>
  </conditionalFormatting>
  <conditionalFormatting sqref="M14">
    <cfRule type="duplicateValues" dxfId="464" priority="480" stopIfTrue="1"/>
  </conditionalFormatting>
  <conditionalFormatting sqref="M14">
    <cfRule type="duplicateValues" dxfId="463" priority="479" stopIfTrue="1"/>
  </conditionalFormatting>
  <conditionalFormatting sqref="M13">
    <cfRule type="duplicateValues" dxfId="462" priority="477" stopIfTrue="1"/>
  </conditionalFormatting>
  <conditionalFormatting sqref="M13">
    <cfRule type="duplicateValues" dxfId="461" priority="478" stopIfTrue="1"/>
  </conditionalFormatting>
  <conditionalFormatting sqref="M13">
    <cfRule type="duplicateValues" dxfId="460" priority="475" stopIfTrue="1"/>
  </conditionalFormatting>
  <conditionalFormatting sqref="M13">
    <cfRule type="duplicateValues" dxfId="459" priority="476" stopIfTrue="1"/>
  </conditionalFormatting>
  <conditionalFormatting sqref="L14">
    <cfRule type="duplicateValues" dxfId="458" priority="473" stopIfTrue="1"/>
  </conditionalFormatting>
  <conditionalFormatting sqref="L14">
    <cfRule type="duplicateValues" dxfId="457" priority="474" stopIfTrue="1"/>
  </conditionalFormatting>
  <conditionalFormatting sqref="M14">
    <cfRule type="duplicateValues" dxfId="456" priority="471" stopIfTrue="1"/>
  </conditionalFormatting>
  <conditionalFormatting sqref="M14">
    <cfRule type="duplicateValues" dxfId="455" priority="472" stopIfTrue="1"/>
  </conditionalFormatting>
  <conditionalFormatting sqref="M14">
    <cfRule type="duplicateValues" dxfId="454" priority="469" stopIfTrue="1"/>
  </conditionalFormatting>
  <conditionalFormatting sqref="M14">
    <cfRule type="duplicateValues" dxfId="453" priority="470" stopIfTrue="1"/>
  </conditionalFormatting>
  <conditionalFormatting sqref="M20">
    <cfRule type="duplicateValues" dxfId="452" priority="467" stopIfTrue="1"/>
  </conditionalFormatting>
  <conditionalFormatting sqref="M20">
    <cfRule type="duplicateValues" dxfId="451" priority="468" stopIfTrue="1"/>
  </conditionalFormatting>
  <conditionalFormatting sqref="M20">
    <cfRule type="duplicateValues" dxfId="450" priority="463" stopIfTrue="1"/>
  </conditionalFormatting>
  <conditionalFormatting sqref="M20">
    <cfRule type="duplicateValues" dxfId="449" priority="464" stopIfTrue="1"/>
  </conditionalFormatting>
  <conditionalFormatting sqref="M21">
    <cfRule type="duplicateValues" dxfId="448" priority="461" stopIfTrue="1"/>
  </conditionalFormatting>
  <conditionalFormatting sqref="M21">
    <cfRule type="duplicateValues" dxfId="447" priority="462" stopIfTrue="1"/>
  </conditionalFormatting>
  <conditionalFormatting sqref="M21">
    <cfRule type="duplicateValues" dxfId="446" priority="459" stopIfTrue="1"/>
  </conditionalFormatting>
  <conditionalFormatting sqref="M21">
    <cfRule type="duplicateValues" dxfId="445" priority="460" stopIfTrue="1"/>
  </conditionalFormatting>
  <conditionalFormatting sqref="L18">
    <cfRule type="duplicateValues" dxfId="444" priority="457" stopIfTrue="1"/>
  </conditionalFormatting>
  <conditionalFormatting sqref="L18">
    <cfRule type="duplicateValues" dxfId="443" priority="458" stopIfTrue="1"/>
  </conditionalFormatting>
  <conditionalFormatting sqref="L18">
    <cfRule type="duplicateValues" dxfId="442" priority="455" stopIfTrue="1"/>
  </conditionalFormatting>
  <conditionalFormatting sqref="L18">
    <cfRule type="duplicateValues" dxfId="441" priority="456" stopIfTrue="1"/>
  </conditionalFormatting>
  <conditionalFormatting sqref="L19">
    <cfRule type="duplicateValues" dxfId="440" priority="453" stopIfTrue="1"/>
  </conditionalFormatting>
  <conditionalFormatting sqref="L19">
    <cfRule type="duplicateValues" dxfId="439" priority="454" stopIfTrue="1"/>
  </conditionalFormatting>
  <conditionalFormatting sqref="L19">
    <cfRule type="duplicateValues" dxfId="438" priority="451" stopIfTrue="1"/>
  </conditionalFormatting>
  <conditionalFormatting sqref="L19">
    <cfRule type="duplicateValues" dxfId="437" priority="452" stopIfTrue="1"/>
  </conditionalFormatting>
  <conditionalFormatting sqref="M18">
    <cfRule type="duplicateValues" dxfId="436" priority="449" stopIfTrue="1"/>
  </conditionalFormatting>
  <conditionalFormatting sqref="M18">
    <cfRule type="duplicateValues" dxfId="435" priority="450" stopIfTrue="1"/>
  </conditionalFormatting>
  <conditionalFormatting sqref="M19">
    <cfRule type="duplicateValues" dxfId="434" priority="447" stopIfTrue="1"/>
  </conditionalFormatting>
  <conditionalFormatting sqref="M19">
    <cfRule type="duplicateValues" dxfId="433" priority="448" stopIfTrue="1"/>
  </conditionalFormatting>
  <conditionalFormatting sqref="L22">
    <cfRule type="duplicateValues" dxfId="432" priority="441" stopIfTrue="1"/>
  </conditionalFormatting>
  <conditionalFormatting sqref="L22">
    <cfRule type="duplicateValues" dxfId="431" priority="442" stopIfTrue="1"/>
  </conditionalFormatting>
  <conditionalFormatting sqref="L22">
    <cfRule type="duplicateValues" dxfId="430" priority="439" stopIfTrue="1"/>
  </conditionalFormatting>
  <conditionalFormatting sqref="L22">
    <cfRule type="duplicateValues" dxfId="429" priority="440" stopIfTrue="1"/>
  </conditionalFormatting>
  <conditionalFormatting sqref="L7">
    <cfRule type="duplicateValues" dxfId="428" priority="437" stopIfTrue="1"/>
  </conditionalFormatting>
  <conditionalFormatting sqref="L7">
    <cfRule type="duplicateValues" dxfId="427" priority="438" stopIfTrue="1"/>
  </conditionalFormatting>
  <conditionalFormatting sqref="L8">
    <cfRule type="duplicateValues" dxfId="426" priority="436" stopIfTrue="1"/>
  </conditionalFormatting>
  <conditionalFormatting sqref="L9">
    <cfRule type="duplicateValues" dxfId="425" priority="435" stopIfTrue="1"/>
  </conditionalFormatting>
  <conditionalFormatting sqref="M8">
    <cfRule type="duplicateValues" dxfId="424" priority="434" stopIfTrue="1"/>
  </conditionalFormatting>
  <conditionalFormatting sqref="M8">
    <cfRule type="duplicateValues" dxfId="423" priority="433" stopIfTrue="1"/>
  </conditionalFormatting>
  <conditionalFormatting sqref="M9">
    <cfRule type="duplicateValues" dxfId="422" priority="431" stopIfTrue="1"/>
  </conditionalFormatting>
  <conditionalFormatting sqref="M9">
    <cfRule type="duplicateValues" dxfId="421" priority="432" stopIfTrue="1"/>
  </conditionalFormatting>
  <conditionalFormatting sqref="M7">
    <cfRule type="duplicateValues" dxfId="420" priority="429" stopIfTrue="1"/>
  </conditionalFormatting>
  <conditionalFormatting sqref="M7">
    <cfRule type="duplicateValues" dxfId="419" priority="430" stopIfTrue="1"/>
  </conditionalFormatting>
  <conditionalFormatting sqref="M10">
    <cfRule type="duplicateValues" dxfId="418" priority="427" stopIfTrue="1"/>
  </conditionalFormatting>
  <conditionalFormatting sqref="M10">
    <cfRule type="duplicateValues" dxfId="417" priority="428" stopIfTrue="1"/>
  </conditionalFormatting>
  <conditionalFormatting sqref="M10">
    <cfRule type="duplicateValues" dxfId="416" priority="425" stopIfTrue="1"/>
  </conditionalFormatting>
  <conditionalFormatting sqref="M10">
    <cfRule type="duplicateValues" dxfId="415" priority="426" stopIfTrue="1"/>
  </conditionalFormatting>
  <conditionalFormatting sqref="M12">
    <cfRule type="duplicateValues" dxfId="414" priority="424" stopIfTrue="1"/>
  </conditionalFormatting>
  <conditionalFormatting sqref="M14">
    <cfRule type="duplicateValues" dxfId="413" priority="422" stopIfTrue="1"/>
  </conditionalFormatting>
  <conditionalFormatting sqref="M14">
    <cfRule type="duplicateValues" dxfId="412" priority="423" stopIfTrue="1"/>
  </conditionalFormatting>
  <conditionalFormatting sqref="M12">
    <cfRule type="duplicateValues" dxfId="411" priority="421" stopIfTrue="1"/>
  </conditionalFormatting>
  <conditionalFormatting sqref="M13">
    <cfRule type="duplicateValues" dxfId="410" priority="420" stopIfTrue="1"/>
  </conditionalFormatting>
  <conditionalFormatting sqref="M13">
    <cfRule type="duplicateValues" dxfId="409" priority="419" stopIfTrue="1"/>
  </conditionalFormatting>
  <conditionalFormatting sqref="M13">
    <cfRule type="duplicateValues" dxfId="408" priority="418" stopIfTrue="1"/>
  </conditionalFormatting>
  <conditionalFormatting sqref="M14">
    <cfRule type="duplicateValues" dxfId="407" priority="417" stopIfTrue="1"/>
  </conditionalFormatting>
  <conditionalFormatting sqref="M12">
    <cfRule type="duplicateValues" dxfId="406" priority="416" stopIfTrue="1"/>
  </conditionalFormatting>
  <conditionalFormatting sqref="M12">
    <cfRule type="duplicateValues" dxfId="405" priority="415" stopIfTrue="1"/>
  </conditionalFormatting>
  <conditionalFormatting sqref="M12">
    <cfRule type="duplicateValues" dxfId="404" priority="414" stopIfTrue="1"/>
  </conditionalFormatting>
  <conditionalFormatting sqref="M14">
    <cfRule type="duplicateValues" dxfId="403" priority="412" stopIfTrue="1"/>
  </conditionalFormatting>
  <conditionalFormatting sqref="M14">
    <cfRule type="duplicateValues" dxfId="402" priority="413" stopIfTrue="1"/>
  </conditionalFormatting>
  <conditionalFormatting sqref="M13">
    <cfRule type="duplicateValues" dxfId="401" priority="410" stopIfTrue="1"/>
  </conditionalFormatting>
  <conditionalFormatting sqref="M13">
    <cfRule type="duplicateValues" dxfId="400" priority="411" stopIfTrue="1"/>
  </conditionalFormatting>
  <conditionalFormatting sqref="M12">
    <cfRule type="duplicateValues" dxfId="399" priority="409" stopIfTrue="1"/>
  </conditionalFormatting>
  <conditionalFormatting sqref="M12">
    <cfRule type="duplicateValues" dxfId="398" priority="408" stopIfTrue="1"/>
  </conditionalFormatting>
  <conditionalFormatting sqref="M14">
    <cfRule type="duplicateValues" dxfId="397" priority="406" stopIfTrue="1"/>
  </conditionalFormatting>
  <conditionalFormatting sqref="M14">
    <cfRule type="duplicateValues" dxfId="396" priority="407" stopIfTrue="1"/>
  </conditionalFormatting>
  <conditionalFormatting sqref="M12">
    <cfRule type="duplicateValues" dxfId="395" priority="405" stopIfTrue="1"/>
  </conditionalFormatting>
  <conditionalFormatting sqref="M13">
    <cfRule type="duplicateValues" dxfId="394" priority="404" stopIfTrue="1"/>
  </conditionalFormatting>
  <conditionalFormatting sqref="M13">
    <cfRule type="duplicateValues" dxfId="393" priority="403" stopIfTrue="1"/>
  </conditionalFormatting>
  <conditionalFormatting sqref="M12">
    <cfRule type="duplicateValues" dxfId="392" priority="399" stopIfTrue="1"/>
  </conditionalFormatting>
  <conditionalFormatting sqref="M12">
    <cfRule type="duplicateValues" dxfId="391" priority="398" stopIfTrue="1"/>
  </conditionalFormatting>
  <conditionalFormatting sqref="M13">
    <cfRule type="duplicateValues" dxfId="390" priority="402" stopIfTrue="1"/>
  </conditionalFormatting>
  <conditionalFormatting sqref="M14">
    <cfRule type="duplicateValues" dxfId="389" priority="401" stopIfTrue="1"/>
  </conditionalFormatting>
  <conditionalFormatting sqref="M12">
    <cfRule type="duplicateValues" dxfId="388" priority="400" stopIfTrue="1"/>
  </conditionalFormatting>
  <conditionalFormatting sqref="M14">
    <cfRule type="duplicateValues" dxfId="387" priority="397" stopIfTrue="1"/>
  </conditionalFormatting>
  <conditionalFormatting sqref="M14">
    <cfRule type="duplicateValues" dxfId="386" priority="396" stopIfTrue="1"/>
  </conditionalFormatting>
  <conditionalFormatting sqref="M13">
    <cfRule type="duplicateValues" dxfId="385" priority="395" stopIfTrue="1"/>
  </conditionalFormatting>
  <conditionalFormatting sqref="M13">
    <cfRule type="duplicateValues" dxfId="384" priority="394" stopIfTrue="1"/>
  </conditionalFormatting>
  <conditionalFormatting sqref="M13">
    <cfRule type="duplicateValues" dxfId="383" priority="393" stopIfTrue="1"/>
  </conditionalFormatting>
  <conditionalFormatting sqref="M12">
    <cfRule type="duplicateValues" dxfId="382" priority="392" stopIfTrue="1"/>
  </conditionalFormatting>
  <conditionalFormatting sqref="M14">
    <cfRule type="duplicateValues" dxfId="381" priority="390" stopIfTrue="1"/>
  </conditionalFormatting>
  <conditionalFormatting sqref="M14">
    <cfRule type="duplicateValues" dxfId="380" priority="391" stopIfTrue="1"/>
  </conditionalFormatting>
  <conditionalFormatting sqref="M12">
    <cfRule type="duplicateValues" dxfId="379" priority="389" stopIfTrue="1"/>
  </conditionalFormatting>
  <conditionalFormatting sqref="M13">
    <cfRule type="duplicateValues" dxfId="378" priority="388" stopIfTrue="1"/>
  </conditionalFormatting>
  <conditionalFormatting sqref="M13">
    <cfRule type="duplicateValues" dxfId="377" priority="387" stopIfTrue="1"/>
  </conditionalFormatting>
  <conditionalFormatting sqref="M13">
    <cfRule type="duplicateValues" dxfId="376" priority="386" stopIfTrue="1"/>
  </conditionalFormatting>
  <conditionalFormatting sqref="M14">
    <cfRule type="duplicateValues" dxfId="375" priority="385" stopIfTrue="1"/>
  </conditionalFormatting>
  <conditionalFormatting sqref="M12">
    <cfRule type="duplicateValues" dxfId="374" priority="384" stopIfTrue="1"/>
  </conditionalFormatting>
  <conditionalFormatting sqref="M12">
    <cfRule type="duplicateValues" dxfId="373" priority="383" stopIfTrue="1"/>
  </conditionalFormatting>
  <conditionalFormatting sqref="M12">
    <cfRule type="duplicateValues" dxfId="372" priority="382" stopIfTrue="1"/>
  </conditionalFormatting>
  <conditionalFormatting sqref="L12">
    <cfRule type="duplicateValues" dxfId="371" priority="380" stopIfTrue="1"/>
  </conditionalFormatting>
  <conditionalFormatting sqref="L12">
    <cfRule type="duplicateValues" dxfId="370" priority="381" stopIfTrue="1"/>
  </conditionalFormatting>
  <conditionalFormatting sqref="M13">
    <cfRule type="duplicateValues" dxfId="369" priority="379" stopIfTrue="1"/>
  </conditionalFormatting>
  <conditionalFormatting sqref="M13">
    <cfRule type="duplicateValues" dxfId="368" priority="378" stopIfTrue="1"/>
  </conditionalFormatting>
  <conditionalFormatting sqref="M14">
    <cfRule type="duplicateValues" dxfId="367" priority="377" stopIfTrue="1"/>
  </conditionalFormatting>
  <conditionalFormatting sqref="M14">
    <cfRule type="duplicateValues" dxfId="366" priority="376" stopIfTrue="1"/>
  </conditionalFormatting>
  <conditionalFormatting sqref="M14">
    <cfRule type="duplicateValues" dxfId="365" priority="375" stopIfTrue="1"/>
  </conditionalFormatting>
  <conditionalFormatting sqref="M13">
    <cfRule type="duplicateValues" dxfId="364" priority="374" stopIfTrue="1"/>
  </conditionalFormatting>
  <conditionalFormatting sqref="M13">
    <cfRule type="duplicateValues" dxfId="363" priority="373" stopIfTrue="1"/>
  </conditionalFormatting>
  <conditionalFormatting sqref="M13">
    <cfRule type="duplicateValues" dxfId="362" priority="372" stopIfTrue="1"/>
  </conditionalFormatting>
  <conditionalFormatting sqref="M14">
    <cfRule type="duplicateValues" dxfId="361" priority="370" stopIfTrue="1"/>
  </conditionalFormatting>
  <conditionalFormatting sqref="M14">
    <cfRule type="duplicateValues" dxfId="360" priority="371" stopIfTrue="1"/>
  </conditionalFormatting>
  <conditionalFormatting sqref="M13">
    <cfRule type="duplicateValues" dxfId="359" priority="369" stopIfTrue="1"/>
  </conditionalFormatting>
  <conditionalFormatting sqref="M13">
    <cfRule type="duplicateValues" dxfId="358" priority="368" stopIfTrue="1"/>
  </conditionalFormatting>
  <conditionalFormatting sqref="M13">
    <cfRule type="duplicateValues" dxfId="357" priority="367" stopIfTrue="1"/>
  </conditionalFormatting>
  <conditionalFormatting sqref="M14">
    <cfRule type="duplicateValues" dxfId="356" priority="366" stopIfTrue="1"/>
  </conditionalFormatting>
  <conditionalFormatting sqref="M14">
    <cfRule type="duplicateValues" dxfId="355" priority="365" stopIfTrue="1"/>
  </conditionalFormatting>
  <conditionalFormatting sqref="M13">
    <cfRule type="duplicateValues" dxfId="354" priority="362" stopIfTrue="1"/>
  </conditionalFormatting>
  <conditionalFormatting sqref="M13">
    <cfRule type="duplicateValues" dxfId="353" priority="361" stopIfTrue="1"/>
  </conditionalFormatting>
  <conditionalFormatting sqref="M14">
    <cfRule type="duplicateValues" dxfId="352" priority="364" stopIfTrue="1"/>
  </conditionalFormatting>
  <conditionalFormatting sqref="M13">
    <cfRule type="duplicateValues" dxfId="351" priority="363" stopIfTrue="1"/>
  </conditionalFormatting>
  <conditionalFormatting sqref="M14">
    <cfRule type="duplicateValues" dxfId="350" priority="360" stopIfTrue="1"/>
  </conditionalFormatting>
  <conditionalFormatting sqref="M14">
    <cfRule type="duplicateValues" dxfId="349" priority="359" stopIfTrue="1"/>
  </conditionalFormatting>
  <conditionalFormatting sqref="M14">
    <cfRule type="duplicateValues" dxfId="348" priority="358" stopIfTrue="1"/>
  </conditionalFormatting>
  <conditionalFormatting sqref="M13">
    <cfRule type="duplicateValues" dxfId="347" priority="357" stopIfTrue="1"/>
  </conditionalFormatting>
  <conditionalFormatting sqref="M13">
    <cfRule type="duplicateValues" dxfId="346" priority="356" stopIfTrue="1"/>
  </conditionalFormatting>
  <conditionalFormatting sqref="M14">
    <cfRule type="duplicateValues" dxfId="345" priority="355" stopIfTrue="1"/>
  </conditionalFormatting>
  <conditionalFormatting sqref="M14">
    <cfRule type="duplicateValues" dxfId="344" priority="354" stopIfTrue="1"/>
  </conditionalFormatting>
  <conditionalFormatting sqref="M14">
    <cfRule type="duplicateValues" dxfId="343" priority="353" stopIfTrue="1"/>
  </conditionalFormatting>
  <conditionalFormatting sqref="M13">
    <cfRule type="duplicateValues" dxfId="342" priority="352" stopIfTrue="1"/>
  </conditionalFormatting>
  <conditionalFormatting sqref="M13">
    <cfRule type="duplicateValues" dxfId="341" priority="351" stopIfTrue="1"/>
  </conditionalFormatting>
  <conditionalFormatting sqref="M13">
    <cfRule type="duplicateValues" dxfId="340" priority="350" stopIfTrue="1"/>
  </conditionalFormatting>
  <conditionalFormatting sqref="M12">
    <cfRule type="duplicateValues" dxfId="339" priority="348" stopIfTrue="1"/>
  </conditionalFormatting>
  <conditionalFormatting sqref="M12">
    <cfRule type="duplicateValues" dxfId="338" priority="349" stopIfTrue="1"/>
  </conditionalFormatting>
  <conditionalFormatting sqref="M12">
    <cfRule type="duplicateValues" dxfId="337" priority="346" stopIfTrue="1"/>
  </conditionalFormatting>
  <conditionalFormatting sqref="M12">
    <cfRule type="duplicateValues" dxfId="336" priority="347" stopIfTrue="1"/>
  </conditionalFormatting>
  <conditionalFormatting sqref="L12">
    <cfRule type="duplicateValues" dxfId="335" priority="344" stopIfTrue="1"/>
  </conditionalFormatting>
  <conditionalFormatting sqref="L12">
    <cfRule type="duplicateValues" dxfId="334" priority="345" stopIfTrue="1"/>
  </conditionalFormatting>
  <conditionalFormatting sqref="M13">
    <cfRule type="duplicateValues" dxfId="333" priority="343" stopIfTrue="1"/>
  </conditionalFormatting>
  <conditionalFormatting sqref="M13">
    <cfRule type="duplicateValues" dxfId="332" priority="342" stopIfTrue="1"/>
  </conditionalFormatting>
  <conditionalFormatting sqref="M13">
    <cfRule type="duplicateValues" dxfId="331" priority="341" stopIfTrue="1"/>
  </conditionalFormatting>
  <conditionalFormatting sqref="M13">
    <cfRule type="duplicateValues" dxfId="330" priority="340" stopIfTrue="1"/>
  </conditionalFormatting>
  <conditionalFormatting sqref="M13">
    <cfRule type="duplicateValues" dxfId="329" priority="339" stopIfTrue="1"/>
  </conditionalFormatting>
  <conditionalFormatting sqref="M13">
    <cfRule type="duplicateValues" dxfId="328" priority="338" stopIfTrue="1"/>
  </conditionalFormatting>
  <conditionalFormatting sqref="M13">
    <cfRule type="duplicateValues" dxfId="327" priority="337" stopIfTrue="1"/>
  </conditionalFormatting>
  <conditionalFormatting sqref="M13">
    <cfRule type="duplicateValues" dxfId="326" priority="336" stopIfTrue="1"/>
  </conditionalFormatting>
  <conditionalFormatting sqref="M13">
    <cfRule type="duplicateValues" dxfId="325" priority="334" stopIfTrue="1"/>
  </conditionalFormatting>
  <conditionalFormatting sqref="M13">
    <cfRule type="duplicateValues" dxfId="324" priority="333" stopIfTrue="1"/>
  </conditionalFormatting>
  <conditionalFormatting sqref="M13">
    <cfRule type="duplicateValues" dxfId="323" priority="335" stopIfTrue="1"/>
  </conditionalFormatting>
  <conditionalFormatting sqref="M13">
    <cfRule type="duplicateValues" dxfId="322" priority="332" stopIfTrue="1"/>
  </conditionalFormatting>
  <conditionalFormatting sqref="M13">
    <cfRule type="duplicateValues" dxfId="321" priority="331" stopIfTrue="1"/>
  </conditionalFormatting>
  <conditionalFormatting sqref="M13">
    <cfRule type="duplicateValues" dxfId="320" priority="330" stopIfTrue="1"/>
  </conditionalFormatting>
  <conditionalFormatting sqref="M13">
    <cfRule type="duplicateValues" dxfId="319" priority="329" stopIfTrue="1"/>
  </conditionalFormatting>
  <conditionalFormatting sqref="M13">
    <cfRule type="duplicateValues" dxfId="318" priority="328" stopIfTrue="1"/>
  </conditionalFormatting>
  <conditionalFormatting sqref="M12">
    <cfRule type="duplicateValues" dxfId="317" priority="326" stopIfTrue="1"/>
  </conditionalFormatting>
  <conditionalFormatting sqref="M12">
    <cfRule type="duplicateValues" dxfId="316" priority="327" stopIfTrue="1"/>
  </conditionalFormatting>
  <conditionalFormatting sqref="M12">
    <cfRule type="duplicateValues" dxfId="315" priority="324" stopIfTrue="1"/>
  </conditionalFormatting>
  <conditionalFormatting sqref="M12">
    <cfRule type="duplicateValues" dxfId="314" priority="325" stopIfTrue="1"/>
  </conditionalFormatting>
  <conditionalFormatting sqref="L13">
    <cfRule type="duplicateValues" dxfId="313" priority="322" stopIfTrue="1"/>
  </conditionalFormatting>
  <conditionalFormatting sqref="L13">
    <cfRule type="duplicateValues" dxfId="312" priority="323" stopIfTrue="1"/>
  </conditionalFormatting>
  <conditionalFormatting sqref="M13">
    <cfRule type="duplicateValues" dxfId="311" priority="320" stopIfTrue="1"/>
  </conditionalFormatting>
  <conditionalFormatting sqref="M13">
    <cfRule type="duplicateValues" dxfId="310" priority="321" stopIfTrue="1"/>
  </conditionalFormatting>
  <conditionalFormatting sqref="M13">
    <cfRule type="duplicateValues" dxfId="309" priority="318" stopIfTrue="1"/>
  </conditionalFormatting>
  <conditionalFormatting sqref="M13">
    <cfRule type="duplicateValues" dxfId="308" priority="319" stopIfTrue="1"/>
  </conditionalFormatting>
  <conditionalFormatting sqref="M19">
    <cfRule type="duplicateValues" dxfId="307" priority="316" stopIfTrue="1"/>
  </conditionalFormatting>
  <conditionalFormatting sqref="M19">
    <cfRule type="duplicateValues" dxfId="306" priority="317" stopIfTrue="1"/>
  </conditionalFormatting>
  <conditionalFormatting sqref="M19">
    <cfRule type="duplicateValues" dxfId="305" priority="314" stopIfTrue="1"/>
  </conditionalFormatting>
  <conditionalFormatting sqref="M19">
    <cfRule type="duplicateValues" dxfId="304" priority="315" stopIfTrue="1"/>
  </conditionalFormatting>
  <conditionalFormatting sqref="L18">
    <cfRule type="duplicateValues" dxfId="303" priority="308" stopIfTrue="1"/>
  </conditionalFormatting>
  <conditionalFormatting sqref="L18">
    <cfRule type="duplicateValues" dxfId="302" priority="309" stopIfTrue="1"/>
  </conditionalFormatting>
  <conditionalFormatting sqref="L18">
    <cfRule type="duplicateValues" dxfId="301" priority="306" stopIfTrue="1"/>
  </conditionalFormatting>
  <conditionalFormatting sqref="L18">
    <cfRule type="duplicateValues" dxfId="300" priority="307" stopIfTrue="1"/>
  </conditionalFormatting>
  <conditionalFormatting sqref="M18">
    <cfRule type="duplicateValues" dxfId="299" priority="302" stopIfTrue="1"/>
  </conditionalFormatting>
  <conditionalFormatting sqref="M18">
    <cfRule type="duplicateValues" dxfId="298" priority="303" stopIfTrue="1"/>
  </conditionalFormatting>
  <conditionalFormatting sqref="M18">
    <cfRule type="duplicateValues" dxfId="297" priority="300" stopIfTrue="1"/>
  </conditionalFormatting>
  <conditionalFormatting sqref="M18">
    <cfRule type="duplicateValues" dxfId="296" priority="301" stopIfTrue="1"/>
  </conditionalFormatting>
  <conditionalFormatting sqref="M18">
    <cfRule type="duplicateValues" dxfId="295" priority="298" stopIfTrue="1"/>
  </conditionalFormatting>
  <conditionalFormatting sqref="M18">
    <cfRule type="duplicateValues" dxfId="294" priority="299" stopIfTrue="1"/>
  </conditionalFormatting>
  <conditionalFormatting sqref="M19">
    <cfRule type="duplicateValues" dxfId="293" priority="296" stopIfTrue="1"/>
  </conditionalFormatting>
  <conditionalFormatting sqref="M19">
    <cfRule type="duplicateValues" dxfId="292" priority="297" stopIfTrue="1"/>
  </conditionalFormatting>
  <conditionalFormatting sqref="M19">
    <cfRule type="duplicateValues" dxfId="291" priority="294" stopIfTrue="1"/>
  </conditionalFormatting>
  <conditionalFormatting sqref="M19">
    <cfRule type="duplicateValues" dxfId="290" priority="295" stopIfTrue="1"/>
  </conditionalFormatting>
  <conditionalFormatting sqref="L21">
    <cfRule type="duplicateValues" dxfId="289" priority="286" stopIfTrue="1"/>
  </conditionalFormatting>
  <conditionalFormatting sqref="L21">
    <cfRule type="duplicateValues" dxfId="288" priority="287" stopIfTrue="1"/>
  </conditionalFormatting>
  <conditionalFormatting sqref="L21">
    <cfRule type="duplicateValues" dxfId="287" priority="284" stopIfTrue="1"/>
  </conditionalFormatting>
  <conditionalFormatting sqref="L21">
    <cfRule type="duplicateValues" dxfId="286" priority="285" stopIfTrue="1"/>
  </conditionalFormatting>
  <conditionalFormatting sqref="L18">
    <cfRule type="duplicateValues" dxfId="285" priority="282" stopIfTrue="1"/>
  </conditionalFormatting>
  <conditionalFormatting sqref="L18">
    <cfRule type="duplicateValues" dxfId="284" priority="283" stopIfTrue="1"/>
  </conditionalFormatting>
  <conditionalFormatting sqref="L18">
    <cfRule type="duplicateValues" dxfId="283" priority="280" stopIfTrue="1"/>
  </conditionalFormatting>
  <conditionalFormatting sqref="L18">
    <cfRule type="duplicateValues" dxfId="282" priority="281" stopIfTrue="1"/>
  </conditionalFormatting>
  <conditionalFormatting sqref="M18">
    <cfRule type="duplicateValues" dxfId="281" priority="278" stopIfTrue="1"/>
  </conditionalFormatting>
  <conditionalFormatting sqref="M18">
    <cfRule type="duplicateValues" dxfId="280" priority="279" stopIfTrue="1"/>
  </conditionalFormatting>
  <conditionalFormatting sqref="M19">
    <cfRule type="duplicateValues" dxfId="279" priority="276" stopIfTrue="1"/>
  </conditionalFormatting>
  <conditionalFormatting sqref="M19">
    <cfRule type="duplicateValues" dxfId="278" priority="277" stopIfTrue="1"/>
  </conditionalFormatting>
  <conditionalFormatting sqref="L20">
    <cfRule type="duplicateValues" dxfId="277" priority="274" stopIfTrue="1"/>
  </conditionalFormatting>
  <conditionalFormatting sqref="L20">
    <cfRule type="duplicateValues" dxfId="276" priority="275" stopIfTrue="1"/>
  </conditionalFormatting>
  <conditionalFormatting sqref="L20">
    <cfRule type="duplicateValues" dxfId="275" priority="272" stopIfTrue="1"/>
  </conditionalFormatting>
  <conditionalFormatting sqref="L20">
    <cfRule type="duplicateValues" dxfId="274" priority="273" stopIfTrue="1"/>
  </conditionalFormatting>
  <conditionalFormatting sqref="L21">
    <cfRule type="duplicateValues" dxfId="273" priority="270" stopIfTrue="1"/>
  </conditionalFormatting>
  <conditionalFormatting sqref="L21">
    <cfRule type="duplicateValues" dxfId="272" priority="271" stopIfTrue="1"/>
  </conditionalFormatting>
  <conditionalFormatting sqref="L21">
    <cfRule type="duplicateValues" dxfId="271" priority="268" stopIfTrue="1"/>
  </conditionalFormatting>
  <conditionalFormatting sqref="L21">
    <cfRule type="duplicateValues" dxfId="270" priority="269" stopIfTrue="1"/>
  </conditionalFormatting>
  <conditionalFormatting sqref="M20">
    <cfRule type="duplicateValues" dxfId="269" priority="266" stopIfTrue="1"/>
  </conditionalFormatting>
  <conditionalFormatting sqref="M20">
    <cfRule type="duplicateValues" dxfId="268" priority="267" stopIfTrue="1"/>
  </conditionalFormatting>
  <conditionalFormatting sqref="M21">
    <cfRule type="duplicateValues" dxfId="267" priority="264" stopIfTrue="1"/>
  </conditionalFormatting>
  <conditionalFormatting sqref="M21">
    <cfRule type="duplicateValues" dxfId="266" priority="265" stopIfTrue="1"/>
  </conditionalFormatting>
  <conditionalFormatting sqref="M21">
    <cfRule type="duplicateValues" dxfId="265" priority="262" stopIfTrue="1"/>
  </conditionalFormatting>
  <conditionalFormatting sqref="M21">
    <cfRule type="duplicateValues" dxfId="264" priority="263" stopIfTrue="1"/>
  </conditionalFormatting>
  <conditionalFormatting sqref="M18">
    <cfRule type="duplicateValues" dxfId="263" priority="260" stopIfTrue="1"/>
  </conditionalFormatting>
  <conditionalFormatting sqref="M18">
    <cfRule type="duplicateValues" dxfId="262" priority="261" stopIfTrue="1"/>
  </conditionalFormatting>
  <conditionalFormatting sqref="M21">
    <cfRule type="duplicateValues" dxfId="261" priority="258" stopIfTrue="1"/>
  </conditionalFormatting>
  <conditionalFormatting sqref="M21">
    <cfRule type="duplicateValues" dxfId="260" priority="259" stopIfTrue="1"/>
  </conditionalFormatting>
  <conditionalFormatting sqref="L19">
    <cfRule type="duplicateValues" dxfId="259" priority="256" stopIfTrue="1"/>
  </conditionalFormatting>
  <conditionalFormatting sqref="L19">
    <cfRule type="duplicateValues" dxfId="258" priority="257" stopIfTrue="1"/>
  </conditionalFormatting>
  <conditionalFormatting sqref="L19">
    <cfRule type="duplicateValues" dxfId="257" priority="254" stopIfTrue="1"/>
  </conditionalFormatting>
  <conditionalFormatting sqref="L19">
    <cfRule type="duplicateValues" dxfId="256" priority="255" stopIfTrue="1"/>
  </conditionalFormatting>
  <conditionalFormatting sqref="L20">
    <cfRule type="duplicateValues" dxfId="255" priority="252" stopIfTrue="1"/>
  </conditionalFormatting>
  <conditionalFormatting sqref="L20">
    <cfRule type="duplicateValues" dxfId="254" priority="253" stopIfTrue="1"/>
  </conditionalFormatting>
  <conditionalFormatting sqref="L20">
    <cfRule type="duplicateValues" dxfId="253" priority="250" stopIfTrue="1"/>
  </conditionalFormatting>
  <conditionalFormatting sqref="L20">
    <cfRule type="duplicateValues" dxfId="252" priority="251" stopIfTrue="1"/>
  </conditionalFormatting>
  <conditionalFormatting sqref="M19">
    <cfRule type="duplicateValues" dxfId="251" priority="248" stopIfTrue="1"/>
  </conditionalFormatting>
  <conditionalFormatting sqref="M19">
    <cfRule type="duplicateValues" dxfId="250" priority="249" stopIfTrue="1"/>
  </conditionalFormatting>
  <conditionalFormatting sqref="M20">
    <cfRule type="duplicateValues" dxfId="249" priority="246" stopIfTrue="1"/>
  </conditionalFormatting>
  <conditionalFormatting sqref="M20">
    <cfRule type="duplicateValues" dxfId="248" priority="247" stopIfTrue="1"/>
  </conditionalFormatting>
  <conditionalFormatting sqref="M20">
    <cfRule type="duplicateValues" dxfId="247" priority="244" stopIfTrue="1"/>
  </conditionalFormatting>
  <conditionalFormatting sqref="M20">
    <cfRule type="duplicateValues" dxfId="246" priority="245" stopIfTrue="1"/>
  </conditionalFormatting>
  <conditionalFormatting sqref="M20">
    <cfRule type="duplicateValues" dxfId="245" priority="242" stopIfTrue="1"/>
  </conditionalFormatting>
  <conditionalFormatting sqref="M20">
    <cfRule type="duplicateValues" dxfId="244" priority="243" stopIfTrue="1"/>
  </conditionalFormatting>
  <conditionalFormatting sqref="L18">
    <cfRule type="duplicateValues" dxfId="243" priority="240" stopIfTrue="1"/>
  </conditionalFormatting>
  <conditionalFormatting sqref="L18">
    <cfRule type="duplicateValues" dxfId="242" priority="241" stopIfTrue="1"/>
  </conditionalFormatting>
  <conditionalFormatting sqref="L18">
    <cfRule type="duplicateValues" dxfId="241" priority="238" stopIfTrue="1"/>
  </conditionalFormatting>
  <conditionalFormatting sqref="L18">
    <cfRule type="duplicateValues" dxfId="240" priority="239" stopIfTrue="1"/>
  </conditionalFormatting>
  <conditionalFormatting sqref="L19">
    <cfRule type="duplicateValues" dxfId="239" priority="236" stopIfTrue="1"/>
  </conditionalFormatting>
  <conditionalFormatting sqref="L19">
    <cfRule type="duplicateValues" dxfId="238" priority="237" stopIfTrue="1"/>
  </conditionalFormatting>
  <conditionalFormatting sqref="L19">
    <cfRule type="duplicateValues" dxfId="237" priority="234" stopIfTrue="1"/>
  </conditionalFormatting>
  <conditionalFormatting sqref="L19">
    <cfRule type="duplicateValues" dxfId="236" priority="235" stopIfTrue="1"/>
  </conditionalFormatting>
  <conditionalFormatting sqref="M18">
    <cfRule type="duplicateValues" dxfId="235" priority="232" stopIfTrue="1"/>
  </conditionalFormatting>
  <conditionalFormatting sqref="M18">
    <cfRule type="duplicateValues" dxfId="234" priority="233" stopIfTrue="1"/>
  </conditionalFormatting>
  <conditionalFormatting sqref="M19">
    <cfRule type="duplicateValues" dxfId="233" priority="230" stopIfTrue="1"/>
  </conditionalFormatting>
  <conditionalFormatting sqref="M19">
    <cfRule type="duplicateValues" dxfId="232" priority="231" stopIfTrue="1"/>
  </conditionalFormatting>
  <conditionalFormatting sqref="M19">
    <cfRule type="duplicateValues" dxfId="231" priority="228" stopIfTrue="1"/>
  </conditionalFormatting>
  <conditionalFormatting sqref="M19">
    <cfRule type="duplicateValues" dxfId="230" priority="229" stopIfTrue="1"/>
  </conditionalFormatting>
  <conditionalFormatting sqref="M19">
    <cfRule type="duplicateValues" dxfId="229" priority="226" stopIfTrue="1"/>
  </conditionalFormatting>
  <conditionalFormatting sqref="M19">
    <cfRule type="duplicateValues" dxfId="228" priority="227" stopIfTrue="1"/>
  </conditionalFormatting>
  <conditionalFormatting sqref="M20">
    <cfRule type="duplicateValues" dxfId="227" priority="224" stopIfTrue="1"/>
  </conditionalFormatting>
  <conditionalFormatting sqref="M20">
    <cfRule type="duplicateValues" dxfId="226" priority="225" stopIfTrue="1"/>
  </conditionalFormatting>
  <conditionalFormatting sqref="M20">
    <cfRule type="duplicateValues" dxfId="225" priority="222" stopIfTrue="1"/>
  </conditionalFormatting>
  <conditionalFormatting sqref="M20">
    <cfRule type="duplicateValues" dxfId="224" priority="223" stopIfTrue="1"/>
  </conditionalFormatting>
  <conditionalFormatting sqref="L18">
    <cfRule type="duplicateValues" dxfId="223" priority="220" stopIfTrue="1"/>
  </conditionalFormatting>
  <conditionalFormatting sqref="L18">
    <cfRule type="duplicateValues" dxfId="222" priority="221" stopIfTrue="1"/>
  </conditionalFormatting>
  <conditionalFormatting sqref="L18">
    <cfRule type="duplicateValues" dxfId="221" priority="218" stopIfTrue="1"/>
  </conditionalFormatting>
  <conditionalFormatting sqref="L18">
    <cfRule type="duplicateValues" dxfId="220" priority="219" stopIfTrue="1"/>
  </conditionalFormatting>
  <conditionalFormatting sqref="M18">
    <cfRule type="duplicateValues" dxfId="219" priority="216" stopIfTrue="1"/>
  </conditionalFormatting>
  <conditionalFormatting sqref="M18">
    <cfRule type="duplicateValues" dxfId="218" priority="217" stopIfTrue="1"/>
  </conditionalFormatting>
  <conditionalFormatting sqref="M17">
    <cfRule type="duplicateValues" dxfId="217" priority="213" stopIfTrue="1"/>
  </conditionalFormatting>
  <conditionalFormatting sqref="M17">
    <cfRule type="duplicateValues" dxfId="216" priority="211" stopIfTrue="1"/>
  </conditionalFormatting>
  <conditionalFormatting sqref="M17">
    <cfRule type="duplicateValues" dxfId="215" priority="212" stopIfTrue="1"/>
  </conditionalFormatting>
  <conditionalFormatting sqref="M17">
    <cfRule type="duplicateValues" dxfId="214" priority="209" stopIfTrue="1"/>
  </conditionalFormatting>
  <conditionalFormatting sqref="M17">
    <cfRule type="duplicateValues" dxfId="213" priority="210" stopIfTrue="1"/>
  </conditionalFormatting>
  <conditionalFormatting sqref="M17">
    <cfRule type="duplicateValues" dxfId="212" priority="207" stopIfTrue="1"/>
  </conditionalFormatting>
  <conditionalFormatting sqref="M17">
    <cfRule type="duplicateValues" dxfId="211" priority="208" stopIfTrue="1"/>
  </conditionalFormatting>
  <conditionalFormatting sqref="M17">
    <cfRule type="duplicateValues" dxfId="210" priority="206" stopIfTrue="1"/>
  </conditionalFormatting>
  <conditionalFormatting sqref="M17">
    <cfRule type="duplicateValues" dxfId="209" priority="204" stopIfTrue="1"/>
  </conditionalFormatting>
  <conditionalFormatting sqref="M17">
    <cfRule type="duplicateValues" dxfId="208" priority="205" stopIfTrue="1"/>
  </conditionalFormatting>
  <conditionalFormatting sqref="M17">
    <cfRule type="duplicateValues" dxfId="207" priority="202" stopIfTrue="1"/>
  </conditionalFormatting>
  <conditionalFormatting sqref="M17">
    <cfRule type="duplicateValues" dxfId="206" priority="203" stopIfTrue="1"/>
  </conditionalFormatting>
  <conditionalFormatting sqref="M17">
    <cfRule type="duplicateValues" dxfId="205" priority="200" stopIfTrue="1"/>
  </conditionalFormatting>
  <conditionalFormatting sqref="M17">
    <cfRule type="duplicateValues" dxfId="204" priority="201" stopIfTrue="1"/>
  </conditionalFormatting>
  <conditionalFormatting sqref="M17">
    <cfRule type="duplicateValues" dxfId="203" priority="199" stopIfTrue="1"/>
  </conditionalFormatting>
  <conditionalFormatting sqref="M17">
    <cfRule type="duplicateValues" dxfId="202" priority="197" stopIfTrue="1"/>
  </conditionalFormatting>
  <conditionalFormatting sqref="M17">
    <cfRule type="duplicateValues" dxfId="201" priority="198" stopIfTrue="1"/>
  </conditionalFormatting>
  <conditionalFormatting sqref="M17">
    <cfRule type="duplicateValues" dxfId="200" priority="195" stopIfTrue="1"/>
  </conditionalFormatting>
  <conditionalFormatting sqref="M17">
    <cfRule type="duplicateValues" dxfId="199" priority="196" stopIfTrue="1"/>
  </conditionalFormatting>
  <conditionalFormatting sqref="M17">
    <cfRule type="duplicateValues" dxfId="198" priority="194" stopIfTrue="1"/>
  </conditionalFormatting>
  <conditionalFormatting sqref="M17">
    <cfRule type="duplicateValues" dxfId="197" priority="193" stopIfTrue="1"/>
  </conditionalFormatting>
  <conditionalFormatting sqref="M17">
    <cfRule type="duplicateValues" dxfId="196" priority="192" stopIfTrue="1"/>
  </conditionalFormatting>
  <conditionalFormatting sqref="M17">
    <cfRule type="duplicateValues" dxfId="195" priority="190" stopIfTrue="1"/>
  </conditionalFormatting>
  <conditionalFormatting sqref="M17">
    <cfRule type="duplicateValues" dxfId="194" priority="191" stopIfTrue="1"/>
  </conditionalFormatting>
  <conditionalFormatting sqref="M17">
    <cfRule type="duplicateValues" dxfId="193" priority="189" stopIfTrue="1"/>
  </conditionalFormatting>
  <conditionalFormatting sqref="L17">
    <cfRule type="duplicateValues" dxfId="192" priority="187" stopIfTrue="1"/>
  </conditionalFormatting>
  <conditionalFormatting sqref="L17">
    <cfRule type="duplicateValues" dxfId="191" priority="188" stopIfTrue="1"/>
  </conditionalFormatting>
  <conditionalFormatting sqref="L17">
    <cfRule type="duplicateValues" dxfId="190" priority="185" stopIfTrue="1"/>
  </conditionalFormatting>
  <conditionalFormatting sqref="L17">
    <cfRule type="duplicateValues" dxfId="189" priority="186" stopIfTrue="1"/>
  </conditionalFormatting>
  <conditionalFormatting sqref="L17">
    <cfRule type="duplicateValues" dxfId="188" priority="183" stopIfTrue="1"/>
  </conditionalFormatting>
  <conditionalFormatting sqref="L17">
    <cfRule type="duplicateValues" dxfId="187" priority="184" stopIfTrue="1"/>
  </conditionalFormatting>
  <conditionalFormatting sqref="L17">
    <cfRule type="duplicateValues" dxfId="186" priority="181" stopIfTrue="1"/>
  </conditionalFormatting>
  <conditionalFormatting sqref="L17">
    <cfRule type="duplicateValues" dxfId="185" priority="182" stopIfTrue="1"/>
  </conditionalFormatting>
  <conditionalFormatting sqref="L17">
    <cfRule type="duplicateValues" dxfId="184" priority="179" stopIfTrue="1"/>
  </conditionalFormatting>
  <conditionalFormatting sqref="L17">
    <cfRule type="duplicateValues" dxfId="183" priority="180" stopIfTrue="1"/>
  </conditionalFormatting>
  <conditionalFormatting sqref="L17">
    <cfRule type="duplicateValues" dxfId="182" priority="177" stopIfTrue="1"/>
  </conditionalFormatting>
  <conditionalFormatting sqref="L17">
    <cfRule type="duplicateValues" dxfId="181" priority="178" stopIfTrue="1"/>
  </conditionalFormatting>
  <conditionalFormatting sqref="L17">
    <cfRule type="duplicateValues" dxfId="180" priority="175" stopIfTrue="1"/>
  </conditionalFormatting>
  <conditionalFormatting sqref="L17">
    <cfRule type="duplicateValues" dxfId="179" priority="176" stopIfTrue="1"/>
  </conditionalFormatting>
  <conditionalFormatting sqref="L17">
    <cfRule type="duplicateValues" dxfId="178" priority="173" stopIfTrue="1"/>
  </conditionalFormatting>
  <conditionalFormatting sqref="L17">
    <cfRule type="duplicateValues" dxfId="177" priority="174" stopIfTrue="1"/>
  </conditionalFormatting>
  <conditionalFormatting sqref="L17">
    <cfRule type="duplicateValues" dxfId="176" priority="171" stopIfTrue="1"/>
  </conditionalFormatting>
  <conditionalFormatting sqref="L17">
    <cfRule type="duplicateValues" dxfId="175" priority="172" stopIfTrue="1"/>
  </conditionalFormatting>
  <conditionalFormatting sqref="L17">
    <cfRule type="duplicateValues" dxfId="174" priority="169" stopIfTrue="1"/>
  </conditionalFormatting>
  <conditionalFormatting sqref="L17">
    <cfRule type="duplicateValues" dxfId="173" priority="170" stopIfTrue="1"/>
  </conditionalFormatting>
  <conditionalFormatting sqref="L17">
    <cfRule type="duplicateValues" dxfId="172" priority="167" stopIfTrue="1"/>
  </conditionalFormatting>
  <conditionalFormatting sqref="L17">
    <cfRule type="duplicateValues" dxfId="171" priority="168" stopIfTrue="1"/>
  </conditionalFormatting>
  <conditionalFormatting sqref="L17">
    <cfRule type="duplicateValues" dxfId="170" priority="165" stopIfTrue="1"/>
  </conditionalFormatting>
  <conditionalFormatting sqref="L17">
    <cfRule type="duplicateValues" dxfId="169" priority="166" stopIfTrue="1"/>
  </conditionalFormatting>
  <conditionalFormatting sqref="M20">
    <cfRule type="duplicateValues" dxfId="168" priority="163" stopIfTrue="1"/>
  </conditionalFormatting>
  <conditionalFormatting sqref="M20">
    <cfRule type="duplicateValues" dxfId="167" priority="164" stopIfTrue="1"/>
  </conditionalFormatting>
  <conditionalFormatting sqref="M17">
    <cfRule type="duplicateValues" dxfId="166" priority="161" stopIfTrue="1"/>
  </conditionalFormatting>
  <conditionalFormatting sqref="M17">
    <cfRule type="duplicateValues" dxfId="165" priority="162" stopIfTrue="1"/>
  </conditionalFormatting>
  <conditionalFormatting sqref="M20">
    <cfRule type="duplicateValues" dxfId="164" priority="159" stopIfTrue="1"/>
  </conditionalFormatting>
  <conditionalFormatting sqref="M20">
    <cfRule type="duplicateValues" dxfId="163" priority="160" stopIfTrue="1"/>
  </conditionalFormatting>
  <conditionalFormatting sqref="L18">
    <cfRule type="duplicateValues" dxfId="162" priority="157" stopIfTrue="1"/>
  </conditionalFormatting>
  <conditionalFormatting sqref="L18">
    <cfRule type="duplicateValues" dxfId="161" priority="158" stopIfTrue="1"/>
  </conditionalFormatting>
  <conditionalFormatting sqref="L18">
    <cfRule type="duplicateValues" dxfId="160" priority="155" stopIfTrue="1"/>
  </conditionalFormatting>
  <conditionalFormatting sqref="L18">
    <cfRule type="duplicateValues" dxfId="159" priority="156" stopIfTrue="1"/>
  </conditionalFormatting>
  <conditionalFormatting sqref="L19">
    <cfRule type="duplicateValues" dxfId="158" priority="153" stopIfTrue="1"/>
  </conditionalFormatting>
  <conditionalFormatting sqref="L19">
    <cfRule type="duplicateValues" dxfId="157" priority="154" stopIfTrue="1"/>
  </conditionalFormatting>
  <conditionalFormatting sqref="L19">
    <cfRule type="duplicateValues" dxfId="156" priority="151" stopIfTrue="1"/>
  </conditionalFormatting>
  <conditionalFormatting sqref="L19">
    <cfRule type="duplicateValues" dxfId="155" priority="152" stopIfTrue="1"/>
  </conditionalFormatting>
  <conditionalFormatting sqref="M18">
    <cfRule type="duplicateValues" dxfId="154" priority="149" stopIfTrue="1"/>
  </conditionalFormatting>
  <conditionalFormatting sqref="M18">
    <cfRule type="duplicateValues" dxfId="153" priority="150" stopIfTrue="1"/>
  </conditionalFormatting>
  <conditionalFormatting sqref="M19">
    <cfRule type="duplicateValues" dxfId="152" priority="147" stopIfTrue="1"/>
  </conditionalFormatting>
  <conditionalFormatting sqref="M19">
    <cfRule type="duplicateValues" dxfId="151" priority="148" stopIfTrue="1"/>
  </conditionalFormatting>
  <conditionalFormatting sqref="M19">
    <cfRule type="duplicateValues" dxfId="150" priority="145" stopIfTrue="1"/>
  </conditionalFormatting>
  <conditionalFormatting sqref="M19">
    <cfRule type="duplicateValues" dxfId="149" priority="146" stopIfTrue="1"/>
  </conditionalFormatting>
  <conditionalFormatting sqref="M19">
    <cfRule type="duplicateValues" dxfId="148" priority="143" stopIfTrue="1"/>
  </conditionalFormatting>
  <conditionalFormatting sqref="M19">
    <cfRule type="duplicateValues" dxfId="147" priority="144" stopIfTrue="1"/>
  </conditionalFormatting>
  <conditionalFormatting sqref="M20">
    <cfRule type="duplicateValues" dxfId="146" priority="141" stopIfTrue="1"/>
  </conditionalFormatting>
  <conditionalFormatting sqref="M20">
    <cfRule type="duplicateValues" dxfId="145" priority="142" stopIfTrue="1"/>
  </conditionalFormatting>
  <conditionalFormatting sqref="M20">
    <cfRule type="duplicateValues" dxfId="144" priority="139" stopIfTrue="1"/>
  </conditionalFormatting>
  <conditionalFormatting sqref="M20">
    <cfRule type="duplicateValues" dxfId="143" priority="140" stopIfTrue="1"/>
  </conditionalFormatting>
  <conditionalFormatting sqref="L17">
    <cfRule type="duplicateValues" dxfId="142" priority="137" stopIfTrue="1"/>
  </conditionalFormatting>
  <conditionalFormatting sqref="L17">
    <cfRule type="duplicateValues" dxfId="141" priority="138" stopIfTrue="1"/>
  </conditionalFormatting>
  <conditionalFormatting sqref="L17">
    <cfRule type="duplicateValues" dxfId="140" priority="135" stopIfTrue="1"/>
  </conditionalFormatting>
  <conditionalFormatting sqref="L17">
    <cfRule type="duplicateValues" dxfId="139" priority="136" stopIfTrue="1"/>
  </conditionalFormatting>
  <conditionalFormatting sqref="L18">
    <cfRule type="duplicateValues" dxfId="138" priority="133" stopIfTrue="1"/>
  </conditionalFormatting>
  <conditionalFormatting sqref="L18">
    <cfRule type="duplicateValues" dxfId="137" priority="134" stopIfTrue="1"/>
  </conditionalFormatting>
  <conditionalFormatting sqref="L18">
    <cfRule type="duplicateValues" dxfId="136" priority="131" stopIfTrue="1"/>
  </conditionalFormatting>
  <conditionalFormatting sqref="L18">
    <cfRule type="duplicateValues" dxfId="135" priority="132" stopIfTrue="1"/>
  </conditionalFormatting>
  <conditionalFormatting sqref="M17">
    <cfRule type="duplicateValues" dxfId="134" priority="129" stopIfTrue="1"/>
  </conditionalFormatting>
  <conditionalFormatting sqref="M17">
    <cfRule type="duplicateValues" dxfId="133" priority="130" stopIfTrue="1"/>
  </conditionalFormatting>
  <conditionalFormatting sqref="M18">
    <cfRule type="duplicateValues" dxfId="132" priority="127" stopIfTrue="1"/>
  </conditionalFormatting>
  <conditionalFormatting sqref="M18">
    <cfRule type="duplicateValues" dxfId="131" priority="128" stopIfTrue="1"/>
  </conditionalFormatting>
  <conditionalFormatting sqref="M18">
    <cfRule type="duplicateValues" dxfId="130" priority="125" stopIfTrue="1"/>
  </conditionalFormatting>
  <conditionalFormatting sqref="M18">
    <cfRule type="duplicateValues" dxfId="129" priority="126" stopIfTrue="1"/>
  </conditionalFormatting>
  <conditionalFormatting sqref="M18">
    <cfRule type="duplicateValues" dxfId="128" priority="123" stopIfTrue="1"/>
  </conditionalFormatting>
  <conditionalFormatting sqref="M18">
    <cfRule type="duplicateValues" dxfId="127" priority="124" stopIfTrue="1"/>
  </conditionalFormatting>
  <conditionalFormatting sqref="L17">
    <cfRule type="duplicateValues" dxfId="126" priority="121" stopIfTrue="1"/>
  </conditionalFormatting>
  <conditionalFormatting sqref="L17">
    <cfRule type="duplicateValues" dxfId="125" priority="122" stopIfTrue="1"/>
  </conditionalFormatting>
  <conditionalFormatting sqref="L17">
    <cfRule type="duplicateValues" dxfId="124" priority="119" stopIfTrue="1"/>
  </conditionalFormatting>
  <conditionalFormatting sqref="L17">
    <cfRule type="duplicateValues" dxfId="123" priority="120" stopIfTrue="1"/>
  </conditionalFormatting>
  <conditionalFormatting sqref="M17">
    <cfRule type="duplicateValues" dxfId="122" priority="117" stopIfTrue="1"/>
  </conditionalFormatting>
  <conditionalFormatting sqref="M17">
    <cfRule type="duplicateValues" dxfId="121" priority="118" stopIfTrue="1"/>
  </conditionalFormatting>
  <conditionalFormatting sqref="M17">
    <cfRule type="duplicateValues" dxfId="120" priority="115" stopIfTrue="1"/>
  </conditionalFormatting>
  <conditionalFormatting sqref="M17">
    <cfRule type="duplicateValues" dxfId="119" priority="116" stopIfTrue="1"/>
  </conditionalFormatting>
  <conditionalFormatting sqref="M17">
    <cfRule type="duplicateValues" dxfId="118" priority="113" stopIfTrue="1"/>
  </conditionalFormatting>
  <conditionalFormatting sqref="M17">
    <cfRule type="duplicateValues" dxfId="117" priority="114" stopIfTrue="1"/>
  </conditionalFormatting>
  <conditionalFormatting sqref="M18">
    <cfRule type="duplicateValues" dxfId="116" priority="111" stopIfTrue="1"/>
  </conditionalFormatting>
  <conditionalFormatting sqref="M18">
    <cfRule type="duplicateValues" dxfId="115" priority="112" stopIfTrue="1"/>
  </conditionalFormatting>
  <conditionalFormatting sqref="M18">
    <cfRule type="duplicateValues" dxfId="114" priority="109" stopIfTrue="1"/>
  </conditionalFormatting>
  <conditionalFormatting sqref="M18">
    <cfRule type="duplicateValues" dxfId="113" priority="110" stopIfTrue="1"/>
  </conditionalFormatting>
  <conditionalFormatting sqref="L20">
    <cfRule type="duplicateValues" dxfId="112" priority="107" stopIfTrue="1"/>
  </conditionalFormatting>
  <conditionalFormatting sqref="L20">
    <cfRule type="duplicateValues" dxfId="111" priority="108" stopIfTrue="1"/>
  </conditionalFormatting>
  <conditionalFormatting sqref="L20">
    <cfRule type="duplicateValues" dxfId="110" priority="105" stopIfTrue="1"/>
  </conditionalFormatting>
  <conditionalFormatting sqref="L20">
    <cfRule type="duplicateValues" dxfId="109" priority="106" stopIfTrue="1"/>
  </conditionalFormatting>
  <conditionalFormatting sqref="L17">
    <cfRule type="duplicateValues" dxfId="108" priority="103" stopIfTrue="1"/>
  </conditionalFormatting>
  <conditionalFormatting sqref="L17">
    <cfRule type="duplicateValues" dxfId="107" priority="104" stopIfTrue="1"/>
  </conditionalFormatting>
  <conditionalFormatting sqref="L17">
    <cfRule type="duplicateValues" dxfId="106" priority="101" stopIfTrue="1"/>
  </conditionalFormatting>
  <conditionalFormatting sqref="L17">
    <cfRule type="duplicateValues" dxfId="105" priority="102" stopIfTrue="1"/>
  </conditionalFormatting>
  <conditionalFormatting sqref="M17">
    <cfRule type="duplicateValues" dxfId="104" priority="99" stopIfTrue="1"/>
  </conditionalFormatting>
  <conditionalFormatting sqref="M17">
    <cfRule type="duplicateValues" dxfId="103" priority="100" stopIfTrue="1"/>
  </conditionalFormatting>
  <conditionalFormatting sqref="M18">
    <cfRule type="duplicateValues" dxfId="102" priority="97" stopIfTrue="1"/>
  </conditionalFormatting>
  <conditionalFormatting sqref="M18">
    <cfRule type="duplicateValues" dxfId="101" priority="98" stopIfTrue="1"/>
  </conditionalFormatting>
  <conditionalFormatting sqref="L19">
    <cfRule type="duplicateValues" dxfId="100" priority="95" stopIfTrue="1"/>
  </conditionalFormatting>
  <conditionalFormatting sqref="L19">
    <cfRule type="duplicateValues" dxfId="99" priority="96" stopIfTrue="1"/>
  </conditionalFormatting>
  <conditionalFormatting sqref="L19">
    <cfRule type="duplicateValues" dxfId="98" priority="93" stopIfTrue="1"/>
  </conditionalFormatting>
  <conditionalFormatting sqref="L19">
    <cfRule type="duplicateValues" dxfId="97" priority="94" stopIfTrue="1"/>
  </conditionalFormatting>
  <conditionalFormatting sqref="L20">
    <cfRule type="duplicateValues" dxfId="96" priority="91" stopIfTrue="1"/>
  </conditionalFormatting>
  <conditionalFormatting sqref="L20">
    <cfRule type="duplicateValues" dxfId="95" priority="92" stopIfTrue="1"/>
  </conditionalFormatting>
  <conditionalFormatting sqref="L20">
    <cfRule type="duplicateValues" dxfId="94" priority="89" stopIfTrue="1"/>
  </conditionalFormatting>
  <conditionalFormatting sqref="L20">
    <cfRule type="duplicateValues" dxfId="93" priority="90" stopIfTrue="1"/>
  </conditionalFormatting>
  <conditionalFormatting sqref="M19">
    <cfRule type="duplicateValues" dxfId="92" priority="87" stopIfTrue="1"/>
  </conditionalFormatting>
  <conditionalFormatting sqref="M19">
    <cfRule type="duplicateValues" dxfId="91" priority="88" stopIfTrue="1"/>
  </conditionalFormatting>
  <conditionalFormatting sqref="M20">
    <cfRule type="duplicateValues" dxfId="90" priority="85" stopIfTrue="1"/>
  </conditionalFormatting>
  <conditionalFormatting sqref="M20">
    <cfRule type="duplicateValues" dxfId="89" priority="86" stopIfTrue="1"/>
  </conditionalFormatting>
  <conditionalFormatting sqref="M20">
    <cfRule type="duplicateValues" dxfId="88" priority="83" stopIfTrue="1"/>
  </conditionalFormatting>
  <conditionalFormatting sqref="M20">
    <cfRule type="duplicateValues" dxfId="87" priority="84" stopIfTrue="1"/>
  </conditionalFormatting>
  <conditionalFormatting sqref="M17">
    <cfRule type="duplicateValues" dxfId="86" priority="81" stopIfTrue="1"/>
  </conditionalFormatting>
  <conditionalFormatting sqref="M17">
    <cfRule type="duplicateValues" dxfId="85" priority="82" stopIfTrue="1"/>
  </conditionalFormatting>
  <conditionalFormatting sqref="M20">
    <cfRule type="duplicateValues" dxfId="84" priority="79" stopIfTrue="1"/>
  </conditionalFormatting>
  <conditionalFormatting sqref="M20">
    <cfRule type="duplicateValues" dxfId="83" priority="80" stopIfTrue="1"/>
  </conditionalFormatting>
  <conditionalFormatting sqref="L18">
    <cfRule type="duplicateValues" dxfId="82" priority="77" stopIfTrue="1"/>
  </conditionalFormatting>
  <conditionalFormatting sqref="L18">
    <cfRule type="duplicateValues" dxfId="81" priority="78" stopIfTrue="1"/>
  </conditionalFormatting>
  <conditionalFormatting sqref="L18">
    <cfRule type="duplicateValues" dxfId="80" priority="75" stopIfTrue="1"/>
  </conditionalFormatting>
  <conditionalFormatting sqref="L18">
    <cfRule type="duplicateValues" dxfId="79" priority="76" stopIfTrue="1"/>
  </conditionalFormatting>
  <conditionalFormatting sqref="L19">
    <cfRule type="duplicateValues" dxfId="78" priority="73" stopIfTrue="1"/>
  </conditionalFormatting>
  <conditionalFormatting sqref="L19">
    <cfRule type="duplicateValues" dxfId="77" priority="74" stopIfTrue="1"/>
  </conditionalFormatting>
  <conditionalFormatting sqref="L19">
    <cfRule type="duplicateValues" dxfId="76" priority="71" stopIfTrue="1"/>
  </conditionalFormatting>
  <conditionalFormatting sqref="L19">
    <cfRule type="duplicateValues" dxfId="75" priority="72" stopIfTrue="1"/>
  </conditionalFormatting>
  <conditionalFormatting sqref="M18">
    <cfRule type="duplicateValues" dxfId="74" priority="69" stopIfTrue="1"/>
  </conditionalFormatting>
  <conditionalFormatting sqref="M18">
    <cfRule type="duplicateValues" dxfId="73" priority="70" stopIfTrue="1"/>
  </conditionalFormatting>
  <conditionalFormatting sqref="M19">
    <cfRule type="duplicateValues" dxfId="72" priority="67" stopIfTrue="1"/>
  </conditionalFormatting>
  <conditionalFormatting sqref="M19">
    <cfRule type="duplicateValues" dxfId="71" priority="68" stopIfTrue="1"/>
  </conditionalFormatting>
  <conditionalFormatting sqref="M19">
    <cfRule type="duplicateValues" dxfId="70" priority="65" stopIfTrue="1"/>
  </conditionalFormatting>
  <conditionalFormatting sqref="M19">
    <cfRule type="duplicateValues" dxfId="69" priority="66" stopIfTrue="1"/>
  </conditionalFormatting>
  <conditionalFormatting sqref="M19">
    <cfRule type="duplicateValues" dxfId="68" priority="63" stopIfTrue="1"/>
  </conditionalFormatting>
  <conditionalFormatting sqref="M19">
    <cfRule type="duplicateValues" dxfId="67" priority="64" stopIfTrue="1"/>
  </conditionalFormatting>
  <conditionalFormatting sqref="L17">
    <cfRule type="duplicateValues" dxfId="66" priority="61" stopIfTrue="1"/>
  </conditionalFormatting>
  <conditionalFormatting sqref="L17">
    <cfRule type="duplicateValues" dxfId="65" priority="62" stopIfTrue="1"/>
  </conditionalFormatting>
  <conditionalFormatting sqref="L17">
    <cfRule type="duplicateValues" dxfId="64" priority="59" stopIfTrue="1"/>
  </conditionalFormatting>
  <conditionalFormatting sqref="L17">
    <cfRule type="duplicateValues" dxfId="63" priority="60" stopIfTrue="1"/>
  </conditionalFormatting>
  <conditionalFormatting sqref="L18">
    <cfRule type="duplicateValues" dxfId="62" priority="57" stopIfTrue="1"/>
  </conditionalFormatting>
  <conditionalFormatting sqref="L18">
    <cfRule type="duplicateValues" dxfId="61" priority="58" stopIfTrue="1"/>
  </conditionalFormatting>
  <conditionalFormatting sqref="L18">
    <cfRule type="duplicateValues" dxfId="60" priority="55" stopIfTrue="1"/>
  </conditionalFormatting>
  <conditionalFormatting sqref="L18">
    <cfRule type="duplicateValues" dxfId="59" priority="56" stopIfTrue="1"/>
  </conditionalFormatting>
  <conditionalFormatting sqref="M17">
    <cfRule type="duplicateValues" dxfId="58" priority="53" stopIfTrue="1"/>
  </conditionalFormatting>
  <conditionalFormatting sqref="M17">
    <cfRule type="duplicateValues" dxfId="57" priority="54" stopIfTrue="1"/>
  </conditionalFormatting>
  <conditionalFormatting sqref="M18">
    <cfRule type="duplicateValues" dxfId="56" priority="51" stopIfTrue="1"/>
  </conditionalFormatting>
  <conditionalFormatting sqref="M18">
    <cfRule type="duplicateValues" dxfId="55" priority="52" stopIfTrue="1"/>
  </conditionalFormatting>
  <conditionalFormatting sqref="M18">
    <cfRule type="duplicateValues" dxfId="54" priority="49" stopIfTrue="1"/>
  </conditionalFormatting>
  <conditionalFormatting sqref="M18">
    <cfRule type="duplicateValues" dxfId="53" priority="50" stopIfTrue="1"/>
  </conditionalFormatting>
  <conditionalFormatting sqref="M18">
    <cfRule type="duplicateValues" dxfId="52" priority="47" stopIfTrue="1"/>
  </conditionalFormatting>
  <conditionalFormatting sqref="M18">
    <cfRule type="duplicateValues" dxfId="51" priority="48" stopIfTrue="1"/>
  </conditionalFormatting>
  <conditionalFormatting sqref="M19">
    <cfRule type="duplicateValues" dxfId="50" priority="45" stopIfTrue="1"/>
  </conditionalFormatting>
  <conditionalFormatting sqref="M19">
    <cfRule type="duplicateValues" dxfId="49" priority="46" stopIfTrue="1"/>
  </conditionalFormatting>
  <conditionalFormatting sqref="M19">
    <cfRule type="duplicateValues" dxfId="48" priority="43" stopIfTrue="1"/>
  </conditionalFormatting>
  <conditionalFormatting sqref="M19">
    <cfRule type="duplicateValues" dxfId="47" priority="44" stopIfTrue="1"/>
  </conditionalFormatting>
  <conditionalFormatting sqref="L17">
    <cfRule type="duplicateValues" dxfId="46" priority="41" stopIfTrue="1"/>
  </conditionalFormatting>
  <conditionalFormatting sqref="L17">
    <cfRule type="duplicateValues" dxfId="45" priority="42" stopIfTrue="1"/>
  </conditionalFormatting>
  <conditionalFormatting sqref="L17">
    <cfRule type="duplicateValues" dxfId="44" priority="39" stopIfTrue="1"/>
  </conditionalFormatting>
  <conditionalFormatting sqref="L17">
    <cfRule type="duplicateValues" dxfId="43" priority="40" stopIfTrue="1"/>
  </conditionalFormatting>
  <conditionalFormatting sqref="M17">
    <cfRule type="duplicateValues" dxfId="42" priority="37" stopIfTrue="1"/>
  </conditionalFormatting>
  <conditionalFormatting sqref="M17">
    <cfRule type="duplicateValues" dxfId="41" priority="38" stopIfTrue="1"/>
  </conditionalFormatting>
  <conditionalFormatting sqref="L21">
    <cfRule type="duplicateValues" dxfId="40" priority="35" stopIfTrue="1"/>
  </conditionalFormatting>
  <conditionalFormatting sqref="L21">
    <cfRule type="duplicateValues" dxfId="39" priority="36" stopIfTrue="1"/>
  </conditionalFormatting>
  <conditionalFormatting sqref="L21">
    <cfRule type="duplicateValues" dxfId="38" priority="33" stopIfTrue="1"/>
  </conditionalFormatting>
  <conditionalFormatting sqref="L21">
    <cfRule type="duplicateValues" dxfId="37" priority="34" stopIfTrue="1"/>
  </conditionalFormatting>
  <conditionalFormatting sqref="L21">
    <cfRule type="duplicateValues" dxfId="36" priority="31" stopIfTrue="1"/>
  </conditionalFormatting>
  <conditionalFormatting sqref="L21">
    <cfRule type="duplicateValues" dxfId="35" priority="32" stopIfTrue="1"/>
  </conditionalFormatting>
  <conditionalFormatting sqref="L21">
    <cfRule type="duplicateValues" dxfId="34" priority="29" stopIfTrue="1"/>
  </conditionalFormatting>
  <conditionalFormatting sqref="L21">
    <cfRule type="duplicateValues" dxfId="33" priority="30" stopIfTrue="1"/>
  </conditionalFormatting>
  <conditionalFormatting sqref="L21">
    <cfRule type="duplicateValues" dxfId="32" priority="27" stopIfTrue="1"/>
  </conditionalFormatting>
  <conditionalFormatting sqref="L21">
    <cfRule type="duplicateValues" dxfId="31" priority="28" stopIfTrue="1"/>
  </conditionalFormatting>
  <conditionalFormatting sqref="L21">
    <cfRule type="duplicateValues" dxfId="30" priority="25" stopIfTrue="1"/>
  </conditionalFormatting>
  <conditionalFormatting sqref="L21">
    <cfRule type="duplicateValues" dxfId="29" priority="26" stopIfTrue="1"/>
  </conditionalFormatting>
  <conditionalFormatting sqref="L21">
    <cfRule type="duplicateValues" dxfId="28" priority="23" stopIfTrue="1"/>
  </conditionalFormatting>
  <conditionalFormatting sqref="L21">
    <cfRule type="duplicateValues" dxfId="27" priority="24" stopIfTrue="1"/>
  </conditionalFormatting>
  <conditionalFormatting sqref="L21">
    <cfRule type="duplicateValues" dxfId="26" priority="21" stopIfTrue="1"/>
  </conditionalFormatting>
  <conditionalFormatting sqref="L21">
    <cfRule type="duplicateValues" dxfId="25" priority="22" stopIfTrue="1"/>
  </conditionalFormatting>
  <conditionalFormatting sqref="L21">
    <cfRule type="duplicateValues" dxfId="24" priority="19" stopIfTrue="1"/>
  </conditionalFormatting>
  <conditionalFormatting sqref="L21">
    <cfRule type="duplicateValues" dxfId="23" priority="20" stopIfTrue="1"/>
  </conditionalFormatting>
  <conditionalFormatting sqref="L21">
    <cfRule type="duplicateValues" dxfId="22" priority="17" stopIfTrue="1"/>
  </conditionalFormatting>
  <conditionalFormatting sqref="L21">
    <cfRule type="duplicateValues" dxfId="21" priority="18" stopIfTrue="1"/>
  </conditionalFormatting>
  <conditionalFormatting sqref="P9">
    <cfRule type="duplicateValues" dxfId="20" priority="15" stopIfTrue="1"/>
  </conditionalFormatting>
  <conditionalFormatting sqref="P9">
    <cfRule type="duplicateValues" dxfId="19" priority="16" stopIfTrue="1"/>
  </conditionalFormatting>
  <conditionalFormatting sqref="P4:P5">
    <cfRule type="duplicateValues" dxfId="18" priority="1795" stopIfTrue="1"/>
  </conditionalFormatting>
  <conditionalFormatting sqref="P7">
    <cfRule type="duplicateValues" dxfId="17" priority="14" stopIfTrue="1"/>
  </conditionalFormatting>
  <conditionalFormatting sqref="P7">
    <cfRule type="duplicateValues" dxfId="16" priority="12" stopIfTrue="1"/>
  </conditionalFormatting>
  <conditionalFormatting sqref="P7">
    <cfRule type="duplicateValues" dxfId="15" priority="13" stopIfTrue="1"/>
  </conditionalFormatting>
  <conditionalFormatting sqref="P9">
    <cfRule type="duplicateValues" dxfId="14" priority="10" stopIfTrue="1"/>
  </conditionalFormatting>
  <conditionalFormatting sqref="P9">
    <cfRule type="duplicateValues" dxfId="13" priority="11" stopIfTrue="1"/>
  </conditionalFormatting>
  <conditionalFormatting sqref="P10">
    <cfRule type="duplicateValues" dxfId="12" priority="8" stopIfTrue="1"/>
  </conditionalFormatting>
  <conditionalFormatting sqref="P10">
    <cfRule type="duplicateValues" dxfId="11" priority="9" stopIfTrue="1"/>
  </conditionalFormatting>
  <conditionalFormatting sqref="P8">
    <cfRule type="duplicateValues" dxfId="10" priority="7" stopIfTrue="1"/>
  </conditionalFormatting>
  <conditionalFormatting sqref="P8">
    <cfRule type="duplicateValues" dxfId="9" priority="5" stopIfTrue="1"/>
  </conditionalFormatting>
  <conditionalFormatting sqref="P8">
    <cfRule type="duplicateValues" dxfId="8" priority="6" stopIfTrue="1"/>
  </conditionalFormatting>
  <conditionalFormatting sqref="Q15">
    <cfRule type="duplicateValues" dxfId="7" priority="3" stopIfTrue="1"/>
  </conditionalFormatting>
  <conditionalFormatting sqref="Q15">
    <cfRule type="duplicateValues" dxfId="6" priority="4" stopIfTrue="1"/>
  </conditionalFormatting>
  <conditionalFormatting sqref="Q15">
    <cfRule type="duplicateValues" dxfId="5" priority="1" stopIfTrue="1"/>
  </conditionalFormatting>
  <conditionalFormatting sqref="Q15">
    <cfRule type="duplicateValues" dxfId="4" priority="2" stopIfTrue="1"/>
  </conditionalFormatting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zoomScaleNormal="100" workbookViewId="0">
      <selection activeCell="E7" sqref="E7"/>
    </sheetView>
  </sheetViews>
  <sheetFormatPr defaultRowHeight="15" x14ac:dyDescent="0.25"/>
  <cols>
    <col min="1" max="1" width="15.140625" bestFit="1" customWidth="1"/>
    <col min="2" max="2" width="11.28515625" customWidth="1"/>
    <col min="3" max="3" width="7.42578125" bestFit="1" customWidth="1"/>
    <col min="4" max="4" width="7.42578125" customWidth="1"/>
    <col min="5" max="5" width="11.42578125" customWidth="1"/>
    <col min="6" max="6" width="8.42578125" bestFit="1" customWidth="1"/>
    <col min="7" max="7" width="8.42578125" customWidth="1"/>
    <col min="8" max="8" width="11.140625" customWidth="1"/>
    <col min="9" max="9" width="7.42578125" bestFit="1" customWidth="1"/>
    <col min="10" max="10" width="7.42578125" customWidth="1"/>
    <col min="11" max="11" width="11.85546875" customWidth="1"/>
    <col min="12" max="12" width="7.42578125" bestFit="1" customWidth="1"/>
    <col min="13" max="13" width="7.42578125" customWidth="1"/>
    <col min="14" max="14" width="11.28515625" customWidth="1"/>
    <col min="15" max="15" width="7.42578125" bestFit="1" customWidth="1"/>
    <col min="16" max="16" width="7.42578125" customWidth="1"/>
    <col min="17" max="17" width="12" customWidth="1"/>
    <col min="18" max="18" width="7.42578125" bestFit="1" customWidth="1"/>
    <col min="19" max="19" width="7.42578125" customWidth="1"/>
    <col min="20" max="20" width="12.5703125" customWidth="1"/>
    <col min="21" max="21" width="7.42578125" bestFit="1" customWidth="1"/>
    <col min="22" max="22" width="7.42578125" customWidth="1"/>
    <col min="23" max="23" width="12" customWidth="1"/>
    <col min="24" max="24" width="7.42578125" bestFit="1" customWidth="1"/>
    <col min="25" max="25" width="7.42578125" customWidth="1"/>
    <col min="26" max="26" width="11.42578125" customWidth="1"/>
    <col min="27" max="27" width="7.42578125" bestFit="1" customWidth="1"/>
    <col min="28" max="28" width="7.42578125" customWidth="1"/>
    <col min="29" max="29" width="9.5703125" bestFit="1" customWidth="1"/>
    <col min="30" max="30" width="8.42578125" bestFit="1" customWidth="1"/>
    <col min="31" max="31" width="8.42578125" customWidth="1"/>
    <col min="32" max="32" width="11.42578125" customWidth="1"/>
    <col min="33" max="33" width="8.42578125" bestFit="1" customWidth="1"/>
    <col min="34" max="34" width="16.140625" bestFit="1" customWidth="1"/>
    <col min="35" max="35" width="8.42578125" bestFit="1" customWidth="1"/>
    <col min="267" max="267" width="8.28515625" bestFit="1" customWidth="1"/>
    <col min="268" max="268" width="8.5703125" bestFit="1" customWidth="1"/>
    <col min="269" max="269" width="5.42578125" bestFit="1" customWidth="1"/>
    <col min="270" max="270" width="8.5703125" bestFit="1" customWidth="1"/>
    <col min="271" max="271" width="5.42578125" bestFit="1" customWidth="1"/>
    <col min="272" max="272" width="8.5703125" bestFit="1" customWidth="1"/>
    <col min="273" max="273" width="5.42578125" bestFit="1" customWidth="1"/>
    <col min="274" max="274" width="8.5703125" bestFit="1" customWidth="1"/>
    <col min="275" max="275" width="5.42578125" bestFit="1" customWidth="1"/>
    <col min="276" max="276" width="8.5703125" bestFit="1" customWidth="1"/>
    <col min="277" max="277" width="5.42578125" bestFit="1" customWidth="1"/>
    <col min="278" max="278" width="8.5703125" bestFit="1" customWidth="1"/>
    <col min="279" max="279" width="5.42578125" bestFit="1" customWidth="1"/>
    <col min="280" max="280" width="8.5703125" bestFit="1" customWidth="1"/>
    <col min="281" max="281" width="5.42578125" bestFit="1" customWidth="1"/>
    <col min="282" max="282" width="8.7109375" customWidth="1"/>
    <col min="283" max="283" width="5.42578125" bestFit="1" customWidth="1"/>
    <col min="284" max="284" width="8.5703125" bestFit="1" customWidth="1"/>
    <col min="285" max="285" width="6" bestFit="1" customWidth="1"/>
    <col min="286" max="286" width="9.5703125" bestFit="1" customWidth="1"/>
    <col min="287" max="287" width="6" bestFit="1" customWidth="1"/>
    <col min="288" max="288" width="9.5703125" bestFit="1" customWidth="1"/>
    <col min="289" max="289" width="5.42578125" bestFit="1" customWidth="1"/>
    <col min="523" max="523" width="8.28515625" bestFit="1" customWidth="1"/>
    <col min="524" max="524" width="8.5703125" bestFit="1" customWidth="1"/>
    <col min="525" max="525" width="5.42578125" bestFit="1" customWidth="1"/>
    <col min="526" max="526" width="8.5703125" bestFit="1" customWidth="1"/>
    <col min="527" max="527" width="5.42578125" bestFit="1" customWidth="1"/>
    <col min="528" max="528" width="8.5703125" bestFit="1" customWidth="1"/>
    <col min="529" max="529" width="5.42578125" bestFit="1" customWidth="1"/>
    <col min="530" max="530" width="8.5703125" bestFit="1" customWidth="1"/>
    <col min="531" max="531" width="5.42578125" bestFit="1" customWidth="1"/>
    <col min="532" max="532" width="8.5703125" bestFit="1" customWidth="1"/>
    <col min="533" max="533" width="5.42578125" bestFit="1" customWidth="1"/>
    <col min="534" max="534" width="8.5703125" bestFit="1" customWidth="1"/>
    <col min="535" max="535" width="5.42578125" bestFit="1" customWidth="1"/>
    <col min="536" max="536" width="8.5703125" bestFit="1" customWidth="1"/>
    <col min="537" max="537" width="5.42578125" bestFit="1" customWidth="1"/>
    <col min="538" max="538" width="8.7109375" customWidth="1"/>
    <col min="539" max="539" width="5.42578125" bestFit="1" customWidth="1"/>
    <col min="540" max="540" width="8.5703125" bestFit="1" customWidth="1"/>
    <col min="541" max="541" width="6" bestFit="1" customWidth="1"/>
    <col min="542" max="542" width="9.5703125" bestFit="1" customWidth="1"/>
    <col min="543" max="543" width="6" bestFit="1" customWidth="1"/>
    <col min="544" max="544" width="9.5703125" bestFit="1" customWidth="1"/>
    <col min="545" max="545" width="5.42578125" bestFit="1" customWidth="1"/>
    <col min="779" max="779" width="8.28515625" bestFit="1" customWidth="1"/>
    <col min="780" max="780" width="8.5703125" bestFit="1" customWidth="1"/>
    <col min="781" max="781" width="5.42578125" bestFit="1" customWidth="1"/>
    <col min="782" max="782" width="8.5703125" bestFit="1" customWidth="1"/>
    <col min="783" max="783" width="5.42578125" bestFit="1" customWidth="1"/>
    <col min="784" max="784" width="8.5703125" bestFit="1" customWidth="1"/>
    <col min="785" max="785" width="5.42578125" bestFit="1" customWidth="1"/>
    <col min="786" max="786" width="8.5703125" bestFit="1" customWidth="1"/>
    <col min="787" max="787" width="5.42578125" bestFit="1" customWidth="1"/>
    <col min="788" max="788" width="8.5703125" bestFit="1" customWidth="1"/>
    <col min="789" max="789" width="5.42578125" bestFit="1" customWidth="1"/>
    <col min="790" max="790" width="8.5703125" bestFit="1" customWidth="1"/>
    <col min="791" max="791" width="5.42578125" bestFit="1" customWidth="1"/>
    <col min="792" max="792" width="8.5703125" bestFit="1" customWidth="1"/>
    <col min="793" max="793" width="5.42578125" bestFit="1" customWidth="1"/>
    <col min="794" max="794" width="8.7109375" customWidth="1"/>
    <col min="795" max="795" width="5.42578125" bestFit="1" customWidth="1"/>
    <col min="796" max="796" width="8.5703125" bestFit="1" customWidth="1"/>
    <col min="797" max="797" width="6" bestFit="1" customWidth="1"/>
    <col min="798" max="798" width="9.5703125" bestFit="1" customWidth="1"/>
    <col min="799" max="799" width="6" bestFit="1" customWidth="1"/>
    <col min="800" max="800" width="9.5703125" bestFit="1" customWidth="1"/>
    <col min="801" max="801" width="5.42578125" bestFit="1" customWidth="1"/>
    <col min="1035" max="1035" width="8.28515625" bestFit="1" customWidth="1"/>
    <col min="1036" max="1036" width="8.5703125" bestFit="1" customWidth="1"/>
    <col min="1037" max="1037" width="5.42578125" bestFit="1" customWidth="1"/>
    <col min="1038" max="1038" width="8.5703125" bestFit="1" customWidth="1"/>
    <col min="1039" max="1039" width="5.42578125" bestFit="1" customWidth="1"/>
    <col min="1040" max="1040" width="8.5703125" bestFit="1" customWidth="1"/>
    <col min="1041" max="1041" width="5.42578125" bestFit="1" customWidth="1"/>
    <col min="1042" max="1042" width="8.5703125" bestFit="1" customWidth="1"/>
    <col min="1043" max="1043" width="5.42578125" bestFit="1" customWidth="1"/>
    <col min="1044" max="1044" width="8.5703125" bestFit="1" customWidth="1"/>
    <col min="1045" max="1045" width="5.42578125" bestFit="1" customWidth="1"/>
    <col min="1046" max="1046" width="8.5703125" bestFit="1" customWidth="1"/>
    <col min="1047" max="1047" width="5.42578125" bestFit="1" customWidth="1"/>
    <col min="1048" max="1048" width="8.5703125" bestFit="1" customWidth="1"/>
    <col min="1049" max="1049" width="5.42578125" bestFit="1" customWidth="1"/>
    <col min="1050" max="1050" width="8.7109375" customWidth="1"/>
    <col min="1051" max="1051" width="5.42578125" bestFit="1" customWidth="1"/>
    <col min="1052" max="1052" width="8.5703125" bestFit="1" customWidth="1"/>
    <col min="1053" max="1053" width="6" bestFit="1" customWidth="1"/>
    <col min="1054" max="1054" width="9.5703125" bestFit="1" customWidth="1"/>
    <col min="1055" max="1055" width="6" bestFit="1" customWidth="1"/>
    <col min="1056" max="1056" width="9.5703125" bestFit="1" customWidth="1"/>
    <col min="1057" max="1057" width="5.42578125" bestFit="1" customWidth="1"/>
    <col min="1291" max="1291" width="8.28515625" bestFit="1" customWidth="1"/>
    <col min="1292" max="1292" width="8.5703125" bestFit="1" customWidth="1"/>
    <col min="1293" max="1293" width="5.42578125" bestFit="1" customWidth="1"/>
    <col min="1294" max="1294" width="8.5703125" bestFit="1" customWidth="1"/>
    <col min="1295" max="1295" width="5.42578125" bestFit="1" customWidth="1"/>
    <col min="1296" max="1296" width="8.5703125" bestFit="1" customWidth="1"/>
    <col min="1297" max="1297" width="5.42578125" bestFit="1" customWidth="1"/>
    <col min="1298" max="1298" width="8.5703125" bestFit="1" customWidth="1"/>
    <col min="1299" max="1299" width="5.42578125" bestFit="1" customWidth="1"/>
    <col min="1300" max="1300" width="8.5703125" bestFit="1" customWidth="1"/>
    <col min="1301" max="1301" width="5.42578125" bestFit="1" customWidth="1"/>
    <col min="1302" max="1302" width="8.5703125" bestFit="1" customWidth="1"/>
    <col min="1303" max="1303" width="5.42578125" bestFit="1" customWidth="1"/>
    <col min="1304" max="1304" width="8.5703125" bestFit="1" customWidth="1"/>
    <col min="1305" max="1305" width="5.42578125" bestFit="1" customWidth="1"/>
    <col min="1306" max="1306" width="8.7109375" customWidth="1"/>
    <col min="1307" max="1307" width="5.42578125" bestFit="1" customWidth="1"/>
    <col min="1308" max="1308" width="8.5703125" bestFit="1" customWidth="1"/>
    <col min="1309" max="1309" width="6" bestFit="1" customWidth="1"/>
    <col min="1310" max="1310" width="9.5703125" bestFit="1" customWidth="1"/>
    <col min="1311" max="1311" width="6" bestFit="1" customWidth="1"/>
    <col min="1312" max="1312" width="9.5703125" bestFit="1" customWidth="1"/>
    <col min="1313" max="1313" width="5.42578125" bestFit="1" customWidth="1"/>
    <col min="1547" max="1547" width="8.28515625" bestFit="1" customWidth="1"/>
    <col min="1548" max="1548" width="8.5703125" bestFit="1" customWidth="1"/>
    <col min="1549" max="1549" width="5.42578125" bestFit="1" customWidth="1"/>
    <col min="1550" max="1550" width="8.5703125" bestFit="1" customWidth="1"/>
    <col min="1551" max="1551" width="5.42578125" bestFit="1" customWidth="1"/>
    <col min="1552" max="1552" width="8.5703125" bestFit="1" customWidth="1"/>
    <col min="1553" max="1553" width="5.42578125" bestFit="1" customWidth="1"/>
    <col min="1554" max="1554" width="8.5703125" bestFit="1" customWidth="1"/>
    <col min="1555" max="1555" width="5.42578125" bestFit="1" customWidth="1"/>
    <col min="1556" max="1556" width="8.5703125" bestFit="1" customWidth="1"/>
    <col min="1557" max="1557" width="5.42578125" bestFit="1" customWidth="1"/>
    <col min="1558" max="1558" width="8.5703125" bestFit="1" customWidth="1"/>
    <col min="1559" max="1559" width="5.42578125" bestFit="1" customWidth="1"/>
    <col min="1560" max="1560" width="8.5703125" bestFit="1" customWidth="1"/>
    <col min="1561" max="1561" width="5.42578125" bestFit="1" customWidth="1"/>
    <col min="1562" max="1562" width="8.7109375" customWidth="1"/>
    <col min="1563" max="1563" width="5.42578125" bestFit="1" customWidth="1"/>
    <col min="1564" max="1564" width="8.5703125" bestFit="1" customWidth="1"/>
    <col min="1565" max="1565" width="6" bestFit="1" customWidth="1"/>
    <col min="1566" max="1566" width="9.5703125" bestFit="1" customWidth="1"/>
    <col min="1567" max="1567" width="6" bestFit="1" customWidth="1"/>
    <col min="1568" max="1568" width="9.5703125" bestFit="1" customWidth="1"/>
    <col min="1569" max="1569" width="5.42578125" bestFit="1" customWidth="1"/>
    <col min="1803" max="1803" width="8.28515625" bestFit="1" customWidth="1"/>
    <col min="1804" max="1804" width="8.5703125" bestFit="1" customWidth="1"/>
    <col min="1805" max="1805" width="5.42578125" bestFit="1" customWidth="1"/>
    <col min="1806" max="1806" width="8.5703125" bestFit="1" customWidth="1"/>
    <col min="1807" max="1807" width="5.42578125" bestFit="1" customWidth="1"/>
    <col min="1808" max="1808" width="8.5703125" bestFit="1" customWidth="1"/>
    <col min="1809" max="1809" width="5.42578125" bestFit="1" customWidth="1"/>
    <col min="1810" max="1810" width="8.5703125" bestFit="1" customWidth="1"/>
    <col min="1811" max="1811" width="5.42578125" bestFit="1" customWidth="1"/>
    <col min="1812" max="1812" width="8.5703125" bestFit="1" customWidth="1"/>
    <col min="1813" max="1813" width="5.42578125" bestFit="1" customWidth="1"/>
    <col min="1814" max="1814" width="8.5703125" bestFit="1" customWidth="1"/>
    <col min="1815" max="1815" width="5.42578125" bestFit="1" customWidth="1"/>
    <col min="1816" max="1816" width="8.5703125" bestFit="1" customWidth="1"/>
    <col min="1817" max="1817" width="5.42578125" bestFit="1" customWidth="1"/>
    <col min="1818" max="1818" width="8.7109375" customWidth="1"/>
    <col min="1819" max="1819" width="5.42578125" bestFit="1" customWidth="1"/>
    <col min="1820" max="1820" width="8.5703125" bestFit="1" customWidth="1"/>
    <col min="1821" max="1821" width="6" bestFit="1" customWidth="1"/>
    <col min="1822" max="1822" width="9.5703125" bestFit="1" customWidth="1"/>
    <col min="1823" max="1823" width="6" bestFit="1" customWidth="1"/>
    <col min="1824" max="1824" width="9.5703125" bestFit="1" customWidth="1"/>
    <col min="1825" max="1825" width="5.42578125" bestFit="1" customWidth="1"/>
    <col min="2059" max="2059" width="8.28515625" bestFit="1" customWidth="1"/>
    <col min="2060" max="2060" width="8.5703125" bestFit="1" customWidth="1"/>
    <col min="2061" max="2061" width="5.42578125" bestFit="1" customWidth="1"/>
    <col min="2062" max="2062" width="8.5703125" bestFit="1" customWidth="1"/>
    <col min="2063" max="2063" width="5.42578125" bestFit="1" customWidth="1"/>
    <col min="2064" max="2064" width="8.5703125" bestFit="1" customWidth="1"/>
    <col min="2065" max="2065" width="5.42578125" bestFit="1" customWidth="1"/>
    <col min="2066" max="2066" width="8.5703125" bestFit="1" customWidth="1"/>
    <col min="2067" max="2067" width="5.42578125" bestFit="1" customWidth="1"/>
    <col min="2068" max="2068" width="8.5703125" bestFit="1" customWidth="1"/>
    <col min="2069" max="2069" width="5.42578125" bestFit="1" customWidth="1"/>
    <col min="2070" max="2070" width="8.5703125" bestFit="1" customWidth="1"/>
    <col min="2071" max="2071" width="5.42578125" bestFit="1" customWidth="1"/>
    <col min="2072" max="2072" width="8.5703125" bestFit="1" customWidth="1"/>
    <col min="2073" max="2073" width="5.42578125" bestFit="1" customWidth="1"/>
    <col min="2074" max="2074" width="8.7109375" customWidth="1"/>
    <col min="2075" max="2075" width="5.42578125" bestFit="1" customWidth="1"/>
    <col min="2076" max="2076" width="8.5703125" bestFit="1" customWidth="1"/>
    <col min="2077" max="2077" width="6" bestFit="1" customWidth="1"/>
    <col min="2078" max="2078" width="9.5703125" bestFit="1" customWidth="1"/>
    <col min="2079" max="2079" width="6" bestFit="1" customWidth="1"/>
    <col min="2080" max="2080" width="9.5703125" bestFit="1" customWidth="1"/>
    <col min="2081" max="2081" width="5.42578125" bestFit="1" customWidth="1"/>
    <col min="2315" max="2315" width="8.28515625" bestFit="1" customWidth="1"/>
    <col min="2316" max="2316" width="8.5703125" bestFit="1" customWidth="1"/>
    <col min="2317" max="2317" width="5.42578125" bestFit="1" customWidth="1"/>
    <col min="2318" max="2318" width="8.5703125" bestFit="1" customWidth="1"/>
    <col min="2319" max="2319" width="5.42578125" bestFit="1" customWidth="1"/>
    <col min="2320" max="2320" width="8.5703125" bestFit="1" customWidth="1"/>
    <col min="2321" max="2321" width="5.42578125" bestFit="1" customWidth="1"/>
    <col min="2322" max="2322" width="8.5703125" bestFit="1" customWidth="1"/>
    <col min="2323" max="2323" width="5.42578125" bestFit="1" customWidth="1"/>
    <col min="2324" max="2324" width="8.5703125" bestFit="1" customWidth="1"/>
    <col min="2325" max="2325" width="5.42578125" bestFit="1" customWidth="1"/>
    <col min="2326" max="2326" width="8.5703125" bestFit="1" customWidth="1"/>
    <col min="2327" max="2327" width="5.42578125" bestFit="1" customWidth="1"/>
    <col min="2328" max="2328" width="8.5703125" bestFit="1" customWidth="1"/>
    <col min="2329" max="2329" width="5.42578125" bestFit="1" customWidth="1"/>
    <col min="2330" max="2330" width="8.7109375" customWidth="1"/>
    <col min="2331" max="2331" width="5.42578125" bestFit="1" customWidth="1"/>
    <col min="2332" max="2332" width="8.5703125" bestFit="1" customWidth="1"/>
    <col min="2333" max="2333" width="6" bestFit="1" customWidth="1"/>
    <col min="2334" max="2334" width="9.5703125" bestFit="1" customWidth="1"/>
    <col min="2335" max="2335" width="6" bestFit="1" customWidth="1"/>
    <col min="2336" max="2336" width="9.5703125" bestFit="1" customWidth="1"/>
    <col min="2337" max="2337" width="5.42578125" bestFit="1" customWidth="1"/>
    <col min="2571" max="2571" width="8.28515625" bestFit="1" customWidth="1"/>
    <col min="2572" max="2572" width="8.5703125" bestFit="1" customWidth="1"/>
    <col min="2573" max="2573" width="5.42578125" bestFit="1" customWidth="1"/>
    <col min="2574" max="2574" width="8.5703125" bestFit="1" customWidth="1"/>
    <col min="2575" max="2575" width="5.42578125" bestFit="1" customWidth="1"/>
    <col min="2576" max="2576" width="8.5703125" bestFit="1" customWidth="1"/>
    <col min="2577" max="2577" width="5.42578125" bestFit="1" customWidth="1"/>
    <col min="2578" max="2578" width="8.5703125" bestFit="1" customWidth="1"/>
    <col min="2579" max="2579" width="5.42578125" bestFit="1" customWidth="1"/>
    <col min="2580" max="2580" width="8.5703125" bestFit="1" customWidth="1"/>
    <col min="2581" max="2581" width="5.42578125" bestFit="1" customWidth="1"/>
    <col min="2582" max="2582" width="8.5703125" bestFit="1" customWidth="1"/>
    <col min="2583" max="2583" width="5.42578125" bestFit="1" customWidth="1"/>
    <col min="2584" max="2584" width="8.5703125" bestFit="1" customWidth="1"/>
    <col min="2585" max="2585" width="5.42578125" bestFit="1" customWidth="1"/>
    <col min="2586" max="2586" width="8.7109375" customWidth="1"/>
    <col min="2587" max="2587" width="5.42578125" bestFit="1" customWidth="1"/>
    <col min="2588" max="2588" width="8.5703125" bestFit="1" customWidth="1"/>
    <col min="2589" max="2589" width="6" bestFit="1" customWidth="1"/>
    <col min="2590" max="2590" width="9.5703125" bestFit="1" customWidth="1"/>
    <col min="2591" max="2591" width="6" bestFit="1" customWidth="1"/>
    <col min="2592" max="2592" width="9.5703125" bestFit="1" customWidth="1"/>
    <col min="2593" max="2593" width="5.42578125" bestFit="1" customWidth="1"/>
    <col min="2827" max="2827" width="8.28515625" bestFit="1" customWidth="1"/>
    <col min="2828" max="2828" width="8.5703125" bestFit="1" customWidth="1"/>
    <col min="2829" max="2829" width="5.42578125" bestFit="1" customWidth="1"/>
    <col min="2830" max="2830" width="8.5703125" bestFit="1" customWidth="1"/>
    <col min="2831" max="2831" width="5.42578125" bestFit="1" customWidth="1"/>
    <col min="2832" max="2832" width="8.5703125" bestFit="1" customWidth="1"/>
    <col min="2833" max="2833" width="5.42578125" bestFit="1" customWidth="1"/>
    <col min="2834" max="2834" width="8.5703125" bestFit="1" customWidth="1"/>
    <col min="2835" max="2835" width="5.42578125" bestFit="1" customWidth="1"/>
    <col min="2836" max="2836" width="8.5703125" bestFit="1" customWidth="1"/>
    <col min="2837" max="2837" width="5.42578125" bestFit="1" customWidth="1"/>
    <col min="2838" max="2838" width="8.5703125" bestFit="1" customWidth="1"/>
    <col min="2839" max="2839" width="5.42578125" bestFit="1" customWidth="1"/>
    <col min="2840" max="2840" width="8.5703125" bestFit="1" customWidth="1"/>
    <col min="2841" max="2841" width="5.42578125" bestFit="1" customWidth="1"/>
    <col min="2842" max="2842" width="8.7109375" customWidth="1"/>
    <col min="2843" max="2843" width="5.42578125" bestFit="1" customWidth="1"/>
    <col min="2844" max="2844" width="8.5703125" bestFit="1" customWidth="1"/>
    <col min="2845" max="2845" width="6" bestFit="1" customWidth="1"/>
    <col min="2846" max="2846" width="9.5703125" bestFit="1" customWidth="1"/>
    <col min="2847" max="2847" width="6" bestFit="1" customWidth="1"/>
    <col min="2848" max="2848" width="9.5703125" bestFit="1" customWidth="1"/>
    <col min="2849" max="2849" width="5.42578125" bestFit="1" customWidth="1"/>
    <col min="3083" max="3083" width="8.28515625" bestFit="1" customWidth="1"/>
    <col min="3084" max="3084" width="8.5703125" bestFit="1" customWidth="1"/>
    <col min="3085" max="3085" width="5.42578125" bestFit="1" customWidth="1"/>
    <col min="3086" max="3086" width="8.5703125" bestFit="1" customWidth="1"/>
    <col min="3087" max="3087" width="5.42578125" bestFit="1" customWidth="1"/>
    <col min="3088" max="3088" width="8.5703125" bestFit="1" customWidth="1"/>
    <col min="3089" max="3089" width="5.42578125" bestFit="1" customWidth="1"/>
    <col min="3090" max="3090" width="8.5703125" bestFit="1" customWidth="1"/>
    <col min="3091" max="3091" width="5.42578125" bestFit="1" customWidth="1"/>
    <col min="3092" max="3092" width="8.5703125" bestFit="1" customWidth="1"/>
    <col min="3093" max="3093" width="5.42578125" bestFit="1" customWidth="1"/>
    <col min="3094" max="3094" width="8.5703125" bestFit="1" customWidth="1"/>
    <col min="3095" max="3095" width="5.42578125" bestFit="1" customWidth="1"/>
    <col min="3096" max="3096" width="8.5703125" bestFit="1" customWidth="1"/>
    <col min="3097" max="3097" width="5.42578125" bestFit="1" customWidth="1"/>
    <col min="3098" max="3098" width="8.7109375" customWidth="1"/>
    <col min="3099" max="3099" width="5.42578125" bestFit="1" customWidth="1"/>
    <col min="3100" max="3100" width="8.5703125" bestFit="1" customWidth="1"/>
    <col min="3101" max="3101" width="6" bestFit="1" customWidth="1"/>
    <col min="3102" max="3102" width="9.5703125" bestFit="1" customWidth="1"/>
    <col min="3103" max="3103" width="6" bestFit="1" customWidth="1"/>
    <col min="3104" max="3104" width="9.5703125" bestFit="1" customWidth="1"/>
    <col min="3105" max="3105" width="5.42578125" bestFit="1" customWidth="1"/>
    <col min="3339" max="3339" width="8.28515625" bestFit="1" customWidth="1"/>
    <col min="3340" max="3340" width="8.5703125" bestFit="1" customWidth="1"/>
    <col min="3341" max="3341" width="5.42578125" bestFit="1" customWidth="1"/>
    <col min="3342" max="3342" width="8.5703125" bestFit="1" customWidth="1"/>
    <col min="3343" max="3343" width="5.42578125" bestFit="1" customWidth="1"/>
    <col min="3344" max="3344" width="8.5703125" bestFit="1" customWidth="1"/>
    <col min="3345" max="3345" width="5.42578125" bestFit="1" customWidth="1"/>
    <col min="3346" max="3346" width="8.5703125" bestFit="1" customWidth="1"/>
    <col min="3347" max="3347" width="5.42578125" bestFit="1" customWidth="1"/>
    <col min="3348" max="3348" width="8.5703125" bestFit="1" customWidth="1"/>
    <col min="3349" max="3349" width="5.42578125" bestFit="1" customWidth="1"/>
    <col min="3350" max="3350" width="8.5703125" bestFit="1" customWidth="1"/>
    <col min="3351" max="3351" width="5.42578125" bestFit="1" customWidth="1"/>
    <col min="3352" max="3352" width="8.5703125" bestFit="1" customWidth="1"/>
    <col min="3353" max="3353" width="5.42578125" bestFit="1" customWidth="1"/>
    <col min="3354" max="3354" width="8.7109375" customWidth="1"/>
    <col min="3355" max="3355" width="5.42578125" bestFit="1" customWidth="1"/>
    <col min="3356" max="3356" width="8.5703125" bestFit="1" customWidth="1"/>
    <col min="3357" max="3357" width="6" bestFit="1" customWidth="1"/>
    <col min="3358" max="3358" width="9.5703125" bestFit="1" customWidth="1"/>
    <col min="3359" max="3359" width="6" bestFit="1" customWidth="1"/>
    <col min="3360" max="3360" width="9.5703125" bestFit="1" customWidth="1"/>
    <col min="3361" max="3361" width="5.42578125" bestFit="1" customWidth="1"/>
    <col min="3595" max="3595" width="8.28515625" bestFit="1" customWidth="1"/>
    <col min="3596" max="3596" width="8.5703125" bestFit="1" customWidth="1"/>
    <col min="3597" max="3597" width="5.42578125" bestFit="1" customWidth="1"/>
    <col min="3598" max="3598" width="8.5703125" bestFit="1" customWidth="1"/>
    <col min="3599" max="3599" width="5.42578125" bestFit="1" customWidth="1"/>
    <col min="3600" max="3600" width="8.5703125" bestFit="1" customWidth="1"/>
    <col min="3601" max="3601" width="5.42578125" bestFit="1" customWidth="1"/>
    <col min="3602" max="3602" width="8.5703125" bestFit="1" customWidth="1"/>
    <col min="3603" max="3603" width="5.42578125" bestFit="1" customWidth="1"/>
    <col min="3604" max="3604" width="8.5703125" bestFit="1" customWidth="1"/>
    <col min="3605" max="3605" width="5.42578125" bestFit="1" customWidth="1"/>
    <col min="3606" max="3606" width="8.5703125" bestFit="1" customWidth="1"/>
    <col min="3607" max="3607" width="5.42578125" bestFit="1" customWidth="1"/>
    <col min="3608" max="3608" width="8.5703125" bestFit="1" customWidth="1"/>
    <col min="3609" max="3609" width="5.42578125" bestFit="1" customWidth="1"/>
    <col min="3610" max="3610" width="8.7109375" customWidth="1"/>
    <col min="3611" max="3611" width="5.42578125" bestFit="1" customWidth="1"/>
    <col min="3612" max="3612" width="8.5703125" bestFit="1" customWidth="1"/>
    <col min="3613" max="3613" width="6" bestFit="1" customWidth="1"/>
    <col min="3614" max="3614" width="9.5703125" bestFit="1" customWidth="1"/>
    <col min="3615" max="3615" width="6" bestFit="1" customWidth="1"/>
    <col min="3616" max="3616" width="9.5703125" bestFit="1" customWidth="1"/>
    <col min="3617" max="3617" width="5.42578125" bestFit="1" customWidth="1"/>
    <col min="3851" max="3851" width="8.28515625" bestFit="1" customWidth="1"/>
    <col min="3852" max="3852" width="8.5703125" bestFit="1" customWidth="1"/>
    <col min="3853" max="3853" width="5.42578125" bestFit="1" customWidth="1"/>
    <col min="3854" max="3854" width="8.5703125" bestFit="1" customWidth="1"/>
    <col min="3855" max="3855" width="5.42578125" bestFit="1" customWidth="1"/>
    <col min="3856" max="3856" width="8.5703125" bestFit="1" customWidth="1"/>
    <col min="3857" max="3857" width="5.42578125" bestFit="1" customWidth="1"/>
    <col min="3858" max="3858" width="8.5703125" bestFit="1" customWidth="1"/>
    <col min="3859" max="3859" width="5.42578125" bestFit="1" customWidth="1"/>
    <col min="3860" max="3860" width="8.5703125" bestFit="1" customWidth="1"/>
    <col min="3861" max="3861" width="5.42578125" bestFit="1" customWidth="1"/>
    <col min="3862" max="3862" width="8.5703125" bestFit="1" customWidth="1"/>
    <col min="3863" max="3863" width="5.42578125" bestFit="1" customWidth="1"/>
    <col min="3864" max="3864" width="8.5703125" bestFit="1" customWidth="1"/>
    <col min="3865" max="3865" width="5.42578125" bestFit="1" customWidth="1"/>
    <col min="3866" max="3866" width="8.7109375" customWidth="1"/>
    <col min="3867" max="3867" width="5.42578125" bestFit="1" customWidth="1"/>
    <col min="3868" max="3868" width="8.5703125" bestFit="1" customWidth="1"/>
    <col min="3869" max="3869" width="6" bestFit="1" customWidth="1"/>
    <col min="3870" max="3870" width="9.5703125" bestFit="1" customWidth="1"/>
    <col min="3871" max="3871" width="6" bestFit="1" customWidth="1"/>
    <col min="3872" max="3872" width="9.5703125" bestFit="1" customWidth="1"/>
    <col min="3873" max="3873" width="5.42578125" bestFit="1" customWidth="1"/>
    <col min="4107" max="4107" width="8.28515625" bestFit="1" customWidth="1"/>
    <col min="4108" max="4108" width="8.5703125" bestFit="1" customWidth="1"/>
    <col min="4109" max="4109" width="5.42578125" bestFit="1" customWidth="1"/>
    <col min="4110" max="4110" width="8.5703125" bestFit="1" customWidth="1"/>
    <col min="4111" max="4111" width="5.42578125" bestFit="1" customWidth="1"/>
    <col min="4112" max="4112" width="8.5703125" bestFit="1" customWidth="1"/>
    <col min="4113" max="4113" width="5.42578125" bestFit="1" customWidth="1"/>
    <col min="4114" max="4114" width="8.5703125" bestFit="1" customWidth="1"/>
    <col min="4115" max="4115" width="5.42578125" bestFit="1" customWidth="1"/>
    <col min="4116" max="4116" width="8.5703125" bestFit="1" customWidth="1"/>
    <col min="4117" max="4117" width="5.42578125" bestFit="1" customWidth="1"/>
    <col min="4118" max="4118" width="8.5703125" bestFit="1" customWidth="1"/>
    <col min="4119" max="4119" width="5.42578125" bestFit="1" customWidth="1"/>
    <col min="4120" max="4120" width="8.5703125" bestFit="1" customWidth="1"/>
    <col min="4121" max="4121" width="5.42578125" bestFit="1" customWidth="1"/>
    <col min="4122" max="4122" width="8.7109375" customWidth="1"/>
    <col min="4123" max="4123" width="5.42578125" bestFit="1" customWidth="1"/>
    <col min="4124" max="4124" width="8.5703125" bestFit="1" customWidth="1"/>
    <col min="4125" max="4125" width="6" bestFit="1" customWidth="1"/>
    <col min="4126" max="4126" width="9.5703125" bestFit="1" customWidth="1"/>
    <col min="4127" max="4127" width="6" bestFit="1" customWidth="1"/>
    <col min="4128" max="4128" width="9.5703125" bestFit="1" customWidth="1"/>
    <col min="4129" max="4129" width="5.42578125" bestFit="1" customWidth="1"/>
    <col min="4363" max="4363" width="8.28515625" bestFit="1" customWidth="1"/>
    <col min="4364" max="4364" width="8.5703125" bestFit="1" customWidth="1"/>
    <col min="4365" max="4365" width="5.42578125" bestFit="1" customWidth="1"/>
    <col min="4366" max="4366" width="8.5703125" bestFit="1" customWidth="1"/>
    <col min="4367" max="4367" width="5.42578125" bestFit="1" customWidth="1"/>
    <col min="4368" max="4368" width="8.5703125" bestFit="1" customWidth="1"/>
    <col min="4369" max="4369" width="5.42578125" bestFit="1" customWidth="1"/>
    <col min="4370" max="4370" width="8.5703125" bestFit="1" customWidth="1"/>
    <col min="4371" max="4371" width="5.42578125" bestFit="1" customWidth="1"/>
    <col min="4372" max="4372" width="8.5703125" bestFit="1" customWidth="1"/>
    <col min="4373" max="4373" width="5.42578125" bestFit="1" customWidth="1"/>
    <col min="4374" max="4374" width="8.5703125" bestFit="1" customWidth="1"/>
    <col min="4375" max="4375" width="5.42578125" bestFit="1" customWidth="1"/>
    <col min="4376" max="4376" width="8.5703125" bestFit="1" customWidth="1"/>
    <col min="4377" max="4377" width="5.42578125" bestFit="1" customWidth="1"/>
    <col min="4378" max="4378" width="8.7109375" customWidth="1"/>
    <col min="4379" max="4379" width="5.42578125" bestFit="1" customWidth="1"/>
    <col min="4380" max="4380" width="8.5703125" bestFit="1" customWidth="1"/>
    <col min="4381" max="4381" width="6" bestFit="1" customWidth="1"/>
    <col min="4382" max="4382" width="9.5703125" bestFit="1" customWidth="1"/>
    <col min="4383" max="4383" width="6" bestFit="1" customWidth="1"/>
    <col min="4384" max="4384" width="9.5703125" bestFit="1" customWidth="1"/>
    <col min="4385" max="4385" width="5.42578125" bestFit="1" customWidth="1"/>
    <col min="4619" max="4619" width="8.28515625" bestFit="1" customWidth="1"/>
    <col min="4620" max="4620" width="8.5703125" bestFit="1" customWidth="1"/>
    <col min="4621" max="4621" width="5.42578125" bestFit="1" customWidth="1"/>
    <col min="4622" max="4622" width="8.5703125" bestFit="1" customWidth="1"/>
    <col min="4623" max="4623" width="5.42578125" bestFit="1" customWidth="1"/>
    <col min="4624" max="4624" width="8.5703125" bestFit="1" customWidth="1"/>
    <col min="4625" max="4625" width="5.42578125" bestFit="1" customWidth="1"/>
    <col min="4626" max="4626" width="8.5703125" bestFit="1" customWidth="1"/>
    <col min="4627" max="4627" width="5.42578125" bestFit="1" customWidth="1"/>
    <col min="4628" max="4628" width="8.5703125" bestFit="1" customWidth="1"/>
    <col min="4629" max="4629" width="5.42578125" bestFit="1" customWidth="1"/>
    <col min="4630" max="4630" width="8.5703125" bestFit="1" customWidth="1"/>
    <col min="4631" max="4631" width="5.42578125" bestFit="1" customWidth="1"/>
    <col min="4632" max="4632" width="8.5703125" bestFit="1" customWidth="1"/>
    <col min="4633" max="4633" width="5.42578125" bestFit="1" customWidth="1"/>
    <col min="4634" max="4634" width="8.7109375" customWidth="1"/>
    <col min="4635" max="4635" width="5.42578125" bestFit="1" customWidth="1"/>
    <col min="4636" max="4636" width="8.5703125" bestFit="1" customWidth="1"/>
    <col min="4637" max="4637" width="6" bestFit="1" customWidth="1"/>
    <col min="4638" max="4638" width="9.5703125" bestFit="1" customWidth="1"/>
    <col min="4639" max="4639" width="6" bestFit="1" customWidth="1"/>
    <col min="4640" max="4640" width="9.5703125" bestFit="1" customWidth="1"/>
    <col min="4641" max="4641" width="5.42578125" bestFit="1" customWidth="1"/>
    <col min="4875" max="4875" width="8.28515625" bestFit="1" customWidth="1"/>
    <col min="4876" max="4876" width="8.5703125" bestFit="1" customWidth="1"/>
    <col min="4877" max="4877" width="5.42578125" bestFit="1" customWidth="1"/>
    <col min="4878" max="4878" width="8.5703125" bestFit="1" customWidth="1"/>
    <col min="4879" max="4879" width="5.42578125" bestFit="1" customWidth="1"/>
    <col min="4880" max="4880" width="8.5703125" bestFit="1" customWidth="1"/>
    <col min="4881" max="4881" width="5.42578125" bestFit="1" customWidth="1"/>
    <col min="4882" max="4882" width="8.5703125" bestFit="1" customWidth="1"/>
    <col min="4883" max="4883" width="5.42578125" bestFit="1" customWidth="1"/>
    <col min="4884" max="4884" width="8.5703125" bestFit="1" customWidth="1"/>
    <col min="4885" max="4885" width="5.42578125" bestFit="1" customWidth="1"/>
    <col min="4886" max="4886" width="8.5703125" bestFit="1" customWidth="1"/>
    <col min="4887" max="4887" width="5.42578125" bestFit="1" customWidth="1"/>
    <col min="4888" max="4888" width="8.5703125" bestFit="1" customWidth="1"/>
    <col min="4889" max="4889" width="5.42578125" bestFit="1" customWidth="1"/>
    <col min="4890" max="4890" width="8.7109375" customWidth="1"/>
    <col min="4891" max="4891" width="5.42578125" bestFit="1" customWidth="1"/>
    <col min="4892" max="4892" width="8.5703125" bestFit="1" customWidth="1"/>
    <col min="4893" max="4893" width="6" bestFit="1" customWidth="1"/>
    <col min="4894" max="4894" width="9.5703125" bestFit="1" customWidth="1"/>
    <col min="4895" max="4895" width="6" bestFit="1" customWidth="1"/>
    <col min="4896" max="4896" width="9.5703125" bestFit="1" customWidth="1"/>
    <col min="4897" max="4897" width="5.42578125" bestFit="1" customWidth="1"/>
    <col min="5131" max="5131" width="8.28515625" bestFit="1" customWidth="1"/>
    <col min="5132" max="5132" width="8.5703125" bestFit="1" customWidth="1"/>
    <col min="5133" max="5133" width="5.42578125" bestFit="1" customWidth="1"/>
    <col min="5134" max="5134" width="8.5703125" bestFit="1" customWidth="1"/>
    <col min="5135" max="5135" width="5.42578125" bestFit="1" customWidth="1"/>
    <col min="5136" max="5136" width="8.5703125" bestFit="1" customWidth="1"/>
    <col min="5137" max="5137" width="5.42578125" bestFit="1" customWidth="1"/>
    <col min="5138" max="5138" width="8.5703125" bestFit="1" customWidth="1"/>
    <col min="5139" max="5139" width="5.42578125" bestFit="1" customWidth="1"/>
    <col min="5140" max="5140" width="8.5703125" bestFit="1" customWidth="1"/>
    <col min="5141" max="5141" width="5.42578125" bestFit="1" customWidth="1"/>
    <col min="5142" max="5142" width="8.5703125" bestFit="1" customWidth="1"/>
    <col min="5143" max="5143" width="5.42578125" bestFit="1" customWidth="1"/>
    <col min="5144" max="5144" width="8.5703125" bestFit="1" customWidth="1"/>
    <col min="5145" max="5145" width="5.42578125" bestFit="1" customWidth="1"/>
    <col min="5146" max="5146" width="8.7109375" customWidth="1"/>
    <col min="5147" max="5147" width="5.42578125" bestFit="1" customWidth="1"/>
    <col min="5148" max="5148" width="8.5703125" bestFit="1" customWidth="1"/>
    <col min="5149" max="5149" width="6" bestFit="1" customWidth="1"/>
    <col min="5150" max="5150" width="9.5703125" bestFit="1" customWidth="1"/>
    <col min="5151" max="5151" width="6" bestFit="1" customWidth="1"/>
    <col min="5152" max="5152" width="9.5703125" bestFit="1" customWidth="1"/>
    <col min="5153" max="5153" width="5.42578125" bestFit="1" customWidth="1"/>
    <col min="5387" max="5387" width="8.28515625" bestFit="1" customWidth="1"/>
    <col min="5388" max="5388" width="8.5703125" bestFit="1" customWidth="1"/>
    <col min="5389" max="5389" width="5.42578125" bestFit="1" customWidth="1"/>
    <col min="5390" max="5390" width="8.5703125" bestFit="1" customWidth="1"/>
    <col min="5391" max="5391" width="5.42578125" bestFit="1" customWidth="1"/>
    <col min="5392" max="5392" width="8.5703125" bestFit="1" customWidth="1"/>
    <col min="5393" max="5393" width="5.42578125" bestFit="1" customWidth="1"/>
    <col min="5394" max="5394" width="8.5703125" bestFit="1" customWidth="1"/>
    <col min="5395" max="5395" width="5.42578125" bestFit="1" customWidth="1"/>
    <col min="5396" max="5396" width="8.5703125" bestFit="1" customWidth="1"/>
    <col min="5397" max="5397" width="5.42578125" bestFit="1" customWidth="1"/>
    <col min="5398" max="5398" width="8.5703125" bestFit="1" customWidth="1"/>
    <col min="5399" max="5399" width="5.42578125" bestFit="1" customWidth="1"/>
    <col min="5400" max="5400" width="8.5703125" bestFit="1" customWidth="1"/>
    <col min="5401" max="5401" width="5.42578125" bestFit="1" customWidth="1"/>
    <col min="5402" max="5402" width="8.7109375" customWidth="1"/>
    <col min="5403" max="5403" width="5.42578125" bestFit="1" customWidth="1"/>
    <col min="5404" max="5404" width="8.5703125" bestFit="1" customWidth="1"/>
    <col min="5405" max="5405" width="6" bestFit="1" customWidth="1"/>
    <col min="5406" max="5406" width="9.5703125" bestFit="1" customWidth="1"/>
    <col min="5407" max="5407" width="6" bestFit="1" customWidth="1"/>
    <col min="5408" max="5408" width="9.5703125" bestFit="1" customWidth="1"/>
    <col min="5409" max="5409" width="5.42578125" bestFit="1" customWidth="1"/>
    <col min="5643" max="5643" width="8.28515625" bestFit="1" customWidth="1"/>
    <col min="5644" max="5644" width="8.5703125" bestFit="1" customWidth="1"/>
    <col min="5645" max="5645" width="5.42578125" bestFit="1" customWidth="1"/>
    <col min="5646" max="5646" width="8.5703125" bestFit="1" customWidth="1"/>
    <col min="5647" max="5647" width="5.42578125" bestFit="1" customWidth="1"/>
    <col min="5648" max="5648" width="8.5703125" bestFit="1" customWidth="1"/>
    <col min="5649" max="5649" width="5.42578125" bestFit="1" customWidth="1"/>
    <col min="5650" max="5650" width="8.5703125" bestFit="1" customWidth="1"/>
    <col min="5651" max="5651" width="5.42578125" bestFit="1" customWidth="1"/>
    <col min="5652" max="5652" width="8.5703125" bestFit="1" customWidth="1"/>
    <col min="5653" max="5653" width="5.42578125" bestFit="1" customWidth="1"/>
    <col min="5654" max="5654" width="8.5703125" bestFit="1" customWidth="1"/>
    <col min="5655" max="5655" width="5.42578125" bestFit="1" customWidth="1"/>
    <col min="5656" max="5656" width="8.5703125" bestFit="1" customWidth="1"/>
    <col min="5657" max="5657" width="5.42578125" bestFit="1" customWidth="1"/>
    <col min="5658" max="5658" width="8.7109375" customWidth="1"/>
    <col min="5659" max="5659" width="5.42578125" bestFit="1" customWidth="1"/>
    <col min="5660" max="5660" width="8.5703125" bestFit="1" customWidth="1"/>
    <col min="5661" max="5661" width="6" bestFit="1" customWidth="1"/>
    <col min="5662" max="5662" width="9.5703125" bestFit="1" customWidth="1"/>
    <col min="5663" max="5663" width="6" bestFit="1" customWidth="1"/>
    <col min="5664" max="5664" width="9.5703125" bestFit="1" customWidth="1"/>
    <col min="5665" max="5665" width="5.42578125" bestFit="1" customWidth="1"/>
    <col min="5899" max="5899" width="8.28515625" bestFit="1" customWidth="1"/>
    <col min="5900" max="5900" width="8.5703125" bestFit="1" customWidth="1"/>
    <col min="5901" max="5901" width="5.42578125" bestFit="1" customWidth="1"/>
    <col min="5902" max="5902" width="8.5703125" bestFit="1" customWidth="1"/>
    <col min="5903" max="5903" width="5.42578125" bestFit="1" customWidth="1"/>
    <col min="5904" max="5904" width="8.5703125" bestFit="1" customWidth="1"/>
    <col min="5905" max="5905" width="5.42578125" bestFit="1" customWidth="1"/>
    <col min="5906" max="5906" width="8.5703125" bestFit="1" customWidth="1"/>
    <col min="5907" max="5907" width="5.42578125" bestFit="1" customWidth="1"/>
    <col min="5908" max="5908" width="8.5703125" bestFit="1" customWidth="1"/>
    <col min="5909" max="5909" width="5.42578125" bestFit="1" customWidth="1"/>
    <col min="5910" max="5910" width="8.5703125" bestFit="1" customWidth="1"/>
    <col min="5911" max="5911" width="5.42578125" bestFit="1" customWidth="1"/>
    <col min="5912" max="5912" width="8.5703125" bestFit="1" customWidth="1"/>
    <col min="5913" max="5913" width="5.42578125" bestFit="1" customWidth="1"/>
    <col min="5914" max="5914" width="8.7109375" customWidth="1"/>
    <col min="5915" max="5915" width="5.42578125" bestFit="1" customWidth="1"/>
    <col min="5916" max="5916" width="8.5703125" bestFit="1" customWidth="1"/>
    <col min="5917" max="5917" width="6" bestFit="1" customWidth="1"/>
    <col min="5918" max="5918" width="9.5703125" bestFit="1" customWidth="1"/>
    <col min="5919" max="5919" width="6" bestFit="1" customWidth="1"/>
    <col min="5920" max="5920" width="9.5703125" bestFit="1" customWidth="1"/>
    <col min="5921" max="5921" width="5.42578125" bestFit="1" customWidth="1"/>
    <col min="6155" max="6155" width="8.28515625" bestFit="1" customWidth="1"/>
    <col min="6156" max="6156" width="8.5703125" bestFit="1" customWidth="1"/>
    <col min="6157" max="6157" width="5.42578125" bestFit="1" customWidth="1"/>
    <col min="6158" max="6158" width="8.5703125" bestFit="1" customWidth="1"/>
    <col min="6159" max="6159" width="5.42578125" bestFit="1" customWidth="1"/>
    <col min="6160" max="6160" width="8.5703125" bestFit="1" customWidth="1"/>
    <col min="6161" max="6161" width="5.42578125" bestFit="1" customWidth="1"/>
    <col min="6162" max="6162" width="8.5703125" bestFit="1" customWidth="1"/>
    <col min="6163" max="6163" width="5.42578125" bestFit="1" customWidth="1"/>
    <col min="6164" max="6164" width="8.5703125" bestFit="1" customWidth="1"/>
    <col min="6165" max="6165" width="5.42578125" bestFit="1" customWidth="1"/>
    <col min="6166" max="6166" width="8.5703125" bestFit="1" customWidth="1"/>
    <col min="6167" max="6167" width="5.42578125" bestFit="1" customWidth="1"/>
    <col min="6168" max="6168" width="8.5703125" bestFit="1" customWidth="1"/>
    <col min="6169" max="6169" width="5.42578125" bestFit="1" customWidth="1"/>
    <col min="6170" max="6170" width="8.7109375" customWidth="1"/>
    <col min="6171" max="6171" width="5.42578125" bestFit="1" customWidth="1"/>
    <col min="6172" max="6172" width="8.5703125" bestFit="1" customWidth="1"/>
    <col min="6173" max="6173" width="6" bestFit="1" customWidth="1"/>
    <col min="6174" max="6174" width="9.5703125" bestFit="1" customWidth="1"/>
    <col min="6175" max="6175" width="6" bestFit="1" customWidth="1"/>
    <col min="6176" max="6176" width="9.5703125" bestFit="1" customWidth="1"/>
    <col min="6177" max="6177" width="5.42578125" bestFit="1" customWidth="1"/>
    <col min="6411" max="6411" width="8.28515625" bestFit="1" customWidth="1"/>
    <col min="6412" max="6412" width="8.5703125" bestFit="1" customWidth="1"/>
    <col min="6413" max="6413" width="5.42578125" bestFit="1" customWidth="1"/>
    <col min="6414" max="6414" width="8.5703125" bestFit="1" customWidth="1"/>
    <col min="6415" max="6415" width="5.42578125" bestFit="1" customWidth="1"/>
    <col min="6416" max="6416" width="8.5703125" bestFit="1" customWidth="1"/>
    <col min="6417" max="6417" width="5.42578125" bestFit="1" customWidth="1"/>
    <col min="6418" max="6418" width="8.5703125" bestFit="1" customWidth="1"/>
    <col min="6419" max="6419" width="5.42578125" bestFit="1" customWidth="1"/>
    <col min="6420" max="6420" width="8.5703125" bestFit="1" customWidth="1"/>
    <col min="6421" max="6421" width="5.42578125" bestFit="1" customWidth="1"/>
    <col min="6422" max="6422" width="8.5703125" bestFit="1" customWidth="1"/>
    <col min="6423" max="6423" width="5.42578125" bestFit="1" customWidth="1"/>
    <col min="6424" max="6424" width="8.5703125" bestFit="1" customWidth="1"/>
    <col min="6425" max="6425" width="5.42578125" bestFit="1" customWidth="1"/>
    <col min="6426" max="6426" width="8.7109375" customWidth="1"/>
    <col min="6427" max="6427" width="5.42578125" bestFit="1" customWidth="1"/>
    <col min="6428" max="6428" width="8.5703125" bestFit="1" customWidth="1"/>
    <col min="6429" max="6429" width="6" bestFit="1" customWidth="1"/>
    <col min="6430" max="6430" width="9.5703125" bestFit="1" customWidth="1"/>
    <col min="6431" max="6431" width="6" bestFit="1" customWidth="1"/>
    <col min="6432" max="6432" width="9.5703125" bestFit="1" customWidth="1"/>
    <col min="6433" max="6433" width="5.42578125" bestFit="1" customWidth="1"/>
    <col min="6667" max="6667" width="8.28515625" bestFit="1" customWidth="1"/>
    <col min="6668" max="6668" width="8.5703125" bestFit="1" customWidth="1"/>
    <col min="6669" max="6669" width="5.42578125" bestFit="1" customWidth="1"/>
    <col min="6670" max="6670" width="8.5703125" bestFit="1" customWidth="1"/>
    <col min="6671" max="6671" width="5.42578125" bestFit="1" customWidth="1"/>
    <col min="6672" max="6672" width="8.5703125" bestFit="1" customWidth="1"/>
    <col min="6673" max="6673" width="5.42578125" bestFit="1" customWidth="1"/>
    <col min="6674" max="6674" width="8.5703125" bestFit="1" customWidth="1"/>
    <col min="6675" max="6675" width="5.42578125" bestFit="1" customWidth="1"/>
    <col min="6676" max="6676" width="8.5703125" bestFit="1" customWidth="1"/>
    <col min="6677" max="6677" width="5.42578125" bestFit="1" customWidth="1"/>
    <col min="6678" max="6678" width="8.5703125" bestFit="1" customWidth="1"/>
    <col min="6679" max="6679" width="5.42578125" bestFit="1" customWidth="1"/>
    <col min="6680" max="6680" width="8.5703125" bestFit="1" customWidth="1"/>
    <col min="6681" max="6681" width="5.42578125" bestFit="1" customWidth="1"/>
    <col min="6682" max="6682" width="8.7109375" customWidth="1"/>
    <col min="6683" max="6683" width="5.42578125" bestFit="1" customWidth="1"/>
    <col min="6684" max="6684" width="8.5703125" bestFit="1" customWidth="1"/>
    <col min="6685" max="6685" width="6" bestFit="1" customWidth="1"/>
    <col min="6686" max="6686" width="9.5703125" bestFit="1" customWidth="1"/>
    <col min="6687" max="6687" width="6" bestFit="1" customWidth="1"/>
    <col min="6688" max="6688" width="9.5703125" bestFit="1" customWidth="1"/>
    <col min="6689" max="6689" width="5.42578125" bestFit="1" customWidth="1"/>
    <col min="6923" max="6923" width="8.28515625" bestFit="1" customWidth="1"/>
    <col min="6924" max="6924" width="8.5703125" bestFit="1" customWidth="1"/>
    <col min="6925" max="6925" width="5.42578125" bestFit="1" customWidth="1"/>
    <col min="6926" max="6926" width="8.5703125" bestFit="1" customWidth="1"/>
    <col min="6927" max="6927" width="5.42578125" bestFit="1" customWidth="1"/>
    <col min="6928" max="6928" width="8.5703125" bestFit="1" customWidth="1"/>
    <col min="6929" max="6929" width="5.42578125" bestFit="1" customWidth="1"/>
    <col min="6930" max="6930" width="8.5703125" bestFit="1" customWidth="1"/>
    <col min="6931" max="6931" width="5.42578125" bestFit="1" customWidth="1"/>
    <col min="6932" max="6932" width="8.5703125" bestFit="1" customWidth="1"/>
    <col min="6933" max="6933" width="5.42578125" bestFit="1" customWidth="1"/>
    <col min="6934" max="6934" width="8.5703125" bestFit="1" customWidth="1"/>
    <col min="6935" max="6935" width="5.42578125" bestFit="1" customWidth="1"/>
    <col min="6936" max="6936" width="8.5703125" bestFit="1" customWidth="1"/>
    <col min="6937" max="6937" width="5.42578125" bestFit="1" customWidth="1"/>
    <col min="6938" max="6938" width="8.7109375" customWidth="1"/>
    <col min="6939" max="6939" width="5.42578125" bestFit="1" customWidth="1"/>
    <col min="6940" max="6940" width="8.5703125" bestFit="1" customWidth="1"/>
    <col min="6941" max="6941" width="6" bestFit="1" customWidth="1"/>
    <col min="6942" max="6942" width="9.5703125" bestFit="1" customWidth="1"/>
    <col min="6943" max="6943" width="6" bestFit="1" customWidth="1"/>
    <col min="6944" max="6944" width="9.5703125" bestFit="1" customWidth="1"/>
    <col min="6945" max="6945" width="5.42578125" bestFit="1" customWidth="1"/>
    <col min="7179" max="7179" width="8.28515625" bestFit="1" customWidth="1"/>
    <col min="7180" max="7180" width="8.5703125" bestFit="1" customWidth="1"/>
    <col min="7181" max="7181" width="5.42578125" bestFit="1" customWidth="1"/>
    <col min="7182" max="7182" width="8.5703125" bestFit="1" customWidth="1"/>
    <col min="7183" max="7183" width="5.42578125" bestFit="1" customWidth="1"/>
    <col min="7184" max="7184" width="8.5703125" bestFit="1" customWidth="1"/>
    <col min="7185" max="7185" width="5.42578125" bestFit="1" customWidth="1"/>
    <col min="7186" max="7186" width="8.5703125" bestFit="1" customWidth="1"/>
    <col min="7187" max="7187" width="5.42578125" bestFit="1" customWidth="1"/>
    <col min="7188" max="7188" width="8.5703125" bestFit="1" customWidth="1"/>
    <col min="7189" max="7189" width="5.42578125" bestFit="1" customWidth="1"/>
    <col min="7190" max="7190" width="8.5703125" bestFit="1" customWidth="1"/>
    <col min="7191" max="7191" width="5.42578125" bestFit="1" customWidth="1"/>
    <col min="7192" max="7192" width="8.5703125" bestFit="1" customWidth="1"/>
    <col min="7193" max="7193" width="5.42578125" bestFit="1" customWidth="1"/>
    <col min="7194" max="7194" width="8.7109375" customWidth="1"/>
    <col min="7195" max="7195" width="5.42578125" bestFit="1" customWidth="1"/>
    <col min="7196" max="7196" width="8.5703125" bestFit="1" customWidth="1"/>
    <col min="7197" max="7197" width="6" bestFit="1" customWidth="1"/>
    <col min="7198" max="7198" width="9.5703125" bestFit="1" customWidth="1"/>
    <col min="7199" max="7199" width="6" bestFit="1" customWidth="1"/>
    <col min="7200" max="7200" width="9.5703125" bestFit="1" customWidth="1"/>
    <col min="7201" max="7201" width="5.42578125" bestFit="1" customWidth="1"/>
    <col min="7435" max="7435" width="8.28515625" bestFit="1" customWidth="1"/>
    <col min="7436" max="7436" width="8.5703125" bestFit="1" customWidth="1"/>
    <col min="7437" max="7437" width="5.42578125" bestFit="1" customWidth="1"/>
    <col min="7438" max="7438" width="8.5703125" bestFit="1" customWidth="1"/>
    <col min="7439" max="7439" width="5.42578125" bestFit="1" customWidth="1"/>
    <col min="7440" max="7440" width="8.5703125" bestFit="1" customWidth="1"/>
    <col min="7441" max="7441" width="5.42578125" bestFit="1" customWidth="1"/>
    <col min="7442" max="7442" width="8.5703125" bestFit="1" customWidth="1"/>
    <col min="7443" max="7443" width="5.42578125" bestFit="1" customWidth="1"/>
    <col min="7444" max="7444" width="8.5703125" bestFit="1" customWidth="1"/>
    <col min="7445" max="7445" width="5.42578125" bestFit="1" customWidth="1"/>
    <col min="7446" max="7446" width="8.5703125" bestFit="1" customWidth="1"/>
    <col min="7447" max="7447" width="5.42578125" bestFit="1" customWidth="1"/>
    <col min="7448" max="7448" width="8.5703125" bestFit="1" customWidth="1"/>
    <col min="7449" max="7449" width="5.42578125" bestFit="1" customWidth="1"/>
    <col min="7450" max="7450" width="8.7109375" customWidth="1"/>
    <col min="7451" max="7451" width="5.42578125" bestFit="1" customWidth="1"/>
    <col min="7452" max="7452" width="8.5703125" bestFit="1" customWidth="1"/>
    <col min="7453" max="7453" width="6" bestFit="1" customWidth="1"/>
    <col min="7454" max="7454" width="9.5703125" bestFit="1" customWidth="1"/>
    <col min="7455" max="7455" width="6" bestFit="1" customWidth="1"/>
    <col min="7456" max="7456" width="9.5703125" bestFit="1" customWidth="1"/>
    <col min="7457" max="7457" width="5.42578125" bestFit="1" customWidth="1"/>
    <col min="7691" max="7691" width="8.28515625" bestFit="1" customWidth="1"/>
    <col min="7692" max="7692" width="8.5703125" bestFit="1" customWidth="1"/>
    <col min="7693" max="7693" width="5.42578125" bestFit="1" customWidth="1"/>
    <col min="7694" max="7694" width="8.5703125" bestFit="1" customWidth="1"/>
    <col min="7695" max="7695" width="5.42578125" bestFit="1" customWidth="1"/>
    <col min="7696" max="7696" width="8.5703125" bestFit="1" customWidth="1"/>
    <col min="7697" max="7697" width="5.42578125" bestFit="1" customWidth="1"/>
    <col min="7698" max="7698" width="8.5703125" bestFit="1" customWidth="1"/>
    <col min="7699" max="7699" width="5.42578125" bestFit="1" customWidth="1"/>
    <col min="7700" max="7700" width="8.5703125" bestFit="1" customWidth="1"/>
    <col min="7701" max="7701" width="5.42578125" bestFit="1" customWidth="1"/>
    <col min="7702" max="7702" width="8.5703125" bestFit="1" customWidth="1"/>
    <col min="7703" max="7703" width="5.42578125" bestFit="1" customWidth="1"/>
    <col min="7704" max="7704" width="8.5703125" bestFit="1" customWidth="1"/>
    <col min="7705" max="7705" width="5.42578125" bestFit="1" customWidth="1"/>
    <col min="7706" max="7706" width="8.7109375" customWidth="1"/>
    <col min="7707" max="7707" width="5.42578125" bestFit="1" customWidth="1"/>
    <col min="7708" max="7708" width="8.5703125" bestFit="1" customWidth="1"/>
    <col min="7709" max="7709" width="6" bestFit="1" customWidth="1"/>
    <col min="7710" max="7710" width="9.5703125" bestFit="1" customWidth="1"/>
    <col min="7711" max="7711" width="6" bestFit="1" customWidth="1"/>
    <col min="7712" max="7712" width="9.5703125" bestFit="1" customWidth="1"/>
    <col min="7713" max="7713" width="5.42578125" bestFit="1" customWidth="1"/>
    <col min="7947" max="7947" width="8.28515625" bestFit="1" customWidth="1"/>
    <col min="7948" max="7948" width="8.5703125" bestFit="1" customWidth="1"/>
    <col min="7949" max="7949" width="5.42578125" bestFit="1" customWidth="1"/>
    <col min="7950" max="7950" width="8.5703125" bestFit="1" customWidth="1"/>
    <col min="7951" max="7951" width="5.42578125" bestFit="1" customWidth="1"/>
    <col min="7952" max="7952" width="8.5703125" bestFit="1" customWidth="1"/>
    <col min="7953" max="7953" width="5.42578125" bestFit="1" customWidth="1"/>
    <col min="7954" max="7954" width="8.5703125" bestFit="1" customWidth="1"/>
    <col min="7955" max="7955" width="5.42578125" bestFit="1" customWidth="1"/>
    <col min="7956" max="7956" width="8.5703125" bestFit="1" customWidth="1"/>
    <col min="7957" max="7957" width="5.42578125" bestFit="1" customWidth="1"/>
    <col min="7958" max="7958" width="8.5703125" bestFit="1" customWidth="1"/>
    <col min="7959" max="7959" width="5.42578125" bestFit="1" customWidth="1"/>
    <col min="7960" max="7960" width="8.5703125" bestFit="1" customWidth="1"/>
    <col min="7961" max="7961" width="5.42578125" bestFit="1" customWidth="1"/>
    <col min="7962" max="7962" width="8.7109375" customWidth="1"/>
    <col min="7963" max="7963" width="5.42578125" bestFit="1" customWidth="1"/>
    <col min="7964" max="7964" width="8.5703125" bestFit="1" customWidth="1"/>
    <col min="7965" max="7965" width="6" bestFit="1" customWidth="1"/>
    <col min="7966" max="7966" width="9.5703125" bestFit="1" customWidth="1"/>
    <col min="7967" max="7967" width="6" bestFit="1" customWidth="1"/>
    <col min="7968" max="7968" width="9.5703125" bestFit="1" customWidth="1"/>
    <col min="7969" max="7969" width="5.42578125" bestFit="1" customWidth="1"/>
    <col min="8203" max="8203" width="8.28515625" bestFit="1" customWidth="1"/>
    <col min="8204" max="8204" width="8.5703125" bestFit="1" customWidth="1"/>
    <col min="8205" max="8205" width="5.42578125" bestFit="1" customWidth="1"/>
    <col min="8206" max="8206" width="8.5703125" bestFit="1" customWidth="1"/>
    <col min="8207" max="8207" width="5.42578125" bestFit="1" customWidth="1"/>
    <col min="8208" max="8208" width="8.5703125" bestFit="1" customWidth="1"/>
    <col min="8209" max="8209" width="5.42578125" bestFit="1" customWidth="1"/>
    <col min="8210" max="8210" width="8.5703125" bestFit="1" customWidth="1"/>
    <col min="8211" max="8211" width="5.42578125" bestFit="1" customWidth="1"/>
    <col min="8212" max="8212" width="8.5703125" bestFit="1" customWidth="1"/>
    <col min="8213" max="8213" width="5.42578125" bestFit="1" customWidth="1"/>
    <col min="8214" max="8214" width="8.5703125" bestFit="1" customWidth="1"/>
    <col min="8215" max="8215" width="5.42578125" bestFit="1" customWidth="1"/>
    <col min="8216" max="8216" width="8.5703125" bestFit="1" customWidth="1"/>
    <col min="8217" max="8217" width="5.42578125" bestFit="1" customWidth="1"/>
    <col min="8218" max="8218" width="8.7109375" customWidth="1"/>
    <col min="8219" max="8219" width="5.42578125" bestFit="1" customWidth="1"/>
    <col min="8220" max="8220" width="8.5703125" bestFit="1" customWidth="1"/>
    <col min="8221" max="8221" width="6" bestFit="1" customWidth="1"/>
    <col min="8222" max="8222" width="9.5703125" bestFit="1" customWidth="1"/>
    <col min="8223" max="8223" width="6" bestFit="1" customWidth="1"/>
    <col min="8224" max="8224" width="9.5703125" bestFit="1" customWidth="1"/>
    <col min="8225" max="8225" width="5.42578125" bestFit="1" customWidth="1"/>
    <col min="8459" max="8459" width="8.28515625" bestFit="1" customWidth="1"/>
    <col min="8460" max="8460" width="8.5703125" bestFit="1" customWidth="1"/>
    <col min="8461" max="8461" width="5.42578125" bestFit="1" customWidth="1"/>
    <col min="8462" max="8462" width="8.5703125" bestFit="1" customWidth="1"/>
    <col min="8463" max="8463" width="5.42578125" bestFit="1" customWidth="1"/>
    <col min="8464" max="8464" width="8.5703125" bestFit="1" customWidth="1"/>
    <col min="8465" max="8465" width="5.42578125" bestFit="1" customWidth="1"/>
    <col min="8466" max="8466" width="8.5703125" bestFit="1" customWidth="1"/>
    <col min="8467" max="8467" width="5.42578125" bestFit="1" customWidth="1"/>
    <col min="8468" max="8468" width="8.5703125" bestFit="1" customWidth="1"/>
    <col min="8469" max="8469" width="5.42578125" bestFit="1" customWidth="1"/>
    <col min="8470" max="8470" width="8.5703125" bestFit="1" customWidth="1"/>
    <col min="8471" max="8471" width="5.42578125" bestFit="1" customWidth="1"/>
    <col min="8472" max="8472" width="8.5703125" bestFit="1" customWidth="1"/>
    <col min="8473" max="8473" width="5.42578125" bestFit="1" customWidth="1"/>
    <col min="8474" max="8474" width="8.7109375" customWidth="1"/>
    <col min="8475" max="8475" width="5.42578125" bestFit="1" customWidth="1"/>
    <col min="8476" max="8476" width="8.5703125" bestFit="1" customWidth="1"/>
    <col min="8477" max="8477" width="6" bestFit="1" customWidth="1"/>
    <col min="8478" max="8478" width="9.5703125" bestFit="1" customWidth="1"/>
    <col min="8479" max="8479" width="6" bestFit="1" customWidth="1"/>
    <col min="8480" max="8480" width="9.5703125" bestFit="1" customWidth="1"/>
    <col min="8481" max="8481" width="5.42578125" bestFit="1" customWidth="1"/>
    <col min="8715" max="8715" width="8.28515625" bestFit="1" customWidth="1"/>
    <col min="8716" max="8716" width="8.5703125" bestFit="1" customWidth="1"/>
    <col min="8717" max="8717" width="5.42578125" bestFit="1" customWidth="1"/>
    <col min="8718" max="8718" width="8.5703125" bestFit="1" customWidth="1"/>
    <col min="8719" max="8719" width="5.42578125" bestFit="1" customWidth="1"/>
    <col min="8720" max="8720" width="8.5703125" bestFit="1" customWidth="1"/>
    <col min="8721" max="8721" width="5.42578125" bestFit="1" customWidth="1"/>
    <col min="8722" max="8722" width="8.5703125" bestFit="1" customWidth="1"/>
    <col min="8723" max="8723" width="5.42578125" bestFit="1" customWidth="1"/>
    <col min="8724" max="8724" width="8.5703125" bestFit="1" customWidth="1"/>
    <col min="8725" max="8725" width="5.42578125" bestFit="1" customWidth="1"/>
    <col min="8726" max="8726" width="8.5703125" bestFit="1" customWidth="1"/>
    <col min="8727" max="8727" width="5.42578125" bestFit="1" customWidth="1"/>
    <col min="8728" max="8728" width="8.5703125" bestFit="1" customWidth="1"/>
    <col min="8729" max="8729" width="5.42578125" bestFit="1" customWidth="1"/>
    <col min="8730" max="8730" width="8.7109375" customWidth="1"/>
    <col min="8731" max="8731" width="5.42578125" bestFit="1" customWidth="1"/>
    <col min="8732" max="8732" width="8.5703125" bestFit="1" customWidth="1"/>
    <col min="8733" max="8733" width="6" bestFit="1" customWidth="1"/>
    <col min="8734" max="8734" width="9.5703125" bestFit="1" customWidth="1"/>
    <col min="8735" max="8735" width="6" bestFit="1" customWidth="1"/>
    <col min="8736" max="8736" width="9.5703125" bestFit="1" customWidth="1"/>
    <col min="8737" max="8737" width="5.42578125" bestFit="1" customWidth="1"/>
    <col min="8971" max="8971" width="8.28515625" bestFit="1" customWidth="1"/>
    <col min="8972" max="8972" width="8.5703125" bestFit="1" customWidth="1"/>
    <col min="8973" max="8973" width="5.42578125" bestFit="1" customWidth="1"/>
    <col min="8974" max="8974" width="8.5703125" bestFit="1" customWidth="1"/>
    <col min="8975" max="8975" width="5.42578125" bestFit="1" customWidth="1"/>
    <col min="8976" max="8976" width="8.5703125" bestFit="1" customWidth="1"/>
    <col min="8977" max="8977" width="5.42578125" bestFit="1" customWidth="1"/>
    <col min="8978" max="8978" width="8.5703125" bestFit="1" customWidth="1"/>
    <col min="8979" max="8979" width="5.42578125" bestFit="1" customWidth="1"/>
    <col min="8980" max="8980" width="8.5703125" bestFit="1" customWidth="1"/>
    <col min="8981" max="8981" width="5.42578125" bestFit="1" customWidth="1"/>
    <col min="8982" max="8982" width="8.5703125" bestFit="1" customWidth="1"/>
    <col min="8983" max="8983" width="5.42578125" bestFit="1" customWidth="1"/>
    <col min="8984" max="8984" width="8.5703125" bestFit="1" customWidth="1"/>
    <col min="8985" max="8985" width="5.42578125" bestFit="1" customWidth="1"/>
    <col min="8986" max="8986" width="8.7109375" customWidth="1"/>
    <col min="8987" max="8987" width="5.42578125" bestFit="1" customWidth="1"/>
    <col min="8988" max="8988" width="8.5703125" bestFit="1" customWidth="1"/>
    <col min="8989" max="8989" width="6" bestFit="1" customWidth="1"/>
    <col min="8990" max="8990" width="9.5703125" bestFit="1" customWidth="1"/>
    <col min="8991" max="8991" width="6" bestFit="1" customWidth="1"/>
    <col min="8992" max="8992" width="9.5703125" bestFit="1" customWidth="1"/>
    <col min="8993" max="8993" width="5.42578125" bestFit="1" customWidth="1"/>
    <col min="9227" max="9227" width="8.28515625" bestFit="1" customWidth="1"/>
    <col min="9228" max="9228" width="8.5703125" bestFit="1" customWidth="1"/>
    <col min="9229" max="9229" width="5.42578125" bestFit="1" customWidth="1"/>
    <col min="9230" max="9230" width="8.5703125" bestFit="1" customWidth="1"/>
    <col min="9231" max="9231" width="5.42578125" bestFit="1" customWidth="1"/>
    <col min="9232" max="9232" width="8.5703125" bestFit="1" customWidth="1"/>
    <col min="9233" max="9233" width="5.42578125" bestFit="1" customWidth="1"/>
    <col min="9234" max="9234" width="8.5703125" bestFit="1" customWidth="1"/>
    <col min="9235" max="9235" width="5.42578125" bestFit="1" customWidth="1"/>
    <col min="9236" max="9236" width="8.5703125" bestFit="1" customWidth="1"/>
    <col min="9237" max="9237" width="5.42578125" bestFit="1" customWidth="1"/>
    <col min="9238" max="9238" width="8.5703125" bestFit="1" customWidth="1"/>
    <col min="9239" max="9239" width="5.42578125" bestFit="1" customWidth="1"/>
    <col min="9240" max="9240" width="8.5703125" bestFit="1" customWidth="1"/>
    <col min="9241" max="9241" width="5.42578125" bestFit="1" customWidth="1"/>
    <col min="9242" max="9242" width="8.7109375" customWidth="1"/>
    <col min="9243" max="9243" width="5.42578125" bestFit="1" customWidth="1"/>
    <col min="9244" max="9244" width="8.5703125" bestFit="1" customWidth="1"/>
    <col min="9245" max="9245" width="6" bestFit="1" customWidth="1"/>
    <col min="9246" max="9246" width="9.5703125" bestFit="1" customWidth="1"/>
    <col min="9247" max="9247" width="6" bestFit="1" customWidth="1"/>
    <col min="9248" max="9248" width="9.5703125" bestFit="1" customWidth="1"/>
    <col min="9249" max="9249" width="5.42578125" bestFit="1" customWidth="1"/>
    <col min="9483" max="9483" width="8.28515625" bestFit="1" customWidth="1"/>
    <col min="9484" max="9484" width="8.5703125" bestFit="1" customWidth="1"/>
    <col min="9485" max="9485" width="5.42578125" bestFit="1" customWidth="1"/>
    <col min="9486" max="9486" width="8.5703125" bestFit="1" customWidth="1"/>
    <col min="9487" max="9487" width="5.42578125" bestFit="1" customWidth="1"/>
    <col min="9488" max="9488" width="8.5703125" bestFit="1" customWidth="1"/>
    <col min="9489" max="9489" width="5.42578125" bestFit="1" customWidth="1"/>
    <col min="9490" max="9490" width="8.5703125" bestFit="1" customWidth="1"/>
    <col min="9491" max="9491" width="5.42578125" bestFit="1" customWidth="1"/>
    <col min="9492" max="9492" width="8.5703125" bestFit="1" customWidth="1"/>
    <col min="9493" max="9493" width="5.42578125" bestFit="1" customWidth="1"/>
    <col min="9494" max="9494" width="8.5703125" bestFit="1" customWidth="1"/>
    <col min="9495" max="9495" width="5.42578125" bestFit="1" customWidth="1"/>
    <col min="9496" max="9496" width="8.5703125" bestFit="1" customWidth="1"/>
    <col min="9497" max="9497" width="5.42578125" bestFit="1" customWidth="1"/>
    <col min="9498" max="9498" width="8.7109375" customWidth="1"/>
    <col min="9499" max="9499" width="5.42578125" bestFit="1" customWidth="1"/>
    <col min="9500" max="9500" width="8.5703125" bestFit="1" customWidth="1"/>
    <col min="9501" max="9501" width="6" bestFit="1" customWidth="1"/>
    <col min="9502" max="9502" width="9.5703125" bestFit="1" customWidth="1"/>
    <col min="9503" max="9503" width="6" bestFit="1" customWidth="1"/>
    <col min="9504" max="9504" width="9.5703125" bestFit="1" customWidth="1"/>
    <col min="9505" max="9505" width="5.42578125" bestFit="1" customWidth="1"/>
    <col min="9739" max="9739" width="8.28515625" bestFit="1" customWidth="1"/>
    <col min="9740" max="9740" width="8.5703125" bestFit="1" customWidth="1"/>
    <col min="9741" max="9741" width="5.42578125" bestFit="1" customWidth="1"/>
    <col min="9742" max="9742" width="8.5703125" bestFit="1" customWidth="1"/>
    <col min="9743" max="9743" width="5.42578125" bestFit="1" customWidth="1"/>
    <col min="9744" max="9744" width="8.5703125" bestFit="1" customWidth="1"/>
    <col min="9745" max="9745" width="5.42578125" bestFit="1" customWidth="1"/>
    <col min="9746" max="9746" width="8.5703125" bestFit="1" customWidth="1"/>
    <col min="9747" max="9747" width="5.42578125" bestFit="1" customWidth="1"/>
    <col min="9748" max="9748" width="8.5703125" bestFit="1" customWidth="1"/>
    <col min="9749" max="9749" width="5.42578125" bestFit="1" customWidth="1"/>
    <col min="9750" max="9750" width="8.5703125" bestFit="1" customWidth="1"/>
    <col min="9751" max="9751" width="5.42578125" bestFit="1" customWidth="1"/>
    <col min="9752" max="9752" width="8.5703125" bestFit="1" customWidth="1"/>
    <col min="9753" max="9753" width="5.42578125" bestFit="1" customWidth="1"/>
    <col min="9754" max="9754" width="8.7109375" customWidth="1"/>
    <col min="9755" max="9755" width="5.42578125" bestFit="1" customWidth="1"/>
    <col min="9756" max="9756" width="8.5703125" bestFit="1" customWidth="1"/>
    <col min="9757" max="9757" width="6" bestFit="1" customWidth="1"/>
    <col min="9758" max="9758" width="9.5703125" bestFit="1" customWidth="1"/>
    <col min="9759" max="9759" width="6" bestFit="1" customWidth="1"/>
    <col min="9760" max="9760" width="9.5703125" bestFit="1" customWidth="1"/>
    <col min="9761" max="9761" width="5.42578125" bestFit="1" customWidth="1"/>
    <col min="9995" max="9995" width="8.28515625" bestFit="1" customWidth="1"/>
    <col min="9996" max="9996" width="8.5703125" bestFit="1" customWidth="1"/>
    <col min="9997" max="9997" width="5.42578125" bestFit="1" customWidth="1"/>
    <col min="9998" max="9998" width="8.5703125" bestFit="1" customWidth="1"/>
    <col min="9999" max="9999" width="5.42578125" bestFit="1" customWidth="1"/>
    <col min="10000" max="10000" width="8.5703125" bestFit="1" customWidth="1"/>
    <col min="10001" max="10001" width="5.42578125" bestFit="1" customWidth="1"/>
    <col min="10002" max="10002" width="8.5703125" bestFit="1" customWidth="1"/>
    <col min="10003" max="10003" width="5.42578125" bestFit="1" customWidth="1"/>
    <col min="10004" max="10004" width="8.5703125" bestFit="1" customWidth="1"/>
    <col min="10005" max="10005" width="5.42578125" bestFit="1" customWidth="1"/>
    <col min="10006" max="10006" width="8.5703125" bestFit="1" customWidth="1"/>
    <col min="10007" max="10007" width="5.42578125" bestFit="1" customWidth="1"/>
    <col min="10008" max="10008" width="8.5703125" bestFit="1" customWidth="1"/>
    <col min="10009" max="10009" width="5.42578125" bestFit="1" customWidth="1"/>
    <col min="10010" max="10010" width="8.7109375" customWidth="1"/>
    <col min="10011" max="10011" width="5.42578125" bestFit="1" customWidth="1"/>
    <col min="10012" max="10012" width="8.5703125" bestFit="1" customWidth="1"/>
    <col min="10013" max="10013" width="6" bestFit="1" customWidth="1"/>
    <col min="10014" max="10014" width="9.5703125" bestFit="1" customWidth="1"/>
    <col min="10015" max="10015" width="6" bestFit="1" customWidth="1"/>
    <col min="10016" max="10016" width="9.5703125" bestFit="1" customWidth="1"/>
    <col min="10017" max="10017" width="5.42578125" bestFit="1" customWidth="1"/>
    <col min="10251" max="10251" width="8.28515625" bestFit="1" customWidth="1"/>
    <col min="10252" max="10252" width="8.5703125" bestFit="1" customWidth="1"/>
    <col min="10253" max="10253" width="5.42578125" bestFit="1" customWidth="1"/>
    <col min="10254" max="10254" width="8.5703125" bestFit="1" customWidth="1"/>
    <col min="10255" max="10255" width="5.42578125" bestFit="1" customWidth="1"/>
    <col min="10256" max="10256" width="8.5703125" bestFit="1" customWidth="1"/>
    <col min="10257" max="10257" width="5.42578125" bestFit="1" customWidth="1"/>
    <col min="10258" max="10258" width="8.5703125" bestFit="1" customWidth="1"/>
    <col min="10259" max="10259" width="5.42578125" bestFit="1" customWidth="1"/>
    <col min="10260" max="10260" width="8.5703125" bestFit="1" customWidth="1"/>
    <col min="10261" max="10261" width="5.42578125" bestFit="1" customWidth="1"/>
    <col min="10262" max="10262" width="8.5703125" bestFit="1" customWidth="1"/>
    <col min="10263" max="10263" width="5.42578125" bestFit="1" customWidth="1"/>
    <col min="10264" max="10264" width="8.5703125" bestFit="1" customWidth="1"/>
    <col min="10265" max="10265" width="5.42578125" bestFit="1" customWidth="1"/>
    <col min="10266" max="10266" width="8.7109375" customWidth="1"/>
    <col min="10267" max="10267" width="5.42578125" bestFit="1" customWidth="1"/>
    <col min="10268" max="10268" width="8.5703125" bestFit="1" customWidth="1"/>
    <col min="10269" max="10269" width="6" bestFit="1" customWidth="1"/>
    <col min="10270" max="10270" width="9.5703125" bestFit="1" customWidth="1"/>
    <col min="10271" max="10271" width="6" bestFit="1" customWidth="1"/>
    <col min="10272" max="10272" width="9.5703125" bestFit="1" customWidth="1"/>
    <col min="10273" max="10273" width="5.42578125" bestFit="1" customWidth="1"/>
    <col min="10507" max="10507" width="8.28515625" bestFit="1" customWidth="1"/>
    <col min="10508" max="10508" width="8.5703125" bestFit="1" customWidth="1"/>
    <col min="10509" max="10509" width="5.42578125" bestFit="1" customWidth="1"/>
    <col min="10510" max="10510" width="8.5703125" bestFit="1" customWidth="1"/>
    <col min="10511" max="10511" width="5.42578125" bestFit="1" customWidth="1"/>
    <col min="10512" max="10512" width="8.5703125" bestFit="1" customWidth="1"/>
    <col min="10513" max="10513" width="5.42578125" bestFit="1" customWidth="1"/>
    <col min="10514" max="10514" width="8.5703125" bestFit="1" customWidth="1"/>
    <col min="10515" max="10515" width="5.42578125" bestFit="1" customWidth="1"/>
    <col min="10516" max="10516" width="8.5703125" bestFit="1" customWidth="1"/>
    <col min="10517" max="10517" width="5.42578125" bestFit="1" customWidth="1"/>
    <col min="10518" max="10518" width="8.5703125" bestFit="1" customWidth="1"/>
    <col min="10519" max="10519" width="5.42578125" bestFit="1" customWidth="1"/>
    <col min="10520" max="10520" width="8.5703125" bestFit="1" customWidth="1"/>
    <col min="10521" max="10521" width="5.42578125" bestFit="1" customWidth="1"/>
    <col min="10522" max="10522" width="8.7109375" customWidth="1"/>
    <col min="10523" max="10523" width="5.42578125" bestFit="1" customWidth="1"/>
    <col min="10524" max="10524" width="8.5703125" bestFit="1" customWidth="1"/>
    <col min="10525" max="10525" width="6" bestFit="1" customWidth="1"/>
    <col min="10526" max="10526" width="9.5703125" bestFit="1" customWidth="1"/>
    <col min="10527" max="10527" width="6" bestFit="1" customWidth="1"/>
    <col min="10528" max="10528" width="9.5703125" bestFit="1" customWidth="1"/>
    <col min="10529" max="10529" width="5.42578125" bestFit="1" customWidth="1"/>
    <col min="10763" max="10763" width="8.28515625" bestFit="1" customWidth="1"/>
    <col min="10764" max="10764" width="8.5703125" bestFit="1" customWidth="1"/>
    <col min="10765" max="10765" width="5.42578125" bestFit="1" customWidth="1"/>
    <col min="10766" max="10766" width="8.5703125" bestFit="1" customWidth="1"/>
    <col min="10767" max="10767" width="5.42578125" bestFit="1" customWidth="1"/>
    <col min="10768" max="10768" width="8.5703125" bestFit="1" customWidth="1"/>
    <col min="10769" max="10769" width="5.42578125" bestFit="1" customWidth="1"/>
    <col min="10770" max="10770" width="8.5703125" bestFit="1" customWidth="1"/>
    <col min="10771" max="10771" width="5.42578125" bestFit="1" customWidth="1"/>
    <col min="10772" max="10772" width="8.5703125" bestFit="1" customWidth="1"/>
    <col min="10773" max="10773" width="5.42578125" bestFit="1" customWidth="1"/>
    <col min="10774" max="10774" width="8.5703125" bestFit="1" customWidth="1"/>
    <col min="10775" max="10775" width="5.42578125" bestFit="1" customWidth="1"/>
    <col min="10776" max="10776" width="8.5703125" bestFit="1" customWidth="1"/>
    <col min="10777" max="10777" width="5.42578125" bestFit="1" customWidth="1"/>
    <col min="10778" max="10778" width="8.7109375" customWidth="1"/>
    <col min="10779" max="10779" width="5.42578125" bestFit="1" customWidth="1"/>
    <col min="10780" max="10780" width="8.5703125" bestFit="1" customWidth="1"/>
    <col min="10781" max="10781" width="6" bestFit="1" customWidth="1"/>
    <col min="10782" max="10782" width="9.5703125" bestFit="1" customWidth="1"/>
    <col min="10783" max="10783" width="6" bestFit="1" customWidth="1"/>
    <col min="10784" max="10784" width="9.5703125" bestFit="1" customWidth="1"/>
    <col min="10785" max="10785" width="5.42578125" bestFit="1" customWidth="1"/>
    <col min="11019" max="11019" width="8.28515625" bestFit="1" customWidth="1"/>
    <col min="11020" max="11020" width="8.5703125" bestFit="1" customWidth="1"/>
    <col min="11021" max="11021" width="5.42578125" bestFit="1" customWidth="1"/>
    <col min="11022" max="11022" width="8.5703125" bestFit="1" customWidth="1"/>
    <col min="11023" max="11023" width="5.42578125" bestFit="1" customWidth="1"/>
    <col min="11024" max="11024" width="8.5703125" bestFit="1" customWidth="1"/>
    <col min="11025" max="11025" width="5.42578125" bestFit="1" customWidth="1"/>
    <col min="11026" max="11026" width="8.5703125" bestFit="1" customWidth="1"/>
    <col min="11027" max="11027" width="5.42578125" bestFit="1" customWidth="1"/>
    <col min="11028" max="11028" width="8.5703125" bestFit="1" customWidth="1"/>
    <col min="11029" max="11029" width="5.42578125" bestFit="1" customWidth="1"/>
    <col min="11030" max="11030" width="8.5703125" bestFit="1" customWidth="1"/>
    <col min="11031" max="11031" width="5.42578125" bestFit="1" customWidth="1"/>
    <col min="11032" max="11032" width="8.5703125" bestFit="1" customWidth="1"/>
    <col min="11033" max="11033" width="5.42578125" bestFit="1" customWidth="1"/>
    <col min="11034" max="11034" width="8.7109375" customWidth="1"/>
    <col min="11035" max="11035" width="5.42578125" bestFit="1" customWidth="1"/>
    <col min="11036" max="11036" width="8.5703125" bestFit="1" customWidth="1"/>
    <col min="11037" max="11037" width="6" bestFit="1" customWidth="1"/>
    <col min="11038" max="11038" width="9.5703125" bestFit="1" customWidth="1"/>
    <col min="11039" max="11039" width="6" bestFit="1" customWidth="1"/>
    <col min="11040" max="11040" width="9.5703125" bestFit="1" customWidth="1"/>
    <col min="11041" max="11041" width="5.42578125" bestFit="1" customWidth="1"/>
    <col min="11275" max="11275" width="8.28515625" bestFit="1" customWidth="1"/>
    <col min="11276" max="11276" width="8.5703125" bestFit="1" customWidth="1"/>
    <col min="11277" max="11277" width="5.42578125" bestFit="1" customWidth="1"/>
    <col min="11278" max="11278" width="8.5703125" bestFit="1" customWidth="1"/>
    <col min="11279" max="11279" width="5.42578125" bestFit="1" customWidth="1"/>
    <col min="11280" max="11280" width="8.5703125" bestFit="1" customWidth="1"/>
    <col min="11281" max="11281" width="5.42578125" bestFit="1" customWidth="1"/>
    <col min="11282" max="11282" width="8.5703125" bestFit="1" customWidth="1"/>
    <col min="11283" max="11283" width="5.42578125" bestFit="1" customWidth="1"/>
    <col min="11284" max="11284" width="8.5703125" bestFit="1" customWidth="1"/>
    <col min="11285" max="11285" width="5.42578125" bestFit="1" customWidth="1"/>
    <col min="11286" max="11286" width="8.5703125" bestFit="1" customWidth="1"/>
    <col min="11287" max="11287" width="5.42578125" bestFit="1" customWidth="1"/>
    <col min="11288" max="11288" width="8.5703125" bestFit="1" customWidth="1"/>
    <col min="11289" max="11289" width="5.42578125" bestFit="1" customWidth="1"/>
    <col min="11290" max="11290" width="8.7109375" customWidth="1"/>
    <col min="11291" max="11291" width="5.42578125" bestFit="1" customWidth="1"/>
    <col min="11292" max="11292" width="8.5703125" bestFit="1" customWidth="1"/>
    <col min="11293" max="11293" width="6" bestFit="1" customWidth="1"/>
    <col min="11294" max="11294" width="9.5703125" bestFit="1" customWidth="1"/>
    <col min="11295" max="11295" width="6" bestFit="1" customWidth="1"/>
    <col min="11296" max="11296" width="9.5703125" bestFit="1" customWidth="1"/>
    <col min="11297" max="11297" width="5.42578125" bestFit="1" customWidth="1"/>
    <col min="11531" max="11531" width="8.28515625" bestFit="1" customWidth="1"/>
    <col min="11532" max="11532" width="8.5703125" bestFit="1" customWidth="1"/>
    <col min="11533" max="11533" width="5.42578125" bestFit="1" customWidth="1"/>
    <col min="11534" max="11534" width="8.5703125" bestFit="1" customWidth="1"/>
    <col min="11535" max="11535" width="5.42578125" bestFit="1" customWidth="1"/>
    <col min="11536" max="11536" width="8.5703125" bestFit="1" customWidth="1"/>
    <col min="11537" max="11537" width="5.42578125" bestFit="1" customWidth="1"/>
    <col min="11538" max="11538" width="8.5703125" bestFit="1" customWidth="1"/>
    <col min="11539" max="11539" width="5.42578125" bestFit="1" customWidth="1"/>
    <col min="11540" max="11540" width="8.5703125" bestFit="1" customWidth="1"/>
    <col min="11541" max="11541" width="5.42578125" bestFit="1" customWidth="1"/>
    <col min="11542" max="11542" width="8.5703125" bestFit="1" customWidth="1"/>
    <col min="11543" max="11543" width="5.42578125" bestFit="1" customWidth="1"/>
    <col min="11544" max="11544" width="8.5703125" bestFit="1" customWidth="1"/>
    <col min="11545" max="11545" width="5.42578125" bestFit="1" customWidth="1"/>
    <col min="11546" max="11546" width="8.7109375" customWidth="1"/>
    <col min="11547" max="11547" width="5.42578125" bestFit="1" customWidth="1"/>
    <col min="11548" max="11548" width="8.5703125" bestFit="1" customWidth="1"/>
    <col min="11549" max="11549" width="6" bestFit="1" customWidth="1"/>
    <col min="11550" max="11550" width="9.5703125" bestFit="1" customWidth="1"/>
    <col min="11551" max="11551" width="6" bestFit="1" customWidth="1"/>
    <col min="11552" max="11552" width="9.5703125" bestFit="1" customWidth="1"/>
    <col min="11553" max="11553" width="5.42578125" bestFit="1" customWidth="1"/>
    <col min="11787" max="11787" width="8.28515625" bestFit="1" customWidth="1"/>
    <col min="11788" max="11788" width="8.5703125" bestFit="1" customWidth="1"/>
    <col min="11789" max="11789" width="5.42578125" bestFit="1" customWidth="1"/>
    <col min="11790" max="11790" width="8.5703125" bestFit="1" customWidth="1"/>
    <col min="11791" max="11791" width="5.42578125" bestFit="1" customWidth="1"/>
    <col min="11792" max="11792" width="8.5703125" bestFit="1" customWidth="1"/>
    <col min="11793" max="11793" width="5.42578125" bestFit="1" customWidth="1"/>
    <col min="11794" max="11794" width="8.5703125" bestFit="1" customWidth="1"/>
    <col min="11795" max="11795" width="5.42578125" bestFit="1" customWidth="1"/>
    <col min="11796" max="11796" width="8.5703125" bestFit="1" customWidth="1"/>
    <col min="11797" max="11797" width="5.42578125" bestFit="1" customWidth="1"/>
    <col min="11798" max="11798" width="8.5703125" bestFit="1" customWidth="1"/>
    <col min="11799" max="11799" width="5.42578125" bestFit="1" customWidth="1"/>
    <col min="11800" max="11800" width="8.5703125" bestFit="1" customWidth="1"/>
    <col min="11801" max="11801" width="5.42578125" bestFit="1" customWidth="1"/>
    <col min="11802" max="11802" width="8.7109375" customWidth="1"/>
    <col min="11803" max="11803" width="5.42578125" bestFit="1" customWidth="1"/>
    <col min="11804" max="11804" width="8.5703125" bestFit="1" customWidth="1"/>
    <col min="11805" max="11805" width="6" bestFit="1" customWidth="1"/>
    <col min="11806" max="11806" width="9.5703125" bestFit="1" customWidth="1"/>
    <col min="11807" max="11807" width="6" bestFit="1" customWidth="1"/>
    <col min="11808" max="11808" width="9.5703125" bestFit="1" customWidth="1"/>
    <col min="11809" max="11809" width="5.42578125" bestFit="1" customWidth="1"/>
    <col min="12043" max="12043" width="8.28515625" bestFit="1" customWidth="1"/>
    <col min="12044" max="12044" width="8.5703125" bestFit="1" customWidth="1"/>
    <col min="12045" max="12045" width="5.42578125" bestFit="1" customWidth="1"/>
    <col min="12046" max="12046" width="8.5703125" bestFit="1" customWidth="1"/>
    <col min="12047" max="12047" width="5.42578125" bestFit="1" customWidth="1"/>
    <col min="12048" max="12048" width="8.5703125" bestFit="1" customWidth="1"/>
    <col min="12049" max="12049" width="5.42578125" bestFit="1" customWidth="1"/>
    <col min="12050" max="12050" width="8.5703125" bestFit="1" customWidth="1"/>
    <col min="12051" max="12051" width="5.42578125" bestFit="1" customWidth="1"/>
    <col min="12052" max="12052" width="8.5703125" bestFit="1" customWidth="1"/>
    <col min="12053" max="12053" width="5.42578125" bestFit="1" customWidth="1"/>
    <col min="12054" max="12054" width="8.5703125" bestFit="1" customWidth="1"/>
    <col min="12055" max="12055" width="5.42578125" bestFit="1" customWidth="1"/>
    <col min="12056" max="12056" width="8.5703125" bestFit="1" customWidth="1"/>
    <col min="12057" max="12057" width="5.42578125" bestFit="1" customWidth="1"/>
    <col min="12058" max="12058" width="8.7109375" customWidth="1"/>
    <col min="12059" max="12059" width="5.42578125" bestFit="1" customWidth="1"/>
    <col min="12060" max="12060" width="8.5703125" bestFit="1" customWidth="1"/>
    <col min="12061" max="12061" width="6" bestFit="1" customWidth="1"/>
    <col min="12062" max="12062" width="9.5703125" bestFit="1" customWidth="1"/>
    <col min="12063" max="12063" width="6" bestFit="1" customWidth="1"/>
    <col min="12064" max="12064" width="9.5703125" bestFit="1" customWidth="1"/>
    <col min="12065" max="12065" width="5.42578125" bestFit="1" customWidth="1"/>
    <col min="12299" max="12299" width="8.28515625" bestFit="1" customWidth="1"/>
    <col min="12300" max="12300" width="8.5703125" bestFit="1" customWidth="1"/>
    <col min="12301" max="12301" width="5.42578125" bestFit="1" customWidth="1"/>
    <col min="12302" max="12302" width="8.5703125" bestFit="1" customWidth="1"/>
    <col min="12303" max="12303" width="5.42578125" bestFit="1" customWidth="1"/>
    <col min="12304" max="12304" width="8.5703125" bestFit="1" customWidth="1"/>
    <col min="12305" max="12305" width="5.42578125" bestFit="1" customWidth="1"/>
    <col min="12306" max="12306" width="8.5703125" bestFit="1" customWidth="1"/>
    <col min="12307" max="12307" width="5.42578125" bestFit="1" customWidth="1"/>
    <col min="12308" max="12308" width="8.5703125" bestFit="1" customWidth="1"/>
    <col min="12309" max="12309" width="5.42578125" bestFit="1" customWidth="1"/>
    <col min="12310" max="12310" width="8.5703125" bestFit="1" customWidth="1"/>
    <col min="12311" max="12311" width="5.42578125" bestFit="1" customWidth="1"/>
    <col min="12312" max="12312" width="8.5703125" bestFit="1" customWidth="1"/>
    <col min="12313" max="12313" width="5.42578125" bestFit="1" customWidth="1"/>
    <col min="12314" max="12314" width="8.7109375" customWidth="1"/>
    <col min="12315" max="12315" width="5.42578125" bestFit="1" customWidth="1"/>
    <col min="12316" max="12316" width="8.5703125" bestFit="1" customWidth="1"/>
    <col min="12317" max="12317" width="6" bestFit="1" customWidth="1"/>
    <col min="12318" max="12318" width="9.5703125" bestFit="1" customWidth="1"/>
    <col min="12319" max="12319" width="6" bestFit="1" customWidth="1"/>
    <col min="12320" max="12320" width="9.5703125" bestFit="1" customWidth="1"/>
    <col min="12321" max="12321" width="5.42578125" bestFit="1" customWidth="1"/>
    <col min="12555" max="12555" width="8.28515625" bestFit="1" customWidth="1"/>
    <col min="12556" max="12556" width="8.5703125" bestFit="1" customWidth="1"/>
    <col min="12557" max="12557" width="5.42578125" bestFit="1" customWidth="1"/>
    <col min="12558" max="12558" width="8.5703125" bestFit="1" customWidth="1"/>
    <col min="12559" max="12559" width="5.42578125" bestFit="1" customWidth="1"/>
    <col min="12560" max="12560" width="8.5703125" bestFit="1" customWidth="1"/>
    <col min="12561" max="12561" width="5.42578125" bestFit="1" customWidth="1"/>
    <col min="12562" max="12562" width="8.5703125" bestFit="1" customWidth="1"/>
    <col min="12563" max="12563" width="5.42578125" bestFit="1" customWidth="1"/>
    <col min="12564" max="12564" width="8.5703125" bestFit="1" customWidth="1"/>
    <col min="12565" max="12565" width="5.42578125" bestFit="1" customWidth="1"/>
    <col min="12566" max="12566" width="8.5703125" bestFit="1" customWidth="1"/>
    <col min="12567" max="12567" width="5.42578125" bestFit="1" customWidth="1"/>
    <col min="12568" max="12568" width="8.5703125" bestFit="1" customWidth="1"/>
    <col min="12569" max="12569" width="5.42578125" bestFit="1" customWidth="1"/>
    <col min="12570" max="12570" width="8.7109375" customWidth="1"/>
    <col min="12571" max="12571" width="5.42578125" bestFit="1" customWidth="1"/>
    <col min="12572" max="12572" width="8.5703125" bestFit="1" customWidth="1"/>
    <col min="12573" max="12573" width="6" bestFit="1" customWidth="1"/>
    <col min="12574" max="12574" width="9.5703125" bestFit="1" customWidth="1"/>
    <col min="12575" max="12575" width="6" bestFit="1" customWidth="1"/>
    <col min="12576" max="12576" width="9.5703125" bestFit="1" customWidth="1"/>
    <col min="12577" max="12577" width="5.42578125" bestFit="1" customWidth="1"/>
    <col min="12811" max="12811" width="8.28515625" bestFit="1" customWidth="1"/>
    <col min="12812" max="12812" width="8.5703125" bestFit="1" customWidth="1"/>
    <col min="12813" max="12813" width="5.42578125" bestFit="1" customWidth="1"/>
    <col min="12814" max="12814" width="8.5703125" bestFit="1" customWidth="1"/>
    <col min="12815" max="12815" width="5.42578125" bestFit="1" customWidth="1"/>
    <col min="12816" max="12816" width="8.5703125" bestFit="1" customWidth="1"/>
    <col min="12817" max="12817" width="5.42578125" bestFit="1" customWidth="1"/>
    <col min="12818" max="12818" width="8.5703125" bestFit="1" customWidth="1"/>
    <col min="12819" max="12819" width="5.42578125" bestFit="1" customWidth="1"/>
    <col min="12820" max="12820" width="8.5703125" bestFit="1" customWidth="1"/>
    <col min="12821" max="12821" width="5.42578125" bestFit="1" customWidth="1"/>
    <col min="12822" max="12822" width="8.5703125" bestFit="1" customWidth="1"/>
    <col min="12823" max="12823" width="5.42578125" bestFit="1" customWidth="1"/>
    <col min="12824" max="12824" width="8.5703125" bestFit="1" customWidth="1"/>
    <col min="12825" max="12825" width="5.42578125" bestFit="1" customWidth="1"/>
    <col min="12826" max="12826" width="8.7109375" customWidth="1"/>
    <col min="12827" max="12827" width="5.42578125" bestFit="1" customWidth="1"/>
    <col min="12828" max="12828" width="8.5703125" bestFit="1" customWidth="1"/>
    <col min="12829" max="12829" width="6" bestFit="1" customWidth="1"/>
    <col min="12830" max="12830" width="9.5703125" bestFit="1" customWidth="1"/>
    <col min="12831" max="12831" width="6" bestFit="1" customWidth="1"/>
    <col min="12832" max="12832" width="9.5703125" bestFit="1" customWidth="1"/>
    <col min="12833" max="12833" width="5.42578125" bestFit="1" customWidth="1"/>
    <col min="13067" max="13067" width="8.28515625" bestFit="1" customWidth="1"/>
    <col min="13068" max="13068" width="8.5703125" bestFit="1" customWidth="1"/>
    <col min="13069" max="13069" width="5.42578125" bestFit="1" customWidth="1"/>
    <col min="13070" max="13070" width="8.5703125" bestFit="1" customWidth="1"/>
    <col min="13071" max="13071" width="5.42578125" bestFit="1" customWidth="1"/>
    <col min="13072" max="13072" width="8.5703125" bestFit="1" customWidth="1"/>
    <col min="13073" max="13073" width="5.42578125" bestFit="1" customWidth="1"/>
    <col min="13074" max="13074" width="8.5703125" bestFit="1" customWidth="1"/>
    <col min="13075" max="13075" width="5.42578125" bestFit="1" customWidth="1"/>
    <col min="13076" max="13076" width="8.5703125" bestFit="1" customWidth="1"/>
    <col min="13077" max="13077" width="5.42578125" bestFit="1" customWidth="1"/>
    <col min="13078" max="13078" width="8.5703125" bestFit="1" customWidth="1"/>
    <col min="13079" max="13079" width="5.42578125" bestFit="1" customWidth="1"/>
    <col min="13080" max="13080" width="8.5703125" bestFit="1" customWidth="1"/>
    <col min="13081" max="13081" width="5.42578125" bestFit="1" customWidth="1"/>
    <col min="13082" max="13082" width="8.7109375" customWidth="1"/>
    <col min="13083" max="13083" width="5.42578125" bestFit="1" customWidth="1"/>
    <col min="13084" max="13084" width="8.5703125" bestFit="1" customWidth="1"/>
    <col min="13085" max="13085" width="6" bestFit="1" customWidth="1"/>
    <col min="13086" max="13086" width="9.5703125" bestFit="1" customWidth="1"/>
    <col min="13087" max="13087" width="6" bestFit="1" customWidth="1"/>
    <col min="13088" max="13088" width="9.5703125" bestFit="1" customWidth="1"/>
    <col min="13089" max="13089" width="5.42578125" bestFit="1" customWidth="1"/>
    <col min="13323" max="13323" width="8.28515625" bestFit="1" customWidth="1"/>
    <col min="13324" max="13324" width="8.5703125" bestFit="1" customWidth="1"/>
    <col min="13325" max="13325" width="5.42578125" bestFit="1" customWidth="1"/>
    <col min="13326" max="13326" width="8.5703125" bestFit="1" customWidth="1"/>
    <col min="13327" max="13327" width="5.42578125" bestFit="1" customWidth="1"/>
    <col min="13328" max="13328" width="8.5703125" bestFit="1" customWidth="1"/>
    <col min="13329" max="13329" width="5.42578125" bestFit="1" customWidth="1"/>
    <col min="13330" max="13330" width="8.5703125" bestFit="1" customWidth="1"/>
    <col min="13331" max="13331" width="5.42578125" bestFit="1" customWidth="1"/>
    <col min="13332" max="13332" width="8.5703125" bestFit="1" customWidth="1"/>
    <col min="13333" max="13333" width="5.42578125" bestFit="1" customWidth="1"/>
    <col min="13334" max="13334" width="8.5703125" bestFit="1" customWidth="1"/>
    <col min="13335" max="13335" width="5.42578125" bestFit="1" customWidth="1"/>
    <col min="13336" max="13336" width="8.5703125" bestFit="1" customWidth="1"/>
    <col min="13337" max="13337" width="5.42578125" bestFit="1" customWidth="1"/>
    <col min="13338" max="13338" width="8.7109375" customWidth="1"/>
    <col min="13339" max="13339" width="5.42578125" bestFit="1" customWidth="1"/>
    <col min="13340" max="13340" width="8.5703125" bestFit="1" customWidth="1"/>
    <col min="13341" max="13341" width="6" bestFit="1" customWidth="1"/>
    <col min="13342" max="13342" width="9.5703125" bestFit="1" customWidth="1"/>
    <col min="13343" max="13343" width="6" bestFit="1" customWidth="1"/>
    <col min="13344" max="13344" width="9.5703125" bestFit="1" customWidth="1"/>
    <col min="13345" max="13345" width="5.42578125" bestFit="1" customWidth="1"/>
    <col min="13579" max="13579" width="8.28515625" bestFit="1" customWidth="1"/>
    <col min="13580" max="13580" width="8.5703125" bestFit="1" customWidth="1"/>
    <col min="13581" max="13581" width="5.42578125" bestFit="1" customWidth="1"/>
    <col min="13582" max="13582" width="8.5703125" bestFit="1" customWidth="1"/>
    <col min="13583" max="13583" width="5.42578125" bestFit="1" customWidth="1"/>
    <col min="13584" max="13584" width="8.5703125" bestFit="1" customWidth="1"/>
    <col min="13585" max="13585" width="5.42578125" bestFit="1" customWidth="1"/>
    <col min="13586" max="13586" width="8.5703125" bestFit="1" customWidth="1"/>
    <col min="13587" max="13587" width="5.42578125" bestFit="1" customWidth="1"/>
    <col min="13588" max="13588" width="8.5703125" bestFit="1" customWidth="1"/>
    <col min="13589" max="13589" width="5.42578125" bestFit="1" customWidth="1"/>
    <col min="13590" max="13590" width="8.5703125" bestFit="1" customWidth="1"/>
    <col min="13591" max="13591" width="5.42578125" bestFit="1" customWidth="1"/>
    <col min="13592" max="13592" width="8.5703125" bestFit="1" customWidth="1"/>
    <col min="13593" max="13593" width="5.42578125" bestFit="1" customWidth="1"/>
    <col min="13594" max="13594" width="8.7109375" customWidth="1"/>
    <col min="13595" max="13595" width="5.42578125" bestFit="1" customWidth="1"/>
    <col min="13596" max="13596" width="8.5703125" bestFit="1" customWidth="1"/>
    <col min="13597" max="13597" width="6" bestFit="1" customWidth="1"/>
    <col min="13598" max="13598" width="9.5703125" bestFit="1" customWidth="1"/>
    <col min="13599" max="13599" width="6" bestFit="1" customWidth="1"/>
    <col min="13600" max="13600" width="9.5703125" bestFit="1" customWidth="1"/>
    <col min="13601" max="13601" width="5.42578125" bestFit="1" customWidth="1"/>
    <col min="13835" max="13835" width="8.28515625" bestFit="1" customWidth="1"/>
    <col min="13836" max="13836" width="8.5703125" bestFit="1" customWidth="1"/>
    <col min="13837" max="13837" width="5.42578125" bestFit="1" customWidth="1"/>
    <col min="13838" max="13838" width="8.5703125" bestFit="1" customWidth="1"/>
    <col min="13839" max="13839" width="5.42578125" bestFit="1" customWidth="1"/>
    <col min="13840" max="13840" width="8.5703125" bestFit="1" customWidth="1"/>
    <col min="13841" max="13841" width="5.42578125" bestFit="1" customWidth="1"/>
    <col min="13842" max="13842" width="8.5703125" bestFit="1" customWidth="1"/>
    <col min="13843" max="13843" width="5.42578125" bestFit="1" customWidth="1"/>
    <col min="13844" max="13844" width="8.5703125" bestFit="1" customWidth="1"/>
    <col min="13845" max="13845" width="5.42578125" bestFit="1" customWidth="1"/>
    <col min="13846" max="13846" width="8.5703125" bestFit="1" customWidth="1"/>
    <col min="13847" max="13847" width="5.42578125" bestFit="1" customWidth="1"/>
    <col min="13848" max="13848" width="8.5703125" bestFit="1" customWidth="1"/>
    <col min="13849" max="13849" width="5.42578125" bestFit="1" customWidth="1"/>
    <col min="13850" max="13850" width="8.7109375" customWidth="1"/>
    <col min="13851" max="13851" width="5.42578125" bestFit="1" customWidth="1"/>
    <col min="13852" max="13852" width="8.5703125" bestFit="1" customWidth="1"/>
    <col min="13853" max="13853" width="6" bestFit="1" customWidth="1"/>
    <col min="13854" max="13854" width="9.5703125" bestFit="1" customWidth="1"/>
    <col min="13855" max="13855" width="6" bestFit="1" customWidth="1"/>
    <col min="13856" max="13856" width="9.5703125" bestFit="1" customWidth="1"/>
    <col min="13857" max="13857" width="5.42578125" bestFit="1" customWidth="1"/>
    <col min="14091" max="14091" width="8.28515625" bestFit="1" customWidth="1"/>
    <col min="14092" max="14092" width="8.5703125" bestFit="1" customWidth="1"/>
    <col min="14093" max="14093" width="5.42578125" bestFit="1" customWidth="1"/>
    <col min="14094" max="14094" width="8.5703125" bestFit="1" customWidth="1"/>
    <col min="14095" max="14095" width="5.42578125" bestFit="1" customWidth="1"/>
    <col min="14096" max="14096" width="8.5703125" bestFit="1" customWidth="1"/>
    <col min="14097" max="14097" width="5.42578125" bestFit="1" customWidth="1"/>
    <col min="14098" max="14098" width="8.5703125" bestFit="1" customWidth="1"/>
    <col min="14099" max="14099" width="5.42578125" bestFit="1" customWidth="1"/>
    <col min="14100" max="14100" width="8.5703125" bestFit="1" customWidth="1"/>
    <col min="14101" max="14101" width="5.42578125" bestFit="1" customWidth="1"/>
    <col min="14102" max="14102" width="8.5703125" bestFit="1" customWidth="1"/>
    <col min="14103" max="14103" width="5.42578125" bestFit="1" customWidth="1"/>
    <col min="14104" max="14104" width="8.5703125" bestFit="1" customWidth="1"/>
    <col min="14105" max="14105" width="5.42578125" bestFit="1" customWidth="1"/>
    <col min="14106" max="14106" width="8.7109375" customWidth="1"/>
    <col min="14107" max="14107" width="5.42578125" bestFit="1" customWidth="1"/>
    <col min="14108" max="14108" width="8.5703125" bestFit="1" customWidth="1"/>
    <col min="14109" max="14109" width="6" bestFit="1" customWidth="1"/>
    <col min="14110" max="14110" width="9.5703125" bestFit="1" customWidth="1"/>
    <col min="14111" max="14111" width="6" bestFit="1" customWidth="1"/>
    <col min="14112" max="14112" width="9.5703125" bestFit="1" customWidth="1"/>
    <col min="14113" max="14113" width="5.42578125" bestFit="1" customWidth="1"/>
    <col min="14347" max="14347" width="8.28515625" bestFit="1" customWidth="1"/>
    <col min="14348" max="14348" width="8.5703125" bestFit="1" customWidth="1"/>
    <col min="14349" max="14349" width="5.42578125" bestFit="1" customWidth="1"/>
    <col min="14350" max="14350" width="8.5703125" bestFit="1" customWidth="1"/>
    <col min="14351" max="14351" width="5.42578125" bestFit="1" customWidth="1"/>
    <col min="14352" max="14352" width="8.5703125" bestFit="1" customWidth="1"/>
    <col min="14353" max="14353" width="5.42578125" bestFit="1" customWidth="1"/>
    <col min="14354" max="14354" width="8.5703125" bestFit="1" customWidth="1"/>
    <col min="14355" max="14355" width="5.42578125" bestFit="1" customWidth="1"/>
    <col min="14356" max="14356" width="8.5703125" bestFit="1" customWidth="1"/>
    <col min="14357" max="14357" width="5.42578125" bestFit="1" customWidth="1"/>
    <col min="14358" max="14358" width="8.5703125" bestFit="1" customWidth="1"/>
    <col min="14359" max="14359" width="5.42578125" bestFit="1" customWidth="1"/>
    <col min="14360" max="14360" width="8.5703125" bestFit="1" customWidth="1"/>
    <col min="14361" max="14361" width="5.42578125" bestFit="1" customWidth="1"/>
    <col min="14362" max="14362" width="8.7109375" customWidth="1"/>
    <col min="14363" max="14363" width="5.42578125" bestFit="1" customWidth="1"/>
    <col min="14364" max="14364" width="8.5703125" bestFit="1" customWidth="1"/>
    <col min="14365" max="14365" width="6" bestFit="1" customWidth="1"/>
    <col min="14366" max="14366" width="9.5703125" bestFit="1" customWidth="1"/>
    <col min="14367" max="14367" width="6" bestFit="1" customWidth="1"/>
    <col min="14368" max="14368" width="9.5703125" bestFit="1" customWidth="1"/>
    <col min="14369" max="14369" width="5.42578125" bestFit="1" customWidth="1"/>
    <col min="14603" max="14603" width="8.28515625" bestFit="1" customWidth="1"/>
    <col min="14604" max="14604" width="8.5703125" bestFit="1" customWidth="1"/>
    <col min="14605" max="14605" width="5.42578125" bestFit="1" customWidth="1"/>
    <col min="14606" max="14606" width="8.5703125" bestFit="1" customWidth="1"/>
    <col min="14607" max="14607" width="5.42578125" bestFit="1" customWidth="1"/>
    <col min="14608" max="14608" width="8.5703125" bestFit="1" customWidth="1"/>
    <col min="14609" max="14609" width="5.42578125" bestFit="1" customWidth="1"/>
    <col min="14610" max="14610" width="8.5703125" bestFit="1" customWidth="1"/>
    <col min="14611" max="14611" width="5.42578125" bestFit="1" customWidth="1"/>
    <col min="14612" max="14612" width="8.5703125" bestFit="1" customWidth="1"/>
    <col min="14613" max="14613" width="5.42578125" bestFit="1" customWidth="1"/>
    <col min="14614" max="14614" width="8.5703125" bestFit="1" customWidth="1"/>
    <col min="14615" max="14615" width="5.42578125" bestFit="1" customWidth="1"/>
    <col min="14616" max="14616" width="8.5703125" bestFit="1" customWidth="1"/>
    <col min="14617" max="14617" width="5.42578125" bestFit="1" customWidth="1"/>
    <col min="14618" max="14618" width="8.7109375" customWidth="1"/>
    <col min="14619" max="14619" width="5.42578125" bestFit="1" customWidth="1"/>
    <col min="14620" max="14620" width="8.5703125" bestFit="1" customWidth="1"/>
    <col min="14621" max="14621" width="6" bestFit="1" customWidth="1"/>
    <col min="14622" max="14622" width="9.5703125" bestFit="1" customWidth="1"/>
    <col min="14623" max="14623" width="6" bestFit="1" customWidth="1"/>
    <col min="14624" max="14624" width="9.5703125" bestFit="1" customWidth="1"/>
    <col min="14625" max="14625" width="5.42578125" bestFit="1" customWidth="1"/>
    <col min="14859" max="14859" width="8.28515625" bestFit="1" customWidth="1"/>
    <col min="14860" max="14860" width="8.5703125" bestFit="1" customWidth="1"/>
    <col min="14861" max="14861" width="5.42578125" bestFit="1" customWidth="1"/>
    <col min="14862" max="14862" width="8.5703125" bestFit="1" customWidth="1"/>
    <col min="14863" max="14863" width="5.42578125" bestFit="1" customWidth="1"/>
    <col min="14864" max="14864" width="8.5703125" bestFit="1" customWidth="1"/>
    <col min="14865" max="14865" width="5.42578125" bestFit="1" customWidth="1"/>
    <col min="14866" max="14866" width="8.5703125" bestFit="1" customWidth="1"/>
    <col min="14867" max="14867" width="5.42578125" bestFit="1" customWidth="1"/>
    <col min="14868" max="14868" width="8.5703125" bestFit="1" customWidth="1"/>
    <col min="14869" max="14869" width="5.42578125" bestFit="1" customWidth="1"/>
    <col min="14870" max="14870" width="8.5703125" bestFit="1" customWidth="1"/>
    <col min="14871" max="14871" width="5.42578125" bestFit="1" customWidth="1"/>
    <col min="14872" max="14872" width="8.5703125" bestFit="1" customWidth="1"/>
    <col min="14873" max="14873" width="5.42578125" bestFit="1" customWidth="1"/>
    <col min="14874" max="14874" width="8.7109375" customWidth="1"/>
    <col min="14875" max="14875" width="5.42578125" bestFit="1" customWidth="1"/>
    <col min="14876" max="14876" width="8.5703125" bestFit="1" customWidth="1"/>
    <col min="14877" max="14877" width="6" bestFit="1" customWidth="1"/>
    <col min="14878" max="14878" width="9.5703125" bestFit="1" customWidth="1"/>
    <col min="14879" max="14879" width="6" bestFit="1" customWidth="1"/>
    <col min="14880" max="14880" width="9.5703125" bestFit="1" customWidth="1"/>
    <col min="14881" max="14881" width="5.42578125" bestFit="1" customWidth="1"/>
    <col min="15115" max="15115" width="8.28515625" bestFit="1" customWidth="1"/>
    <col min="15116" max="15116" width="8.5703125" bestFit="1" customWidth="1"/>
    <col min="15117" max="15117" width="5.42578125" bestFit="1" customWidth="1"/>
    <col min="15118" max="15118" width="8.5703125" bestFit="1" customWidth="1"/>
    <col min="15119" max="15119" width="5.42578125" bestFit="1" customWidth="1"/>
    <col min="15120" max="15120" width="8.5703125" bestFit="1" customWidth="1"/>
    <col min="15121" max="15121" width="5.42578125" bestFit="1" customWidth="1"/>
    <col min="15122" max="15122" width="8.5703125" bestFit="1" customWidth="1"/>
    <col min="15123" max="15123" width="5.42578125" bestFit="1" customWidth="1"/>
    <col min="15124" max="15124" width="8.5703125" bestFit="1" customWidth="1"/>
    <col min="15125" max="15125" width="5.42578125" bestFit="1" customWidth="1"/>
    <col min="15126" max="15126" width="8.5703125" bestFit="1" customWidth="1"/>
    <col min="15127" max="15127" width="5.42578125" bestFit="1" customWidth="1"/>
    <col min="15128" max="15128" width="8.5703125" bestFit="1" customWidth="1"/>
    <col min="15129" max="15129" width="5.42578125" bestFit="1" customWidth="1"/>
    <col min="15130" max="15130" width="8.7109375" customWidth="1"/>
    <col min="15131" max="15131" width="5.42578125" bestFit="1" customWidth="1"/>
    <col min="15132" max="15132" width="8.5703125" bestFit="1" customWidth="1"/>
    <col min="15133" max="15133" width="6" bestFit="1" customWidth="1"/>
    <col min="15134" max="15134" width="9.5703125" bestFit="1" customWidth="1"/>
    <col min="15135" max="15135" width="6" bestFit="1" customWidth="1"/>
    <col min="15136" max="15136" width="9.5703125" bestFit="1" customWidth="1"/>
    <col min="15137" max="15137" width="5.42578125" bestFit="1" customWidth="1"/>
    <col min="15371" max="15371" width="8.28515625" bestFit="1" customWidth="1"/>
    <col min="15372" max="15372" width="8.5703125" bestFit="1" customWidth="1"/>
    <col min="15373" max="15373" width="5.42578125" bestFit="1" customWidth="1"/>
    <col min="15374" max="15374" width="8.5703125" bestFit="1" customWidth="1"/>
    <col min="15375" max="15375" width="5.42578125" bestFit="1" customWidth="1"/>
    <col min="15376" max="15376" width="8.5703125" bestFit="1" customWidth="1"/>
    <col min="15377" max="15377" width="5.42578125" bestFit="1" customWidth="1"/>
    <col min="15378" max="15378" width="8.5703125" bestFit="1" customWidth="1"/>
    <col min="15379" max="15379" width="5.42578125" bestFit="1" customWidth="1"/>
    <col min="15380" max="15380" width="8.5703125" bestFit="1" customWidth="1"/>
    <col min="15381" max="15381" width="5.42578125" bestFit="1" customWidth="1"/>
    <col min="15382" max="15382" width="8.5703125" bestFit="1" customWidth="1"/>
    <col min="15383" max="15383" width="5.42578125" bestFit="1" customWidth="1"/>
    <col min="15384" max="15384" width="8.5703125" bestFit="1" customWidth="1"/>
    <col min="15385" max="15385" width="5.42578125" bestFit="1" customWidth="1"/>
    <col min="15386" max="15386" width="8.7109375" customWidth="1"/>
    <col min="15387" max="15387" width="5.42578125" bestFit="1" customWidth="1"/>
    <col min="15388" max="15388" width="8.5703125" bestFit="1" customWidth="1"/>
    <col min="15389" max="15389" width="6" bestFit="1" customWidth="1"/>
    <col min="15390" max="15390" width="9.5703125" bestFit="1" customWidth="1"/>
    <col min="15391" max="15391" width="6" bestFit="1" customWidth="1"/>
    <col min="15392" max="15392" width="9.5703125" bestFit="1" customWidth="1"/>
    <col min="15393" max="15393" width="5.42578125" bestFit="1" customWidth="1"/>
    <col min="15627" max="15627" width="8.28515625" bestFit="1" customWidth="1"/>
    <col min="15628" max="15628" width="8.5703125" bestFit="1" customWidth="1"/>
    <col min="15629" max="15629" width="5.42578125" bestFit="1" customWidth="1"/>
    <col min="15630" max="15630" width="8.5703125" bestFit="1" customWidth="1"/>
    <col min="15631" max="15631" width="5.42578125" bestFit="1" customWidth="1"/>
    <col min="15632" max="15632" width="8.5703125" bestFit="1" customWidth="1"/>
    <col min="15633" max="15633" width="5.42578125" bestFit="1" customWidth="1"/>
    <col min="15634" max="15634" width="8.5703125" bestFit="1" customWidth="1"/>
    <col min="15635" max="15635" width="5.42578125" bestFit="1" customWidth="1"/>
    <col min="15636" max="15636" width="8.5703125" bestFit="1" customWidth="1"/>
    <col min="15637" max="15637" width="5.42578125" bestFit="1" customWidth="1"/>
    <col min="15638" max="15638" width="8.5703125" bestFit="1" customWidth="1"/>
    <col min="15639" max="15639" width="5.42578125" bestFit="1" customWidth="1"/>
    <col min="15640" max="15640" width="8.5703125" bestFit="1" customWidth="1"/>
    <col min="15641" max="15641" width="5.42578125" bestFit="1" customWidth="1"/>
    <col min="15642" max="15642" width="8.7109375" customWidth="1"/>
    <col min="15643" max="15643" width="5.42578125" bestFit="1" customWidth="1"/>
    <col min="15644" max="15644" width="8.5703125" bestFit="1" customWidth="1"/>
    <col min="15645" max="15645" width="6" bestFit="1" customWidth="1"/>
    <col min="15646" max="15646" width="9.5703125" bestFit="1" customWidth="1"/>
    <col min="15647" max="15647" width="6" bestFit="1" customWidth="1"/>
    <col min="15648" max="15648" width="9.5703125" bestFit="1" customWidth="1"/>
    <col min="15649" max="15649" width="5.42578125" bestFit="1" customWidth="1"/>
    <col min="15883" max="15883" width="8.28515625" bestFit="1" customWidth="1"/>
    <col min="15884" max="15884" width="8.5703125" bestFit="1" customWidth="1"/>
    <col min="15885" max="15885" width="5.42578125" bestFit="1" customWidth="1"/>
    <col min="15886" max="15886" width="8.5703125" bestFit="1" customWidth="1"/>
    <col min="15887" max="15887" width="5.42578125" bestFit="1" customWidth="1"/>
    <col min="15888" max="15888" width="8.5703125" bestFit="1" customWidth="1"/>
    <col min="15889" max="15889" width="5.42578125" bestFit="1" customWidth="1"/>
    <col min="15890" max="15890" width="8.5703125" bestFit="1" customWidth="1"/>
    <col min="15891" max="15891" width="5.42578125" bestFit="1" customWidth="1"/>
    <col min="15892" max="15892" width="8.5703125" bestFit="1" customWidth="1"/>
    <col min="15893" max="15893" width="5.42578125" bestFit="1" customWidth="1"/>
    <col min="15894" max="15894" width="8.5703125" bestFit="1" customWidth="1"/>
    <col min="15895" max="15895" width="5.42578125" bestFit="1" customWidth="1"/>
    <col min="15896" max="15896" width="8.5703125" bestFit="1" customWidth="1"/>
    <col min="15897" max="15897" width="5.42578125" bestFit="1" customWidth="1"/>
    <col min="15898" max="15898" width="8.7109375" customWidth="1"/>
    <col min="15899" max="15899" width="5.42578125" bestFit="1" customWidth="1"/>
    <col min="15900" max="15900" width="8.5703125" bestFit="1" customWidth="1"/>
    <col min="15901" max="15901" width="6" bestFit="1" customWidth="1"/>
    <col min="15902" max="15902" width="9.5703125" bestFit="1" customWidth="1"/>
    <col min="15903" max="15903" width="6" bestFit="1" customWidth="1"/>
    <col min="15904" max="15904" width="9.5703125" bestFit="1" customWidth="1"/>
    <col min="15905" max="15905" width="5.42578125" bestFit="1" customWidth="1"/>
    <col min="16139" max="16139" width="8.28515625" bestFit="1" customWidth="1"/>
    <col min="16140" max="16140" width="8.5703125" bestFit="1" customWidth="1"/>
    <col min="16141" max="16141" width="5.42578125" bestFit="1" customWidth="1"/>
    <col min="16142" max="16142" width="8.5703125" bestFit="1" customWidth="1"/>
    <col min="16143" max="16143" width="5.42578125" bestFit="1" customWidth="1"/>
    <col min="16144" max="16144" width="8.5703125" bestFit="1" customWidth="1"/>
    <col min="16145" max="16145" width="5.42578125" bestFit="1" customWidth="1"/>
    <col min="16146" max="16146" width="8.5703125" bestFit="1" customWidth="1"/>
    <col min="16147" max="16147" width="5.42578125" bestFit="1" customWidth="1"/>
    <col min="16148" max="16148" width="8.5703125" bestFit="1" customWidth="1"/>
    <col min="16149" max="16149" width="5.42578125" bestFit="1" customWidth="1"/>
    <col min="16150" max="16150" width="8.5703125" bestFit="1" customWidth="1"/>
    <col min="16151" max="16151" width="5.42578125" bestFit="1" customWidth="1"/>
    <col min="16152" max="16152" width="8.5703125" bestFit="1" customWidth="1"/>
    <col min="16153" max="16153" width="5.42578125" bestFit="1" customWidth="1"/>
    <col min="16154" max="16154" width="8.7109375" customWidth="1"/>
    <col min="16155" max="16155" width="5.42578125" bestFit="1" customWidth="1"/>
    <col min="16156" max="16156" width="8.5703125" bestFit="1" customWidth="1"/>
    <col min="16157" max="16157" width="6" bestFit="1" customWidth="1"/>
    <col min="16158" max="16158" width="9.5703125" bestFit="1" customWidth="1"/>
    <col min="16159" max="16159" width="6" bestFit="1" customWidth="1"/>
    <col min="16160" max="16160" width="9.5703125" bestFit="1" customWidth="1"/>
    <col min="16161" max="16161" width="5.42578125" bestFit="1" customWidth="1"/>
  </cols>
  <sheetData>
    <row r="1" spans="1:36" x14ac:dyDescent="0.25">
      <c r="A1" s="155" t="s">
        <v>1125</v>
      </c>
      <c r="B1" s="156" t="s">
        <v>1138</v>
      </c>
      <c r="C1" s="157" t="s">
        <v>1164</v>
      </c>
      <c r="D1" s="177"/>
      <c r="E1" s="158"/>
      <c r="F1" s="99"/>
      <c r="G1" s="160"/>
      <c r="H1" s="159"/>
      <c r="I1" s="160"/>
      <c r="J1" s="160"/>
      <c r="K1" s="159"/>
      <c r="L1" s="160"/>
      <c r="M1" s="160"/>
      <c r="N1" s="159"/>
      <c r="O1" s="160"/>
      <c r="P1" s="160"/>
      <c r="Q1" s="159"/>
      <c r="R1" s="160"/>
      <c r="S1" s="160"/>
      <c r="T1" s="159"/>
      <c r="U1" s="160"/>
      <c r="V1" s="160"/>
      <c r="W1" s="159"/>
      <c r="X1" s="160"/>
      <c r="Y1" s="160"/>
      <c r="Z1" s="159"/>
      <c r="AA1" s="160"/>
      <c r="AB1" s="160"/>
      <c r="AC1" s="159"/>
      <c r="AD1" s="160"/>
      <c r="AE1" s="160"/>
      <c r="AF1" s="159"/>
      <c r="AG1" s="160"/>
    </row>
    <row r="2" spans="1:36" x14ac:dyDescent="0.25">
      <c r="A2" s="161" t="s">
        <v>1165</v>
      </c>
      <c r="B2" s="43">
        <v>1</v>
      </c>
      <c r="C2" s="162">
        <v>15</v>
      </c>
      <c r="D2" s="178"/>
      <c r="E2" s="163"/>
      <c r="F2" s="50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164"/>
      <c r="X2" s="61"/>
      <c r="Y2" s="61"/>
      <c r="Z2" s="164"/>
      <c r="AA2" s="61"/>
      <c r="AB2" s="61"/>
      <c r="AC2" s="164"/>
      <c r="AD2" s="61"/>
      <c r="AE2" s="61"/>
      <c r="AF2" s="164"/>
      <c r="AG2" s="61"/>
    </row>
    <row r="3" spans="1:36" x14ac:dyDescent="0.25">
      <c r="A3" s="161" t="s">
        <v>1166</v>
      </c>
      <c r="B3" s="43">
        <v>1</v>
      </c>
      <c r="C3" s="162">
        <v>15</v>
      </c>
      <c r="D3" s="178"/>
      <c r="E3" s="163"/>
      <c r="F3" s="50"/>
      <c r="G3" s="61"/>
      <c r="H3" s="61"/>
      <c r="I3" s="61"/>
      <c r="J3" s="61"/>
      <c r="K3" s="61"/>
      <c r="L3" s="61"/>
      <c r="M3" s="61"/>
      <c r="N3" s="164"/>
      <c r="O3" s="61"/>
      <c r="P3" s="61"/>
      <c r="Q3" s="164"/>
      <c r="R3" s="61"/>
      <c r="S3" s="61"/>
      <c r="T3" s="164"/>
      <c r="U3" s="61"/>
      <c r="V3" s="61"/>
      <c r="W3" s="164"/>
      <c r="X3" s="61"/>
      <c r="Y3" s="61"/>
      <c r="Z3" s="164"/>
      <c r="AA3" s="61"/>
      <c r="AB3" s="61"/>
      <c r="AC3" s="164"/>
      <c r="AD3" s="61"/>
      <c r="AE3" s="61"/>
      <c r="AF3" s="164"/>
      <c r="AG3" s="61"/>
    </row>
    <row r="4" spans="1:36" x14ac:dyDescent="0.25">
      <c r="A4" s="161" t="s">
        <v>1167</v>
      </c>
      <c r="B4" s="43">
        <v>1</v>
      </c>
      <c r="C4" s="162">
        <v>15</v>
      </c>
      <c r="D4" s="178">
        <f>SUM(C2:C4)</f>
        <v>45</v>
      </c>
      <c r="E4" s="163"/>
      <c r="F4" s="50"/>
      <c r="G4" s="61"/>
      <c r="H4" s="61"/>
      <c r="I4" s="61"/>
      <c r="J4" s="61"/>
      <c r="K4" s="164"/>
      <c r="L4" s="61"/>
      <c r="M4" s="61"/>
      <c r="N4" s="164"/>
      <c r="O4" s="61"/>
      <c r="P4" s="61"/>
      <c r="Q4" s="164"/>
      <c r="R4" s="61"/>
      <c r="S4" s="61"/>
      <c r="T4" s="164"/>
      <c r="U4" s="61"/>
      <c r="V4" s="61"/>
      <c r="W4" s="164"/>
      <c r="X4" s="61"/>
      <c r="Y4" s="61"/>
      <c r="Z4" s="164"/>
      <c r="AA4" s="61"/>
      <c r="AB4" s="61"/>
      <c r="AC4" s="164"/>
      <c r="AD4" s="61"/>
      <c r="AE4" s="61"/>
      <c r="AF4" s="164"/>
      <c r="AG4" s="61"/>
    </row>
    <row r="5" spans="1:36" x14ac:dyDescent="0.25">
      <c r="A5" s="161" t="s">
        <v>1168</v>
      </c>
      <c r="B5" s="165">
        <v>2</v>
      </c>
      <c r="C5" s="162">
        <v>14</v>
      </c>
      <c r="D5" s="178"/>
      <c r="E5" s="163"/>
      <c r="F5" s="50"/>
      <c r="G5" s="61"/>
      <c r="H5" s="164"/>
      <c r="I5" s="61"/>
      <c r="J5" s="61"/>
      <c r="K5" s="164"/>
      <c r="L5" s="61"/>
      <c r="M5" s="61"/>
      <c r="N5" s="164"/>
      <c r="O5" s="61"/>
      <c r="P5" s="61"/>
      <c r="Q5" s="164"/>
      <c r="R5" s="61"/>
      <c r="S5" s="61"/>
      <c r="T5" s="164"/>
      <c r="U5" s="61"/>
      <c r="V5" s="61"/>
      <c r="W5" s="164"/>
      <c r="X5" s="61"/>
      <c r="Y5" s="61"/>
      <c r="Z5" s="164"/>
      <c r="AA5" s="61"/>
      <c r="AB5" s="61"/>
      <c r="AC5" s="164"/>
      <c r="AD5" s="61"/>
      <c r="AE5" s="61"/>
      <c r="AF5" s="164"/>
      <c r="AG5" s="61"/>
    </row>
    <row r="6" spans="1:36" x14ac:dyDescent="0.25">
      <c r="A6" s="161" t="s">
        <v>1169</v>
      </c>
      <c r="B6" s="165">
        <v>2</v>
      </c>
      <c r="C6" s="162">
        <v>13</v>
      </c>
      <c r="D6" s="178"/>
      <c r="E6" s="163"/>
      <c r="F6" s="50"/>
      <c r="G6" s="61"/>
      <c r="H6" s="164"/>
      <c r="I6" s="61"/>
      <c r="J6" s="61"/>
      <c r="K6" s="164"/>
      <c r="L6" s="61"/>
      <c r="M6" s="61"/>
      <c r="N6" s="164"/>
      <c r="O6" s="61"/>
      <c r="P6" s="61"/>
      <c r="Q6" s="164"/>
      <c r="R6" s="61"/>
      <c r="S6" s="61"/>
      <c r="T6" s="164"/>
      <c r="U6" s="61"/>
      <c r="V6" s="61"/>
      <c r="W6" s="164"/>
      <c r="X6" s="61"/>
      <c r="Y6" s="61"/>
      <c r="Z6" s="164"/>
      <c r="AA6" s="61"/>
      <c r="AB6" s="61"/>
      <c r="AC6" s="164"/>
      <c r="AD6" s="61"/>
      <c r="AE6" s="61"/>
      <c r="AF6" s="164"/>
      <c r="AG6" s="61"/>
    </row>
    <row r="7" spans="1:36" x14ac:dyDescent="0.25">
      <c r="A7" s="161" t="s">
        <v>1170</v>
      </c>
      <c r="B7" s="165">
        <v>2</v>
      </c>
      <c r="C7" s="162">
        <v>13</v>
      </c>
      <c r="D7" s="178">
        <f>SUM(C5:C7)</f>
        <v>40</v>
      </c>
      <c r="E7" s="163"/>
      <c r="F7" s="50"/>
      <c r="G7" s="61"/>
      <c r="H7" s="164"/>
      <c r="I7" s="61"/>
      <c r="J7" s="61"/>
      <c r="K7" s="164"/>
      <c r="L7" s="61"/>
      <c r="M7" s="61"/>
      <c r="N7" s="164"/>
      <c r="O7" s="61"/>
      <c r="P7" s="61"/>
      <c r="Q7" s="164"/>
      <c r="R7" s="61"/>
      <c r="S7" s="61"/>
      <c r="T7" s="164"/>
      <c r="U7" s="61"/>
      <c r="V7" s="61"/>
      <c r="W7" s="164"/>
      <c r="X7" s="61"/>
      <c r="Y7" s="61"/>
      <c r="Z7" s="164"/>
      <c r="AA7" s="61"/>
      <c r="AB7" s="61"/>
      <c r="AC7" s="164"/>
      <c r="AD7" s="61"/>
      <c r="AE7" s="61"/>
      <c r="AF7" s="164"/>
      <c r="AG7" s="61"/>
    </row>
    <row r="8" spans="1:36" x14ac:dyDescent="0.25">
      <c r="A8" s="161" t="s">
        <v>1171</v>
      </c>
      <c r="B8" s="166">
        <v>3</v>
      </c>
      <c r="C8" s="162">
        <v>5</v>
      </c>
      <c r="D8" s="178"/>
      <c r="E8" s="163"/>
      <c r="F8" s="50"/>
      <c r="G8" s="61"/>
      <c r="H8" s="164"/>
      <c r="I8" s="61"/>
      <c r="J8" s="61"/>
      <c r="K8" s="164"/>
      <c r="L8" s="61"/>
      <c r="M8" s="61"/>
      <c r="N8" s="164"/>
      <c r="O8" s="61"/>
      <c r="P8" s="61"/>
      <c r="Q8" s="164"/>
      <c r="R8" s="61"/>
      <c r="S8" s="61"/>
      <c r="T8" s="164"/>
      <c r="U8" s="61"/>
      <c r="V8" s="61"/>
      <c r="W8" s="164"/>
      <c r="X8" s="61"/>
      <c r="Y8" s="61"/>
      <c r="Z8" s="164"/>
      <c r="AA8" s="61"/>
      <c r="AB8" s="61"/>
      <c r="AC8" s="164"/>
      <c r="AD8" s="61"/>
      <c r="AE8" s="61"/>
      <c r="AF8" s="164"/>
      <c r="AG8" s="61"/>
    </row>
    <row r="9" spans="1:36" x14ac:dyDescent="0.25">
      <c r="A9" s="161" t="s">
        <v>1172</v>
      </c>
      <c r="B9" s="166">
        <v>3</v>
      </c>
      <c r="C9" s="162">
        <v>5</v>
      </c>
      <c r="D9" s="178">
        <f>SUM(C8:C9)</f>
        <v>10</v>
      </c>
      <c r="E9" s="163"/>
      <c r="F9" s="50"/>
      <c r="G9" s="61"/>
      <c r="H9" s="164"/>
      <c r="I9" s="61"/>
      <c r="J9" s="61"/>
      <c r="K9" s="164"/>
      <c r="L9" s="61"/>
      <c r="M9" s="61"/>
      <c r="N9" s="164"/>
      <c r="O9" s="61"/>
      <c r="P9" s="61"/>
      <c r="Q9" s="164"/>
      <c r="R9" s="61"/>
      <c r="S9" s="61"/>
      <c r="T9" s="164"/>
      <c r="U9" s="61"/>
      <c r="V9" s="61"/>
      <c r="W9" s="164"/>
      <c r="X9" s="61"/>
      <c r="Y9" s="61"/>
      <c r="Z9" s="164"/>
      <c r="AA9" s="61"/>
      <c r="AB9" s="61"/>
      <c r="AC9" s="164"/>
      <c r="AD9" s="61"/>
      <c r="AE9" s="61"/>
      <c r="AF9" s="164"/>
      <c r="AG9" s="61"/>
    </row>
    <row r="10" spans="1:36" x14ac:dyDescent="0.25">
      <c r="A10" s="161" t="s">
        <v>1173</v>
      </c>
      <c r="B10" s="167">
        <v>4</v>
      </c>
      <c r="C10" s="43">
        <v>5</v>
      </c>
      <c r="D10" s="43">
        <f>C10</f>
        <v>5</v>
      </c>
      <c r="E10" s="171"/>
      <c r="F10" s="50"/>
      <c r="G10" s="61"/>
      <c r="H10" s="164"/>
      <c r="I10" s="61"/>
      <c r="J10" s="61"/>
      <c r="K10" s="164"/>
      <c r="L10" s="61"/>
      <c r="M10" s="61"/>
      <c r="N10" s="164"/>
      <c r="O10" s="61"/>
      <c r="P10" s="61"/>
      <c r="Q10" s="164"/>
      <c r="R10" s="61"/>
      <c r="S10" s="61"/>
      <c r="T10" s="164"/>
      <c r="U10" s="61"/>
      <c r="V10" s="61"/>
      <c r="W10" s="164"/>
      <c r="X10" s="61"/>
      <c r="Y10" s="61"/>
      <c r="Z10" s="164"/>
      <c r="AA10" s="61"/>
      <c r="AB10" s="61"/>
      <c r="AC10" s="164"/>
      <c r="AD10" s="61"/>
      <c r="AE10" s="61"/>
      <c r="AF10" s="164"/>
      <c r="AG10" s="61"/>
    </row>
    <row r="11" spans="1:36" s="176" customFormat="1" x14ac:dyDescent="0.25">
      <c r="A11" s="175"/>
      <c r="B11" s="164"/>
      <c r="C11" s="61">
        <f>SUM(C2:C10)</f>
        <v>100</v>
      </c>
      <c r="D11" s="61"/>
      <c r="E11" s="164"/>
      <c r="F11" s="61"/>
      <c r="G11" s="61"/>
      <c r="H11" s="164"/>
      <c r="I11" s="61"/>
      <c r="J11" s="61"/>
      <c r="K11" s="164"/>
      <c r="L11" s="61"/>
      <c r="M11" s="61"/>
      <c r="N11" s="164"/>
      <c r="O11" s="61"/>
      <c r="P11" s="61"/>
      <c r="Q11" s="164"/>
      <c r="R11" s="61"/>
      <c r="S11" s="61"/>
      <c r="T11" s="164"/>
      <c r="U11" s="61"/>
      <c r="V11" s="61"/>
      <c r="W11" s="164"/>
      <c r="X11" s="61"/>
      <c r="Y11" s="61"/>
      <c r="Z11" s="164"/>
      <c r="AA11" s="61"/>
      <c r="AB11" s="61"/>
      <c r="AC11" s="164"/>
      <c r="AD11" s="61"/>
      <c r="AE11" s="61"/>
      <c r="AF11" s="164"/>
      <c r="AG11" s="61"/>
    </row>
    <row r="12" spans="1:36" s="176" customFormat="1" x14ac:dyDescent="0.25">
      <c r="A12" s="175"/>
      <c r="B12" s="164"/>
      <c r="C12" s="61"/>
      <c r="D12" s="61"/>
      <c r="E12" s="164"/>
      <c r="F12" s="61"/>
      <c r="G12" s="61"/>
      <c r="H12" s="164"/>
      <c r="I12" s="61"/>
      <c r="J12" s="61"/>
      <c r="K12" s="164"/>
      <c r="L12" s="61"/>
      <c r="M12" s="61"/>
      <c r="N12" s="164"/>
      <c r="O12" s="61"/>
      <c r="P12" s="61"/>
      <c r="Q12" s="164"/>
      <c r="R12" s="61"/>
      <c r="S12" s="61"/>
      <c r="T12" s="164"/>
      <c r="U12" s="61"/>
      <c r="V12" s="61"/>
      <c r="W12" s="164"/>
      <c r="X12" s="61"/>
      <c r="Y12" s="61"/>
      <c r="Z12" s="164"/>
      <c r="AA12" s="61"/>
      <c r="AB12" s="61"/>
      <c r="AC12" s="164"/>
      <c r="AD12" s="61"/>
      <c r="AE12" s="61"/>
      <c r="AF12" s="164"/>
      <c r="AG12" s="61"/>
    </row>
    <row r="13" spans="1:36" x14ac:dyDescent="0.25">
      <c r="A13" s="172" t="s">
        <v>1128</v>
      </c>
      <c r="B13" s="169" t="s">
        <v>1138</v>
      </c>
      <c r="C13" s="170" t="s">
        <v>1164</v>
      </c>
      <c r="D13" s="170"/>
      <c r="E13" s="169" t="s">
        <v>1138</v>
      </c>
      <c r="F13" s="170" t="s">
        <v>1174</v>
      </c>
      <c r="G13" s="170"/>
      <c r="H13" s="169" t="s">
        <v>1138</v>
      </c>
      <c r="I13" s="170" t="s">
        <v>1175</v>
      </c>
      <c r="J13" s="170"/>
      <c r="K13" s="169" t="s">
        <v>1138</v>
      </c>
      <c r="L13" s="170" t="s">
        <v>1176</v>
      </c>
      <c r="M13" s="170"/>
      <c r="N13" s="169" t="s">
        <v>1138</v>
      </c>
      <c r="O13" s="170" t="s">
        <v>1177</v>
      </c>
      <c r="P13" s="170"/>
      <c r="Q13" s="169" t="s">
        <v>1138</v>
      </c>
      <c r="R13" s="170" t="s">
        <v>1178</v>
      </c>
      <c r="S13" s="170"/>
      <c r="T13" s="169" t="s">
        <v>1138</v>
      </c>
      <c r="U13" s="170" t="s">
        <v>1179</v>
      </c>
      <c r="V13" s="170"/>
      <c r="W13" s="169" t="s">
        <v>1138</v>
      </c>
      <c r="X13" s="170" t="s">
        <v>1180</v>
      </c>
      <c r="Y13" s="170"/>
      <c r="Z13" s="169" t="s">
        <v>1138</v>
      </c>
      <c r="AA13" s="170" t="s">
        <v>1181</v>
      </c>
      <c r="AB13" s="170"/>
      <c r="AC13" s="169" t="s">
        <v>1138</v>
      </c>
      <c r="AD13" s="170" t="s">
        <v>1182</v>
      </c>
      <c r="AE13" s="170"/>
      <c r="AF13" s="169" t="s">
        <v>1138</v>
      </c>
      <c r="AG13" s="170" t="s">
        <v>1183</v>
      </c>
      <c r="AH13" s="173"/>
      <c r="AI13" s="174" t="s">
        <v>1282</v>
      </c>
    </row>
    <row r="14" spans="1:36" x14ac:dyDescent="0.25">
      <c r="A14" s="161" t="s">
        <v>1165</v>
      </c>
      <c r="B14" s="43">
        <v>1</v>
      </c>
      <c r="C14" s="43">
        <v>25</v>
      </c>
      <c r="D14" s="43"/>
      <c r="E14" s="43">
        <v>1</v>
      </c>
      <c r="F14" s="43">
        <v>20</v>
      </c>
      <c r="G14" s="43"/>
      <c r="H14" s="43">
        <v>1</v>
      </c>
      <c r="I14" s="43">
        <v>25</v>
      </c>
      <c r="J14" s="43"/>
      <c r="K14" s="43">
        <v>1</v>
      </c>
      <c r="L14" s="43">
        <v>20</v>
      </c>
      <c r="M14" s="43"/>
      <c r="N14" s="43">
        <v>1</v>
      </c>
      <c r="O14" s="43">
        <v>25</v>
      </c>
      <c r="P14" s="43">
        <f>O14</f>
        <v>25</v>
      </c>
      <c r="Q14" s="165">
        <v>2</v>
      </c>
      <c r="R14" s="43">
        <v>15</v>
      </c>
      <c r="S14" s="43"/>
      <c r="T14" s="165">
        <v>2</v>
      </c>
      <c r="U14" s="43">
        <v>20</v>
      </c>
      <c r="V14" s="43"/>
      <c r="W14" s="165">
        <v>2</v>
      </c>
      <c r="X14" s="43">
        <v>15</v>
      </c>
      <c r="Y14" s="43"/>
      <c r="Z14" s="165">
        <v>2</v>
      </c>
      <c r="AA14" s="43">
        <v>25</v>
      </c>
      <c r="AB14" s="43">
        <f>AA14</f>
        <v>25</v>
      </c>
      <c r="AC14" s="166">
        <v>3</v>
      </c>
      <c r="AD14" s="43">
        <v>17</v>
      </c>
      <c r="AE14" s="43"/>
      <c r="AF14" s="166">
        <v>3</v>
      </c>
      <c r="AG14" s="43">
        <v>15</v>
      </c>
      <c r="AH14" s="98"/>
      <c r="AI14" s="252">
        <f>(D16+G16+J15+M15+P14)/5</f>
        <v>49</v>
      </c>
      <c r="AJ14" t="s">
        <v>1278</v>
      </c>
    </row>
    <row r="15" spans="1:36" x14ac:dyDescent="0.25">
      <c r="A15" s="161" t="s">
        <v>1166</v>
      </c>
      <c r="B15" s="43">
        <v>1</v>
      </c>
      <c r="C15" s="43">
        <v>25</v>
      </c>
      <c r="D15" s="43"/>
      <c r="E15" s="43">
        <v>1</v>
      </c>
      <c r="F15" s="43">
        <v>20</v>
      </c>
      <c r="G15" s="43"/>
      <c r="H15" s="43">
        <v>1</v>
      </c>
      <c r="I15" s="43">
        <v>25</v>
      </c>
      <c r="J15" s="43">
        <f>SUM(I14:I15)</f>
        <v>50</v>
      </c>
      <c r="K15" s="43">
        <v>1</v>
      </c>
      <c r="L15" s="43">
        <v>20</v>
      </c>
      <c r="M15" s="43">
        <f>SUM(L14:L15)</f>
        <v>40</v>
      </c>
      <c r="N15" s="165">
        <v>2</v>
      </c>
      <c r="O15" s="43">
        <v>18</v>
      </c>
      <c r="P15" s="43"/>
      <c r="Q15" s="165">
        <v>2</v>
      </c>
      <c r="R15" s="43">
        <v>15</v>
      </c>
      <c r="S15" s="43"/>
      <c r="T15" s="165">
        <v>2</v>
      </c>
      <c r="U15" s="43">
        <v>20</v>
      </c>
      <c r="V15" s="43">
        <f>SUM(U14:U15)</f>
        <v>40</v>
      </c>
      <c r="W15" s="165">
        <v>2</v>
      </c>
      <c r="X15" s="43">
        <v>15</v>
      </c>
      <c r="Y15" s="43">
        <f>SUM(X14:X15)</f>
        <v>30</v>
      </c>
      <c r="Z15" s="166">
        <v>3</v>
      </c>
      <c r="AA15" s="43">
        <v>12</v>
      </c>
      <c r="AB15" s="43"/>
      <c r="AC15" s="166">
        <v>3</v>
      </c>
      <c r="AD15" s="43">
        <v>16</v>
      </c>
      <c r="AE15" s="43"/>
      <c r="AF15" s="166">
        <v>3</v>
      </c>
      <c r="AG15" s="43">
        <v>15</v>
      </c>
      <c r="AH15" s="98"/>
      <c r="AI15" s="253">
        <f>(D19+G19+J18+M18+P16+S16+V15+Y15+AB14)/9</f>
        <v>32.222222222222221</v>
      </c>
      <c r="AJ15" t="s">
        <v>1279</v>
      </c>
    </row>
    <row r="16" spans="1:36" x14ac:dyDescent="0.25">
      <c r="A16" s="161" t="s">
        <v>1167</v>
      </c>
      <c r="B16" s="43">
        <v>1</v>
      </c>
      <c r="C16" s="43">
        <v>20</v>
      </c>
      <c r="D16" s="43">
        <f>SUM(C14:C16)</f>
        <v>70</v>
      </c>
      <c r="E16" s="43">
        <v>1</v>
      </c>
      <c r="F16" s="43">
        <v>20</v>
      </c>
      <c r="G16" s="43">
        <f>SUM(F14:F16)</f>
        <v>60</v>
      </c>
      <c r="H16" s="165">
        <v>2</v>
      </c>
      <c r="I16" s="43">
        <v>10</v>
      </c>
      <c r="J16" s="43"/>
      <c r="K16" s="165">
        <v>2</v>
      </c>
      <c r="L16" s="43">
        <v>10</v>
      </c>
      <c r="M16" s="43"/>
      <c r="N16" s="165">
        <v>2</v>
      </c>
      <c r="O16" s="43">
        <v>17</v>
      </c>
      <c r="P16" s="43">
        <f>SUM(O15:O16)</f>
        <v>35</v>
      </c>
      <c r="Q16" s="165">
        <v>2</v>
      </c>
      <c r="R16" s="43">
        <v>15</v>
      </c>
      <c r="S16" s="43">
        <f>SUM(R14:R16)</f>
        <v>45</v>
      </c>
      <c r="T16" s="166">
        <v>3</v>
      </c>
      <c r="U16" s="43">
        <v>14</v>
      </c>
      <c r="V16" s="43"/>
      <c r="W16" s="166">
        <v>3</v>
      </c>
      <c r="X16" s="43">
        <v>15</v>
      </c>
      <c r="Y16" s="43"/>
      <c r="Z16" s="166">
        <v>3</v>
      </c>
      <c r="AA16" s="43">
        <v>11</v>
      </c>
      <c r="AB16" s="43"/>
      <c r="AC16" s="166">
        <v>3</v>
      </c>
      <c r="AD16" s="43">
        <v>16</v>
      </c>
      <c r="AE16" s="43"/>
      <c r="AF16" s="166">
        <v>3</v>
      </c>
      <c r="AG16" s="43">
        <v>15</v>
      </c>
      <c r="AI16" s="253">
        <f>(D21+G21+J20+M20+P19+S19+V18+Y18+AB18+AE17+AH17)/11</f>
        <v>35</v>
      </c>
      <c r="AJ16" t="s">
        <v>1280</v>
      </c>
    </row>
    <row r="17" spans="1:36" x14ac:dyDescent="0.25">
      <c r="A17" s="161" t="s">
        <v>1168</v>
      </c>
      <c r="B17" s="165">
        <v>2</v>
      </c>
      <c r="C17" s="43">
        <v>9</v>
      </c>
      <c r="D17" s="43"/>
      <c r="E17" s="165">
        <v>2</v>
      </c>
      <c r="F17" s="43">
        <v>10</v>
      </c>
      <c r="G17" s="43"/>
      <c r="H17" s="165">
        <v>2</v>
      </c>
      <c r="I17" s="43">
        <v>10</v>
      </c>
      <c r="J17" s="43"/>
      <c r="K17" s="165">
        <v>2</v>
      </c>
      <c r="L17" s="43">
        <v>10</v>
      </c>
      <c r="M17" s="43"/>
      <c r="N17" s="166">
        <v>3</v>
      </c>
      <c r="O17" s="43">
        <v>10</v>
      </c>
      <c r="P17" s="43"/>
      <c r="Q17" s="166">
        <v>3</v>
      </c>
      <c r="R17" s="43">
        <v>14</v>
      </c>
      <c r="S17" s="43"/>
      <c r="T17" s="166">
        <v>3</v>
      </c>
      <c r="U17" s="43">
        <v>13</v>
      </c>
      <c r="V17" s="43"/>
      <c r="W17" s="166">
        <v>3</v>
      </c>
      <c r="X17" s="43">
        <v>15</v>
      </c>
      <c r="Y17" s="43"/>
      <c r="Z17" s="166">
        <v>3</v>
      </c>
      <c r="AA17" s="43">
        <v>11</v>
      </c>
      <c r="AB17" s="43"/>
      <c r="AC17" s="166">
        <v>3</v>
      </c>
      <c r="AD17" s="43">
        <v>16</v>
      </c>
      <c r="AE17" s="43">
        <f>SUM(AD14:AD17)</f>
        <v>65</v>
      </c>
      <c r="AF17" s="166">
        <v>3</v>
      </c>
      <c r="AG17" s="43">
        <v>15</v>
      </c>
      <c r="AH17" s="98">
        <f>SUM(AG14:AG17)</f>
        <v>60</v>
      </c>
      <c r="AI17" s="253">
        <f>(D22+G22+J22+M22+P22+S22+V22+Y22+AB22+AE22+AH22)/11</f>
        <v>16.363636363636363</v>
      </c>
      <c r="AJ17" t="s">
        <v>1281</v>
      </c>
    </row>
    <row r="18" spans="1:36" x14ac:dyDescent="0.25">
      <c r="A18" s="161" t="s">
        <v>1169</v>
      </c>
      <c r="B18" s="165">
        <v>2</v>
      </c>
      <c r="C18" s="43">
        <v>8</v>
      </c>
      <c r="D18" s="43"/>
      <c r="E18" s="165">
        <v>2</v>
      </c>
      <c r="F18" s="43">
        <v>10</v>
      </c>
      <c r="G18" s="43"/>
      <c r="H18" s="165">
        <v>2</v>
      </c>
      <c r="I18" s="43">
        <v>10</v>
      </c>
      <c r="J18" s="43">
        <f>SUM(I16:I18)</f>
        <v>30</v>
      </c>
      <c r="K18" s="165">
        <v>2</v>
      </c>
      <c r="L18" s="43">
        <v>10</v>
      </c>
      <c r="M18" s="43">
        <f>SUM(L16:L18)</f>
        <v>30</v>
      </c>
      <c r="N18" s="166">
        <v>3</v>
      </c>
      <c r="O18" s="43">
        <v>10</v>
      </c>
      <c r="P18" s="43"/>
      <c r="Q18" s="166">
        <v>3</v>
      </c>
      <c r="R18" s="43">
        <v>13</v>
      </c>
      <c r="S18" s="43"/>
      <c r="T18" s="166">
        <v>3</v>
      </c>
      <c r="U18" s="43">
        <v>13</v>
      </c>
      <c r="V18" s="43">
        <f>SUM(U16:U18)</f>
        <v>40</v>
      </c>
      <c r="W18" s="166">
        <v>3</v>
      </c>
      <c r="X18" s="43">
        <v>15</v>
      </c>
      <c r="Y18" s="43">
        <f>SUM(X16:X18)</f>
        <v>45</v>
      </c>
      <c r="Z18" s="166">
        <v>3</v>
      </c>
      <c r="AA18" s="43">
        <v>11</v>
      </c>
      <c r="AB18" s="43">
        <f>SUM(AA15:AA18)</f>
        <v>45</v>
      </c>
      <c r="AC18" s="167">
        <v>4</v>
      </c>
      <c r="AD18" s="43">
        <v>7</v>
      </c>
      <c r="AF18" s="167">
        <v>4</v>
      </c>
      <c r="AG18" s="43">
        <v>8</v>
      </c>
      <c r="AH18" s="98"/>
      <c r="AI18" s="253">
        <f>AVERAGE(AI14:AI17)</f>
        <v>33.146464646464651</v>
      </c>
    </row>
    <row r="19" spans="1:36" x14ac:dyDescent="0.25">
      <c r="A19" s="161" t="s">
        <v>1170</v>
      </c>
      <c r="B19" s="165">
        <v>2</v>
      </c>
      <c r="C19" s="43">
        <v>8</v>
      </c>
      <c r="D19" s="43">
        <f>SUM(C17:C19)</f>
        <v>25</v>
      </c>
      <c r="E19" s="165">
        <v>2</v>
      </c>
      <c r="F19" s="43">
        <v>10</v>
      </c>
      <c r="G19" s="43">
        <f>SUM(F17:F19)</f>
        <v>30</v>
      </c>
      <c r="H19" s="166">
        <v>3</v>
      </c>
      <c r="I19" s="43">
        <v>10</v>
      </c>
      <c r="J19" s="43"/>
      <c r="K19" s="166">
        <v>3</v>
      </c>
      <c r="L19" s="43">
        <v>13</v>
      </c>
      <c r="M19" s="43"/>
      <c r="N19" s="166">
        <v>3</v>
      </c>
      <c r="O19" s="43">
        <v>10</v>
      </c>
      <c r="P19" s="43">
        <f>SUM(O17:O19)</f>
        <v>30</v>
      </c>
      <c r="Q19" s="166">
        <v>3</v>
      </c>
      <c r="R19" s="43">
        <v>13</v>
      </c>
      <c r="S19" s="43">
        <f>SUM(R17:R19)</f>
        <v>40</v>
      </c>
      <c r="T19" s="167">
        <v>4</v>
      </c>
      <c r="U19" s="43">
        <v>5</v>
      </c>
      <c r="V19" s="43"/>
      <c r="W19" s="167">
        <v>4</v>
      </c>
      <c r="X19" s="43">
        <v>7</v>
      </c>
      <c r="Y19" s="43"/>
      <c r="Z19" s="167">
        <v>4</v>
      </c>
      <c r="AA19" s="43">
        <v>8</v>
      </c>
      <c r="AB19" s="43"/>
      <c r="AC19" s="167">
        <v>4</v>
      </c>
      <c r="AD19" s="43">
        <v>7</v>
      </c>
      <c r="AE19" s="43"/>
      <c r="AF19" s="167">
        <v>4</v>
      </c>
      <c r="AG19" s="43">
        <v>8</v>
      </c>
      <c r="AH19" s="98"/>
      <c r="AI19" s="50"/>
    </row>
    <row r="20" spans="1:36" x14ac:dyDescent="0.25">
      <c r="A20" s="161" t="s">
        <v>1171</v>
      </c>
      <c r="B20" s="166">
        <v>3</v>
      </c>
      <c r="C20" s="43">
        <v>3</v>
      </c>
      <c r="D20" s="43"/>
      <c r="E20" s="166">
        <v>3</v>
      </c>
      <c r="F20" s="43">
        <v>5</v>
      </c>
      <c r="G20" s="43"/>
      <c r="H20" s="166">
        <v>3</v>
      </c>
      <c r="I20" s="43">
        <v>10</v>
      </c>
      <c r="J20" s="43">
        <f>SUM(I19:I20)</f>
        <v>20</v>
      </c>
      <c r="K20" s="166">
        <v>3</v>
      </c>
      <c r="L20" s="43">
        <v>12</v>
      </c>
      <c r="M20" s="43">
        <f>SUM(L19:L20)</f>
        <v>25</v>
      </c>
      <c r="N20" s="167">
        <v>4</v>
      </c>
      <c r="O20" s="43">
        <v>3</v>
      </c>
      <c r="P20" s="43"/>
      <c r="Q20" s="167">
        <v>4</v>
      </c>
      <c r="R20" s="43">
        <v>5</v>
      </c>
      <c r="S20" s="43"/>
      <c r="T20" s="167">
        <v>4</v>
      </c>
      <c r="U20" s="43">
        <v>5</v>
      </c>
      <c r="V20" s="43"/>
      <c r="W20" s="167">
        <v>4</v>
      </c>
      <c r="X20" s="43">
        <v>6</v>
      </c>
      <c r="Y20" s="43"/>
      <c r="Z20" s="167">
        <v>4</v>
      </c>
      <c r="AA20" s="43">
        <v>8</v>
      </c>
      <c r="AB20" s="43"/>
      <c r="AC20" s="167">
        <v>4</v>
      </c>
      <c r="AD20" s="43">
        <v>7</v>
      </c>
      <c r="AE20" s="43"/>
      <c r="AF20" s="167">
        <v>4</v>
      </c>
      <c r="AG20" s="43">
        <v>8</v>
      </c>
      <c r="AH20" s="98"/>
      <c r="AI20" s="50"/>
    </row>
    <row r="21" spans="1:36" x14ac:dyDescent="0.25">
      <c r="A21" s="161" t="s">
        <v>1172</v>
      </c>
      <c r="B21" s="166">
        <v>3</v>
      </c>
      <c r="C21" s="43">
        <v>2</v>
      </c>
      <c r="D21" s="43">
        <f>SUM(C20:C21)</f>
        <v>5</v>
      </c>
      <c r="E21" s="166">
        <v>3</v>
      </c>
      <c r="F21" s="43">
        <v>5</v>
      </c>
      <c r="G21" s="43">
        <f>SUM(F20:F21)</f>
        <v>10</v>
      </c>
      <c r="H21" s="167">
        <v>4</v>
      </c>
      <c r="I21" s="43">
        <v>0</v>
      </c>
      <c r="J21" s="43"/>
      <c r="K21" s="167">
        <v>4</v>
      </c>
      <c r="L21" s="43">
        <v>3</v>
      </c>
      <c r="M21" s="43"/>
      <c r="N21" s="167">
        <v>4</v>
      </c>
      <c r="O21" s="43">
        <v>3</v>
      </c>
      <c r="P21" s="43"/>
      <c r="Q21" s="167">
        <v>4</v>
      </c>
      <c r="R21" s="43">
        <v>5</v>
      </c>
      <c r="S21" s="43"/>
      <c r="T21" s="167">
        <v>4</v>
      </c>
      <c r="U21" s="43">
        <v>5</v>
      </c>
      <c r="V21" s="43"/>
      <c r="W21" s="167">
        <v>4</v>
      </c>
      <c r="X21" s="43">
        <v>6</v>
      </c>
      <c r="Y21" s="43"/>
      <c r="Z21" s="167">
        <v>4</v>
      </c>
      <c r="AA21" s="43">
        <v>7</v>
      </c>
      <c r="AB21" s="43"/>
      <c r="AC21" s="167">
        <v>4</v>
      </c>
      <c r="AD21" s="43">
        <v>7</v>
      </c>
      <c r="AE21" s="43"/>
      <c r="AF21" s="167">
        <v>4</v>
      </c>
      <c r="AG21" s="43">
        <v>8</v>
      </c>
      <c r="AH21" s="98"/>
      <c r="AI21" s="50"/>
    </row>
    <row r="22" spans="1:36" x14ac:dyDescent="0.25">
      <c r="A22" s="161" t="s">
        <v>1173</v>
      </c>
      <c r="B22" s="167">
        <v>4</v>
      </c>
      <c r="C22" s="43">
        <v>0</v>
      </c>
      <c r="D22" s="43">
        <f>C22</f>
        <v>0</v>
      </c>
      <c r="E22" s="167">
        <v>4</v>
      </c>
      <c r="F22" s="43">
        <v>0</v>
      </c>
      <c r="G22" s="43">
        <f>F22</f>
        <v>0</v>
      </c>
      <c r="H22" s="167">
        <v>4</v>
      </c>
      <c r="I22" s="43">
        <v>0</v>
      </c>
      <c r="J22" s="43">
        <f>SUM(I21:I22)</f>
        <v>0</v>
      </c>
      <c r="K22" s="167">
        <v>4</v>
      </c>
      <c r="L22" s="43">
        <v>2</v>
      </c>
      <c r="M22" s="43">
        <f>SUM(L21:L22)</f>
        <v>5</v>
      </c>
      <c r="N22" s="167">
        <v>4</v>
      </c>
      <c r="O22" s="43">
        <v>4</v>
      </c>
      <c r="P22" s="43">
        <f>SUM(O20:O22)</f>
        <v>10</v>
      </c>
      <c r="Q22" s="167">
        <v>4</v>
      </c>
      <c r="R22" s="43">
        <v>5</v>
      </c>
      <c r="S22" s="43">
        <f>SUM(R20:R22)</f>
        <v>15</v>
      </c>
      <c r="T22" s="167">
        <v>4</v>
      </c>
      <c r="U22" s="43">
        <v>5</v>
      </c>
      <c r="V22" s="43">
        <f>SUM(U19:U22)</f>
        <v>20</v>
      </c>
      <c r="W22" s="167">
        <v>4</v>
      </c>
      <c r="X22" s="43">
        <v>6</v>
      </c>
      <c r="Y22" s="43">
        <f>SUM(X19:X22)</f>
        <v>25</v>
      </c>
      <c r="Z22" s="167">
        <v>4</v>
      </c>
      <c r="AA22" s="43">
        <v>7</v>
      </c>
      <c r="AB22" s="43">
        <f>SUM(AA19:AA22)</f>
        <v>30</v>
      </c>
      <c r="AC22" s="167">
        <v>4</v>
      </c>
      <c r="AD22" s="43">
        <v>7</v>
      </c>
      <c r="AE22" s="43">
        <f>SUM(AD18:AD22)</f>
        <v>35</v>
      </c>
      <c r="AF22" s="167">
        <v>4</v>
      </c>
      <c r="AG22" s="43">
        <v>8</v>
      </c>
      <c r="AH22" s="98">
        <f>SUM(AG18:AG22)</f>
        <v>40</v>
      </c>
      <c r="AI22" s="50"/>
    </row>
    <row r="23" spans="1:36" s="11" customFormat="1" x14ac:dyDescent="0.25">
      <c r="A23" s="54"/>
      <c r="B23" s="171"/>
      <c r="C23" s="50">
        <f>SUM(C14:C22)</f>
        <v>100</v>
      </c>
      <c r="D23" s="50"/>
      <c r="E23" s="171"/>
      <c r="F23" s="50">
        <f>SUM(F14:F22)</f>
        <v>100</v>
      </c>
      <c r="G23" s="50"/>
      <c r="H23" s="171"/>
      <c r="I23" s="50">
        <f>SUM(I14:I22)</f>
        <v>100</v>
      </c>
      <c r="J23" s="50"/>
      <c r="K23" s="171"/>
      <c r="L23" s="50">
        <f>SUM(L14:L22)</f>
        <v>100</v>
      </c>
      <c r="M23" s="50"/>
      <c r="N23" s="171"/>
      <c r="O23" s="50">
        <f>SUM(O14:O22)</f>
        <v>100</v>
      </c>
      <c r="P23" s="50"/>
      <c r="Q23" s="171"/>
      <c r="R23" s="50">
        <f>SUM(R14:R22)</f>
        <v>100</v>
      </c>
      <c r="S23" s="50"/>
      <c r="T23" s="171"/>
      <c r="U23" s="50">
        <f>SUM(U14:U22)</f>
        <v>100</v>
      </c>
      <c r="V23" s="50"/>
      <c r="W23" s="171"/>
      <c r="X23" s="50">
        <f>SUM(X14:X22)</f>
        <v>100</v>
      </c>
      <c r="Y23" s="50"/>
      <c r="Z23" s="171"/>
      <c r="AA23" s="50">
        <f>SUM(AA14:AA22)</f>
        <v>100</v>
      </c>
      <c r="AB23" s="50"/>
      <c r="AC23" s="171"/>
      <c r="AD23" s="50">
        <f>SUM(AD14:AD22)</f>
        <v>100</v>
      </c>
      <c r="AE23" s="50"/>
      <c r="AF23" s="171"/>
      <c r="AG23" s="50">
        <f>SUM(AG14:AG22)</f>
        <v>100</v>
      </c>
      <c r="AH23" s="171"/>
      <c r="AI23" s="50"/>
    </row>
    <row r="24" spans="1:36" x14ac:dyDescent="0.25">
      <c r="A24" s="155" t="s">
        <v>1130</v>
      </c>
      <c r="B24" s="156" t="s">
        <v>1138</v>
      </c>
      <c r="C24" s="168" t="s">
        <v>1164</v>
      </c>
      <c r="D24" s="168"/>
      <c r="E24" s="156" t="s">
        <v>1138</v>
      </c>
      <c r="F24" s="168" t="s">
        <v>1174</v>
      </c>
      <c r="G24" s="168"/>
      <c r="H24" s="156" t="s">
        <v>1138</v>
      </c>
      <c r="I24" s="168" t="s">
        <v>1175</v>
      </c>
      <c r="J24" s="168"/>
      <c r="K24" s="156" t="s">
        <v>1138</v>
      </c>
      <c r="L24" s="168" t="s">
        <v>1176</v>
      </c>
      <c r="M24" s="168"/>
      <c r="N24" s="156" t="s">
        <v>1138</v>
      </c>
      <c r="O24" s="168" t="s">
        <v>1177</v>
      </c>
      <c r="P24" s="168"/>
      <c r="Q24" s="156" t="s">
        <v>1138</v>
      </c>
      <c r="R24" s="168" t="s">
        <v>1178</v>
      </c>
      <c r="S24" s="168"/>
      <c r="T24" s="156" t="s">
        <v>1138</v>
      </c>
      <c r="U24" s="168" t="s">
        <v>1179</v>
      </c>
      <c r="V24" s="168"/>
      <c r="W24" s="156" t="s">
        <v>1138</v>
      </c>
      <c r="X24" s="168" t="s">
        <v>1180</v>
      </c>
      <c r="Y24" s="168"/>
      <c r="Z24" s="156" t="s">
        <v>1138</v>
      </c>
      <c r="AA24" s="168" t="s">
        <v>1181</v>
      </c>
      <c r="AB24" s="168"/>
      <c r="AC24" s="169" t="s">
        <v>1138</v>
      </c>
      <c r="AD24" s="170" t="s">
        <v>1182</v>
      </c>
      <c r="AE24" s="168"/>
      <c r="AF24" s="169" t="s">
        <v>1138</v>
      </c>
      <c r="AG24" s="170" t="s">
        <v>1183</v>
      </c>
      <c r="AH24" s="98"/>
      <c r="AI24" s="99"/>
    </row>
    <row r="25" spans="1:36" x14ac:dyDescent="0.25">
      <c r="A25" s="161" t="s">
        <v>1165</v>
      </c>
      <c r="B25" s="43">
        <v>1</v>
      </c>
      <c r="C25" s="43">
        <f>C14</f>
        <v>25</v>
      </c>
      <c r="D25" s="43"/>
      <c r="E25" s="43">
        <v>1</v>
      </c>
      <c r="F25" s="43">
        <f>F14</f>
        <v>20</v>
      </c>
      <c r="G25" s="43"/>
      <c r="H25" s="43">
        <v>1</v>
      </c>
      <c r="I25" s="43">
        <f>I14</f>
        <v>25</v>
      </c>
      <c r="J25" s="43"/>
      <c r="K25" s="43">
        <v>1</v>
      </c>
      <c r="L25" s="43">
        <f>L14</f>
        <v>20</v>
      </c>
      <c r="M25" s="43"/>
      <c r="N25" s="43">
        <v>1</v>
      </c>
      <c r="O25" s="43">
        <f>O14</f>
        <v>25</v>
      </c>
      <c r="P25" s="43"/>
      <c r="Q25" s="43">
        <v>1</v>
      </c>
      <c r="R25" s="43">
        <f>R14</f>
        <v>15</v>
      </c>
      <c r="S25" s="43"/>
      <c r="T25" s="43">
        <v>1</v>
      </c>
      <c r="U25" s="43">
        <f>U14</f>
        <v>20</v>
      </c>
      <c r="V25" s="43"/>
      <c r="W25" s="165">
        <v>2</v>
      </c>
      <c r="X25" s="43">
        <f>X14</f>
        <v>15</v>
      </c>
      <c r="Y25" s="43"/>
      <c r="Z25" s="165">
        <v>2</v>
      </c>
      <c r="AA25" s="43">
        <f>AA14</f>
        <v>25</v>
      </c>
      <c r="AB25" s="43"/>
      <c r="AC25" s="166">
        <v>3</v>
      </c>
      <c r="AD25" s="43">
        <v>17</v>
      </c>
      <c r="AE25" s="43"/>
      <c r="AF25" s="166">
        <v>3</v>
      </c>
      <c r="AG25" s="43">
        <v>15</v>
      </c>
      <c r="AH25" s="171"/>
      <c r="AI25" s="50"/>
    </row>
    <row r="26" spans="1:36" x14ac:dyDescent="0.25">
      <c r="A26" s="161" t="s">
        <v>1166</v>
      </c>
      <c r="B26" s="43">
        <v>1</v>
      </c>
      <c r="C26" s="43">
        <f t="shared" ref="C26:C33" si="0">C15</f>
        <v>25</v>
      </c>
      <c r="D26" s="43"/>
      <c r="E26" s="43">
        <v>1</v>
      </c>
      <c r="F26" s="43">
        <f t="shared" ref="F26:F33" si="1">F15</f>
        <v>20</v>
      </c>
      <c r="G26" s="43"/>
      <c r="H26" s="43">
        <v>1</v>
      </c>
      <c r="I26" s="43">
        <f t="shared" ref="I26:I33" si="2">I15</f>
        <v>25</v>
      </c>
      <c r="J26" s="43"/>
      <c r="K26" s="43">
        <v>1</v>
      </c>
      <c r="L26" s="43">
        <f t="shared" ref="L26:L33" si="3">L15</f>
        <v>20</v>
      </c>
      <c r="M26" s="43"/>
      <c r="N26" s="165">
        <v>2</v>
      </c>
      <c r="O26" s="43">
        <f t="shared" ref="O26:O33" si="4">O15</f>
        <v>18</v>
      </c>
      <c r="P26" s="43"/>
      <c r="Q26" s="165">
        <v>2</v>
      </c>
      <c r="R26" s="43">
        <f t="shared" ref="R26:R33" si="5">R15</f>
        <v>15</v>
      </c>
      <c r="S26" s="43"/>
      <c r="T26" s="165">
        <v>2</v>
      </c>
      <c r="U26" s="43">
        <f t="shared" ref="U26:U33" si="6">U15</f>
        <v>20</v>
      </c>
      <c r="V26" s="43"/>
      <c r="W26" s="165">
        <v>2</v>
      </c>
      <c r="X26" s="43">
        <f t="shared" ref="X26:X33" si="7">X15</f>
        <v>15</v>
      </c>
      <c r="Y26" s="43"/>
      <c r="Z26" s="166">
        <v>3</v>
      </c>
      <c r="AA26" s="43">
        <f t="shared" ref="AA26:AA33" si="8">AA15</f>
        <v>12</v>
      </c>
      <c r="AB26" s="43"/>
      <c r="AC26" s="166">
        <v>3</v>
      </c>
      <c r="AD26" s="43">
        <v>16</v>
      </c>
      <c r="AE26" s="43"/>
      <c r="AF26" s="166">
        <v>3</v>
      </c>
      <c r="AG26" s="43">
        <v>15</v>
      </c>
      <c r="AH26" s="171"/>
      <c r="AI26" s="50"/>
    </row>
    <row r="27" spans="1:36" x14ac:dyDescent="0.25">
      <c r="A27" s="161" t="s">
        <v>1167</v>
      </c>
      <c r="B27" s="43">
        <v>1</v>
      </c>
      <c r="C27" s="43">
        <f t="shared" si="0"/>
        <v>20</v>
      </c>
      <c r="D27" s="43"/>
      <c r="E27" s="43">
        <v>1</v>
      </c>
      <c r="F27" s="43">
        <f t="shared" si="1"/>
        <v>20</v>
      </c>
      <c r="G27" s="43"/>
      <c r="H27" s="43">
        <v>1</v>
      </c>
      <c r="I27" s="43">
        <f t="shared" si="2"/>
        <v>10</v>
      </c>
      <c r="J27" s="43"/>
      <c r="K27" s="165">
        <v>2</v>
      </c>
      <c r="L27" s="43">
        <f t="shared" si="3"/>
        <v>10</v>
      </c>
      <c r="M27" s="43"/>
      <c r="N27" s="165">
        <v>2</v>
      </c>
      <c r="O27" s="43">
        <f t="shared" si="4"/>
        <v>17</v>
      </c>
      <c r="P27" s="43"/>
      <c r="Q27" s="165">
        <v>2</v>
      </c>
      <c r="R27" s="43">
        <f t="shared" si="5"/>
        <v>15</v>
      </c>
      <c r="S27" s="43"/>
      <c r="T27" s="165">
        <v>2</v>
      </c>
      <c r="U27" s="43">
        <f t="shared" si="6"/>
        <v>14</v>
      </c>
      <c r="V27" s="43"/>
      <c r="W27" s="166">
        <v>3</v>
      </c>
      <c r="X27" s="43">
        <f t="shared" si="7"/>
        <v>15</v>
      </c>
      <c r="Y27" s="43"/>
      <c r="Z27" s="166">
        <v>3</v>
      </c>
      <c r="AA27" s="43">
        <f t="shared" si="8"/>
        <v>11</v>
      </c>
      <c r="AB27" s="43"/>
      <c r="AC27" s="166">
        <v>3</v>
      </c>
      <c r="AD27" s="43">
        <v>16</v>
      </c>
      <c r="AE27" s="43"/>
      <c r="AF27" s="166">
        <v>3</v>
      </c>
      <c r="AG27" s="43">
        <v>15</v>
      </c>
      <c r="AH27" s="171"/>
      <c r="AI27" s="50"/>
    </row>
    <row r="28" spans="1:36" x14ac:dyDescent="0.25">
      <c r="A28" s="161" t="s">
        <v>1168</v>
      </c>
      <c r="B28" s="165">
        <v>2</v>
      </c>
      <c r="C28" s="43">
        <f t="shared" si="0"/>
        <v>9</v>
      </c>
      <c r="D28" s="43"/>
      <c r="E28" s="165">
        <v>2</v>
      </c>
      <c r="F28" s="43">
        <f t="shared" si="1"/>
        <v>10</v>
      </c>
      <c r="G28" s="43"/>
      <c r="H28" s="165">
        <v>2</v>
      </c>
      <c r="I28" s="43">
        <f t="shared" si="2"/>
        <v>10</v>
      </c>
      <c r="J28" s="43"/>
      <c r="K28" s="165">
        <v>2</v>
      </c>
      <c r="L28" s="43">
        <f t="shared" si="3"/>
        <v>10</v>
      </c>
      <c r="M28" s="43"/>
      <c r="N28" s="165">
        <v>2</v>
      </c>
      <c r="O28" s="43">
        <f t="shared" si="4"/>
        <v>10</v>
      </c>
      <c r="P28" s="43"/>
      <c r="Q28" s="165">
        <v>2</v>
      </c>
      <c r="R28" s="43">
        <f t="shared" si="5"/>
        <v>14</v>
      </c>
      <c r="S28" s="43"/>
      <c r="T28" s="166">
        <v>3</v>
      </c>
      <c r="U28" s="43">
        <f t="shared" si="6"/>
        <v>13</v>
      </c>
      <c r="V28" s="43"/>
      <c r="W28" s="166">
        <v>3</v>
      </c>
      <c r="X28" s="43">
        <f t="shared" si="7"/>
        <v>15</v>
      </c>
      <c r="Y28" s="43"/>
      <c r="Z28" s="166">
        <v>3</v>
      </c>
      <c r="AA28" s="43">
        <f t="shared" si="8"/>
        <v>11</v>
      </c>
      <c r="AB28" s="43"/>
      <c r="AC28" s="166">
        <v>3</v>
      </c>
      <c r="AD28" s="43">
        <v>16</v>
      </c>
      <c r="AE28" s="43"/>
      <c r="AF28" s="166">
        <v>3</v>
      </c>
      <c r="AG28" s="43">
        <v>15</v>
      </c>
      <c r="AH28" s="171"/>
      <c r="AI28" s="50"/>
    </row>
    <row r="29" spans="1:36" x14ac:dyDescent="0.25">
      <c r="A29" s="161" t="s">
        <v>1169</v>
      </c>
      <c r="B29" s="165">
        <v>2</v>
      </c>
      <c r="C29" s="43">
        <f t="shared" si="0"/>
        <v>8</v>
      </c>
      <c r="D29" s="43"/>
      <c r="E29" s="165">
        <v>2</v>
      </c>
      <c r="F29" s="43">
        <f t="shared" si="1"/>
        <v>10</v>
      </c>
      <c r="G29" s="43"/>
      <c r="H29" s="165">
        <v>2</v>
      </c>
      <c r="I29" s="43">
        <f t="shared" si="2"/>
        <v>10</v>
      </c>
      <c r="J29" s="43"/>
      <c r="K29" s="165">
        <v>2</v>
      </c>
      <c r="L29" s="43">
        <f t="shared" si="3"/>
        <v>10</v>
      </c>
      <c r="M29" s="43"/>
      <c r="N29" s="166">
        <v>3</v>
      </c>
      <c r="O29" s="43">
        <f t="shared" si="4"/>
        <v>10</v>
      </c>
      <c r="P29" s="43"/>
      <c r="Q29" s="166">
        <v>3</v>
      </c>
      <c r="R29" s="43">
        <f t="shared" si="5"/>
        <v>13</v>
      </c>
      <c r="S29" s="43"/>
      <c r="T29" s="166">
        <v>3</v>
      </c>
      <c r="U29" s="43">
        <f t="shared" si="6"/>
        <v>13</v>
      </c>
      <c r="V29" s="43"/>
      <c r="W29" s="166">
        <v>3</v>
      </c>
      <c r="X29" s="43">
        <f t="shared" si="7"/>
        <v>15</v>
      </c>
      <c r="Y29" s="43"/>
      <c r="Z29" s="166">
        <v>3</v>
      </c>
      <c r="AA29" s="43">
        <f t="shared" si="8"/>
        <v>11</v>
      </c>
      <c r="AB29" s="43"/>
      <c r="AC29" s="167">
        <v>4</v>
      </c>
      <c r="AD29" s="43">
        <v>7</v>
      </c>
      <c r="AE29" s="43"/>
      <c r="AF29" s="167">
        <v>4</v>
      </c>
      <c r="AG29" s="43">
        <v>8</v>
      </c>
      <c r="AH29" s="171"/>
      <c r="AI29" s="50"/>
    </row>
    <row r="30" spans="1:36" x14ac:dyDescent="0.25">
      <c r="A30" s="161" t="s">
        <v>1170</v>
      </c>
      <c r="B30" s="165">
        <v>2</v>
      </c>
      <c r="C30" s="43">
        <f t="shared" si="0"/>
        <v>8</v>
      </c>
      <c r="D30" s="43"/>
      <c r="E30" s="165">
        <v>2</v>
      </c>
      <c r="F30" s="43">
        <f t="shared" si="1"/>
        <v>10</v>
      </c>
      <c r="G30" s="43"/>
      <c r="H30" s="165">
        <v>2</v>
      </c>
      <c r="I30" s="43">
        <f t="shared" si="2"/>
        <v>10</v>
      </c>
      <c r="J30" s="43"/>
      <c r="K30" s="166">
        <v>3</v>
      </c>
      <c r="L30" s="43">
        <f t="shared" si="3"/>
        <v>13</v>
      </c>
      <c r="M30" s="43"/>
      <c r="N30" s="166">
        <v>3</v>
      </c>
      <c r="O30" s="43">
        <f t="shared" si="4"/>
        <v>10</v>
      </c>
      <c r="P30" s="43"/>
      <c r="Q30" s="166">
        <v>3</v>
      </c>
      <c r="R30" s="43">
        <f t="shared" si="5"/>
        <v>13</v>
      </c>
      <c r="S30" s="43"/>
      <c r="T30" s="166">
        <v>3</v>
      </c>
      <c r="U30" s="43">
        <f t="shared" si="6"/>
        <v>5</v>
      </c>
      <c r="V30" s="43"/>
      <c r="W30" s="166">
        <v>3</v>
      </c>
      <c r="X30" s="43">
        <f t="shared" si="7"/>
        <v>7</v>
      </c>
      <c r="Y30" s="43"/>
      <c r="Z30" s="167">
        <v>4</v>
      </c>
      <c r="AA30" s="43">
        <f t="shared" si="8"/>
        <v>8</v>
      </c>
      <c r="AB30" s="43"/>
      <c r="AC30" s="167">
        <v>4</v>
      </c>
      <c r="AD30" s="43">
        <v>7</v>
      </c>
      <c r="AE30" s="43"/>
      <c r="AF30" s="167">
        <v>4</v>
      </c>
      <c r="AG30" s="43">
        <v>8</v>
      </c>
      <c r="AH30" s="171"/>
      <c r="AI30" s="50"/>
    </row>
    <row r="31" spans="1:36" x14ac:dyDescent="0.25">
      <c r="A31" s="161" t="s">
        <v>1171</v>
      </c>
      <c r="B31" s="166">
        <v>3</v>
      </c>
      <c r="C31" s="43">
        <f t="shared" si="0"/>
        <v>3</v>
      </c>
      <c r="D31" s="43"/>
      <c r="E31" s="166">
        <v>3</v>
      </c>
      <c r="F31" s="43">
        <f t="shared" si="1"/>
        <v>5</v>
      </c>
      <c r="G31" s="43"/>
      <c r="H31" s="166">
        <v>3</v>
      </c>
      <c r="I31" s="43">
        <f t="shared" si="2"/>
        <v>10</v>
      </c>
      <c r="J31" s="43"/>
      <c r="K31" s="166">
        <v>3</v>
      </c>
      <c r="L31" s="43">
        <f t="shared" si="3"/>
        <v>12</v>
      </c>
      <c r="M31" s="43"/>
      <c r="N31" s="166">
        <v>3</v>
      </c>
      <c r="O31" s="43">
        <f t="shared" si="4"/>
        <v>3</v>
      </c>
      <c r="P31" s="43"/>
      <c r="Q31" s="166">
        <v>3</v>
      </c>
      <c r="R31" s="43">
        <f t="shared" si="5"/>
        <v>5</v>
      </c>
      <c r="S31" s="43"/>
      <c r="T31" s="167">
        <v>4</v>
      </c>
      <c r="U31" s="43">
        <f t="shared" si="6"/>
        <v>5</v>
      </c>
      <c r="V31" s="43"/>
      <c r="W31" s="167">
        <v>4</v>
      </c>
      <c r="X31" s="43">
        <f t="shared" si="7"/>
        <v>6</v>
      </c>
      <c r="Y31" s="43"/>
      <c r="Z31" s="167">
        <v>4</v>
      </c>
      <c r="AA31" s="43">
        <f t="shared" si="8"/>
        <v>8</v>
      </c>
      <c r="AB31" s="43"/>
      <c r="AC31" s="167">
        <v>4</v>
      </c>
      <c r="AD31" s="43">
        <v>7</v>
      </c>
      <c r="AE31" s="43"/>
      <c r="AF31" s="167">
        <v>4</v>
      </c>
      <c r="AG31" s="43">
        <v>8</v>
      </c>
      <c r="AH31" s="171"/>
      <c r="AI31" s="50"/>
    </row>
    <row r="32" spans="1:36" x14ac:dyDescent="0.25">
      <c r="A32" s="161" t="s">
        <v>1172</v>
      </c>
      <c r="B32" s="166">
        <v>3</v>
      </c>
      <c r="C32" s="43">
        <f t="shared" si="0"/>
        <v>2</v>
      </c>
      <c r="D32" s="43"/>
      <c r="E32" s="166">
        <v>3</v>
      </c>
      <c r="F32" s="43">
        <f t="shared" si="1"/>
        <v>5</v>
      </c>
      <c r="G32" s="43"/>
      <c r="H32" s="166">
        <v>3</v>
      </c>
      <c r="I32" s="43">
        <f t="shared" si="2"/>
        <v>0</v>
      </c>
      <c r="J32" s="43"/>
      <c r="K32" s="166">
        <v>3</v>
      </c>
      <c r="L32" s="43">
        <f t="shared" si="3"/>
        <v>3</v>
      </c>
      <c r="M32" s="43"/>
      <c r="N32" s="167">
        <v>4</v>
      </c>
      <c r="O32" s="43">
        <f t="shared" si="4"/>
        <v>3</v>
      </c>
      <c r="P32" s="43"/>
      <c r="Q32" s="167">
        <v>4</v>
      </c>
      <c r="R32" s="43">
        <f t="shared" si="5"/>
        <v>5</v>
      </c>
      <c r="S32" s="43"/>
      <c r="T32" s="167">
        <v>4</v>
      </c>
      <c r="U32" s="43">
        <f t="shared" si="6"/>
        <v>5</v>
      </c>
      <c r="V32" s="43"/>
      <c r="W32" s="167">
        <v>4</v>
      </c>
      <c r="X32" s="43">
        <f t="shared" si="7"/>
        <v>6</v>
      </c>
      <c r="Y32" s="43"/>
      <c r="Z32" s="167">
        <v>4</v>
      </c>
      <c r="AA32" s="43">
        <f t="shared" si="8"/>
        <v>7</v>
      </c>
      <c r="AB32" s="43"/>
      <c r="AC32" s="167">
        <v>4</v>
      </c>
      <c r="AD32" s="43">
        <v>7</v>
      </c>
      <c r="AE32" s="43"/>
      <c r="AF32" s="167">
        <v>4</v>
      </c>
      <c r="AG32" s="43">
        <v>8</v>
      </c>
      <c r="AH32" s="171"/>
      <c r="AI32" s="50"/>
    </row>
    <row r="33" spans="1:35" x14ac:dyDescent="0.25">
      <c r="A33" s="161" t="s">
        <v>1168</v>
      </c>
      <c r="B33" s="166">
        <v>3</v>
      </c>
      <c r="C33" s="43">
        <f t="shared" si="0"/>
        <v>0</v>
      </c>
      <c r="D33" s="43"/>
      <c r="E33" s="166">
        <v>3</v>
      </c>
      <c r="F33" s="43">
        <f t="shared" si="1"/>
        <v>0</v>
      </c>
      <c r="G33" s="43"/>
      <c r="H33" s="166">
        <v>3</v>
      </c>
      <c r="I33" s="43">
        <f t="shared" si="2"/>
        <v>0</v>
      </c>
      <c r="J33" s="43"/>
      <c r="K33" s="167">
        <v>4</v>
      </c>
      <c r="L33" s="43">
        <f t="shared" si="3"/>
        <v>2</v>
      </c>
      <c r="M33" s="43"/>
      <c r="N33" s="167">
        <v>4</v>
      </c>
      <c r="O33" s="43">
        <f t="shared" si="4"/>
        <v>4</v>
      </c>
      <c r="P33" s="43"/>
      <c r="Q33" s="167">
        <v>4</v>
      </c>
      <c r="R33" s="43">
        <f t="shared" si="5"/>
        <v>5</v>
      </c>
      <c r="S33" s="43"/>
      <c r="T33" s="167">
        <v>4</v>
      </c>
      <c r="U33" s="43">
        <f t="shared" si="6"/>
        <v>5</v>
      </c>
      <c r="V33" s="43"/>
      <c r="W33" s="167">
        <v>4</v>
      </c>
      <c r="X33" s="43">
        <f t="shared" si="7"/>
        <v>6</v>
      </c>
      <c r="Y33" s="43"/>
      <c r="Z33" s="167">
        <v>4</v>
      </c>
      <c r="AA33" s="43">
        <f t="shared" si="8"/>
        <v>7</v>
      </c>
      <c r="AB33" s="43"/>
      <c r="AC33" s="167">
        <v>4</v>
      </c>
      <c r="AD33" s="43">
        <v>7</v>
      </c>
      <c r="AE33" s="43"/>
      <c r="AF33" s="167">
        <v>4</v>
      </c>
      <c r="AG33" s="43">
        <v>8</v>
      </c>
      <c r="AH33" s="171"/>
      <c r="AI33" s="50"/>
    </row>
    <row r="34" spans="1:35" x14ac:dyDescent="0.25">
      <c r="A34" s="155" t="s">
        <v>1133</v>
      </c>
      <c r="B34" s="156" t="s">
        <v>1138</v>
      </c>
      <c r="C34" s="168" t="s">
        <v>1164</v>
      </c>
      <c r="D34" s="168"/>
      <c r="E34" s="156" t="s">
        <v>1138</v>
      </c>
      <c r="F34" s="168" t="s">
        <v>1174</v>
      </c>
      <c r="G34" s="168"/>
      <c r="H34" s="156" t="s">
        <v>1138</v>
      </c>
      <c r="I34" s="168" t="s">
        <v>1175</v>
      </c>
      <c r="J34" s="168"/>
      <c r="K34" s="156" t="s">
        <v>1138</v>
      </c>
      <c r="L34" s="168" t="s">
        <v>1176</v>
      </c>
      <c r="M34" s="168"/>
      <c r="N34" s="156" t="s">
        <v>1138</v>
      </c>
      <c r="O34" s="168" t="s">
        <v>1177</v>
      </c>
      <c r="P34" s="168"/>
      <c r="Q34" s="156" t="s">
        <v>1138</v>
      </c>
      <c r="R34" s="168" t="s">
        <v>1178</v>
      </c>
      <c r="S34" s="168"/>
      <c r="T34" s="156" t="s">
        <v>1138</v>
      </c>
      <c r="U34" s="168" t="s">
        <v>1179</v>
      </c>
      <c r="V34" s="168"/>
      <c r="W34" s="156" t="s">
        <v>1138</v>
      </c>
      <c r="X34" s="168" t="s">
        <v>1180</v>
      </c>
      <c r="Y34" s="168"/>
      <c r="Z34" s="156" t="s">
        <v>1138</v>
      </c>
      <c r="AA34" s="168" t="s">
        <v>1181</v>
      </c>
      <c r="AB34" s="168"/>
      <c r="AC34" s="169" t="s">
        <v>1138</v>
      </c>
      <c r="AD34" s="170" t="s">
        <v>1182</v>
      </c>
      <c r="AE34" s="168"/>
      <c r="AF34" s="169" t="s">
        <v>1138</v>
      </c>
      <c r="AG34" s="170" t="s">
        <v>1183</v>
      </c>
      <c r="AH34" s="98"/>
      <c r="AI34" s="99"/>
    </row>
    <row r="35" spans="1:35" x14ac:dyDescent="0.25">
      <c r="A35" s="161" t="s">
        <v>1165</v>
      </c>
      <c r="B35" s="43">
        <v>1</v>
      </c>
      <c r="C35" s="43">
        <f>C14</f>
        <v>25</v>
      </c>
      <c r="D35" s="43"/>
      <c r="E35" s="43">
        <v>1</v>
      </c>
      <c r="F35" s="43">
        <f>F14</f>
        <v>20</v>
      </c>
      <c r="G35" s="43"/>
      <c r="H35" s="43">
        <v>1</v>
      </c>
      <c r="I35" s="43">
        <f>I14</f>
        <v>25</v>
      </c>
      <c r="J35" s="43"/>
      <c r="K35" s="43">
        <v>1</v>
      </c>
      <c r="L35" s="43">
        <f>L14</f>
        <v>20</v>
      </c>
      <c r="M35" s="43"/>
      <c r="N35" s="43">
        <v>1</v>
      </c>
      <c r="O35" s="43">
        <f>O14</f>
        <v>25</v>
      </c>
      <c r="P35" s="43"/>
      <c r="Q35" s="43">
        <v>1</v>
      </c>
      <c r="R35" s="43">
        <f>R14</f>
        <v>15</v>
      </c>
      <c r="S35" s="43"/>
      <c r="T35" s="43">
        <v>1</v>
      </c>
      <c r="U35" s="43">
        <f>U14</f>
        <v>20</v>
      </c>
      <c r="V35" s="43"/>
      <c r="W35" s="165">
        <v>2</v>
      </c>
      <c r="X35" s="43">
        <f>X14</f>
        <v>15</v>
      </c>
      <c r="Y35" s="43"/>
      <c r="Z35" s="165">
        <v>2</v>
      </c>
      <c r="AA35" s="43">
        <f>AA14</f>
        <v>25</v>
      </c>
      <c r="AB35" s="43"/>
      <c r="AC35" s="166">
        <v>3</v>
      </c>
      <c r="AD35" s="43">
        <v>17</v>
      </c>
      <c r="AE35" s="43"/>
      <c r="AF35" s="166">
        <v>3</v>
      </c>
      <c r="AG35" s="43">
        <v>15</v>
      </c>
      <c r="AH35" s="171"/>
      <c r="AI35" s="50"/>
    </row>
    <row r="36" spans="1:35" x14ac:dyDescent="0.25">
      <c r="A36" s="161" t="s">
        <v>1166</v>
      </c>
      <c r="B36" s="43">
        <v>1</v>
      </c>
      <c r="C36" s="43">
        <f t="shared" ref="C36:C43" si="9">C15</f>
        <v>25</v>
      </c>
      <c r="D36" s="43"/>
      <c r="E36" s="43">
        <v>1</v>
      </c>
      <c r="F36" s="43">
        <f t="shared" ref="F36:F43" si="10">F15</f>
        <v>20</v>
      </c>
      <c r="G36" s="43"/>
      <c r="H36" s="43">
        <v>1</v>
      </c>
      <c r="I36" s="43">
        <f t="shared" ref="I36:I43" si="11">I15</f>
        <v>25</v>
      </c>
      <c r="J36" s="43"/>
      <c r="K36" s="43">
        <v>1</v>
      </c>
      <c r="L36" s="43">
        <f t="shared" ref="L36:L43" si="12">L15</f>
        <v>20</v>
      </c>
      <c r="M36" s="43"/>
      <c r="N36" s="165">
        <v>2</v>
      </c>
      <c r="O36" s="43">
        <f t="shared" ref="O36:O43" si="13">O15</f>
        <v>18</v>
      </c>
      <c r="P36" s="43"/>
      <c r="Q36" s="165">
        <v>2</v>
      </c>
      <c r="R36" s="43">
        <f t="shared" ref="R36:R43" si="14">R15</f>
        <v>15</v>
      </c>
      <c r="S36" s="43"/>
      <c r="T36" s="165">
        <v>2</v>
      </c>
      <c r="U36" s="43">
        <f t="shared" ref="U36:U43" si="15">U15</f>
        <v>20</v>
      </c>
      <c r="V36" s="43"/>
      <c r="W36" s="165">
        <v>2</v>
      </c>
      <c r="X36" s="43">
        <f t="shared" ref="X36:X43" si="16">X15</f>
        <v>15</v>
      </c>
      <c r="Y36" s="43"/>
      <c r="Z36" s="166">
        <v>3</v>
      </c>
      <c r="AA36" s="43">
        <f t="shared" ref="AA36:AA43" si="17">AA15</f>
        <v>12</v>
      </c>
      <c r="AB36" s="43"/>
      <c r="AC36" s="166">
        <v>3</v>
      </c>
      <c r="AD36" s="43">
        <v>16</v>
      </c>
      <c r="AE36" s="43"/>
      <c r="AF36" s="166">
        <v>3</v>
      </c>
      <c r="AG36" s="43">
        <v>15</v>
      </c>
      <c r="AH36" s="171"/>
      <c r="AI36" s="50"/>
    </row>
    <row r="37" spans="1:35" x14ac:dyDescent="0.25">
      <c r="A37" s="161" t="s">
        <v>1167</v>
      </c>
      <c r="B37" s="43">
        <v>1</v>
      </c>
      <c r="C37" s="43">
        <f t="shared" si="9"/>
        <v>20</v>
      </c>
      <c r="D37" s="43"/>
      <c r="E37" s="43">
        <v>1</v>
      </c>
      <c r="F37" s="43">
        <f t="shared" si="10"/>
        <v>20</v>
      </c>
      <c r="G37" s="43"/>
      <c r="H37" s="43">
        <v>1</v>
      </c>
      <c r="I37" s="43">
        <f t="shared" si="11"/>
        <v>10</v>
      </c>
      <c r="J37" s="43"/>
      <c r="K37" s="165">
        <v>2</v>
      </c>
      <c r="L37" s="43">
        <f t="shared" si="12"/>
        <v>10</v>
      </c>
      <c r="M37" s="43"/>
      <c r="N37" s="165">
        <v>2</v>
      </c>
      <c r="O37" s="43">
        <f t="shared" si="13"/>
        <v>17</v>
      </c>
      <c r="P37" s="43"/>
      <c r="Q37" s="165">
        <v>2</v>
      </c>
      <c r="R37" s="43">
        <f t="shared" si="14"/>
        <v>15</v>
      </c>
      <c r="S37" s="43"/>
      <c r="T37" s="165">
        <v>2</v>
      </c>
      <c r="U37" s="43">
        <f t="shared" si="15"/>
        <v>14</v>
      </c>
      <c r="V37" s="43"/>
      <c r="W37" s="166">
        <v>3</v>
      </c>
      <c r="X37" s="43">
        <f t="shared" si="16"/>
        <v>15</v>
      </c>
      <c r="Y37" s="43"/>
      <c r="Z37" s="166">
        <v>3</v>
      </c>
      <c r="AA37" s="43">
        <f t="shared" si="17"/>
        <v>11</v>
      </c>
      <c r="AB37" s="43"/>
      <c r="AC37" s="166">
        <v>3</v>
      </c>
      <c r="AD37" s="43">
        <v>16</v>
      </c>
      <c r="AE37" s="43"/>
      <c r="AF37" s="166">
        <v>3</v>
      </c>
      <c r="AG37" s="43">
        <v>15</v>
      </c>
      <c r="AH37" s="171"/>
      <c r="AI37" s="50"/>
    </row>
    <row r="38" spans="1:35" x14ac:dyDescent="0.25">
      <c r="A38" s="161" t="s">
        <v>1168</v>
      </c>
      <c r="B38" s="165">
        <v>2</v>
      </c>
      <c r="C38" s="43">
        <f t="shared" si="9"/>
        <v>9</v>
      </c>
      <c r="D38" s="43"/>
      <c r="E38" s="165">
        <v>2</v>
      </c>
      <c r="F38" s="43">
        <f t="shared" si="10"/>
        <v>10</v>
      </c>
      <c r="G38" s="43"/>
      <c r="H38" s="165">
        <v>2</v>
      </c>
      <c r="I38" s="43">
        <f t="shared" si="11"/>
        <v>10</v>
      </c>
      <c r="J38" s="43"/>
      <c r="K38" s="165">
        <v>2</v>
      </c>
      <c r="L38" s="43">
        <f t="shared" si="12"/>
        <v>10</v>
      </c>
      <c r="M38" s="43"/>
      <c r="N38" s="165">
        <v>2</v>
      </c>
      <c r="O38" s="43">
        <f t="shared" si="13"/>
        <v>10</v>
      </c>
      <c r="P38" s="43"/>
      <c r="Q38" s="165">
        <v>2</v>
      </c>
      <c r="R38" s="43">
        <f t="shared" si="14"/>
        <v>14</v>
      </c>
      <c r="S38" s="43"/>
      <c r="T38" s="166">
        <v>3</v>
      </c>
      <c r="U38" s="43">
        <f t="shared" si="15"/>
        <v>13</v>
      </c>
      <c r="V38" s="43"/>
      <c r="W38" s="166">
        <v>3</v>
      </c>
      <c r="X38" s="43">
        <f t="shared" si="16"/>
        <v>15</v>
      </c>
      <c r="Y38" s="43"/>
      <c r="Z38" s="166">
        <v>3</v>
      </c>
      <c r="AA38" s="43">
        <f t="shared" si="17"/>
        <v>11</v>
      </c>
      <c r="AB38" s="43"/>
      <c r="AC38" s="166">
        <v>3</v>
      </c>
      <c r="AD38" s="43">
        <v>16</v>
      </c>
      <c r="AE38" s="43"/>
      <c r="AF38" s="166">
        <v>3</v>
      </c>
      <c r="AG38" s="43">
        <v>15</v>
      </c>
      <c r="AH38" s="171"/>
      <c r="AI38" s="50"/>
    </row>
    <row r="39" spans="1:35" x14ac:dyDescent="0.25">
      <c r="A39" s="161" t="s">
        <v>1169</v>
      </c>
      <c r="B39" s="165">
        <v>2</v>
      </c>
      <c r="C39" s="43">
        <f t="shared" si="9"/>
        <v>8</v>
      </c>
      <c r="D39" s="43"/>
      <c r="E39" s="165">
        <v>2</v>
      </c>
      <c r="F39" s="43">
        <f t="shared" si="10"/>
        <v>10</v>
      </c>
      <c r="G39" s="43"/>
      <c r="H39" s="165">
        <v>2</v>
      </c>
      <c r="I39" s="43">
        <f t="shared" si="11"/>
        <v>10</v>
      </c>
      <c r="J39" s="43"/>
      <c r="K39" s="165">
        <v>2</v>
      </c>
      <c r="L39" s="43">
        <f t="shared" si="12"/>
        <v>10</v>
      </c>
      <c r="M39" s="43"/>
      <c r="N39" s="166">
        <v>3</v>
      </c>
      <c r="O39" s="43">
        <f t="shared" si="13"/>
        <v>10</v>
      </c>
      <c r="P39" s="43"/>
      <c r="Q39" s="166">
        <v>3</v>
      </c>
      <c r="R39" s="43">
        <f t="shared" si="14"/>
        <v>13</v>
      </c>
      <c r="S39" s="43"/>
      <c r="T39" s="166">
        <v>3</v>
      </c>
      <c r="U39" s="43">
        <f t="shared" si="15"/>
        <v>13</v>
      </c>
      <c r="V39" s="43"/>
      <c r="W39" s="166">
        <v>3</v>
      </c>
      <c r="X39" s="43">
        <f t="shared" si="16"/>
        <v>15</v>
      </c>
      <c r="Y39" s="43"/>
      <c r="Z39" s="166">
        <v>3</v>
      </c>
      <c r="AA39" s="43">
        <f t="shared" si="17"/>
        <v>11</v>
      </c>
      <c r="AB39" s="43"/>
      <c r="AC39" s="167">
        <v>4</v>
      </c>
      <c r="AD39" s="43">
        <v>7</v>
      </c>
      <c r="AE39" s="43"/>
      <c r="AF39" s="167">
        <v>4</v>
      </c>
      <c r="AG39" s="43">
        <v>8</v>
      </c>
      <c r="AH39" s="171"/>
      <c r="AI39" s="50"/>
    </row>
    <row r="40" spans="1:35" x14ac:dyDescent="0.25">
      <c r="A40" s="161" t="s">
        <v>1170</v>
      </c>
      <c r="B40" s="165">
        <v>2</v>
      </c>
      <c r="C40" s="43">
        <f t="shared" si="9"/>
        <v>8</v>
      </c>
      <c r="D40" s="43"/>
      <c r="E40" s="165">
        <v>2</v>
      </c>
      <c r="F40" s="43">
        <f t="shared" si="10"/>
        <v>10</v>
      </c>
      <c r="G40" s="43"/>
      <c r="H40" s="165">
        <v>2</v>
      </c>
      <c r="I40" s="43">
        <f t="shared" si="11"/>
        <v>10</v>
      </c>
      <c r="J40" s="43"/>
      <c r="K40" s="166">
        <v>3</v>
      </c>
      <c r="L40" s="43">
        <f t="shared" si="12"/>
        <v>13</v>
      </c>
      <c r="M40" s="43"/>
      <c r="N40" s="166">
        <v>3</v>
      </c>
      <c r="O40" s="43">
        <f t="shared" si="13"/>
        <v>10</v>
      </c>
      <c r="P40" s="43"/>
      <c r="Q40" s="166">
        <v>3</v>
      </c>
      <c r="R40" s="43">
        <f t="shared" si="14"/>
        <v>13</v>
      </c>
      <c r="S40" s="43"/>
      <c r="T40" s="166">
        <v>3</v>
      </c>
      <c r="U40" s="43">
        <f t="shared" si="15"/>
        <v>5</v>
      </c>
      <c r="V40" s="43"/>
      <c r="W40" s="166">
        <v>3</v>
      </c>
      <c r="X40" s="43">
        <f t="shared" si="16"/>
        <v>7</v>
      </c>
      <c r="Y40" s="43"/>
      <c r="Z40" s="167">
        <v>4</v>
      </c>
      <c r="AA40" s="43">
        <f t="shared" si="17"/>
        <v>8</v>
      </c>
      <c r="AB40" s="43"/>
      <c r="AC40" s="167">
        <v>4</v>
      </c>
      <c r="AD40" s="43">
        <v>7</v>
      </c>
      <c r="AE40" s="43"/>
      <c r="AF40" s="167">
        <v>4</v>
      </c>
      <c r="AG40" s="43">
        <v>8</v>
      </c>
      <c r="AH40" s="171"/>
      <c r="AI40" s="50"/>
    </row>
    <row r="41" spans="1:35" x14ac:dyDescent="0.25">
      <c r="A41" s="161" t="s">
        <v>1171</v>
      </c>
      <c r="B41" s="166">
        <v>3</v>
      </c>
      <c r="C41" s="43">
        <f t="shared" si="9"/>
        <v>3</v>
      </c>
      <c r="D41" s="43"/>
      <c r="E41" s="166">
        <v>3</v>
      </c>
      <c r="F41" s="43">
        <f t="shared" si="10"/>
        <v>5</v>
      </c>
      <c r="G41" s="43"/>
      <c r="H41" s="166">
        <v>3</v>
      </c>
      <c r="I41" s="43">
        <f t="shared" si="11"/>
        <v>10</v>
      </c>
      <c r="J41" s="43"/>
      <c r="K41" s="166">
        <v>3</v>
      </c>
      <c r="L41" s="43">
        <f t="shared" si="12"/>
        <v>12</v>
      </c>
      <c r="M41" s="43"/>
      <c r="N41" s="166">
        <v>3</v>
      </c>
      <c r="O41" s="43">
        <f t="shared" si="13"/>
        <v>3</v>
      </c>
      <c r="P41" s="43"/>
      <c r="Q41" s="166">
        <v>3</v>
      </c>
      <c r="R41" s="43">
        <f t="shared" si="14"/>
        <v>5</v>
      </c>
      <c r="S41" s="43"/>
      <c r="T41" s="167">
        <v>4</v>
      </c>
      <c r="U41" s="43">
        <f t="shared" si="15"/>
        <v>5</v>
      </c>
      <c r="V41" s="43"/>
      <c r="W41" s="167">
        <v>4</v>
      </c>
      <c r="X41" s="43">
        <f t="shared" si="16"/>
        <v>6</v>
      </c>
      <c r="Y41" s="43"/>
      <c r="Z41" s="167">
        <v>4</v>
      </c>
      <c r="AA41" s="43">
        <f t="shared" si="17"/>
        <v>8</v>
      </c>
      <c r="AB41" s="43"/>
      <c r="AC41" s="167">
        <v>4</v>
      </c>
      <c r="AD41" s="43">
        <v>7</v>
      </c>
      <c r="AE41" s="43"/>
      <c r="AF41" s="167">
        <v>4</v>
      </c>
      <c r="AG41" s="43">
        <v>8</v>
      </c>
      <c r="AH41" s="171"/>
      <c r="AI41" s="50"/>
    </row>
    <row r="42" spans="1:35" x14ac:dyDescent="0.25">
      <c r="A42" s="161" t="s">
        <v>1172</v>
      </c>
      <c r="B42" s="166">
        <v>3</v>
      </c>
      <c r="C42" s="43">
        <f t="shared" si="9"/>
        <v>2</v>
      </c>
      <c r="D42" s="43"/>
      <c r="E42" s="166">
        <v>3</v>
      </c>
      <c r="F42" s="43">
        <f t="shared" si="10"/>
        <v>5</v>
      </c>
      <c r="G42" s="43"/>
      <c r="H42" s="166">
        <v>3</v>
      </c>
      <c r="I42" s="43">
        <f t="shared" si="11"/>
        <v>0</v>
      </c>
      <c r="J42" s="43"/>
      <c r="K42" s="166">
        <v>3</v>
      </c>
      <c r="L42" s="43">
        <f t="shared" si="12"/>
        <v>3</v>
      </c>
      <c r="M42" s="43"/>
      <c r="N42" s="167">
        <v>4</v>
      </c>
      <c r="O42" s="43">
        <f t="shared" si="13"/>
        <v>3</v>
      </c>
      <c r="P42" s="43"/>
      <c r="Q42" s="167">
        <v>4</v>
      </c>
      <c r="R42" s="43">
        <f t="shared" si="14"/>
        <v>5</v>
      </c>
      <c r="S42" s="43"/>
      <c r="T42" s="167">
        <v>4</v>
      </c>
      <c r="U42" s="43">
        <f t="shared" si="15"/>
        <v>5</v>
      </c>
      <c r="V42" s="43"/>
      <c r="W42" s="167">
        <v>4</v>
      </c>
      <c r="X42" s="43">
        <f t="shared" si="16"/>
        <v>6</v>
      </c>
      <c r="Y42" s="43"/>
      <c r="Z42" s="167">
        <v>4</v>
      </c>
      <c r="AA42" s="43">
        <f t="shared" si="17"/>
        <v>7</v>
      </c>
      <c r="AB42" s="43"/>
      <c r="AC42" s="167">
        <v>4</v>
      </c>
      <c r="AD42" s="43">
        <v>7</v>
      </c>
      <c r="AE42" s="43"/>
      <c r="AF42" s="167">
        <v>4</v>
      </c>
      <c r="AG42" s="43">
        <v>8</v>
      </c>
      <c r="AH42" s="171"/>
      <c r="AI42" s="50"/>
    </row>
    <row r="43" spans="1:35" x14ac:dyDescent="0.25">
      <c r="A43" s="161" t="s">
        <v>1173</v>
      </c>
      <c r="B43" s="166">
        <v>3</v>
      </c>
      <c r="C43" s="43">
        <f t="shared" si="9"/>
        <v>0</v>
      </c>
      <c r="D43" s="43"/>
      <c r="E43" s="166">
        <v>3</v>
      </c>
      <c r="F43" s="43">
        <f t="shared" si="10"/>
        <v>0</v>
      </c>
      <c r="G43" s="43"/>
      <c r="H43" s="166">
        <v>3</v>
      </c>
      <c r="I43" s="43">
        <f t="shared" si="11"/>
        <v>0</v>
      </c>
      <c r="J43" s="43"/>
      <c r="K43" s="167">
        <v>4</v>
      </c>
      <c r="L43" s="43">
        <f t="shared" si="12"/>
        <v>2</v>
      </c>
      <c r="M43" s="43"/>
      <c r="N43" s="167">
        <v>4</v>
      </c>
      <c r="O43" s="43">
        <f t="shared" si="13"/>
        <v>4</v>
      </c>
      <c r="P43" s="43"/>
      <c r="Q43" s="167">
        <v>4</v>
      </c>
      <c r="R43" s="43">
        <f t="shared" si="14"/>
        <v>5</v>
      </c>
      <c r="S43" s="43"/>
      <c r="T43" s="167">
        <v>4</v>
      </c>
      <c r="U43" s="43">
        <f t="shared" si="15"/>
        <v>5</v>
      </c>
      <c r="V43" s="43"/>
      <c r="W43" s="167">
        <v>4</v>
      </c>
      <c r="X43" s="43">
        <f t="shared" si="16"/>
        <v>6</v>
      </c>
      <c r="Y43" s="43"/>
      <c r="Z43" s="167">
        <v>4</v>
      </c>
      <c r="AA43" s="43">
        <f t="shared" si="17"/>
        <v>7</v>
      </c>
      <c r="AB43" s="43"/>
      <c r="AC43" s="167">
        <v>4</v>
      </c>
      <c r="AD43" s="43">
        <v>7</v>
      </c>
      <c r="AE43" s="43"/>
      <c r="AF43" s="167">
        <v>4</v>
      </c>
      <c r="AG43" s="43">
        <v>8</v>
      </c>
      <c r="AH43" s="171"/>
      <c r="AI43" s="50"/>
    </row>
    <row r="44" spans="1:35" x14ac:dyDescent="0.25">
      <c r="A44" s="155" t="s">
        <v>1136</v>
      </c>
      <c r="B44" s="156" t="s">
        <v>1138</v>
      </c>
      <c r="C44" s="168" t="s">
        <v>1164</v>
      </c>
      <c r="D44" s="168"/>
      <c r="E44" s="156" t="s">
        <v>1138</v>
      </c>
      <c r="F44" s="168" t="s">
        <v>1174</v>
      </c>
      <c r="G44" s="168"/>
      <c r="H44" s="156" t="s">
        <v>1138</v>
      </c>
      <c r="I44" s="168" t="s">
        <v>1175</v>
      </c>
      <c r="J44" s="168"/>
      <c r="K44" s="156" t="s">
        <v>1138</v>
      </c>
      <c r="L44" s="168" t="s">
        <v>1176</v>
      </c>
      <c r="M44" s="168"/>
      <c r="N44" s="156" t="s">
        <v>1138</v>
      </c>
      <c r="O44" s="168" t="s">
        <v>1177</v>
      </c>
      <c r="P44" s="168"/>
      <c r="Q44" s="156" t="s">
        <v>1138</v>
      </c>
      <c r="R44" s="168" t="s">
        <v>1178</v>
      </c>
      <c r="S44" s="168"/>
      <c r="T44" s="156" t="s">
        <v>1138</v>
      </c>
      <c r="U44" s="168" t="s">
        <v>1179</v>
      </c>
      <c r="V44" s="168"/>
      <c r="W44" s="156" t="s">
        <v>1138</v>
      </c>
      <c r="X44" s="168" t="s">
        <v>1180</v>
      </c>
      <c r="Y44" s="168"/>
      <c r="Z44" s="156" t="s">
        <v>1138</v>
      </c>
      <c r="AA44" s="168" t="s">
        <v>1181</v>
      </c>
      <c r="AB44" s="168"/>
      <c r="AC44" s="169" t="s">
        <v>1138</v>
      </c>
      <c r="AD44" s="170" t="s">
        <v>1182</v>
      </c>
      <c r="AE44" s="168"/>
      <c r="AF44" s="169" t="s">
        <v>1138</v>
      </c>
      <c r="AG44" s="170" t="s">
        <v>1183</v>
      </c>
      <c r="AH44" s="98"/>
      <c r="AI44" s="99"/>
    </row>
    <row r="45" spans="1:35" x14ac:dyDescent="0.25">
      <c r="A45" s="161" t="s">
        <v>1165</v>
      </c>
      <c r="B45" s="43">
        <v>1</v>
      </c>
      <c r="C45" s="43">
        <f>C14</f>
        <v>25</v>
      </c>
      <c r="D45" s="43"/>
      <c r="E45" s="43">
        <v>1</v>
      </c>
      <c r="F45" s="43">
        <f>F14</f>
        <v>20</v>
      </c>
      <c r="G45" s="43"/>
      <c r="H45" s="43">
        <v>1</v>
      </c>
      <c r="I45" s="43">
        <f>I14</f>
        <v>25</v>
      </c>
      <c r="J45" s="43"/>
      <c r="K45" s="43">
        <v>1</v>
      </c>
      <c r="L45" s="43">
        <f>L14</f>
        <v>20</v>
      </c>
      <c r="M45" s="43"/>
      <c r="N45" s="43">
        <v>1</v>
      </c>
      <c r="O45" s="43">
        <f>O14</f>
        <v>25</v>
      </c>
      <c r="P45" s="43"/>
      <c r="Q45" s="43">
        <v>1</v>
      </c>
      <c r="R45" s="43">
        <f>R14</f>
        <v>15</v>
      </c>
      <c r="S45" s="43"/>
      <c r="T45" s="43">
        <v>1</v>
      </c>
      <c r="U45" s="43">
        <f>U14</f>
        <v>20</v>
      </c>
      <c r="V45" s="43"/>
      <c r="W45" s="165">
        <v>2</v>
      </c>
      <c r="X45" s="43">
        <f>X14</f>
        <v>15</v>
      </c>
      <c r="Y45" s="43"/>
      <c r="Z45" s="165">
        <v>2</v>
      </c>
      <c r="AA45" s="43">
        <f>AA14</f>
        <v>25</v>
      </c>
      <c r="AB45" s="43"/>
      <c r="AC45" s="166">
        <v>3</v>
      </c>
      <c r="AD45" s="43">
        <v>17</v>
      </c>
      <c r="AE45" s="43"/>
      <c r="AF45" s="166">
        <v>3</v>
      </c>
      <c r="AG45" s="43">
        <v>15</v>
      </c>
      <c r="AH45" s="171"/>
      <c r="AI45" s="50"/>
    </row>
    <row r="46" spans="1:35" x14ac:dyDescent="0.25">
      <c r="A46" s="161" t="s">
        <v>1166</v>
      </c>
      <c r="B46" s="43">
        <v>1</v>
      </c>
      <c r="C46" s="43">
        <f t="shared" ref="C46:C53" si="18">C15</f>
        <v>25</v>
      </c>
      <c r="D46" s="43"/>
      <c r="E46" s="43">
        <v>1</v>
      </c>
      <c r="F46" s="43">
        <f t="shared" ref="F46:F53" si="19">F15</f>
        <v>20</v>
      </c>
      <c r="G46" s="43"/>
      <c r="H46" s="43">
        <v>1</v>
      </c>
      <c r="I46" s="43">
        <f t="shared" ref="I46:I53" si="20">I15</f>
        <v>25</v>
      </c>
      <c r="J46" s="43"/>
      <c r="K46" s="43">
        <v>1</v>
      </c>
      <c r="L46" s="43">
        <f t="shared" ref="L46:L53" si="21">L15</f>
        <v>20</v>
      </c>
      <c r="M46" s="43"/>
      <c r="N46" s="165">
        <v>2</v>
      </c>
      <c r="O46" s="43">
        <f t="shared" ref="O46:O53" si="22">O15</f>
        <v>18</v>
      </c>
      <c r="P46" s="43"/>
      <c r="Q46" s="165">
        <v>2</v>
      </c>
      <c r="R46" s="43">
        <f t="shared" ref="R46:R53" si="23">R15</f>
        <v>15</v>
      </c>
      <c r="S46" s="43"/>
      <c r="T46" s="165">
        <v>2</v>
      </c>
      <c r="U46" s="43">
        <f t="shared" ref="U46:U53" si="24">U15</f>
        <v>20</v>
      </c>
      <c r="V46" s="43"/>
      <c r="W46" s="165">
        <v>2</v>
      </c>
      <c r="X46" s="43">
        <f t="shared" ref="X46:X53" si="25">X15</f>
        <v>15</v>
      </c>
      <c r="Y46" s="43"/>
      <c r="Z46" s="166">
        <v>3</v>
      </c>
      <c r="AA46" s="43">
        <f t="shared" ref="AA46:AA53" si="26">AA15</f>
        <v>12</v>
      </c>
      <c r="AB46" s="43"/>
      <c r="AC46" s="166">
        <v>3</v>
      </c>
      <c r="AD46" s="43">
        <v>16</v>
      </c>
      <c r="AE46" s="43"/>
      <c r="AF46" s="166">
        <v>3</v>
      </c>
      <c r="AG46" s="43">
        <v>15</v>
      </c>
      <c r="AH46" s="171"/>
      <c r="AI46" s="50"/>
    </row>
    <row r="47" spans="1:35" x14ac:dyDescent="0.25">
      <c r="A47" s="161" t="s">
        <v>1167</v>
      </c>
      <c r="B47" s="43">
        <v>1</v>
      </c>
      <c r="C47" s="43">
        <f t="shared" si="18"/>
        <v>20</v>
      </c>
      <c r="D47" s="43"/>
      <c r="E47" s="43">
        <v>1</v>
      </c>
      <c r="F47" s="43">
        <f t="shared" si="19"/>
        <v>20</v>
      </c>
      <c r="G47" s="43"/>
      <c r="H47" s="43">
        <v>1</v>
      </c>
      <c r="I47" s="43">
        <f t="shared" si="20"/>
        <v>10</v>
      </c>
      <c r="J47" s="43"/>
      <c r="K47" s="165">
        <v>2</v>
      </c>
      <c r="L47" s="43">
        <f t="shared" si="21"/>
        <v>10</v>
      </c>
      <c r="M47" s="43"/>
      <c r="N47" s="165">
        <v>2</v>
      </c>
      <c r="O47" s="43">
        <f t="shared" si="22"/>
        <v>17</v>
      </c>
      <c r="P47" s="43"/>
      <c r="Q47" s="165">
        <v>2</v>
      </c>
      <c r="R47" s="43">
        <f t="shared" si="23"/>
        <v>15</v>
      </c>
      <c r="S47" s="43"/>
      <c r="T47" s="165">
        <v>2</v>
      </c>
      <c r="U47" s="43">
        <f t="shared" si="24"/>
        <v>14</v>
      </c>
      <c r="V47" s="43"/>
      <c r="W47" s="166">
        <v>3</v>
      </c>
      <c r="X47" s="43">
        <f t="shared" si="25"/>
        <v>15</v>
      </c>
      <c r="Y47" s="43"/>
      <c r="Z47" s="166">
        <v>3</v>
      </c>
      <c r="AA47" s="43">
        <f t="shared" si="26"/>
        <v>11</v>
      </c>
      <c r="AB47" s="43"/>
      <c r="AC47" s="166">
        <v>3</v>
      </c>
      <c r="AD47" s="43">
        <v>16</v>
      </c>
      <c r="AE47" s="43"/>
      <c r="AF47" s="166">
        <v>3</v>
      </c>
      <c r="AG47" s="43">
        <v>15</v>
      </c>
      <c r="AH47" s="171"/>
      <c r="AI47" s="50"/>
    </row>
    <row r="48" spans="1:35" x14ac:dyDescent="0.25">
      <c r="A48" s="161" t="s">
        <v>1168</v>
      </c>
      <c r="B48" s="165">
        <v>2</v>
      </c>
      <c r="C48" s="43">
        <f t="shared" si="18"/>
        <v>9</v>
      </c>
      <c r="D48" s="43"/>
      <c r="E48" s="165">
        <v>2</v>
      </c>
      <c r="F48" s="43">
        <f t="shared" si="19"/>
        <v>10</v>
      </c>
      <c r="G48" s="43"/>
      <c r="H48" s="165">
        <v>2</v>
      </c>
      <c r="I48" s="43">
        <f t="shared" si="20"/>
        <v>10</v>
      </c>
      <c r="J48" s="43"/>
      <c r="K48" s="165">
        <v>2</v>
      </c>
      <c r="L48" s="43">
        <f t="shared" si="21"/>
        <v>10</v>
      </c>
      <c r="M48" s="43"/>
      <c r="N48" s="165">
        <v>2</v>
      </c>
      <c r="O48" s="43">
        <f t="shared" si="22"/>
        <v>10</v>
      </c>
      <c r="P48" s="43"/>
      <c r="Q48" s="165">
        <v>2</v>
      </c>
      <c r="R48" s="43">
        <f t="shared" si="23"/>
        <v>14</v>
      </c>
      <c r="S48" s="43"/>
      <c r="T48" s="166">
        <v>3</v>
      </c>
      <c r="U48" s="43">
        <f t="shared" si="24"/>
        <v>13</v>
      </c>
      <c r="V48" s="43"/>
      <c r="W48" s="166">
        <v>3</v>
      </c>
      <c r="X48" s="43">
        <f t="shared" si="25"/>
        <v>15</v>
      </c>
      <c r="Y48" s="43"/>
      <c r="Z48" s="166">
        <v>3</v>
      </c>
      <c r="AA48" s="43">
        <f t="shared" si="26"/>
        <v>11</v>
      </c>
      <c r="AB48" s="43"/>
      <c r="AC48" s="166">
        <v>3</v>
      </c>
      <c r="AD48" s="43">
        <v>16</v>
      </c>
      <c r="AE48" s="43"/>
      <c r="AF48" s="166">
        <v>3</v>
      </c>
      <c r="AG48" s="43">
        <v>15</v>
      </c>
      <c r="AH48" s="171"/>
      <c r="AI48" s="50"/>
    </row>
    <row r="49" spans="1:35" x14ac:dyDescent="0.25">
      <c r="A49" s="161" t="s">
        <v>1169</v>
      </c>
      <c r="B49" s="165">
        <v>2</v>
      </c>
      <c r="C49" s="43">
        <f t="shared" si="18"/>
        <v>8</v>
      </c>
      <c r="D49" s="43"/>
      <c r="E49" s="165">
        <v>2</v>
      </c>
      <c r="F49" s="43">
        <f t="shared" si="19"/>
        <v>10</v>
      </c>
      <c r="G49" s="43"/>
      <c r="H49" s="165">
        <v>2</v>
      </c>
      <c r="I49" s="43">
        <f t="shared" si="20"/>
        <v>10</v>
      </c>
      <c r="J49" s="43"/>
      <c r="K49" s="165">
        <v>2</v>
      </c>
      <c r="L49" s="43">
        <f t="shared" si="21"/>
        <v>10</v>
      </c>
      <c r="M49" s="43"/>
      <c r="N49" s="166">
        <v>3</v>
      </c>
      <c r="O49" s="43">
        <f t="shared" si="22"/>
        <v>10</v>
      </c>
      <c r="P49" s="43"/>
      <c r="Q49" s="166">
        <v>3</v>
      </c>
      <c r="R49" s="43">
        <f t="shared" si="23"/>
        <v>13</v>
      </c>
      <c r="S49" s="43"/>
      <c r="T49" s="166">
        <v>3</v>
      </c>
      <c r="U49" s="43">
        <f t="shared" si="24"/>
        <v>13</v>
      </c>
      <c r="V49" s="43"/>
      <c r="W49" s="166">
        <v>3</v>
      </c>
      <c r="X49" s="43">
        <f t="shared" si="25"/>
        <v>15</v>
      </c>
      <c r="Y49" s="43"/>
      <c r="Z49" s="166">
        <v>3</v>
      </c>
      <c r="AA49" s="43">
        <f t="shared" si="26"/>
        <v>11</v>
      </c>
      <c r="AB49" s="43"/>
      <c r="AC49" s="167">
        <v>4</v>
      </c>
      <c r="AD49" s="43">
        <v>7</v>
      </c>
      <c r="AE49" s="43"/>
      <c r="AF49" s="167">
        <v>4</v>
      </c>
      <c r="AG49" s="43">
        <v>8</v>
      </c>
      <c r="AH49" s="171"/>
      <c r="AI49" s="50"/>
    </row>
    <row r="50" spans="1:35" x14ac:dyDescent="0.25">
      <c r="A50" s="161" t="s">
        <v>1170</v>
      </c>
      <c r="B50" s="165">
        <v>2</v>
      </c>
      <c r="C50" s="43">
        <f t="shared" si="18"/>
        <v>8</v>
      </c>
      <c r="D50" s="43"/>
      <c r="E50" s="165">
        <v>2</v>
      </c>
      <c r="F50" s="43">
        <f t="shared" si="19"/>
        <v>10</v>
      </c>
      <c r="G50" s="43"/>
      <c r="H50" s="165">
        <v>2</v>
      </c>
      <c r="I50" s="43">
        <f t="shared" si="20"/>
        <v>10</v>
      </c>
      <c r="J50" s="43"/>
      <c r="K50" s="166">
        <v>3</v>
      </c>
      <c r="L50" s="43">
        <f t="shared" si="21"/>
        <v>13</v>
      </c>
      <c r="M50" s="43"/>
      <c r="N50" s="166">
        <v>3</v>
      </c>
      <c r="O50" s="43">
        <f t="shared" si="22"/>
        <v>10</v>
      </c>
      <c r="P50" s="43"/>
      <c r="Q50" s="166">
        <v>3</v>
      </c>
      <c r="R50" s="43">
        <f t="shared" si="23"/>
        <v>13</v>
      </c>
      <c r="S50" s="43"/>
      <c r="T50" s="166">
        <v>3</v>
      </c>
      <c r="U50" s="43">
        <f t="shared" si="24"/>
        <v>5</v>
      </c>
      <c r="V50" s="43"/>
      <c r="W50" s="166">
        <v>3</v>
      </c>
      <c r="X50" s="43">
        <f t="shared" si="25"/>
        <v>7</v>
      </c>
      <c r="Y50" s="43"/>
      <c r="Z50" s="167">
        <v>4</v>
      </c>
      <c r="AA50" s="43">
        <f t="shared" si="26"/>
        <v>8</v>
      </c>
      <c r="AB50" s="43"/>
      <c r="AC50" s="167">
        <v>4</v>
      </c>
      <c r="AD50" s="43">
        <v>7</v>
      </c>
      <c r="AE50" s="43"/>
      <c r="AF50" s="167">
        <v>4</v>
      </c>
      <c r="AG50" s="43">
        <v>8</v>
      </c>
      <c r="AH50" s="171"/>
      <c r="AI50" s="50"/>
    </row>
    <row r="51" spans="1:35" x14ac:dyDescent="0.25">
      <c r="A51" s="161" t="s">
        <v>1171</v>
      </c>
      <c r="B51" s="166">
        <v>3</v>
      </c>
      <c r="C51" s="43">
        <f t="shared" si="18"/>
        <v>3</v>
      </c>
      <c r="D51" s="43"/>
      <c r="E51" s="166">
        <v>3</v>
      </c>
      <c r="F51" s="43">
        <f t="shared" si="19"/>
        <v>5</v>
      </c>
      <c r="G51" s="43"/>
      <c r="H51" s="166">
        <v>3</v>
      </c>
      <c r="I51" s="43">
        <f t="shared" si="20"/>
        <v>10</v>
      </c>
      <c r="J51" s="43"/>
      <c r="K51" s="166">
        <v>3</v>
      </c>
      <c r="L51" s="43">
        <f t="shared" si="21"/>
        <v>12</v>
      </c>
      <c r="M51" s="43"/>
      <c r="N51" s="166">
        <v>3</v>
      </c>
      <c r="O51" s="43">
        <f t="shared" si="22"/>
        <v>3</v>
      </c>
      <c r="P51" s="43"/>
      <c r="Q51" s="166">
        <v>3</v>
      </c>
      <c r="R51" s="43">
        <f t="shared" si="23"/>
        <v>5</v>
      </c>
      <c r="S51" s="43"/>
      <c r="T51" s="167">
        <v>4</v>
      </c>
      <c r="U51" s="43">
        <f t="shared" si="24"/>
        <v>5</v>
      </c>
      <c r="V51" s="43"/>
      <c r="W51" s="167">
        <v>4</v>
      </c>
      <c r="X51" s="43">
        <f t="shared" si="25"/>
        <v>6</v>
      </c>
      <c r="Y51" s="43"/>
      <c r="Z51" s="167">
        <v>4</v>
      </c>
      <c r="AA51" s="43">
        <f t="shared" si="26"/>
        <v>8</v>
      </c>
      <c r="AB51" s="43"/>
      <c r="AC51" s="167">
        <v>4</v>
      </c>
      <c r="AD51" s="43">
        <v>7</v>
      </c>
      <c r="AE51" s="43"/>
      <c r="AF51" s="167">
        <v>4</v>
      </c>
      <c r="AG51" s="43">
        <v>8</v>
      </c>
      <c r="AH51" s="171"/>
      <c r="AI51" s="50"/>
    </row>
    <row r="52" spans="1:35" x14ac:dyDescent="0.25">
      <c r="A52" s="161" t="s">
        <v>1172</v>
      </c>
      <c r="B52" s="166">
        <v>3</v>
      </c>
      <c r="C52" s="43">
        <f t="shared" si="18"/>
        <v>2</v>
      </c>
      <c r="D52" s="43"/>
      <c r="E52" s="166">
        <v>3</v>
      </c>
      <c r="F52" s="43">
        <f t="shared" si="19"/>
        <v>5</v>
      </c>
      <c r="G52" s="43"/>
      <c r="H52" s="166">
        <v>3</v>
      </c>
      <c r="I52" s="43">
        <f t="shared" si="20"/>
        <v>0</v>
      </c>
      <c r="J52" s="43"/>
      <c r="K52" s="166">
        <v>3</v>
      </c>
      <c r="L52" s="43">
        <f t="shared" si="21"/>
        <v>3</v>
      </c>
      <c r="M52" s="43"/>
      <c r="N52" s="167">
        <v>4</v>
      </c>
      <c r="O52" s="43">
        <f t="shared" si="22"/>
        <v>3</v>
      </c>
      <c r="P52" s="43"/>
      <c r="Q52" s="167">
        <v>4</v>
      </c>
      <c r="R52" s="43">
        <f t="shared" si="23"/>
        <v>5</v>
      </c>
      <c r="S52" s="43"/>
      <c r="T52" s="167">
        <v>4</v>
      </c>
      <c r="U52" s="43">
        <f t="shared" si="24"/>
        <v>5</v>
      </c>
      <c r="V52" s="43"/>
      <c r="W52" s="167">
        <v>4</v>
      </c>
      <c r="X52" s="43">
        <f t="shared" si="25"/>
        <v>6</v>
      </c>
      <c r="Y52" s="43"/>
      <c r="Z52" s="167">
        <v>4</v>
      </c>
      <c r="AA52" s="43">
        <f t="shared" si="26"/>
        <v>7</v>
      </c>
      <c r="AB52" s="43"/>
      <c r="AC52" s="167">
        <v>4</v>
      </c>
      <c r="AD52" s="43">
        <v>7</v>
      </c>
      <c r="AE52" s="43"/>
      <c r="AF52" s="167">
        <v>4</v>
      </c>
      <c r="AG52" s="43">
        <v>8</v>
      </c>
      <c r="AH52" s="171"/>
      <c r="AI52" s="50"/>
    </row>
    <row r="53" spans="1:35" x14ac:dyDescent="0.25">
      <c r="A53" s="161" t="s">
        <v>1173</v>
      </c>
      <c r="B53" s="166">
        <v>3</v>
      </c>
      <c r="C53" s="43">
        <f t="shared" si="18"/>
        <v>0</v>
      </c>
      <c r="D53" s="43"/>
      <c r="E53" s="166">
        <v>3</v>
      </c>
      <c r="F53" s="43">
        <f t="shared" si="19"/>
        <v>0</v>
      </c>
      <c r="G53" s="43"/>
      <c r="H53" s="166">
        <v>3</v>
      </c>
      <c r="I53" s="43">
        <f t="shared" si="20"/>
        <v>0</v>
      </c>
      <c r="J53" s="43"/>
      <c r="K53" s="167">
        <v>4</v>
      </c>
      <c r="L53" s="43">
        <f t="shared" si="21"/>
        <v>2</v>
      </c>
      <c r="M53" s="43"/>
      <c r="N53" s="167">
        <v>4</v>
      </c>
      <c r="O53" s="43">
        <f t="shared" si="22"/>
        <v>4</v>
      </c>
      <c r="P53" s="43"/>
      <c r="Q53" s="167">
        <v>4</v>
      </c>
      <c r="R53" s="43">
        <f t="shared" si="23"/>
        <v>5</v>
      </c>
      <c r="S53" s="43"/>
      <c r="T53" s="167">
        <v>4</v>
      </c>
      <c r="U53" s="43">
        <f t="shared" si="24"/>
        <v>5</v>
      </c>
      <c r="V53" s="43"/>
      <c r="W53" s="167">
        <v>4</v>
      </c>
      <c r="X53" s="43">
        <f t="shared" si="25"/>
        <v>6</v>
      </c>
      <c r="Y53" s="43"/>
      <c r="Z53" s="167">
        <v>4</v>
      </c>
      <c r="AA53" s="43">
        <f t="shared" si="26"/>
        <v>7</v>
      </c>
      <c r="AB53" s="43"/>
      <c r="AC53" s="167">
        <v>4</v>
      </c>
      <c r="AD53" s="43">
        <v>7</v>
      </c>
      <c r="AE53" s="43"/>
      <c r="AF53" s="167">
        <v>4</v>
      </c>
      <c r="AG53" s="43">
        <v>8</v>
      </c>
      <c r="AH53" s="171"/>
      <c r="AI53" s="5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"/>
  <sheetViews>
    <sheetView workbookViewId="0">
      <selection activeCell="E26" sqref="E26"/>
    </sheetView>
  </sheetViews>
  <sheetFormatPr defaultRowHeight="15" x14ac:dyDescent="0.25"/>
  <cols>
    <col min="1" max="1" width="7.28515625" bestFit="1" customWidth="1"/>
    <col min="2" max="2" width="19.42578125" bestFit="1" customWidth="1"/>
    <col min="3" max="3" width="13.28515625" bestFit="1" customWidth="1"/>
    <col min="4" max="4" width="26" bestFit="1" customWidth="1"/>
    <col min="5" max="5" width="22.28515625" bestFit="1" customWidth="1"/>
    <col min="6" max="6" width="16" bestFit="1" customWidth="1"/>
    <col min="7" max="7" width="28.7109375" bestFit="1" customWidth="1"/>
    <col min="8" max="8" width="22.28515625" bestFit="1" customWidth="1"/>
    <col min="9" max="9" width="17" bestFit="1" customWidth="1"/>
    <col min="10" max="10" width="28.7109375" bestFit="1" customWidth="1"/>
    <col min="11" max="19" width="28.7109375" customWidth="1"/>
    <col min="20" max="20" width="20" bestFit="1" customWidth="1"/>
    <col min="21" max="21" width="13.5703125" bestFit="1" customWidth="1"/>
    <col min="22" max="22" width="26.5703125" bestFit="1" customWidth="1"/>
    <col min="266" max="266" width="7.28515625" bestFit="1" customWidth="1"/>
    <col min="267" max="267" width="19.42578125" bestFit="1" customWidth="1"/>
    <col min="268" max="268" width="13.28515625" bestFit="1" customWidth="1"/>
    <col min="269" max="269" width="26" bestFit="1" customWidth="1"/>
    <col min="270" max="270" width="22.28515625" bestFit="1" customWidth="1"/>
    <col min="271" max="271" width="16" bestFit="1" customWidth="1"/>
    <col min="272" max="272" width="28.7109375" bestFit="1" customWidth="1"/>
    <col min="273" max="273" width="22.28515625" bestFit="1" customWidth="1"/>
    <col min="274" max="274" width="17" bestFit="1" customWidth="1"/>
    <col min="275" max="275" width="28.7109375" bestFit="1" customWidth="1"/>
    <col min="276" max="276" width="17.42578125" bestFit="1" customWidth="1"/>
    <col min="277" max="277" width="10.85546875" bestFit="1" customWidth="1"/>
    <col min="278" max="278" width="23.85546875" bestFit="1" customWidth="1"/>
    <col min="522" max="522" width="7.28515625" bestFit="1" customWidth="1"/>
    <col min="523" max="523" width="19.42578125" bestFit="1" customWidth="1"/>
    <col min="524" max="524" width="13.28515625" bestFit="1" customWidth="1"/>
    <col min="525" max="525" width="26" bestFit="1" customWidth="1"/>
    <col min="526" max="526" width="22.28515625" bestFit="1" customWidth="1"/>
    <col min="527" max="527" width="16" bestFit="1" customWidth="1"/>
    <col min="528" max="528" width="28.7109375" bestFit="1" customWidth="1"/>
    <col min="529" max="529" width="22.28515625" bestFit="1" customWidth="1"/>
    <col min="530" max="530" width="17" bestFit="1" customWidth="1"/>
    <col min="531" max="531" width="28.7109375" bestFit="1" customWidth="1"/>
    <col min="532" max="532" width="17.42578125" bestFit="1" customWidth="1"/>
    <col min="533" max="533" width="10.85546875" bestFit="1" customWidth="1"/>
    <col min="534" max="534" width="23.85546875" bestFit="1" customWidth="1"/>
    <col min="778" max="778" width="7.28515625" bestFit="1" customWidth="1"/>
    <col min="779" max="779" width="19.42578125" bestFit="1" customWidth="1"/>
    <col min="780" max="780" width="13.28515625" bestFit="1" customWidth="1"/>
    <col min="781" max="781" width="26" bestFit="1" customWidth="1"/>
    <col min="782" max="782" width="22.28515625" bestFit="1" customWidth="1"/>
    <col min="783" max="783" width="16" bestFit="1" customWidth="1"/>
    <col min="784" max="784" width="28.7109375" bestFit="1" customWidth="1"/>
    <col min="785" max="785" width="22.28515625" bestFit="1" customWidth="1"/>
    <col min="786" max="786" width="17" bestFit="1" customWidth="1"/>
    <col min="787" max="787" width="28.7109375" bestFit="1" customWidth="1"/>
    <col min="788" max="788" width="17.42578125" bestFit="1" customWidth="1"/>
    <col min="789" max="789" width="10.85546875" bestFit="1" customWidth="1"/>
    <col min="790" max="790" width="23.85546875" bestFit="1" customWidth="1"/>
    <col min="1034" max="1034" width="7.28515625" bestFit="1" customWidth="1"/>
    <col min="1035" max="1035" width="19.42578125" bestFit="1" customWidth="1"/>
    <col min="1036" max="1036" width="13.28515625" bestFit="1" customWidth="1"/>
    <col min="1037" max="1037" width="26" bestFit="1" customWidth="1"/>
    <col min="1038" max="1038" width="22.28515625" bestFit="1" customWidth="1"/>
    <col min="1039" max="1039" width="16" bestFit="1" customWidth="1"/>
    <col min="1040" max="1040" width="28.7109375" bestFit="1" customWidth="1"/>
    <col min="1041" max="1041" width="22.28515625" bestFit="1" customWidth="1"/>
    <col min="1042" max="1042" width="17" bestFit="1" customWidth="1"/>
    <col min="1043" max="1043" width="28.7109375" bestFit="1" customWidth="1"/>
    <col min="1044" max="1044" width="17.42578125" bestFit="1" customWidth="1"/>
    <col min="1045" max="1045" width="10.85546875" bestFit="1" customWidth="1"/>
    <col min="1046" max="1046" width="23.85546875" bestFit="1" customWidth="1"/>
    <col min="1290" max="1290" width="7.28515625" bestFit="1" customWidth="1"/>
    <col min="1291" max="1291" width="19.42578125" bestFit="1" customWidth="1"/>
    <col min="1292" max="1292" width="13.28515625" bestFit="1" customWidth="1"/>
    <col min="1293" max="1293" width="26" bestFit="1" customWidth="1"/>
    <col min="1294" max="1294" width="22.28515625" bestFit="1" customWidth="1"/>
    <col min="1295" max="1295" width="16" bestFit="1" customWidth="1"/>
    <col min="1296" max="1296" width="28.7109375" bestFit="1" customWidth="1"/>
    <col min="1297" max="1297" width="22.28515625" bestFit="1" customWidth="1"/>
    <col min="1298" max="1298" width="17" bestFit="1" customWidth="1"/>
    <col min="1299" max="1299" width="28.7109375" bestFit="1" customWidth="1"/>
    <col min="1300" max="1300" width="17.42578125" bestFit="1" customWidth="1"/>
    <col min="1301" max="1301" width="10.85546875" bestFit="1" customWidth="1"/>
    <col min="1302" max="1302" width="23.85546875" bestFit="1" customWidth="1"/>
    <col min="1546" max="1546" width="7.28515625" bestFit="1" customWidth="1"/>
    <col min="1547" max="1547" width="19.42578125" bestFit="1" customWidth="1"/>
    <col min="1548" max="1548" width="13.28515625" bestFit="1" customWidth="1"/>
    <col min="1549" max="1549" width="26" bestFit="1" customWidth="1"/>
    <col min="1550" max="1550" width="22.28515625" bestFit="1" customWidth="1"/>
    <col min="1551" max="1551" width="16" bestFit="1" customWidth="1"/>
    <col min="1552" max="1552" width="28.7109375" bestFit="1" customWidth="1"/>
    <col min="1553" max="1553" width="22.28515625" bestFit="1" customWidth="1"/>
    <col min="1554" max="1554" width="17" bestFit="1" customWidth="1"/>
    <col min="1555" max="1555" width="28.7109375" bestFit="1" customWidth="1"/>
    <col min="1556" max="1556" width="17.42578125" bestFit="1" customWidth="1"/>
    <col min="1557" max="1557" width="10.85546875" bestFit="1" customWidth="1"/>
    <col min="1558" max="1558" width="23.85546875" bestFit="1" customWidth="1"/>
    <col min="1802" max="1802" width="7.28515625" bestFit="1" customWidth="1"/>
    <col min="1803" max="1803" width="19.42578125" bestFit="1" customWidth="1"/>
    <col min="1804" max="1804" width="13.28515625" bestFit="1" customWidth="1"/>
    <col min="1805" max="1805" width="26" bestFit="1" customWidth="1"/>
    <col min="1806" max="1806" width="22.28515625" bestFit="1" customWidth="1"/>
    <col min="1807" max="1807" width="16" bestFit="1" customWidth="1"/>
    <col min="1808" max="1808" width="28.7109375" bestFit="1" customWidth="1"/>
    <col min="1809" max="1809" width="22.28515625" bestFit="1" customWidth="1"/>
    <col min="1810" max="1810" width="17" bestFit="1" customWidth="1"/>
    <col min="1811" max="1811" width="28.7109375" bestFit="1" customWidth="1"/>
    <col min="1812" max="1812" width="17.42578125" bestFit="1" customWidth="1"/>
    <col min="1813" max="1813" width="10.85546875" bestFit="1" customWidth="1"/>
    <col min="1814" max="1814" width="23.85546875" bestFit="1" customWidth="1"/>
    <col min="2058" max="2058" width="7.28515625" bestFit="1" customWidth="1"/>
    <col min="2059" max="2059" width="19.42578125" bestFit="1" customWidth="1"/>
    <col min="2060" max="2060" width="13.28515625" bestFit="1" customWidth="1"/>
    <col min="2061" max="2061" width="26" bestFit="1" customWidth="1"/>
    <col min="2062" max="2062" width="22.28515625" bestFit="1" customWidth="1"/>
    <col min="2063" max="2063" width="16" bestFit="1" customWidth="1"/>
    <col min="2064" max="2064" width="28.7109375" bestFit="1" customWidth="1"/>
    <col min="2065" max="2065" width="22.28515625" bestFit="1" customWidth="1"/>
    <col min="2066" max="2066" width="17" bestFit="1" customWidth="1"/>
    <col min="2067" max="2067" width="28.7109375" bestFit="1" customWidth="1"/>
    <col min="2068" max="2068" width="17.42578125" bestFit="1" customWidth="1"/>
    <col min="2069" max="2069" width="10.85546875" bestFit="1" customWidth="1"/>
    <col min="2070" max="2070" width="23.85546875" bestFit="1" customWidth="1"/>
    <col min="2314" max="2314" width="7.28515625" bestFit="1" customWidth="1"/>
    <col min="2315" max="2315" width="19.42578125" bestFit="1" customWidth="1"/>
    <col min="2316" max="2316" width="13.28515625" bestFit="1" customWidth="1"/>
    <col min="2317" max="2317" width="26" bestFit="1" customWidth="1"/>
    <col min="2318" max="2318" width="22.28515625" bestFit="1" customWidth="1"/>
    <col min="2319" max="2319" width="16" bestFit="1" customWidth="1"/>
    <col min="2320" max="2320" width="28.7109375" bestFit="1" customWidth="1"/>
    <col min="2321" max="2321" width="22.28515625" bestFit="1" customWidth="1"/>
    <col min="2322" max="2322" width="17" bestFit="1" customWidth="1"/>
    <col min="2323" max="2323" width="28.7109375" bestFit="1" customWidth="1"/>
    <col min="2324" max="2324" width="17.42578125" bestFit="1" customWidth="1"/>
    <col min="2325" max="2325" width="10.85546875" bestFit="1" customWidth="1"/>
    <col min="2326" max="2326" width="23.85546875" bestFit="1" customWidth="1"/>
    <col min="2570" max="2570" width="7.28515625" bestFit="1" customWidth="1"/>
    <col min="2571" max="2571" width="19.42578125" bestFit="1" customWidth="1"/>
    <col min="2572" max="2572" width="13.28515625" bestFit="1" customWidth="1"/>
    <col min="2573" max="2573" width="26" bestFit="1" customWidth="1"/>
    <col min="2574" max="2574" width="22.28515625" bestFit="1" customWidth="1"/>
    <col min="2575" max="2575" width="16" bestFit="1" customWidth="1"/>
    <col min="2576" max="2576" width="28.7109375" bestFit="1" customWidth="1"/>
    <col min="2577" max="2577" width="22.28515625" bestFit="1" customWidth="1"/>
    <col min="2578" max="2578" width="17" bestFit="1" customWidth="1"/>
    <col min="2579" max="2579" width="28.7109375" bestFit="1" customWidth="1"/>
    <col min="2580" max="2580" width="17.42578125" bestFit="1" customWidth="1"/>
    <col min="2581" max="2581" width="10.85546875" bestFit="1" customWidth="1"/>
    <col min="2582" max="2582" width="23.85546875" bestFit="1" customWidth="1"/>
    <col min="2826" max="2826" width="7.28515625" bestFit="1" customWidth="1"/>
    <col min="2827" max="2827" width="19.42578125" bestFit="1" customWidth="1"/>
    <col min="2828" max="2828" width="13.28515625" bestFit="1" customWidth="1"/>
    <col min="2829" max="2829" width="26" bestFit="1" customWidth="1"/>
    <col min="2830" max="2830" width="22.28515625" bestFit="1" customWidth="1"/>
    <col min="2831" max="2831" width="16" bestFit="1" customWidth="1"/>
    <col min="2832" max="2832" width="28.7109375" bestFit="1" customWidth="1"/>
    <col min="2833" max="2833" width="22.28515625" bestFit="1" customWidth="1"/>
    <col min="2834" max="2834" width="17" bestFit="1" customWidth="1"/>
    <col min="2835" max="2835" width="28.7109375" bestFit="1" customWidth="1"/>
    <col min="2836" max="2836" width="17.42578125" bestFit="1" customWidth="1"/>
    <col min="2837" max="2837" width="10.85546875" bestFit="1" customWidth="1"/>
    <col min="2838" max="2838" width="23.85546875" bestFit="1" customWidth="1"/>
    <col min="3082" max="3082" width="7.28515625" bestFit="1" customWidth="1"/>
    <col min="3083" max="3083" width="19.42578125" bestFit="1" customWidth="1"/>
    <col min="3084" max="3084" width="13.28515625" bestFit="1" customWidth="1"/>
    <col min="3085" max="3085" width="26" bestFit="1" customWidth="1"/>
    <col min="3086" max="3086" width="22.28515625" bestFit="1" customWidth="1"/>
    <col min="3087" max="3087" width="16" bestFit="1" customWidth="1"/>
    <col min="3088" max="3088" width="28.7109375" bestFit="1" customWidth="1"/>
    <col min="3089" max="3089" width="22.28515625" bestFit="1" customWidth="1"/>
    <col min="3090" max="3090" width="17" bestFit="1" customWidth="1"/>
    <col min="3091" max="3091" width="28.7109375" bestFit="1" customWidth="1"/>
    <col min="3092" max="3092" width="17.42578125" bestFit="1" customWidth="1"/>
    <col min="3093" max="3093" width="10.85546875" bestFit="1" customWidth="1"/>
    <col min="3094" max="3094" width="23.85546875" bestFit="1" customWidth="1"/>
    <col min="3338" max="3338" width="7.28515625" bestFit="1" customWidth="1"/>
    <col min="3339" max="3339" width="19.42578125" bestFit="1" customWidth="1"/>
    <col min="3340" max="3340" width="13.28515625" bestFit="1" customWidth="1"/>
    <col min="3341" max="3341" width="26" bestFit="1" customWidth="1"/>
    <col min="3342" max="3342" width="22.28515625" bestFit="1" customWidth="1"/>
    <col min="3343" max="3343" width="16" bestFit="1" customWidth="1"/>
    <col min="3344" max="3344" width="28.7109375" bestFit="1" customWidth="1"/>
    <col min="3345" max="3345" width="22.28515625" bestFit="1" customWidth="1"/>
    <col min="3346" max="3346" width="17" bestFit="1" customWidth="1"/>
    <col min="3347" max="3347" width="28.7109375" bestFit="1" customWidth="1"/>
    <col min="3348" max="3348" width="17.42578125" bestFit="1" customWidth="1"/>
    <col min="3349" max="3349" width="10.85546875" bestFit="1" customWidth="1"/>
    <col min="3350" max="3350" width="23.85546875" bestFit="1" customWidth="1"/>
    <col min="3594" max="3594" width="7.28515625" bestFit="1" customWidth="1"/>
    <col min="3595" max="3595" width="19.42578125" bestFit="1" customWidth="1"/>
    <col min="3596" max="3596" width="13.28515625" bestFit="1" customWidth="1"/>
    <col min="3597" max="3597" width="26" bestFit="1" customWidth="1"/>
    <col min="3598" max="3598" width="22.28515625" bestFit="1" customWidth="1"/>
    <col min="3599" max="3599" width="16" bestFit="1" customWidth="1"/>
    <col min="3600" max="3600" width="28.7109375" bestFit="1" customWidth="1"/>
    <col min="3601" max="3601" width="22.28515625" bestFit="1" customWidth="1"/>
    <col min="3602" max="3602" width="17" bestFit="1" customWidth="1"/>
    <col min="3603" max="3603" width="28.7109375" bestFit="1" customWidth="1"/>
    <col min="3604" max="3604" width="17.42578125" bestFit="1" customWidth="1"/>
    <col min="3605" max="3605" width="10.85546875" bestFit="1" customWidth="1"/>
    <col min="3606" max="3606" width="23.85546875" bestFit="1" customWidth="1"/>
    <col min="3850" max="3850" width="7.28515625" bestFit="1" customWidth="1"/>
    <col min="3851" max="3851" width="19.42578125" bestFit="1" customWidth="1"/>
    <col min="3852" max="3852" width="13.28515625" bestFit="1" customWidth="1"/>
    <col min="3853" max="3853" width="26" bestFit="1" customWidth="1"/>
    <col min="3854" max="3854" width="22.28515625" bestFit="1" customWidth="1"/>
    <col min="3855" max="3855" width="16" bestFit="1" customWidth="1"/>
    <col min="3856" max="3856" width="28.7109375" bestFit="1" customWidth="1"/>
    <col min="3857" max="3857" width="22.28515625" bestFit="1" customWidth="1"/>
    <col min="3858" max="3858" width="17" bestFit="1" customWidth="1"/>
    <col min="3859" max="3859" width="28.7109375" bestFit="1" customWidth="1"/>
    <col min="3860" max="3860" width="17.42578125" bestFit="1" customWidth="1"/>
    <col min="3861" max="3861" width="10.85546875" bestFit="1" customWidth="1"/>
    <col min="3862" max="3862" width="23.85546875" bestFit="1" customWidth="1"/>
    <col min="4106" max="4106" width="7.28515625" bestFit="1" customWidth="1"/>
    <col min="4107" max="4107" width="19.42578125" bestFit="1" customWidth="1"/>
    <col min="4108" max="4108" width="13.28515625" bestFit="1" customWidth="1"/>
    <col min="4109" max="4109" width="26" bestFit="1" customWidth="1"/>
    <col min="4110" max="4110" width="22.28515625" bestFit="1" customWidth="1"/>
    <col min="4111" max="4111" width="16" bestFit="1" customWidth="1"/>
    <col min="4112" max="4112" width="28.7109375" bestFit="1" customWidth="1"/>
    <col min="4113" max="4113" width="22.28515625" bestFit="1" customWidth="1"/>
    <col min="4114" max="4114" width="17" bestFit="1" customWidth="1"/>
    <col min="4115" max="4115" width="28.7109375" bestFit="1" customWidth="1"/>
    <col min="4116" max="4116" width="17.42578125" bestFit="1" customWidth="1"/>
    <col min="4117" max="4117" width="10.85546875" bestFit="1" customWidth="1"/>
    <col min="4118" max="4118" width="23.85546875" bestFit="1" customWidth="1"/>
    <col min="4362" max="4362" width="7.28515625" bestFit="1" customWidth="1"/>
    <col min="4363" max="4363" width="19.42578125" bestFit="1" customWidth="1"/>
    <col min="4364" max="4364" width="13.28515625" bestFit="1" customWidth="1"/>
    <col min="4365" max="4365" width="26" bestFit="1" customWidth="1"/>
    <col min="4366" max="4366" width="22.28515625" bestFit="1" customWidth="1"/>
    <col min="4367" max="4367" width="16" bestFit="1" customWidth="1"/>
    <col min="4368" max="4368" width="28.7109375" bestFit="1" customWidth="1"/>
    <col min="4369" max="4369" width="22.28515625" bestFit="1" customWidth="1"/>
    <col min="4370" max="4370" width="17" bestFit="1" customWidth="1"/>
    <col min="4371" max="4371" width="28.7109375" bestFit="1" customWidth="1"/>
    <col min="4372" max="4372" width="17.42578125" bestFit="1" customWidth="1"/>
    <col min="4373" max="4373" width="10.85546875" bestFit="1" customWidth="1"/>
    <col min="4374" max="4374" width="23.85546875" bestFit="1" customWidth="1"/>
    <col min="4618" max="4618" width="7.28515625" bestFit="1" customWidth="1"/>
    <col min="4619" max="4619" width="19.42578125" bestFit="1" customWidth="1"/>
    <col min="4620" max="4620" width="13.28515625" bestFit="1" customWidth="1"/>
    <col min="4621" max="4621" width="26" bestFit="1" customWidth="1"/>
    <col min="4622" max="4622" width="22.28515625" bestFit="1" customWidth="1"/>
    <col min="4623" max="4623" width="16" bestFit="1" customWidth="1"/>
    <col min="4624" max="4624" width="28.7109375" bestFit="1" customWidth="1"/>
    <col min="4625" max="4625" width="22.28515625" bestFit="1" customWidth="1"/>
    <col min="4626" max="4626" width="17" bestFit="1" customWidth="1"/>
    <col min="4627" max="4627" width="28.7109375" bestFit="1" customWidth="1"/>
    <col min="4628" max="4628" width="17.42578125" bestFit="1" customWidth="1"/>
    <col min="4629" max="4629" width="10.85546875" bestFit="1" customWidth="1"/>
    <col min="4630" max="4630" width="23.85546875" bestFit="1" customWidth="1"/>
    <col min="4874" max="4874" width="7.28515625" bestFit="1" customWidth="1"/>
    <col min="4875" max="4875" width="19.42578125" bestFit="1" customWidth="1"/>
    <col min="4876" max="4876" width="13.28515625" bestFit="1" customWidth="1"/>
    <col min="4877" max="4877" width="26" bestFit="1" customWidth="1"/>
    <col min="4878" max="4878" width="22.28515625" bestFit="1" customWidth="1"/>
    <col min="4879" max="4879" width="16" bestFit="1" customWidth="1"/>
    <col min="4880" max="4880" width="28.7109375" bestFit="1" customWidth="1"/>
    <col min="4881" max="4881" width="22.28515625" bestFit="1" customWidth="1"/>
    <col min="4882" max="4882" width="17" bestFit="1" customWidth="1"/>
    <col min="4883" max="4883" width="28.7109375" bestFit="1" customWidth="1"/>
    <col min="4884" max="4884" width="17.42578125" bestFit="1" customWidth="1"/>
    <col min="4885" max="4885" width="10.85546875" bestFit="1" customWidth="1"/>
    <col min="4886" max="4886" width="23.85546875" bestFit="1" customWidth="1"/>
    <col min="5130" max="5130" width="7.28515625" bestFit="1" customWidth="1"/>
    <col min="5131" max="5131" width="19.42578125" bestFit="1" customWidth="1"/>
    <col min="5132" max="5132" width="13.28515625" bestFit="1" customWidth="1"/>
    <col min="5133" max="5133" width="26" bestFit="1" customWidth="1"/>
    <col min="5134" max="5134" width="22.28515625" bestFit="1" customWidth="1"/>
    <col min="5135" max="5135" width="16" bestFit="1" customWidth="1"/>
    <col min="5136" max="5136" width="28.7109375" bestFit="1" customWidth="1"/>
    <col min="5137" max="5137" width="22.28515625" bestFit="1" customWidth="1"/>
    <col min="5138" max="5138" width="17" bestFit="1" customWidth="1"/>
    <col min="5139" max="5139" width="28.7109375" bestFit="1" customWidth="1"/>
    <col min="5140" max="5140" width="17.42578125" bestFit="1" customWidth="1"/>
    <col min="5141" max="5141" width="10.85546875" bestFit="1" customWidth="1"/>
    <col min="5142" max="5142" width="23.85546875" bestFit="1" customWidth="1"/>
    <col min="5386" max="5386" width="7.28515625" bestFit="1" customWidth="1"/>
    <col min="5387" max="5387" width="19.42578125" bestFit="1" customWidth="1"/>
    <col min="5388" max="5388" width="13.28515625" bestFit="1" customWidth="1"/>
    <col min="5389" max="5389" width="26" bestFit="1" customWidth="1"/>
    <col min="5390" max="5390" width="22.28515625" bestFit="1" customWidth="1"/>
    <col min="5391" max="5391" width="16" bestFit="1" customWidth="1"/>
    <col min="5392" max="5392" width="28.7109375" bestFit="1" customWidth="1"/>
    <col min="5393" max="5393" width="22.28515625" bestFit="1" customWidth="1"/>
    <col min="5394" max="5394" width="17" bestFit="1" customWidth="1"/>
    <col min="5395" max="5395" width="28.7109375" bestFit="1" customWidth="1"/>
    <col min="5396" max="5396" width="17.42578125" bestFit="1" customWidth="1"/>
    <col min="5397" max="5397" width="10.85546875" bestFit="1" customWidth="1"/>
    <col min="5398" max="5398" width="23.85546875" bestFit="1" customWidth="1"/>
    <col min="5642" max="5642" width="7.28515625" bestFit="1" customWidth="1"/>
    <col min="5643" max="5643" width="19.42578125" bestFit="1" customWidth="1"/>
    <col min="5644" max="5644" width="13.28515625" bestFit="1" customWidth="1"/>
    <col min="5645" max="5645" width="26" bestFit="1" customWidth="1"/>
    <col min="5646" max="5646" width="22.28515625" bestFit="1" customWidth="1"/>
    <col min="5647" max="5647" width="16" bestFit="1" customWidth="1"/>
    <col min="5648" max="5648" width="28.7109375" bestFit="1" customWidth="1"/>
    <col min="5649" max="5649" width="22.28515625" bestFit="1" customWidth="1"/>
    <col min="5650" max="5650" width="17" bestFit="1" customWidth="1"/>
    <col min="5651" max="5651" width="28.7109375" bestFit="1" customWidth="1"/>
    <col min="5652" max="5652" width="17.42578125" bestFit="1" customWidth="1"/>
    <col min="5653" max="5653" width="10.85546875" bestFit="1" customWidth="1"/>
    <col min="5654" max="5654" width="23.85546875" bestFit="1" customWidth="1"/>
    <col min="5898" max="5898" width="7.28515625" bestFit="1" customWidth="1"/>
    <col min="5899" max="5899" width="19.42578125" bestFit="1" customWidth="1"/>
    <col min="5900" max="5900" width="13.28515625" bestFit="1" customWidth="1"/>
    <col min="5901" max="5901" width="26" bestFit="1" customWidth="1"/>
    <col min="5902" max="5902" width="22.28515625" bestFit="1" customWidth="1"/>
    <col min="5903" max="5903" width="16" bestFit="1" customWidth="1"/>
    <col min="5904" max="5904" width="28.7109375" bestFit="1" customWidth="1"/>
    <col min="5905" max="5905" width="22.28515625" bestFit="1" customWidth="1"/>
    <col min="5906" max="5906" width="17" bestFit="1" customWidth="1"/>
    <col min="5907" max="5907" width="28.7109375" bestFit="1" customWidth="1"/>
    <col min="5908" max="5908" width="17.42578125" bestFit="1" customWidth="1"/>
    <col min="5909" max="5909" width="10.85546875" bestFit="1" customWidth="1"/>
    <col min="5910" max="5910" width="23.85546875" bestFit="1" customWidth="1"/>
    <col min="6154" max="6154" width="7.28515625" bestFit="1" customWidth="1"/>
    <col min="6155" max="6155" width="19.42578125" bestFit="1" customWidth="1"/>
    <col min="6156" max="6156" width="13.28515625" bestFit="1" customWidth="1"/>
    <col min="6157" max="6157" width="26" bestFit="1" customWidth="1"/>
    <col min="6158" max="6158" width="22.28515625" bestFit="1" customWidth="1"/>
    <col min="6159" max="6159" width="16" bestFit="1" customWidth="1"/>
    <col min="6160" max="6160" width="28.7109375" bestFit="1" customWidth="1"/>
    <col min="6161" max="6161" width="22.28515625" bestFit="1" customWidth="1"/>
    <col min="6162" max="6162" width="17" bestFit="1" customWidth="1"/>
    <col min="6163" max="6163" width="28.7109375" bestFit="1" customWidth="1"/>
    <col min="6164" max="6164" width="17.42578125" bestFit="1" customWidth="1"/>
    <col min="6165" max="6165" width="10.85546875" bestFit="1" customWidth="1"/>
    <col min="6166" max="6166" width="23.85546875" bestFit="1" customWidth="1"/>
    <col min="6410" max="6410" width="7.28515625" bestFit="1" customWidth="1"/>
    <col min="6411" max="6411" width="19.42578125" bestFit="1" customWidth="1"/>
    <col min="6412" max="6412" width="13.28515625" bestFit="1" customWidth="1"/>
    <col min="6413" max="6413" width="26" bestFit="1" customWidth="1"/>
    <col min="6414" max="6414" width="22.28515625" bestFit="1" customWidth="1"/>
    <col min="6415" max="6415" width="16" bestFit="1" customWidth="1"/>
    <col min="6416" max="6416" width="28.7109375" bestFit="1" customWidth="1"/>
    <col min="6417" max="6417" width="22.28515625" bestFit="1" customWidth="1"/>
    <col min="6418" max="6418" width="17" bestFit="1" customWidth="1"/>
    <col min="6419" max="6419" width="28.7109375" bestFit="1" customWidth="1"/>
    <col min="6420" max="6420" width="17.42578125" bestFit="1" customWidth="1"/>
    <col min="6421" max="6421" width="10.85546875" bestFit="1" customWidth="1"/>
    <col min="6422" max="6422" width="23.85546875" bestFit="1" customWidth="1"/>
    <col min="6666" max="6666" width="7.28515625" bestFit="1" customWidth="1"/>
    <col min="6667" max="6667" width="19.42578125" bestFit="1" customWidth="1"/>
    <col min="6668" max="6668" width="13.28515625" bestFit="1" customWidth="1"/>
    <col min="6669" max="6669" width="26" bestFit="1" customWidth="1"/>
    <col min="6670" max="6670" width="22.28515625" bestFit="1" customWidth="1"/>
    <col min="6671" max="6671" width="16" bestFit="1" customWidth="1"/>
    <col min="6672" max="6672" width="28.7109375" bestFit="1" customWidth="1"/>
    <col min="6673" max="6673" width="22.28515625" bestFit="1" customWidth="1"/>
    <col min="6674" max="6674" width="17" bestFit="1" customWidth="1"/>
    <col min="6675" max="6675" width="28.7109375" bestFit="1" customWidth="1"/>
    <col min="6676" max="6676" width="17.42578125" bestFit="1" customWidth="1"/>
    <col min="6677" max="6677" width="10.85546875" bestFit="1" customWidth="1"/>
    <col min="6678" max="6678" width="23.85546875" bestFit="1" customWidth="1"/>
    <col min="6922" max="6922" width="7.28515625" bestFit="1" customWidth="1"/>
    <col min="6923" max="6923" width="19.42578125" bestFit="1" customWidth="1"/>
    <col min="6924" max="6924" width="13.28515625" bestFit="1" customWidth="1"/>
    <col min="6925" max="6925" width="26" bestFit="1" customWidth="1"/>
    <col min="6926" max="6926" width="22.28515625" bestFit="1" customWidth="1"/>
    <col min="6927" max="6927" width="16" bestFit="1" customWidth="1"/>
    <col min="6928" max="6928" width="28.7109375" bestFit="1" customWidth="1"/>
    <col min="6929" max="6929" width="22.28515625" bestFit="1" customWidth="1"/>
    <col min="6930" max="6930" width="17" bestFit="1" customWidth="1"/>
    <col min="6931" max="6931" width="28.7109375" bestFit="1" customWidth="1"/>
    <col min="6932" max="6932" width="17.42578125" bestFit="1" customWidth="1"/>
    <col min="6933" max="6933" width="10.85546875" bestFit="1" customWidth="1"/>
    <col min="6934" max="6934" width="23.85546875" bestFit="1" customWidth="1"/>
    <col min="7178" max="7178" width="7.28515625" bestFit="1" customWidth="1"/>
    <col min="7179" max="7179" width="19.42578125" bestFit="1" customWidth="1"/>
    <col min="7180" max="7180" width="13.28515625" bestFit="1" customWidth="1"/>
    <col min="7181" max="7181" width="26" bestFit="1" customWidth="1"/>
    <col min="7182" max="7182" width="22.28515625" bestFit="1" customWidth="1"/>
    <col min="7183" max="7183" width="16" bestFit="1" customWidth="1"/>
    <col min="7184" max="7184" width="28.7109375" bestFit="1" customWidth="1"/>
    <col min="7185" max="7185" width="22.28515625" bestFit="1" customWidth="1"/>
    <col min="7186" max="7186" width="17" bestFit="1" customWidth="1"/>
    <col min="7187" max="7187" width="28.7109375" bestFit="1" customWidth="1"/>
    <col min="7188" max="7188" width="17.42578125" bestFit="1" customWidth="1"/>
    <col min="7189" max="7189" width="10.85546875" bestFit="1" customWidth="1"/>
    <col min="7190" max="7190" width="23.85546875" bestFit="1" customWidth="1"/>
    <col min="7434" max="7434" width="7.28515625" bestFit="1" customWidth="1"/>
    <col min="7435" max="7435" width="19.42578125" bestFit="1" customWidth="1"/>
    <col min="7436" max="7436" width="13.28515625" bestFit="1" customWidth="1"/>
    <col min="7437" max="7437" width="26" bestFit="1" customWidth="1"/>
    <col min="7438" max="7438" width="22.28515625" bestFit="1" customWidth="1"/>
    <col min="7439" max="7439" width="16" bestFit="1" customWidth="1"/>
    <col min="7440" max="7440" width="28.7109375" bestFit="1" customWidth="1"/>
    <col min="7441" max="7441" width="22.28515625" bestFit="1" customWidth="1"/>
    <col min="7442" max="7442" width="17" bestFit="1" customWidth="1"/>
    <col min="7443" max="7443" width="28.7109375" bestFit="1" customWidth="1"/>
    <col min="7444" max="7444" width="17.42578125" bestFit="1" customWidth="1"/>
    <col min="7445" max="7445" width="10.85546875" bestFit="1" customWidth="1"/>
    <col min="7446" max="7446" width="23.85546875" bestFit="1" customWidth="1"/>
    <col min="7690" max="7690" width="7.28515625" bestFit="1" customWidth="1"/>
    <col min="7691" max="7691" width="19.42578125" bestFit="1" customWidth="1"/>
    <col min="7692" max="7692" width="13.28515625" bestFit="1" customWidth="1"/>
    <col min="7693" max="7693" width="26" bestFit="1" customWidth="1"/>
    <col min="7694" max="7694" width="22.28515625" bestFit="1" customWidth="1"/>
    <col min="7695" max="7695" width="16" bestFit="1" customWidth="1"/>
    <col min="7696" max="7696" width="28.7109375" bestFit="1" customWidth="1"/>
    <col min="7697" max="7697" width="22.28515625" bestFit="1" customWidth="1"/>
    <col min="7698" max="7698" width="17" bestFit="1" customWidth="1"/>
    <col min="7699" max="7699" width="28.7109375" bestFit="1" customWidth="1"/>
    <col min="7700" max="7700" width="17.42578125" bestFit="1" customWidth="1"/>
    <col min="7701" max="7701" width="10.85546875" bestFit="1" customWidth="1"/>
    <col min="7702" max="7702" width="23.85546875" bestFit="1" customWidth="1"/>
    <col min="7946" max="7946" width="7.28515625" bestFit="1" customWidth="1"/>
    <col min="7947" max="7947" width="19.42578125" bestFit="1" customWidth="1"/>
    <col min="7948" max="7948" width="13.28515625" bestFit="1" customWidth="1"/>
    <col min="7949" max="7949" width="26" bestFit="1" customWidth="1"/>
    <col min="7950" max="7950" width="22.28515625" bestFit="1" customWidth="1"/>
    <col min="7951" max="7951" width="16" bestFit="1" customWidth="1"/>
    <col min="7952" max="7952" width="28.7109375" bestFit="1" customWidth="1"/>
    <col min="7953" max="7953" width="22.28515625" bestFit="1" customWidth="1"/>
    <col min="7954" max="7954" width="17" bestFit="1" customWidth="1"/>
    <col min="7955" max="7955" width="28.7109375" bestFit="1" customWidth="1"/>
    <col min="7956" max="7956" width="17.42578125" bestFit="1" customWidth="1"/>
    <col min="7957" max="7957" width="10.85546875" bestFit="1" customWidth="1"/>
    <col min="7958" max="7958" width="23.85546875" bestFit="1" customWidth="1"/>
    <col min="8202" max="8202" width="7.28515625" bestFit="1" customWidth="1"/>
    <col min="8203" max="8203" width="19.42578125" bestFit="1" customWidth="1"/>
    <col min="8204" max="8204" width="13.28515625" bestFit="1" customWidth="1"/>
    <col min="8205" max="8205" width="26" bestFit="1" customWidth="1"/>
    <col min="8206" max="8206" width="22.28515625" bestFit="1" customWidth="1"/>
    <col min="8207" max="8207" width="16" bestFit="1" customWidth="1"/>
    <col min="8208" max="8208" width="28.7109375" bestFit="1" customWidth="1"/>
    <col min="8209" max="8209" width="22.28515625" bestFit="1" customWidth="1"/>
    <col min="8210" max="8210" width="17" bestFit="1" customWidth="1"/>
    <col min="8211" max="8211" width="28.7109375" bestFit="1" customWidth="1"/>
    <col min="8212" max="8212" width="17.42578125" bestFit="1" customWidth="1"/>
    <col min="8213" max="8213" width="10.85546875" bestFit="1" customWidth="1"/>
    <col min="8214" max="8214" width="23.85546875" bestFit="1" customWidth="1"/>
    <col min="8458" max="8458" width="7.28515625" bestFit="1" customWidth="1"/>
    <col min="8459" max="8459" width="19.42578125" bestFit="1" customWidth="1"/>
    <col min="8460" max="8460" width="13.28515625" bestFit="1" customWidth="1"/>
    <col min="8461" max="8461" width="26" bestFit="1" customWidth="1"/>
    <col min="8462" max="8462" width="22.28515625" bestFit="1" customWidth="1"/>
    <col min="8463" max="8463" width="16" bestFit="1" customWidth="1"/>
    <col min="8464" max="8464" width="28.7109375" bestFit="1" customWidth="1"/>
    <col min="8465" max="8465" width="22.28515625" bestFit="1" customWidth="1"/>
    <col min="8466" max="8466" width="17" bestFit="1" customWidth="1"/>
    <col min="8467" max="8467" width="28.7109375" bestFit="1" customWidth="1"/>
    <col min="8468" max="8468" width="17.42578125" bestFit="1" customWidth="1"/>
    <col min="8469" max="8469" width="10.85546875" bestFit="1" customWidth="1"/>
    <col min="8470" max="8470" width="23.85546875" bestFit="1" customWidth="1"/>
    <col min="8714" max="8714" width="7.28515625" bestFit="1" customWidth="1"/>
    <col min="8715" max="8715" width="19.42578125" bestFit="1" customWidth="1"/>
    <col min="8716" max="8716" width="13.28515625" bestFit="1" customWidth="1"/>
    <col min="8717" max="8717" width="26" bestFit="1" customWidth="1"/>
    <col min="8718" max="8718" width="22.28515625" bestFit="1" customWidth="1"/>
    <col min="8719" max="8719" width="16" bestFit="1" customWidth="1"/>
    <col min="8720" max="8720" width="28.7109375" bestFit="1" customWidth="1"/>
    <col min="8721" max="8721" width="22.28515625" bestFit="1" customWidth="1"/>
    <col min="8722" max="8722" width="17" bestFit="1" customWidth="1"/>
    <col min="8723" max="8723" width="28.7109375" bestFit="1" customWidth="1"/>
    <col min="8724" max="8724" width="17.42578125" bestFit="1" customWidth="1"/>
    <col min="8725" max="8725" width="10.85546875" bestFit="1" customWidth="1"/>
    <col min="8726" max="8726" width="23.85546875" bestFit="1" customWidth="1"/>
    <col min="8970" max="8970" width="7.28515625" bestFit="1" customWidth="1"/>
    <col min="8971" max="8971" width="19.42578125" bestFit="1" customWidth="1"/>
    <col min="8972" max="8972" width="13.28515625" bestFit="1" customWidth="1"/>
    <col min="8973" max="8973" width="26" bestFit="1" customWidth="1"/>
    <col min="8974" max="8974" width="22.28515625" bestFit="1" customWidth="1"/>
    <col min="8975" max="8975" width="16" bestFit="1" customWidth="1"/>
    <col min="8976" max="8976" width="28.7109375" bestFit="1" customWidth="1"/>
    <col min="8977" max="8977" width="22.28515625" bestFit="1" customWidth="1"/>
    <col min="8978" max="8978" width="17" bestFit="1" customWidth="1"/>
    <col min="8979" max="8979" width="28.7109375" bestFit="1" customWidth="1"/>
    <col min="8980" max="8980" width="17.42578125" bestFit="1" customWidth="1"/>
    <col min="8981" max="8981" width="10.85546875" bestFit="1" customWidth="1"/>
    <col min="8982" max="8982" width="23.85546875" bestFit="1" customWidth="1"/>
    <col min="9226" max="9226" width="7.28515625" bestFit="1" customWidth="1"/>
    <col min="9227" max="9227" width="19.42578125" bestFit="1" customWidth="1"/>
    <col min="9228" max="9228" width="13.28515625" bestFit="1" customWidth="1"/>
    <col min="9229" max="9229" width="26" bestFit="1" customWidth="1"/>
    <col min="9230" max="9230" width="22.28515625" bestFit="1" customWidth="1"/>
    <col min="9231" max="9231" width="16" bestFit="1" customWidth="1"/>
    <col min="9232" max="9232" width="28.7109375" bestFit="1" customWidth="1"/>
    <col min="9233" max="9233" width="22.28515625" bestFit="1" customWidth="1"/>
    <col min="9234" max="9234" width="17" bestFit="1" customWidth="1"/>
    <col min="9235" max="9235" width="28.7109375" bestFit="1" customWidth="1"/>
    <col min="9236" max="9236" width="17.42578125" bestFit="1" customWidth="1"/>
    <col min="9237" max="9237" width="10.85546875" bestFit="1" customWidth="1"/>
    <col min="9238" max="9238" width="23.85546875" bestFit="1" customWidth="1"/>
    <col min="9482" max="9482" width="7.28515625" bestFit="1" customWidth="1"/>
    <col min="9483" max="9483" width="19.42578125" bestFit="1" customWidth="1"/>
    <col min="9484" max="9484" width="13.28515625" bestFit="1" customWidth="1"/>
    <col min="9485" max="9485" width="26" bestFit="1" customWidth="1"/>
    <col min="9486" max="9486" width="22.28515625" bestFit="1" customWidth="1"/>
    <col min="9487" max="9487" width="16" bestFit="1" customWidth="1"/>
    <col min="9488" max="9488" width="28.7109375" bestFit="1" customWidth="1"/>
    <col min="9489" max="9489" width="22.28515625" bestFit="1" customWidth="1"/>
    <col min="9490" max="9490" width="17" bestFit="1" customWidth="1"/>
    <col min="9491" max="9491" width="28.7109375" bestFit="1" customWidth="1"/>
    <col min="9492" max="9492" width="17.42578125" bestFit="1" customWidth="1"/>
    <col min="9493" max="9493" width="10.85546875" bestFit="1" customWidth="1"/>
    <col min="9494" max="9494" width="23.85546875" bestFit="1" customWidth="1"/>
    <col min="9738" max="9738" width="7.28515625" bestFit="1" customWidth="1"/>
    <col min="9739" max="9739" width="19.42578125" bestFit="1" customWidth="1"/>
    <col min="9740" max="9740" width="13.28515625" bestFit="1" customWidth="1"/>
    <col min="9741" max="9741" width="26" bestFit="1" customWidth="1"/>
    <col min="9742" max="9742" width="22.28515625" bestFit="1" customWidth="1"/>
    <col min="9743" max="9743" width="16" bestFit="1" customWidth="1"/>
    <col min="9744" max="9744" width="28.7109375" bestFit="1" customWidth="1"/>
    <col min="9745" max="9745" width="22.28515625" bestFit="1" customWidth="1"/>
    <col min="9746" max="9746" width="17" bestFit="1" customWidth="1"/>
    <col min="9747" max="9747" width="28.7109375" bestFit="1" customWidth="1"/>
    <col min="9748" max="9748" width="17.42578125" bestFit="1" customWidth="1"/>
    <col min="9749" max="9749" width="10.85546875" bestFit="1" customWidth="1"/>
    <col min="9750" max="9750" width="23.85546875" bestFit="1" customWidth="1"/>
    <col min="9994" max="9994" width="7.28515625" bestFit="1" customWidth="1"/>
    <col min="9995" max="9995" width="19.42578125" bestFit="1" customWidth="1"/>
    <col min="9996" max="9996" width="13.28515625" bestFit="1" customWidth="1"/>
    <col min="9997" max="9997" width="26" bestFit="1" customWidth="1"/>
    <col min="9998" max="9998" width="22.28515625" bestFit="1" customWidth="1"/>
    <col min="9999" max="9999" width="16" bestFit="1" customWidth="1"/>
    <col min="10000" max="10000" width="28.7109375" bestFit="1" customWidth="1"/>
    <col min="10001" max="10001" width="22.28515625" bestFit="1" customWidth="1"/>
    <col min="10002" max="10002" width="17" bestFit="1" customWidth="1"/>
    <col min="10003" max="10003" width="28.7109375" bestFit="1" customWidth="1"/>
    <col min="10004" max="10004" width="17.42578125" bestFit="1" customWidth="1"/>
    <col min="10005" max="10005" width="10.85546875" bestFit="1" customWidth="1"/>
    <col min="10006" max="10006" width="23.85546875" bestFit="1" customWidth="1"/>
    <col min="10250" max="10250" width="7.28515625" bestFit="1" customWidth="1"/>
    <col min="10251" max="10251" width="19.42578125" bestFit="1" customWidth="1"/>
    <col min="10252" max="10252" width="13.28515625" bestFit="1" customWidth="1"/>
    <col min="10253" max="10253" width="26" bestFit="1" customWidth="1"/>
    <col min="10254" max="10254" width="22.28515625" bestFit="1" customWidth="1"/>
    <col min="10255" max="10255" width="16" bestFit="1" customWidth="1"/>
    <col min="10256" max="10256" width="28.7109375" bestFit="1" customWidth="1"/>
    <col min="10257" max="10257" width="22.28515625" bestFit="1" customWidth="1"/>
    <col min="10258" max="10258" width="17" bestFit="1" customWidth="1"/>
    <col min="10259" max="10259" width="28.7109375" bestFit="1" customWidth="1"/>
    <col min="10260" max="10260" width="17.42578125" bestFit="1" customWidth="1"/>
    <col min="10261" max="10261" width="10.85546875" bestFit="1" customWidth="1"/>
    <col min="10262" max="10262" width="23.85546875" bestFit="1" customWidth="1"/>
    <col min="10506" max="10506" width="7.28515625" bestFit="1" customWidth="1"/>
    <col min="10507" max="10507" width="19.42578125" bestFit="1" customWidth="1"/>
    <col min="10508" max="10508" width="13.28515625" bestFit="1" customWidth="1"/>
    <col min="10509" max="10509" width="26" bestFit="1" customWidth="1"/>
    <col min="10510" max="10510" width="22.28515625" bestFit="1" customWidth="1"/>
    <col min="10511" max="10511" width="16" bestFit="1" customWidth="1"/>
    <col min="10512" max="10512" width="28.7109375" bestFit="1" customWidth="1"/>
    <col min="10513" max="10513" width="22.28515625" bestFit="1" customWidth="1"/>
    <col min="10514" max="10514" width="17" bestFit="1" customWidth="1"/>
    <col min="10515" max="10515" width="28.7109375" bestFit="1" customWidth="1"/>
    <col min="10516" max="10516" width="17.42578125" bestFit="1" customWidth="1"/>
    <col min="10517" max="10517" width="10.85546875" bestFit="1" customWidth="1"/>
    <col min="10518" max="10518" width="23.85546875" bestFit="1" customWidth="1"/>
    <col min="10762" max="10762" width="7.28515625" bestFit="1" customWidth="1"/>
    <col min="10763" max="10763" width="19.42578125" bestFit="1" customWidth="1"/>
    <col min="10764" max="10764" width="13.28515625" bestFit="1" customWidth="1"/>
    <col min="10765" max="10765" width="26" bestFit="1" customWidth="1"/>
    <col min="10766" max="10766" width="22.28515625" bestFit="1" customWidth="1"/>
    <col min="10767" max="10767" width="16" bestFit="1" customWidth="1"/>
    <col min="10768" max="10768" width="28.7109375" bestFit="1" customWidth="1"/>
    <col min="10769" max="10769" width="22.28515625" bestFit="1" customWidth="1"/>
    <col min="10770" max="10770" width="17" bestFit="1" customWidth="1"/>
    <col min="10771" max="10771" width="28.7109375" bestFit="1" customWidth="1"/>
    <col min="10772" max="10772" width="17.42578125" bestFit="1" customWidth="1"/>
    <col min="10773" max="10773" width="10.85546875" bestFit="1" customWidth="1"/>
    <col min="10774" max="10774" width="23.85546875" bestFit="1" customWidth="1"/>
    <col min="11018" max="11018" width="7.28515625" bestFit="1" customWidth="1"/>
    <col min="11019" max="11019" width="19.42578125" bestFit="1" customWidth="1"/>
    <col min="11020" max="11020" width="13.28515625" bestFit="1" customWidth="1"/>
    <col min="11021" max="11021" width="26" bestFit="1" customWidth="1"/>
    <col min="11022" max="11022" width="22.28515625" bestFit="1" customWidth="1"/>
    <col min="11023" max="11023" width="16" bestFit="1" customWidth="1"/>
    <col min="11024" max="11024" width="28.7109375" bestFit="1" customWidth="1"/>
    <col min="11025" max="11025" width="22.28515625" bestFit="1" customWidth="1"/>
    <col min="11026" max="11026" width="17" bestFit="1" customWidth="1"/>
    <col min="11027" max="11027" width="28.7109375" bestFit="1" customWidth="1"/>
    <col min="11028" max="11028" width="17.42578125" bestFit="1" customWidth="1"/>
    <col min="11029" max="11029" width="10.85546875" bestFit="1" customWidth="1"/>
    <col min="11030" max="11030" width="23.85546875" bestFit="1" customWidth="1"/>
    <col min="11274" max="11274" width="7.28515625" bestFit="1" customWidth="1"/>
    <col min="11275" max="11275" width="19.42578125" bestFit="1" customWidth="1"/>
    <col min="11276" max="11276" width="13.28515625" bestFit="1" customWidth="1"/>
    <col min="11277" max="11277" width="26" bestFit="1" customWidth="1"/>
    <col min="11278" max="11278" width="22.28515625" bestFit="1" customWidth="1"/>
    <col min="11279" max="11279" width="16" bestFit="1" customWidth="1"/>
    <col min="11280" max="11280" width="28.7109375" bestFit="1" customWidth="1"/>
    <col min="11281" max="11281" width="22.28515625" bestFit="1" customWidth="1"/>
    <col min="11282" max="11282" width="17" bestFit="1" customWidth="1"/>
    <col min="11283" max="11283" width="28.7109375" bestFit="1" customWidth="1"/>
    <col min="11284" max="11284" width="17.42578125" bestFit="1" customWidth="1"/>
    <col min="11285" max="11285" width="10.85546875" bestFit="1" customWidth="1"/>
    <col min="11286" max="11286" width="23.85546875" bestFit="1" customWidth="1"/>
    <col min="11530" max="11530" width="7.28515625" bestFit="1" customWidth="1"/>
    <col min="11531" max="11531" width="19.42578125" bestFit="1" customWidth="1"/>
    <col min="11532" max="11532" width="13.28515625" bestFit="1" customWidth="1"/>
    <col min="11533" max="11533" width="26" bestFit="1" customWidth="1"/>
    <col min="11534" max="11534" width="22.28515625" bestFit="1" customWidth="1"/>
    <col min="11535" max="11535" width="16" bestFit="1" customWidth="1"/>
    <col min="11536" max="11536" width="28.7109375" bestFit="1" customWidth="1"/>
    <col min="11537" max="11537" width="22.28515625" bestFit="1" customWidth="1"/>
    <col min="11538" max="11538" width="17" bestFit="1" customWidth="1"/>
    <col min="11539" max="11539" width="28.7109375" bestFit="1" customWidth="1"/>
    <col min="11540" max="11540" width="17.42578125" bestFit="1" customWidth="1"/>
    <col min="11541" max="11541" width="10.85546875" bestFit="1" customWidth="1"/>
    <col min="11542" max="11542" width="23.85546875" bestFit="1" customWidth="1"/>
    <col min="11786" max="11786" width="7.28515625" bestFit="1" customWidth="1"/>
    <col min="11787" max="11787" width="19.42578125" bestFit="1" customWidth="1"/>
    <col min="11788" max="11788" width="13.28515625" bestFit="1" customWidth="1"/>
    <col min="11789" max="11789" width="26" bestFit="1" customWidth="1"/>
    <col min="11790" max="11790" width="22.28515625" bestFit="1" customWidth="1"/>
    <col min="11791" max="11791" width="16" bestFit="1" customWidth="1"/>
    <col min="11792" max="11792" width="28.7109375" bestFit="1" customWidth="1"/>
    <col min="11793" max="11793" width="22.28515625" bestFit="1" customWidth="1"/>
    <col min="11794" max="11794" width="17" bestFit="1" customWidth="1"/>
    <col min="11795" max="11795" width="28.7109375" bestFit="1" customWidth="1"/>
    <col min="11796" max="11796" width="17.42578125" bestFit="1" customWidth="1"/>
    <col min="11797" max="11797" width="10.85546875" bestFit="1" customWidth="1"/>
    <col min="11798" max="11798" width="23.85546875" bestFit="1" customWidth="1"/>
    <col min="12042" max="12042" width="7.28515625" bestFit="1" customWidth="1"/>
    <col min="12043" max="12043" width="19.42578125" bestFit="1" customWidth="1"/>
    <col min="12044" max="12044" width="13.28515625" bestFit="1" customWidth="1"/>
    <col min="12045" max="12045" width="26" bestFit="1" customWidth="1"/>
    <col min="12046" max="12046" width="22.28515625" bestFit="1" customWidth="1"/>
    <col min="12047" max="12047" width="16" bestFit="1" customWidth="1"/>
    <col min="12048" max="12048" width="28.7109375" bestFit="1" customWidth="1"/>
    <col min="12049" max="12049" width="22.28515625" bestFit="1" customWidth="1"/>
    <col min="12050" max="12050" width="17" bestFit="1" customWidth="1"/>
    <col min="12051" max="12051" width="28.7109375" bestFit="1" customWidth="1"/>
    <col min="12052" max="12052" width="17.42578125" bestFit="1" customWidth="1"/>
    <col min="12053" max="12053" width="10.85546875" bestFit="1" customWidth="1"/>
    <col min="12054" max="12054" width="23.85546875" bestFit="1" customWidth="1"/>
    <col min="12298" max="12298" width="7.28515625" bestFit="1" customWidth="1"/>
    <col min="12299" max="12299" width="19.42578125" bestFit="1" customWidth="1"/>
    <col min="12300" max="12300" width="13.28515625" bestFit="1" customWidth="1"/>
    <col min="12301" max="12301" width="26" bestFit="1" customWidth="1"/>
    <col min="12302" max="12302" width="22.28515625" bestFit="1" customWidth="1"/>
    <col min="12303" max="12303" width="16" bestFit="1" customWidth="1"/>
    <col min="12304" max="12304" width="28.7109375" bestFit="1" customWidth="1"/>
    <col min="12305" max="12305" width="22.28515625" bestFit="1" customWidth="1"/>
    <col min="12306" max="12306" width="17" bestFit="1" customWidth="1"/>
    <col min="12307" max="12307" width="28.7109375" bestFit="1" customWidth="1"/>
    <col min="12308" max="12308" width="17.42578125" bestFit="1" customWidth="1"/>
    <col min="12309" max="12309" width="10.85546875" bestFit="1" customWidth="1"/>
    <col min="12310" max="12310" width="23.85546875" bestFit="1" customWidth="1"/>
    <col min="12554" max="12554" width="7.28515625" bestFit="1" customWidth="1"/>
    <col min="12555" max="12555" width="19.42578125" bestFit="1" customWidth="1"/>
    <col min="12556" max="12556" width="13.28515625" bestFit="1" customWidth="1"/>
    <col min="12557" max="12557" width="26" bestFit="1" customWidth="1"/>
    <col min="12558" max="12558" width="22.28515625" bestFit="1" customWidth="1"/>
    <col min="12559" max="12559" width="16" bestFit="1" customWidth="1"/>
    <col min="12560" max="12560" width="28.7109375" bestFit="1" customWidth="1"/>
    <col min="12561" max="12561" width="22.28515625" bestFit="1" customWidth="1"/>
    <col min="12562" max="12562" width="17" bestFit="1" customWidth="1"/>
    <col min="12563" max="12563" width="28.7109375" bestFit="1" customWidth="1"/>
    <col min="12564" max="12564" width="17.42578125" bestFit="1" customWidth="1"/>
    <col min="12565" max="12565" width="10.85546875" bestFit="1" customWidth="1"/>
    <col min="12566" max="12566" width="23.85546875" bestFit="1" customWidth="1"/>
    <col min="12810" max="12810" width="7.28515625" bestFit="1" customWidth="1"/>
    <col min="12811" max="12811" width="19.42578125" bestFit="1" customWidth="1"/>
    <col min="12812" max="12812" width="13.28515625" bestFit="1" customWidth="1"/>
    <col min="12813" max="12813" width="26" bestFit="1" customWidth="1"/>
    <col min="12814" max="12814" width="22.28515625" bestFit="1" customWidth="1"/>
    <col min="12815" max="12815" width="16" bestFit="1" customWidth="1"/>
    <col min="12816" max="12816" width="28.7109375" bestFit="1" customWidth="1"/>
    <col min="12817" max="12817" width="22.28515625" bestFit="1" customWidth="1"/>
    <col min="12818" max="12818" width="17" bestFit="1" customWidth="1"/>
    <col min="12819" max="12819" width="28.7109375" bestFit="1" customWidth="1"/>
    <col min="12820" max="12820" width="17.42578125" bestFit="1" customWidth="1"/>
    <col min="12821" max="12821" width="10.85546875" bestFit="1" customWidth="1"/>
    <col min="12822" max="12822" width="23.85546875" bestFit="1" customWidth="1"/>
    <col min="13066" max="13066" width="7.28515625" bestFit="1" customWidth="1"/>
    <col min="13067" max="13067" width="19.42578125" bestFit="1" customWidth="1"/>
    <col min="13068" max="13068" width="13.28515625" bestFit="1" customWidth="1"/>
    <col min="13069" max="13069" width="26" bestFit="1" customWidth="1"/>
    <col min="13070" max="13070" width="22.28515625" bestFit="1" customWidth="1"/>
    <col min="13071" max="13071" width="16" bestFit="1" customWidth="1"/>
    <col min="13072" max="13072" width="28.7109375" bestFit="1" customWidth="1"/>
    <col min="13073" max="13073" width="22.28515625" bestFit="1" customWidth="1"/>
    <col min="13074" max="13074" width="17" bestFit="1" customWidth="1"/>
    <col min="13075" max="13075" width="28.7109375" bestFit="1" customWidth="1"/>
    <col min="13076" max="13076" width="17.42578125" bestFit="1" customWidth="1"/>
    <col min="13077" max="13077" width="10.85546875" bestFit="1" customWidth="1"/>
    <col min="13078" max="13078" width="23.85546875" bestFit="1" customWidth="1"/>
    <col min="13322" max="13322" width="7.28515625" bestFit="1" customWidth="1"/>
    <col min="13323" max="13323" width="19.42578125" bestFit="1" customWidth="1"/>
    <col min="13324" max="13324" width="13.28515625" bestFit="1" customWidth="1"/>
    <col min="13325" max="13325" width="26" bestFit="1" customWidth="1"/>
    <col min="13326" max="13326" width="22.28515625" bestFit="1" customWidth="1"/>
    <col min="13327" max="13327" width="16" bestFit="1" customWidth="1"/>
    <col min="13328" max="13328" width="28.7109375" bestFit="1" customWidth="1"/>
    <col min="13329" max="13329" width="22.28515625" bestFit="1" customWidth="1"/>
    <col min="13330" max="13330" width="17" bestFit="1" customWidth="1"/>
    <col min="13331" max="13331" width="28.7109375" bestFit="1" customWidth="1"/>
    <col min="13332" max="13332" width="17.42578125" bestFit="1" customWidth="1"/>
    <col min="13333" max="13333" width="10.85546875" bestFit="1" customWidth="1"/>
    <col min="13334" max="13334" width="23.85546875" bestFit="1" customWidth="1"/>
    <col min="13578" max="13578" width="7.28515625" bestFit="1" customWidth="1"/>
    <col min="13579" max="13579" width="19.42578125" bestFit="1" customWidth="1"/>
    <col min="13580" max="13580" width="13.28515625" bestFit="1" customWidth="1"/>
    <col min="13581" max="13581" width="26" bestFit="1" customWidth="1"/>
    <col min="13582" max="13582" width="22.28515625" bestFit="1" customWidth="1"/>
    <col min="13583" max="13583" width="16" bestFit="1" customWidth="1"/>
    <col min="13584" max="13584" width="28.7109375" bestFit="1" customWidth="1"/>
    <col min="13585" max="13585" width="22.28515625" bestFit="1" customWidth="1"/>
    <col min="13586" max="13586" width="17" bestFit="1" customWidth="1"/>
    <col min="13587" max="13587" width="28.7109375" bestFit="1" customWidth="1"/>
    <col min="13588" max="13588" width="17.42578125" bestFit="1" customWidth="1"/>
    <col min="13589" max="13589" width="10.85546875" bestFit="1" customWidth="1"/>
    <col min="13590" max="13590" width="23.85546875" bestFit="1" customWidth="1"/>
    <col min="13834" max="13834" width="7.28515625" bestFit="1" customWidth="1"/>
    <col min="13835" max="13835" width="19.42578125" bestFit="1" customWidth="1"/>
    <col min="13836" max="13836" width="13.28515625" bestFit="1" customWidth="1"/>
    <col min="13837" max="13837" width="26" bestFit="1" customWidth="1"/>
    <col min="13838" max="13838" width="22.28515625" bestFit="1" customWidth="1"/>
    <col min="13839" max="13839" width="16" bestFit="1" customWidth="1"/>
    <col min="13840" max="13840" width="28.7109375" bestFit="1" customWidth="1"/>
    <col min="13841" max="13841" width="22.28515625" bestFit="1" customWidth="1"/>
    <col min="13842" max="13842" width="17" bestFit="1" customWidth="1"/>
    <col min="13843" max="13843" width="28.7109375" bestFit="1" customWidth="1"/>
    <col min="13844" max="13844" width="17.42578125" bestFit="1" customWidth="1"/>
    <col min="13845" max="13845" width="10.85546875" bestFit="1" customWidth="1"/>
    <col min="13846" max="13846" width="23.85546875" bestFit="1" customWidth="1"/>
    <col min="14090" max="14090" width="7.28515625" bestFit="1" customWidth="1"/>
    <col min="14091" max="14091" width="19.42578125" bestFit="1" customWidth="1"/>
    <col min="14092" max="14092" width="13.28515625" bestFit="1" customWidth="1"/>
    <col min="14093" max="14093" width="26" bestFit="1" customWidth="1"/>
    <col min="14094" max="14094" width="22.28515625" bestFit="1" customWidth="1"/>
    <col min="14095" max="14095" width="16" bestFit="1" customWidth="1"/>
    <col min="14096" max="14096" width="28.7109375" bestFit="1" customWidth="1"/>
    <col min="14097" max="14097" width="22.28515625" bestFit="1" customWidth="1"/>
    <col min="14098" max="14098" width="17" bestFit="1" customWidth="1"/>
    <col min="14099" max="14099" width="28.7109375" bestFit="1" customWidth="1"/>
    <col min="14100" max="14100" width="17.42578125" bestFit="1" customWidth="1"/>
    <col min="14101" max="14101" width="10.85546875" bestFit="1" customWidth="1"/>
    <col min="14102" max="14102" width="23.85546875" bestFit="1" customWidth="1"/>
    <col min="14346" max="14346" width="7.28515625" bestFit="1" customWidth="1"/>
    <col min="14347" max="14347" width="19.42578125" bestFit="1" customWidth="1"/>
    <col min="14348" max="14348" width="13.28515625" bestFit="1" customWidth="1"/>
    <col min="14349" max="14349" width="26" bestFit="1" customWidth="1"/>
    <col min="14350" max="14350" width="22.28515625" bestFit="1" customWidth="1"/>
    <col min="14351" max="14351" width="16" bestFit="1" customWidth="1"/>
    <col min="14352" max="14352" width="28.7109375" bestFit="1" customWidth="1"/>
    <col min="14353" max="14353" width="22.28515625" bestFit="1" customWidth="1"/>
    <col min="14354" max="14354" width="17" bestFit="1" customWidth="1"/>
    <col min="14355" max="14355" width="28.7109375" bestFit="1" customWidth="1"/>
    <col min="14356" max="14356" width="17.42578125" bestFit="1" customWidth="1"/>
    <col min="14357" max="14357" width="10.85546875" bestFit="1" customWidth="1"/>
    <col min="14358" max="14358" width="23.85546875" bestFit="1" customWidth="1"/>
    <col min="14602" max="14602" width="7.28515625" bestFit="1" customWidth="1"/>
    <col min="14603" max="14603" width="19.42578125" bestFit="1" customWidth="1"/>
    <col min="14604" max="14604" width="13.28515625" bestFit="1" customWidth="1"/>
    <col min="14605" max="14605" width="26" bestFit="1" customWidth="1"/>
    <col min="14606" max="14606" width="22.28515625" bestFit="1" customWidth="1"/>
    <col min="14607" max="14607" width="16" bestFit="1" customWidth="1"/>
    <col min="14608" max="14608" width="28.7109375" bestFit="1" customWidth="1"/>
    <col min="14609" max="14609" width="22.28515625" bestFit="1" customWidth="1"/>
    <col min="14610" max="14610" width="17" bestFit="1" customWidth="1"/>
    <col min="14611" max="14611" width="28.7109375" bestFit="1" customWidth="1"/>
    <col min="14612" max="14612" width="17.42578125" bestFit="1" customWidth="1"/>
    <col min="14613" max="14613" width="10.85546875" bestFit="1" customWidth="1"/>
    <col min="14614" max="14614" width="23.85546875" bestFit="1" customWidth="1"/>
    <col min="14858" max="14858" width="7.28515625" bestFit="1" customWidth="1"/>
    <col min="14859" max="14859" width="19.42578125" bestFit="1" customWidth="1"/>
    <col min="14860" max="14860" width="13.28515625" bestFit="1" customWidth="1"/>
    <col min="14861" max="14861" width="26" bestFit="1" customWidth="1"/>
    <col min="14862" max="14862" width="22.28515625" bestFit="1" customWidth="1"/>
    <col min="14863" max="14863" width="16" bestFit="1" customWidth="1"/>
    <col min="14864" max="14864" width="28.7109375" bestFit="1" customWidth="1"/>
    <col min="14865" max="14865" width="22.28515625" bestFit="1" customWidth="1"/>
    <col min="14866" max="14866" width="17" bestFit="1" customWidth="1"/>
    <col min="14867" max="14867" width="28.7109375" bestFit="1" customWidth="1"/>
    <col min="14868" max="14868" width="17.42578125" bestFit="1" customWidth="1"/>
    <col min="14869" max="14869" width="10.85546875" bestFit="1" customWidth="1"/>
    <col min="14870" max="14870" width="23.85546875" bestFit="1" customWidth="1"/>
    <col min="15114" max="15114" width="7.28515625" bestFit="1" customWidth="1"/>
    <col min="15115" max="15115" width="19.42578125" bestFit="1" customWidth="1"/>
    <col min="15116" max="15116" width="13.28515625" bestFit="1" customWidth="1"/>
    <col min="15117" max="15117" width="26" bestFit="1" customWidth="1"/>
    <col min="15118" max="15118" width="22.28515625" bestFit="1" customWidth="1"/>
    <col min="15119" max="15119" width="16" bestFit="1" customWidth="1"/>
    <col min="15120" max="15120" width="28.7109375" bestFit="1" customWidth="1"/>
    <col min="15121" max="15121" width="22.28515625" bestFit="1" customWidth="1"/>
    <col min="15122" max="15122" width="17" bestFit="1" customWidth="1"/>
    <col min="15123" max="15123" width="28.7109375" bestFit="1" customWidth="1"/>
    <col min="15124" max="15124" width="17.42578125" bestFit="1" customWidth="1"/>
    <col min="15125" max="15125" width="10.85546875" bestFit="1" customWidth="1"/>
    <col min="15126" max="15126" width="23.85546875" bestFit="1" customWidth="1"/>
    <col min="15370" max="15370" width="7.28515625" bestFit="1" customWidth="1"/>
    <col min="15371" max="15371" width="19.42578125" bestFit="1" customWidth="1"/>
    <col min="15372" max="15372" width="13.28515625" bestFit="1" customWidth="1"/>
    <col min="15373" max="15373" width="26" bestFit="1" customWidth="1"/>
    <col min="15374" max="15374" width="22.28515625" bestFit="1" customWidth="1"/>
    <col min="15375" max="15375" width="16" bestFit="1" customWidth="1"/>
    <col min="15376" max="15376" width="28.7109375" bestFit="1" customWidth="1"/>
    <col min="15377" max="15377" width="22.28515625" bestFit="1" customWidth="1"/>
    <col min="15378" max="15378" width="17" bestFit="1" customWidth="1"/>
    <col min="15379" max="15379" width="28.7109375" bestFit="1" customWidth="1"/>
    <col min="15380" max="15380" width="17.42578125" bestFit="1" customWidth="1"/>
    <col min="15381" max="15381" width="10.85546875" bestFit="1" customWidth="1"/>
    <col min="15382" max="15382" width="23.85546875" bestFit="1" customWidth="1"/>
    <col min="15626" max="15626" width="7.28515625" bestFit="1" customWidth="1"/>
    <col min="15627" max="15627" width="19.42578125" bestFit="1" customWidth="1"/>
    <col min="15628" max="15628" width="13.28515625" bestFit="1" customWidth="1"/>
    <col min="15629" max="15629" width="26" bestFit="1" customWidth="1"/>
    <col min="15630" max="15630" width="22.28515625" bestFit="1" customWidth="1"/>
    <col min="15631" max="15631" width="16" bestFit="1" customWidth="1"/>
    <col min="15632" max="15632" width="28.7109375" bestFit="1" customWidth="1"/>
    <col min="15633" max="15633" width="22.28515625" bestFit="1" customWidth="1"/>
    <col min="15634" max="15634" width="17" bestFit="1" customWidth="1"/>
    <col min="15635" max="15635" width="28.7109375" bestFit="1" customWidth="1"/>
    <col min="15636" max="15636" width="17.42578125" bestFit="1" customWidth="1"/>
    <col min="15637" max="15637" width="10.85546875" bestFit="1" customWidth="1"/>
    <col min="15638" max="15638" width="23.85546875" bestFit="1" customWidth="1"/>
    <col min="15882" max="15882" width="7.28515625" bestFit="1" customWidth="1"/>
    <col min="15883" max="15883" width="19.42578125" bestFit="1" customWidth="1"/>
    <col min="15884" max="15884" width="13.28515625" bestFit="1" customWidth="1"/>
    <col min="15885" max="15885" width="26" bestFit="1" customWidth="1"/>
    <col min="15886" max="15886" width="22.28515625" bestFit="1" customWidth="1"/>
    <col min="15887" max="15887" width="16" bestFit="1" customWidth="1"/>
    <col min="15888" max="15888" width="28.7109375" bestFit="1" customWidth="1"/>
    <col min="15889" max="15889" width="22.28515625" bestFit="1" customWidth="1"/>
    <col min="15890" max="15890" width="17" bestFit="1" customWidth="1"/>
    <col min="15891" max="15891" width="28.7109375" bestFit="1" customWidth="1"/>
    <col min="15892" max="15892" width="17.42578125" bestFit="1" customWidth="1"/>
    <col min="15893" max="15893" width="10.85546875" bestFit="1" customWidth="1"/>
    <col min="15894" max="15894" width="23.85546875" bestFit="1" customWidth="1"/>
    <col min="16138" max="16138" width="7.28515625" bestFit="1" customWidth="1"/>
    <col min="16139" max="16139" width="19.42578125" bestFit="1" customWidth="1"/>
    <col min="16140" max="16140" width="13.28515625" bestFit="1" customWidth="1"/>
    <col min="16141" max="16141" width="26" bestFit="1" customWidth="1"/>
    <col min="16142" max="16142" width="22.28515625" bestFit="1" customWidth="1"/>
    <col min="16143" max="16143" width="16" bestFit="1" customWidth="1"/>
    <col min="16144" max="16144" width="28.7109375" bestFit="1" customWidth="1"/>
    <col min="16145" max="16145" width="22.28515625" bestFit="1" customWidth="1"/>
    <col min="16146" max="16146" width="17" bestFit="1" customWidth="1"/>
    <col min="16147" max="16147" width="28.7109375" bestFit="1" customWidth="1"/>
    <col min="16148" max="16148" width="17.42578125" bestFit="1" customWidth="1"/>
    <col min="16149" max="16149" width="10.85546875" bestFit="1" customWidth="1"/>
    <col min="16150" max="16150" width="23.85546875" bestFit="1" customWidth="1"/>
  </cols>
  <sheetData>
    <row r="1" spans="1:22" s="181" customFormat="1" x14ac:dyDescent="0.25">
      <c r="B1" s="182" t="s">
        <v>1187</v>
      </c>
      <c r="C1" s="182" t="s">
        <v>1188</v>
      </c>
      <c r="D1" s="182" t="s">
        <v>1189</v>
      </c>
      <c r="E1" s="183" t="s">
        <v>1190</v>
      </c>
      <c r="F1" s="183" t="s">
        <v>1191</v>
      </c>
      <c r="G1" s="183" t="s">
        <v>1192</v>
      </c>
      <c r="H1" s="184" t="s">
        <v>1193</v>
      </c>
      <c r="I1" s="184" t="s">
        <v>1194</v>
      </c>
      <c r="J1" s="184" t="s">
        <v>1195</v>
      </c>
      <c r="K1" s="185" t="s">
        <v>1196</v>
      </c>
      <c r="L1" s="185" t="s">
        <v>1197</v>
      </c>
      <c r="M1" s="185" t="s">
        <v>1198</v>
      </c>
      <c r="N1" s="186" t="s">
        <v>1199</v>
      </c>
      <c r="O1" s="186" t="s">
        <v>1200</v>
      </c>
      <c r="P1" s="186" t="s">
        <v>1201</v>
      </c>
      <c r="Q1" s="187" t="s">
        <v>1202</v>
      </c>
      <c r="R1" s="187" t="s">
        <v>1203</v>
      </c>
      <c r="S1" s="187" t="s">
        <v>1204</v>
      </c>
      <c r="T1" s="188" t="s">
        <v>1205</v>
      </c>
      <c r="U1" s="188" t="s">
        <v>1206</v>
      </c>
      <c r="V1" s="188" t="s">
        <v>1207</v>
      </c>
    </row>
    <row r="2" spans="1:22" x14ac:dyDescent="0.25">
      <c r="A2" s="4" t="s">
        <v>1208</v>
      </c>
      <c r="B2" s="189">
        <v>0</v>
      </c>
      <c r="C2" s="190">
        <v>0.05</v>
      </c>
      <c r="D2" s="191">
        <v>0</v>
      </c>
      <c r="E2" s="192">
        <v>0</v>
      </c>
      <c r="F2" s="193">
        <v>0.15</v>
      </c>
      <c r="G2" s="194">
        <v>0</v>
      </c>
      <c r="H2" s="195">
        <v>0</v>
      </c>
      <c r="I2" s="196">
        <v>0.15</v>
      </c>
      <c r="J2" s="197">
        <v>0</v>
      </c>
      <c r="K2" s="198">
        <v>0</v>
      </c>
      <c r="L2" s="199">
        <v>0.05</v>
      </c>
      <c r="M2" s="198">
        <v>0</v>
      </c>
      <c r="N2" s="200">
        <v>0</v>
      </c>
      <c r="O2" s="201">
        <v>0.05</v>
      </c>
      <c r="P2" s="200">
        <v>0</v>
      </c>
      <c r="Q2" s="202">
        <v>0</v>
      </c>
      <c r="R2" s="203">
        <v>0.15</v>
      </c>
      <c r="S2" s="202">
        <v>0</v>
      </c>
      <c r="T2" s="55">
        <v>0</v>
      </c>
      <c r="U2" s="204">
        <v>0.05</v>
      </c>
      <c r="V2" s="205">
        <v>0</v>
      </c>
    </row>
    <row r="3" spans="1:22" x14ac:dyDescent="0.25">
      <c r="A3" s="4" t="s">
        <v>1209</v>
      </c>
      <c r="B3" s="191">
        <v>600</v>
      </c>
      <c r="C3" s="190">
        <v>0.04</v>
      </c>
      <c r="D3" s="191">
        <v>1</v>
      </c>
      <c r="E3" s="194">
        <v>600</v>
      </c>
      <c r="F3" s="193">
        <v>0.1</v>
      </c>
      <c r="G3" s="194">
        <v>1</v>
      </c>
      <c r="H3" s="197">
        <v>600</v>
      </c>
      <c r="I3" s="196">
        <v>0.09</v>
      </c>
      <c r="J3" s="197">
        <v>2</v>
      </c>
      <c r="K3" s="198">
        <v>300</v>
      </c>
      <c r="L3" s="199">
        <v>0.04</v>
      </c>
      <c r="M3" s="198">
        <v>1</v>
      </c>
      <c r="N3" s="200">
        <v>180</v>
      </c>
      <c r="O3" s="201">
        <v>0.04</v>
      </c>
      <c r="P3" s="200">
        <v>1</v>
      </c>
      <c r="Q3" s="202">
        <v>600</v>
      </c>
      <c r="R3" s="203">
        <v>0.1</v>
      </c>
      <c r="S3" s="202">
        <v>2</v>
      </c>
      <c r="T3" s="205">
        <v>300</v>
      </c>
      <c r="U3" s="204">
        <v>0.04</v>
      </c>
      <c r="V3" s="205">
        <v>1</v>
      </c>
    </row>
    <row r="4" spans="1:22" x14ac:dyDescent="0.25">
      <c r="A4" s="4" t="s">
        <v>1210</v>
      </c>
      <c r="B4" s="191">
        <v>1800</v>
      </c>
      <c r="C4" s="190">
        <v>0.03</v>
      </c>
      <c r="D4" s="191">
        <v>3</v>
      </c>
      <c r="E4" s="194">
        <v>1800</v>
      </c>
      <c r="F4" s="193">
        <v>0.09</v>
      </c>
      <c r="G4" s="194">
        <v>4</v>
      </c>
      <c r="H4" s="197">
        <v>14400</v>
      </c>
      <c r="I4" s="196">
        <v>0.06</v>
      </c>
      <c r="J4" s="197">
        <v>16.8</v>
      </c>
      <c r="K4" s="198">
        <v>900</v>
      </c>
      <c r="L4" s="199">
        <v>0.03</v>
      </c>
      <c r="M4" s="198">
        <v>3</v>
      </c>
      <c r="N4" s="200">
        <v>360</v>
      </c>
      <c r="O4" s="201">
        <v>0.03</v>
      </c>
      <c r="P4" s="200">
        <v>1</v>
      </c>
      <c r="Q4" s="202">
        <v>1800</v>
      </c>
      <c r="R4" s="203">
        <v>0.09</v>
      </c>
      <c r="S4" s="202">
        <v>5</v>
      </c>
      <c r="T4" s="205">
        <v>900</v>
      </c>
      <c r="U4" s="204">
        <v>0.03</v>
      </c>
      <c r="V4" s="205">
        <v>3</v>
      </c>
    </row>
    <row r="5" spans="1:22" x14ac:dyDescent="0.25">
      <c r="A5" s="4" t="s">
        <v>1211</v>
      </c>
      <c r="B5" s="191">
        <v>3600</v>
      </c>
      <c r="C5" s="190">
        <v>0.02</v>
      </c>
      <c r="D5" s="191">
        <v>4</v>
      </c>
      <c r="E5" s="194">
        <v>3600</v>
      </c>
      <c r="F5" s="193">
        <v>0.08</v>
      </c>
      <c r="G5" s="194">
        <v>5</v>
      </c>
      <c r="H5" s="197">
        <v>36000</v>
      </c>
      <c r="I5" s="196">
        <v>0.04</v>
      </c>
      <c r="J5" s="197">
        <v>30</v>
      </c>
      <c r="K5" s="198">
        <v>1800</v>
      </c>
      <c r="L5" s="199">
        <v>0.02</v>
      </c>
      <c r="M5" s="198">
        <v>4</v>
      </c>
      <c r="N5" s="200">
        <v>600</v>
      </c>
      <c r="O5" s="201">
        <v>0.02</v>
      </c>
      <c r="P5" s="200">
        <v>2</v>
      </c>
      <c r="Q5" s="202">
        <v>3600</v>
      </c>
      <c r="R5" s="203">
        <v>0.08</v>
      </c>
      <c r="S5" s="202">
        <v>7</v>
      </c>
      <c r="T5" s="205">
        <v>1800</v>
      </c>
      <c r="U5" s="204">
        <v>0.02</v>
      </c>
      <c r="V5" s="205">
        <v>4</v>
      </c>
    </row>
    <row r="6" spans="1:22" x14ac:dyDescent="0.25">
      <c r="A6" s="4" t="s">
        <v>1212</v>
      </c>
      <c r="B6" s="191">
        <v>7200</v>
      </c>
      <c r="C6" s="190">
        <v>0.01</v>
      </c>
      <c r="D6" s="191">
        <v>6</v>
      </c>
      <c r="E6" s="194">
        <v>7200</v>
      </c>
      <c r="F6" s="193">
        <v>0.06</v>
      </c>
      <c r="G6" s="194">
        <v>8</v>
      </c>
      <c r="H6" s="197">
        <v>64800</v>
      </c>
      <c r="I6" s="196">
        <v>0.02</v>
      </c>
      <c r="J6" s="197">
        <v>43.199999999999996</v>
      </c>
      <c r="K6" s="198">
        <v>3600</v>
      </c>
      <c r="L6" s="199">
        <v>0.01</v>
      </c>
      <c r="M6" s="198">
        <v>5</v>
      </c>
      <c r="N6" s="200"/>
      <c r="O6" s="201"/>
      <c r="P6" s="200"/>
      <c r="Q6" s="202">
        <v>7200</v>
      </c>
      <c r="R6" s="203">
        <v>0.06</v>
      </c>
      <c r="S6" s="202">
        <v>8</v>
      </c>
      <c r="T6" s="205">
        <v>3600</v>
      </c>
      <c r="U6" s="204">
        <v>0.01</v>
      </c>
      <c r="V6" s="205">
        <v>5</v>
      </c>
    </row>
    <row r="7" spans="1:22" x14ac:dyDescent="0.25">
      <c r="A7" s="4" t="s">
        <v>1213</v>
      </c>
      <c r="B7" s="191">
        <v>14400</v>
      </c>
      <c r="C7" s="190">
        <v>0.01</v>
      </c>
      <c r="D7" s="191">
        <v>8</v>
      </c>
      <c r="E7" s="194">
        <v>14400</v>
      </c>
      <c r="F7" s="193">
        <v>0.04</v>
      </c>
      <c r="G7" s="194">
        <v>12</v>
      </c>
      <c r="H7" s="197">
        <v>172800</v>
      </c>
      <c r="I7" s="196">
        <v>0.01</v>
      </c>
      <c r="J7" s="197">
        <v>69.599999999999994</v>
      </c>
      <c r="K7" s="198">
        <v>7200</v>
      </c>
      <c r="L7" s="199">
        <v>0.01</v>
      </c>
      <c r="M7" s="198">
        <v>6</v>
      </c>
      <c r="N7" s="200"/>
      <c r="O7" s="201"/>
      <c r="P7" s="200"/>
      <c r="Q7" s="202">
        <v>14400</v>
      </c>
      <c r="R7" s="203">
        <v>0.04</v>
      </c>
      <c r="S7" s="202">
        <v>10</v>
      </c>
      <c r="T7" s="205"/>
      <c r="U7" s="204"/>
      <c r="V7" s="205"/>
    </row>
    <row r="8" spans="1:22" x14ac:dyDescent="0.25">
      <c r="A8" s="4" t="s">
        <v>1214</v>
      </c>
      <c r="B8" s="191">
        <v>28800</v>
      </c>
      <c r="C8" s="190">
        <v>0.01</v>
      </c>
      <c r="D8" s="191">
        <v>10</v>
      </c>
      <c r="E8" s="194">
        <v>28800</v>
      </c>
      <c r="F8" s="193">
        <v>0.01</v>
      </c>
      <c r="G8" s="194">
        <v>18</v>
      </c>
      <c r="H8" s="197">
        <v>518400</v>
      </c>
      <c r="I8" s="196">
        <v>0.01</v>
      </c>
      <c r="J8" s="197">
        <v>100.8</v>
      </c>
      <c r="K8" s="198">
        <v>14400</v>
      </c>
      <c r="L8" s="199">
        <v>0.01</v>
      </c>
      <c r="M8" s="198">
        <v>7</v>
      </c>
      <c r="N8" s="200"/>
      <c r="O8" s="201"/>
      <c r="P8" s="200"/>
      <c r="Q8" s="202">
        <v>28800</v>
      </c>
      <c r="R8" s="203">
        <v>0.01</v>
      </c>
      <c r="S8" s="202">
        <v>11</v>
      </c>
      <c r="T8" s="205"/>
      <c r="U8" s="204"/>
      <c r="V8" s="205"/>
    </row>
    <row r="9" spans="1:22" x14ac:dyDescent="0.25">
      <c r="A9" s="4" t="s">
        <v>1215</v>
      </c>
      <c r="B9" s="191">
        <v>43200</v>
      </c>
      <c r="C9" s="190">
        <v>0.01</v>
      </c>
      <c r="D9" s="191">
        <v>12</v>
      </c>
      <c r="E9" s="194">
        <v>43200</v>
      </c>
      <c r="F9" s="193">
        <v>0.01</v>
      </c>
      <c r="G9" s="194">
        <v>20</v>
      </c>
      <c r="H9" s="197">
        <v>864000</v>
      </c>
      <c r="I9" s="196">
        <v>0.01</v>
      </c>
      <c r="J9" s="197">
        <v>152.4</v>
      </c>
      <c r="K9" s="198">
        <v>21600</v>
      </c>
      <c r="L9" s="199">
        <v>0.01</v>
      </c>
      <c r="M9" s="198">
        <v>8</v>
      </c>
      <c r="N9" s="200"/>
      <c r="O9" s="201"/>
      <c r="P9" s="200"/>
      <c r="Q9" s="202"/>
      <c r="R9" s="203"/>
      <c r="S9" s="202"/>
      <c r="T9" s="205"/>
      <c r="U9" s="204"/>
      <c r="V9" s="205"/>
    </row>
    <row r="11" spans="1:22" x14ac:dyDescent="0.25">
      <c r="B11" t="s">
        <v>1216</v>
      </c>
    </row>
    <row r="13" spans="1:22" x14ac:dyDescent="0.25">
      <c r="M13" s="279"/>
    </row>
    <row r="15" spans="1:22" x14ac:dyDescent="0.25">
      <c r="J15" s="231"/>
      <c r="Q15" s="206"/>
      <c r="R15" s="206"/>
    </row>
    <row r="16" spans="1:22" x14ac:dyDescent="0.25">
      <c r="C16" s="279"/>
      <c r="J16" s="231"/>
    </row>
    <row r="17" spans="10:17" x14ac:dyDescent="0.25">
      <c r="J17" s="231"/>
    </row>
    <row r="18" spans="10:17" x14ac:dyDescent="0.25">
      <c r="J18" s="231"/>
      <c r="Q18" s="279"/>
    </row>
    <row r="19" spans="10:17" x14ac:dyDescent="0.25">
      <c r="J19" s="231"/>
    </row>
    <row r="20" spans="10:17" x14ac:dyDescent="0.25">
      <c r="J20" s="231"/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0"/>
  <sheetViews>
    <sheetView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D31" sqref="D31"/>
    </sheetView>
  </sheetViews>
  <sheetFormatPr defaultRowHeight="15" x14ac:dyDescent="0.25"/>
  <cols>
    <col min="1" max="1" width="4.42578125" style="11" customWidth="1"/>
    <col min="2" max="2" width="23.5703125" style="11" customWidth="1"/>
    <col min="3" max="3" width="9.7109375" style="11" bestFit="1" customWidth="1"/>
    <col min="4" max="4" width="68.28515625" style="11" customWidth="1"/>
    <col min="5" max="5" width="35" style="11" bestFit="1" customWidth="1"/>
    <col min="6" max="6" width="24.140625" style="11" bestFit="1" customWidth="1"/>
    <col min="7" max="7" width="18" style="11" bestFit="1" customWidth="1"/>
    <col min="8" max="8" width="13.28515625" style="11" bestFit="1" customWidth="1"/>
    <col min="9" max="9" width="19.140625" style="11" bestFit="1" customWidth="1"/>
    <col min="10" max="10" width="40.42578125" style="11" bestFit="1" customWidth="1"/>
    <col min="11" max="11" width="42.5703125" style="11" bestFit="1" customWidth="1"/>
    <col min="12" max="12" width="47.42578125" style="11" bestFit="1" customWidth="1"/>
    <col min="13" max="14" width="10.140625" style="11" bestFit="1" customWidth="1"/>
    <col min="15" max="15" width="14.7109375" style="11" bestFit="1" customWidth="1"/>
    <col min="16" max="16" width="10.140625" style="11" customWidth="1"/>
    <col min="17" max="17" width="10.140625" style="11" bestFit="1" customWidth="1"/>
    <col min="18" max="18" width="12.42578125" style="11" bestFit="1" customWidth="1"/>
    <col min="19" max="19" width="12.42578125" style="11" customWidth="1"/>
    <col min="20" max="20" width="11" style="11" customWidth="1"/>
    <col min="21" max="21" width="12.42578125" style="11" bestFit="1" customWidth="1"/>
    <col min="22" max="22" width="12.42578125" style="11" customWidth="1"/>
    <col min="23" max="23" width="10.5703125" style="11" bestFit="1" customWidth="1"/>
    <col min="24" max="24" width="12.42578125" style="11" bestFit="1" customWidth="1"/>
    <col min="25" max="25" width="11.5703125" style="11" customWidth="1"/>
    <col min="26" max="26" width="12.5703125" style="11" customWidth="1"/>
    <col min="27" max="27" width="15.140625" style="11" customWidth="1"/>
    <col min="28" max="256" width="9.140625" style="11"/>
    <col min="257" max="257" width="17" style="11" customWidth="1"/>
    <col min="258" max="258" width="9.140625" style="11"/>
    <col min="259" max="259" width="14" style="11" bestFit="1" customWidth="1"/>
    <col min="260" max="260" width="12" style="11" bestFit="1" customWidth="1"/>
    <col min="261" max="261" width="49.42578125" style="11" bestFit="1" customWidth="1"/>
    <col min="262" max="264" width="9.7109375" style="11" bestFit="1" customWidth="1"/>
    <col min="265" max="266" width="29.7109375" style="11" customWidth="1"/>
    <col min="267" max="267" width="47.42578125" style="11" bestFit="1" customWidth="1"/>
    <col min="268" max="268" width="13.42578125" style="11" bestFit="1" customWidth="1"/>
    <col min="269" max="269" width="23.5703125" style="11" customWidth="1"/>
    <col min="270" max="270" width="9.7109375" style="11" bestFit="1" customWidth="1"/>
    <col min="271" max="273" width="10.140625" style="11" bestFit="1" customWidth="1"/>
    <col min="274" max="274" width="15.140625" style="11" bestFit="1" customWidth="1"/>
    <col min="275" max="275" width="9.140625" style="11" customWidth="1"/>
    <col min="276" max="512" width="9.140625" style="11"/>
    <col min="513" max="513" width="17" style="11" customWidth="1"/>
    <col min="514" max="514" width="9.140625" style="11"/>
    <col min="515" max="515" width="14" style="11" bestFit="1" customWidth="1"/>
    <col min="516" max="516" width="12" style="11" bestFit="1" customWidth="1"/>
    <col min="517" max="517" width="49.42578125" style="11" bestFit="1" customWidth="1"/>
    <col min="518" max="520" width="9.7109375" style="11" bestFit="1" customWidth="1"/>
    <col min="521" max="522" width="29.7109375" style="11" customWidth="1"/>
    <col min="523" max="523" width="47.42578125" style="11" bestFit="1" customWidth="1"/>
    <col min="524" max="524" width="13.42578125" style="11" bestFit="1" customWidth="1"/>
    <col min="525" max="525" width="23.5703125" style="11" customWidth="1"/>
    <col min="526" max="526" width="9.7109375" style="11" bestFit="1" customWidth="1"/>
    <col min="527" max="529" width="10.140625" style="11" bestFit="1" customWidth="1"/>
    <col min="530" max="530" width="15.140625" style="11" bestFit="1" customWidth="1"/>
    <col min="531" max="531" width="9.140625" style="11" customWidth="1"/>
    <col min="532" max="768" width="9.140625" style="11"/>
    <col min="769" max="769" width="17" style="11" customWidth="1"/>
    <col min="770" max="770" width="9.140625" style="11"/>
    <col min="771" max="771" width="14" style="11" bestFit="1" customWidth="1"/>
    <col min="772" max="772" width="12" style="11" bestFit="1" customWidth="1"/>
    <col min="773" max="773" width="49.42578125" style="11" bestFit="1" customWidth="1"/>
    <col min="774" max="776" width="9.7109375" style="11" bestFit="1" customWidth="1"/>
    <col min="777" max="778" width="29.7109375" style="11" customWidth="1"/>
    <col min="779" max="779" width="47.42578125" style="11" bestFit="1" customWidth="1"/>
    <col min="780" max="780" width="13.42578125" style="11" bestFit="1" customWidth="1"/>
    <col min="781" max="781" width="23.5703125" style="11" customWidth="1"/>
    <col min="782" max="782" width="9.7109375" style="11" bestFit="1" customWidth="1"/>
    <col min="783" max="785" width="10.140625" style="11" bestFit="1" customWidth="1"/>
    <col min="786" max="786" width="15.140625" style="11" bestFit="1" customWidth="1"/>
    <col min="787" max="787" width="9.140625" style="11" customWidth="1"/>
    <col min="788" max="1024" width="9.140625" style="11"/>
    <col min="1025" max="1025" width="17" style="11" customWidth="1"/>
    <col min="1026" max="1026" width="9.140625" style="11"/>
    <col min="1027" max="1027" width="14" style="11" bestFit="1" customWidth="1"/>
    <col min="1028" max="1028" width="12" style="11" bestFit="1" customWidth="1"/>
    <col min="1029" max="1029" width="49.42578125" style="11" bestFit="1" customWidth="1"/>
    <col min="1030" max="1032" width="9.7109375" style="11" bestFit="1" customWidth="1"/>
    <col min="1033" max="1034" width="29.7109375" style="11" customWidth="1"/>
    <col min="1035" max="1035" width="47.42578125" style="11" bestFit="1" customWidth="1"/>
    <col min="1036" max="1036" width="13.42578125" style="11" bestFit="1" customWidth="1"/>
    <col min="1037" max="1037" width="23.5703125" style="11" customWidth="1"/>
    <col min="1038" max="1038" width="9.7109375" style="11" bestFit="1" customWidth="1"/>
    <col min="1039" max="1041" width="10.140625" style="11" bestFit="1" customWidth="1"/>
    <col min="1042" max="1042" width="15.140625" style="11" bestFit="1" customWidth="1"/>
    <col min="1043" max="1043" width="9.140625" style="11" customWidth="1"/>
    <col min="1044" max="1280" width="9.140625" style="11"/>
    <col min="1281" max="1281" width="17" style="11" customWidth="1"/>
    <col min="1282" max="1282" width="9.140625" style="11"/>
    <col min="1283" max="1283" width="14" style="11" bestFit="1" customWidth="1"/>
    <col min="1284" max="1284" width="12" style="11" bestFit="1" customWidth="1"/>
    <col min="1285" max="1285" width="49.42578125" style="11" bestFit="1" customWidth="1"/>
    <col min="1286" max="1288" width="9.7109375" style="11" bestFit="1" customWidth="1"/>
    <col min="1289" max="1290" width="29.7109375" style="11" customWidth="1"/>
    <col min="1291" max="1291" width="47.42578125" style="11" bestFit="1" customWidth="1"/>
    <col min="1292" max="1292" width="13.42578125" style="11" bestFit="1" customWidth="1"/>
    <col min="1293" max="1293" width="23.5703125" style="11" customWidth="1"/>
    <col min="1294" max="1294" width="9.7109375" style="11" bestFit="1" customWidth="1"/>
    <col min="1295" max="1297" width="10.140625" style="11" bestFit="1" customWidth="1"/>
    <col min="1298" max="1298" width="15.140625" style="11" bestFit="1" customWidth="1"/>
    <col min="1299" max="1299" width="9.140625" style="11" customWidth="1"/>
    <col min="1300" max="1536" width="9.140625" style="11"/>
    <col min="1537" max="1537" width="17" style="11" customWidth="1"/>
    <col min="1538" max="1538" width="9.140625" style="11"/>
    <col min="1539" max="1539" width="14" style="11" bestFit="1" customWidth="1"/>
    <col min="1540" max="1540" width="12" style="11" bestFit="1" customWidth="1"/>
    <col min="1541" max="1541" width="49.42578125" style="11" bestFit="1" customWidth="1"/>
    <col min="1542" max="1544" width="9.7109375" style="11" bestFit="1" customWidth="1"/>
    <col min="1545" max="1546" width="29.7109375" style="11" customWidth="1"/>
    <col min="1547" max="1547" width="47.42578125" style="11" bestFit="1" customWidth="1"/>
    <col min="1548" max="1548" width="13.42578125" style="11" bestFit="1" customWidth="1"/>
    <col min="1549" max="1549" width="23.5703125" style="11" customWidth="1"/>
    <col min="1550" max="1550" width="9.7109375" style="11" bestFit="1" customWidth="1"/>
    <col min="1551" max="1553" width="10.140625" style="11" bestFit="1" customWidth="1"/>
    <col min="1554" max="1554" width="15.140625" style="11" bestFit="1" customWidth="1"/>
    <col min="1555" max="1555" width="9.140625" style="11" customWidth="1"/>
    <col min="1556" max="1792" width="9.140625" style="11"/>
    <col min="1793" max="1793" width="17" style="11" customWidth="1"/>
    <col min="1794" max="1794" width="9.140625" style="11"/>
    <col min="1795" max="1795" width="14" style="11" bestFit="1" customWidth="1"/>
    <col min="1796" max="1796" width="12" style="11" bestFit="1" customWidth="1"/>
    <col min="1797" max="1797" width="49.42578125" style="11" bestFit="1" customWidth="1"/>
    <col min="1798" max="1800" width="9.7109375" style="11" bestFit="1" customWidth="1"/>
    <col min="1801" max="1802" width="29.7109375" style="11" customWidth="1"/>
    <col min="1803" max="1803" width="47.42578125" style="11" bestFit="1" customWidth="1"/>
    <col min="1804" max="1804" width="13.42578125" style="11" bestFit="1" customWidth="1"/>
    <col min="1805" max="1805" width="23.5703125" style="11" customWidth="1"/>
    <col min="1806" max="1806" width="9.7109375" style="11" bestFit="1" customWidth="1"/>
    <col min="1807" max="1809" width="10.140625" style="11" bestFit="1" customWidth="1"/>
    <col min="1810" max="1810" width="15.140625" style="11" bestFit="1" customWidth="1"/>
    <col min="1811" max="1811" width="9.140625" style="11" customWidth="1"/>
    <col min="1812" max="2048" width="9.140625" style="11"/>
    <col min="2049" max="2049" width="17" style="11" customWidth="1"/>
    <col min="2050" max="2050" width="9.140625" style="11"/>
    <col min="2051" max="2051" width="14" style="11" bestFit="1" customWidth="1"/>
    <col min="2052" max="2052" width="12" style="11" bestFit="1" customWidth="1"/>
    <col min="2053" max="2053" width="49.42578125" style="11" bestFit="1" customWidth="1"/>
    <col min="2054" max="2056" width="9.7109375" style="11" bestFit="1" customWidth="1"/>
    <col min="2057" max="2058" width="29.7109375" style="11" customWidth="1"/>
    <col min="2059" max="2059" width="47.42578125" style="11" bestFit="1" customWidth="1"/>
    <col min="2060" max="2060" width="13.42578125" style="11" bestFit="1" customWidth="1"/>
    <col min="2061" max="2061" width="23.5703125" style="11" customWidth="1"/>
    <col min="2062" max="2062" width="9.7109375" style="11" bestFit="1" customWidth="1"/>
    <col min="2063" max="2065" width="10.140625" style="11" bestFit="1" customWidth="1"/>
    <col min="2066" max="2066" width="15.140625" style="11" bestFit="1" customWidth="1"/>
    <col min="2067" max="2067" width="9.140625" style="11" customWidth="1"/>
    <col min="2068" max="2304" width="9.140625" style="11"/>
    <col min="2305" max="2305" width="17" style="11" customWidth="1"/>
    <col min="2306" max="2306" width="9.140625" style="11"/>
    <col min="2307" max="2307" width="14" style="11" bestFit="1" customWidth="1"/>
    <col min="2308" max="2308" width="12" style="11" bestFit="1" customWidth="1"/>
    <col min="2309" max="2309" width="49.42578125" style="11" bestFit="1" customWidth="1"/>
    <col min="2310" max="2312" width="9.7109375" style="11" bestFit="1" customWidth="1"/>
    <col min="2313" max="2314" width="29.7109375" style="11" customWidth="1"/>
    <col min="2315" max="2315" width="47.42578125" style="11" bestFit="1" customWidth="1"/>
    <col min="2316" max="2316" width="13.42578125" style="11" bestFit="1" customWidth="1"/>
    <col min="2317" max="2317" width="23.5703125" style="11" customWidth="1"/>
    <col min="2318" max="2318" width="9.7109375" style="11" bestFit="1" customWidth="1"/>
    <col min="2319" max="2321" width="10.140625" style="11" bestFit="1" customWidth="1"/>
    <col min="2322" max="2322" width="15.140625" style="11" bestFit="1" customWidth="1"/>
    <col min="2323" max="2323" width="9.140625" style="11" customWidth="1"/>
    <col min="2324" max="2560" width="9.140625" style="11"/>
    <col min="2561" max="2561" width="17" style="11" customWidth="1"/>
    <col min="2562" max="2562" width="9.140625" style="11"/>
    <col min="2563" max="2563" width="14" style="11" bestFit="1" customWidth="1"/>
    <col min="2564" max="2564" width="12" style="11" bestFit="1" customWidth="1"/>
    <col min="2565" max="2565" width="49.42578125" style="11" bestFit="1" customWidth="1"/>
    <col min="2566" max="2568" width="9.7109375" style="11" bestFit="1" customWidth="1"/>
    <col min="2569" max="2570" width="29.7109375" style="11" customWidth="1"/>
    <col min="2571" max="2571" width="47.42578125" style="11" bestFit="1" customWidth="1"/>
    <col min="2572" max="2572" width="13.42578125" style="11" bestFit="1" customWidth="1"/>
    <col min="2573" max="2573" width="23.5703125" style="11" customWidth="1"/>
    <col min="2574" max="2574" width="9.7109375" style="11" bestFit="1" customWidth="1"/>
    <col min="2575" max="2577" width="10.140625" style="11" bestFit="1" customWidth="1"/>
    <col min="2578" max="2578" width="15.140625" style="11" bestFit="1" customWidth="1"/>
    <col min="2579" max="2579" width="9.140625" style="11" customWidth="1"/>
    <col min="2580" max="2816" width="9.140625" style="11"/>
    <col min="2817" max="2817" width="17" style="11" customWidth="1"/>
    <col min="2818" max="2818" width="9.140625" style="11"/>
    <col min="2819" max="2819" width="14" style="11" bestFit="1" customWidth="1"/>
    <col min="2820" max="2820" width="12" style="11" bestFit="1" customWidth="1"/>
    <col min="2821" max="2821" width="49.42578125" style="11" bestFit="1" customWidth="1"/>
    <col min="2822" max="2824" width="9.7109375" style="11" bestFit="1" customWidth="1"/>
    <col min="2825" max="2826" width="29.7109375" style="11" customWidth="1"/>
    <col min="2827" max="2827" width="47.42578125" style="11" bestFit="1" customWidth="1"/>
    <col min="2828" max="2828" width="13.42578125" style="11" bestFit="1" customWidth="1"/>
    <col min="2829" max="2829" width="23.5703125" style="11" customWidth="1"/>
    <col min="2830" max="2830" width="9.7109375" style="11" bestFit="1" customWidth="1"/>
    <col min="2831" max="2833" width="10.140625" style="11" bestFit="1" customWidth="1"/>
    <col min="2834" max="2834" width="15.140625" style="11" bestFit="1" customWidth="1"/>
    <col min="2835" max="2835" width="9.140625" style="11" customWidth="1"/>
    <col min="2836" max="3072" width="9.140625" style="11"/>
    <col min="3073" max="3073" width="17" style="11" customWidth="1"/>
    <col min="3074" max="3074" width="9.140625" style="11"/>
    <col min="3075" max="3075" width="14" style="11" bestFit="1" customWidth="1"/>
    <col min="3076" max="3076" width="12" style="11" bestFit="1" customWidth="1"/>
    <col min="3077" max="3077" width="49.42578125" style="11" bestFit="1" customWidth="1"/>
    <col min="3078" max="3080" width="9.7109375" style="11" bestFit="1" customWidth="1"/>
    <col min="3081" max="3082" width="29.7109375" style="11" customWidth="1"/>
    <col min="3083" max="3083" width="47.42578125" style="11" bestFit="1" customWidth="1"/>
    <col min="3084" max="3084" width="13.42578125" style="11" bestFit="1" customWidth="1"/>
    <col min="3085" max="3085" width="23.5703125" style="11" customWidth="1"/>
    <col min="3086" max="3086" width="9.7109375" style="11" bestFit="1" customWidth="1"/>
    <col min="3087" max="3089" width="10.140625" style="11" bestFit="1" customWidth="1"/>
    <col min="3090" max="3090" width="15.140625" style="11" bestFit="1" customWidth="1"/>
    <col min="3091" max="3091" width="9.140625" style="11" customWidth="1"/>
    <col min="3092" max="3328" width="9.140625" style="11"/>
    <col min="3329" max="3329" width="17" style="11" customWidth="1"/>
    <col min="3330" max="3330" width="9.140625" style="11"/>
    <col min="3331" max="3331" width="14" style="11" bestFit="1" customWidth="1"/>
    <col min="3332" max="3332" width="12" style="11" bestFit="1" customWidth="1"/>
    <col min="3333" max="3333" width="49.42578125" style="11" bestFit="1" customWidth="1"/>
    <col min="3334" max="3336" width="9.7109375" style="11" bestFit="1" customWidth="1"/>
    <col min="3337" max="3338" width="29.7109375" style="11" customWidth="1"/>
    <col min="3339" max="3339" width="47.42578125" style="11" bestFit="1" customWidth="1"/>
    <col min="3340" max="3340" width="13.42578125" style="11" bestFit="1" customWidth="1"/>
    <col min="3341" max="3341" width="23.5703125" style="11" customWidth="1"/>
    <col min="3342" max="3342" width="9.7109375" style="11" bestFit="1" customWidth="1"/>
    <col min="3343" max="3345" width="10.140625" style="11" bestFit="1" customWidth="1"/>
    <col min="3346" max="3346" width="15.140625" style="11" bestFit="1" customWidth="1"/>
    <col min="3347" max="3347" width="9.140625" style="11" customWidth="1"/>
    <col min="3348" max="3584" width="9.140625" style="11"/>
    <col min="3585" max="3585" width="17" style="11" customWidth="1"/>
    <col min="3586" max="3586" width="9.140625" style="11"/>
    <col min="3587" max="3587" width="14" style="11" bestFit="1" customWidth="1"/>
    <col min="3588" max="3588" width="12" style="11" bestFit="1" customWidth="1"/>
    <col min="3589" max="3589" width="49.42578125" style="11" bestFit="1" customWidth="1"/>
    <col min="3590" max="3592" width="9.7109375" style="11" bestFit="1" customWidth="1"/>
    <col min="3593" max="3594" width="29.7109375" style="11" customWidth="1"/>
    <col min="3595" max="3595" width="47.42578125" style="11" bestFit="1" customWidth="1"/>
    <col min="3596" max="3596" width="13.42578125" style="11" bestFit="1" customWidth="1"/>
    <col min="3597" max="3597" width="23.5703125" style="11" customWidth="1"/>
    <col min="3598" max="3598" width="9.7109375" style="11" bestFit="1" customWidth="1"/>
    <col min="3599" max="3601" width="10.140625" style="11" bestFit="1" customWidth="1"/>
    <col min="3602" max="3602" width="15.140625" style="11" bestFit="1" customWidth="1"/>
    <col min="3603" max="3603" width="9.140625" style="11" customWidth="1"/>
    <col min="3604" max="3840" width="9.140625" style="11"/>
    <col min="3841" max="3841" width="17" style="11" customWidth="1"/>
    <col min="3842" max="3842" width="9.140625" style="11"/>
    <col min="3843" max="3843" width="14" style="11" bestFit="1" customWidth="1"/>
    <col min="3844" max="3844" width="12" style="11" bestFit="1" customWidth="1"/>
    <col min="3845" max="3845" width="49.42578125" style="11" bestFit="1" customWidth="1"/>
    <col min="3846" max="3848" width="9.7109375" style="11" bestFit="1" customWidth="1"/>
    <col min="3849" max="3850" width="29.7109375" style="11" customWidth="1"/>
    <col min="3851" max="3851" width="47.42578125" style="11" bestFit="1" customWidth="1"/>
    <col min="3852" max="3852" width="13.42578125" style="11" bestFit="1" customWidth="1"/>
    <col min="3853" max="3853" width="23.5703125" style="11" customWidth="1"/>
    <col min="3854" max="3854" width="9.7109375" style="11" bestFit="1" customWidth="1"/>
    <col min="3855" max="3857" width="10.140625" style="11" bestFit="1" customWidth="1"/>
    <col min="3858" max="3858" width="15.140625" style="11" bestFit="1" customWidth="1"/>
    <col min="3859" max="3859" width="9.140625" style="11" customWidth="1"/>
    <col min="3860" max="4096" width="9.140625" style="11"/>
    <col min="4097" max="4097" width="17" style="11" customWidth="1"/>
    <col min="4098" max="4098" width="9.140625" style="11"/>
    <col min="4099" max="4099" width="14" style="11" bestFit="1" customWidth="1"/>
    <col min="4100" max="4100" width="12" style="11" bestFit="1" customWidth="1"/>
    <col min="4101" max="4101" width="49.42578125" style="11" bestFit="1" customWidth="1"/>
    <col min="4102" max="4104" width="9.7109375" style="11" bestFit="1" customWidth="1"/>
    <col min="4105" max="4106" width="29.7109375" style="11" customWidth="1"/>
    <col min="4107" max="4107" width="47.42578125" style="11" bestFit="1" customWidth="1"/>
    <col min="4108" max="4108" width="13.42578125" style="11" bestFit="1" customWidth="1"/>
    <col min="4109" max="4109" width="23.5703125" style="11" customWidth="1"/>
    <col min="4110" max="4110" width="9.7109375" style="11" bestFit="1" customWidth="1"/>
    <col min="4111" max="4113" width="10.140625" style="11" bestFit="1" customWidth="1"/>
    <col min="4114" max="4114" width="15.140625" style="11" bestFit="1" customWidth="1"/>
    <col min="4115" max="4115" width="9.140625" style="11" customWidth="1"/>
    <col min="4116" max="4352" width="9.140625" style="11"/>
    <col min="4353" max="4353" width="17" style="11" customWidth="1"/>
    <col min="4354" max="4354" width="9.140625" style="11"/>
    <col min="4355" max="4355" width="14" style="11" bestFit="1" customWidth="1"/>
    <col min="4356" max="4356" width="12" style="11" bestFit="1" customWidth="1"/>
    <col min="4357" max="4357" width="49.42578125" style="11" bestFit="1" customWidth="1"/>
    <col min="4358" max="4360" width="9.7109375" style="11" bestFit="1" customWidth="1"/>
    <col min="4361" max="4362" width="29.7109375" style="11" customWidth="1"/>
    <col min="4363" max="4363" width="47.42578125" style="11" bestFit="1" customWidth="1"/>
    <col min="4364" max="4364" width="13.42578125" style="11" bestFit="1" customWidth="1"/>
    <col min="4365" max="4365" width="23.5703125" style="11" customWidth="1"/>
    <col min="4366" max="4366" width="9.7109375" style="11" bestFit="1" customWidth="1"/>
    <col min="4367" max="4369" width="10.140625" style="11" bestFit="1" customWidth="1"/>
    <col min="4370" max="4370" width="15.140625" style="11" bestFit="1" customWidth="1"/>
    <col min="4371" max="4371" width="9.140625" style="11" customWidth="1"/>
    <col min="4372" max="4608" width="9.140625" style="11"/>
    <col min="4609" max="4609" width="17" style="11" customWidth="1"/>
    <col min="4610" max="4610" width="9.140625" style="11"/>
    <col min="4611" max="4611" width="14" style="11" bestFit="1" customWidth="1"/>
    <col min="4612" max="4612" width="12" style="11" bestFit="1" customWidth="1"/>
    <col min="4613" max="4613" width="49.42578125" style="11" bestFit="1" customWidth="1"/>
    <col min="4614" max="4616" width="9.7109375" style="11" bestFit="1" customWidth="1"/>
    <col min="4617" max="4618" width="29.7109375" style="11" customWidth="1"/>
    <col min="4619" max="4619" width="47.42578125" style="11" bestFit="1" customWidth="1"/>
    <col min="4620" max="4620" width="13.42578125" style="11" bestFit="1" customWidth="1"/>
    <col min="4621" max="4621" width="23.5703125" style="11" customWidth="1"/>
    <col min="4622" max="4622" width="9.7109375" style="11" bestFit="1" customWidth="1"/>
    <col min="4623" max="4625" width="10.140625" style="11" bestFit="1" customWidth="1"/>
    <col min="4626" max="4626" width="15.140625" style="11" bestFit="1" customWidth="1"/>
    <col min="4627" max="4627" width="9.140625" style="11" customWidth="1"/>
    <col min="4628" max="4864" width="9.140625" style="11"/>
    <col min="4865" max="4865" width="17" style="11" customWidth="1"/>
    <col min="4866" max="4866" width="9.140625" style="11"/>
    <col min="4867" max="4867" width="14" style="11" bestFit="1" customWidth="1"/>
    <col min="4868" max="4868" width="12" style="11" bestFit="1" customWidth="1"/>
    <col min="4869" max="4869" width="49.42578125" style="11" bestFit="1" customWidth="1"/>
    <col min="4870" max="4872" width="9.7109375" style="11" bestFit="1" customWidth="1"/>
    <col min="4873" max="4874" width="29.7109375" style="11" customWidth="1"/>
    <col min="4875" max="4875" width="47.42578125" style="11" bestFit="1" customWidth="1"/>
    <col min="4876" max="4876" width="13.42578125" style="11" bestFit="1" customWidth="1"/>
    <col min="4877" max="4877" width="23.5703125" style="11" customWidth="1"/>
    <col min="4878" max="4878" width="9.7109375" style="11" bestFit="1" customWidth="1"/>
    <col min="4879" max="4881" width="10.140625" style="11" bestFit="1" customWidth="1"/>
    <col min="4882" max="4882" width="15.140625" style="11" bestFit="1" customWidth="1"/>
    <col min="4883" max="4883" width="9.140625" style="11" customWidth="1"/>
    <col min="4884" max="5120" width="9.140625" style="11"/>
    <col min="5121" max="5121" width="17" style="11" customWidth="1"/>
    <col min="5122" max="5122" width="9.140625" style="11"/>
    <col min="5123" max="5123" width="14" style="11" bestFit="1" customWidth="1"/>
    <col min="5124" max="5124" width="12" style="11" bestFit="1" customWidth="1"/>
    <col min="5125" max="5125" width="49.42578125" style="11" bestFit="1" customWidth="1"/>
    <col min="5126" max="5128" width="9.7109375" style="11" bestFit="1" customWidth="1"/>
    <col min="5129" max="5130" width="29.7109375" style="11" customWidth="1"/>
    <col min="5131" max="5131" width="47.42578125" style="11" bestFit="1" customWidth="1"/>
    <col min="5132" max="5132" width="13.42578125" style="11" bestFit="1" customWidth="1"/>
    <col min="5133" max="5133" width="23.5703125" style="11" customWidth="1"/>
    <col min="5134" max="5134" width="9.7109375" style="11" bestFit="1" customWidth="1"/>
    <col min="5135" max="5137" width="10.140625" style="11" bestFit="1" customWidth="1"/>
    <col min="5138" max="5138" width="15.140625" style="11" bestFit="1" customWidth="1"/>
    <col min="5139" max="5139" width="9.140625" style="11" customWidth="1"/>
    <col min="5140" max="5376" width="9.140625" style="11"/>
    <col min="5377" max="5377" width="17" style="11" customWidth="1"/>
    <col min="5378" max="5378" width="9.140625" style="11"/>
    <col min="5379" max="5379" width="14" style="11" bestFit="1" customWidth="1"/>
    <col min="5380" max="5380" width="12" style="11" bestFit="1" customWidth="1"/>
    <col min="5381" max="5381" width="49.42578125" style="11" bestFit="1" customWidth="1"/>
    <col min="5382" max="5384" width="9.7109375" style="11" bestFit="1" customWidth="1"/>
    <col min="5385" max="5386" width="29.7109375" style="11" customWidth="1"/>
    <col min="5387" max="5387" width="47.42578125" style="11" bestFit="1" customWidth="1"/>
    <col min="5388" max="5388" width="13.42578125" style="11" bestFit="1" customWidth="1"/>
    <col min="5389" max="5389" width="23.5703125" style="11" customWidth="1"/>
    <col min="5390" max="5390" width="9.7109375" style="11" bestFit="1" customWidth="1"/>
    <col min="5391" max="5393" width="10.140625" style="11" bestFit="1" customWidth="1"/>
    <col min="5394" max="5394" width="15.140625" style="11" bestFit="1" customWidth="1"/>
    <col min="5395" max="5395" width="9.140625" style="11" customWidth="1"/>
    <col min="5396" max="5632" width="9.140625" style="11"/>
    <col min="5633" max="5633" width="17" style="11" customWidth="1"/>
    <col min="5634" max="5634" width="9.140625" style="11"/>
    <col min="5635" max="5635" width="14" style="11" bestFit="1" customWidth="1"/>
    <col min="5636" max="5636" width="12" style="11" bestFit="1" customWidth="1"/>
    <col min="5637" max="5637" width="49.42578125" style="11" bestFit="1" customWidth="1"/>
    <col min="5638" max="5640" width="9.7109375" style="11" bestFit="1" customWidth="1"/>
    <col min="5641" max="5642" width="29.7109375" style="11" customWidth="1"/>
    <col min="5643" max="5643" width="47.42578125" style="11" bestFit="1" customWidth="1"/>
    <col min="5644" max="5644" width="13.42578125" style="11" bestFit="1" customWidth="1"/>
    <col min="5645" max="5645" width="23.5703125" style="11" customWidth="1"/>
    <col min="5646" max="5646" width="9.7109375" style="11" bestFit="1" customWidth="1"/>
    <col min="5647" max="5649" width="10.140625" style="11" bestFit="1" customWidth="1"/>
    <col min="5650" max="5650" width="15.140625" style="11" bestFit="1" customWidth="1"/>
    <col min="5651" max="5651" width="9.140625" style="11" customWidth="1"/>
    <col min="5652" max="5888" width="9.140625" style="11"/>
    <col min="5889" max="5889" width="17" style="11" customWidth="1"/>
    <col min="5890" max="5890" width="9.140625" style="11"/>
    <col min="5891" max="5891" width="14" style="11" bestFit="1" customWidth="1"/>
    <col min="5892" max="5892" width="12" style="11" bestFit="1" customWidth="1"/>
    <col min="5893" max="5893" width="49.42578125" style="11" bestFit="1" customWidth="1"/>
    <col min="5894" max="5896" width="9.7109375" style="11" bestFit="1" customWidth="1"/>
    <col min="5897" max="5898" width="29.7109375" style="11" customWidth="1"/>
    <col min="5899" max="5899" width="47.42578125" style="11" bestFit="1" customWidth="1"/>
    <col min="5900" max="5900" width="13.42578125" style="11" bestFit="1" customWidth="1"/>
    <col min="5901" max="5901" width="23.5703125" style="11" customWidth="1"/>
    <col min="5902" max="5902" width="9.7109375" style="11" bestFit="1" customWidth="1"/>
    <col min="5903" max="5905" width="10.140625" style="11" bestFit="1" customWidth="1"/>
    <col min="5906" max="5906" width="15.140625" style="11" bestFit="1" customWidth="1"/>
    <col min="5907" max="5907" width="9.140625" style="11" customWidth="1"/>
    <col min="5908" max="6144" width="9.140625" style="11"/>
    <col min="6145" max="6145" width="17" style="11" customWidth="1"/>
    <col min="6146" max="6146" width="9.140625" style="11"/>
    <col min="6147" max="6147" width="14" style="11" bestFit="1" customWidth="1"/>
    <col min="6148" max="6148" width="12" style="11" bestFit="1" customWidth="1"/>
    <col min="6149" max="6149" width="49.42578125" style="11" bestFit="1" customWidth="1"/>
    <col min="6150" max="6152" width="9.7109375" style="11" bestFit="1" customWidth="1"/>
    <col min="6153" max="6154" width="29.7109375" style="11" customWidth="1"/>
    <col min="6155" max="6155" width="47.42578125" style="11" bestFit="1" customWidth="1"/>
    <col min="6156" max="6156" width="13.42578125" style="11" bestFit="1" customWidth="1"/>
    <col min="6157" max="6157" width="23.5703125" style="11" customWidth="1"/>
    <col min="6158" max="6158" width="9.7109375" style="11" bestFit="1" customWidth="1"/>
    <col min="6159" max="6161" width="10.140625" style="11" bestFit="1" customWidth="1"/>
    <col min="6162" max="6162" width="15.140625" style="11" bestFit="1" customWidth="1"/>
    <col min="6163" max="6163" width="9.140625" style="11" customWidth="1"/>
    <col min="6164" max="6400" width="9.140625" style="11"/>
    <col min="6401" max="6401" width="17" style="11" customWidth="1"/>
    <col min="6402" max="6402" width="9.140625" style="11"/>
    <col min="6403" max="6403" width="14" style="11" bestFit="1" customWidth="1"/>
    <col min="6404" max="6404" width="12" style="11" bestFit="1" customWidth="1"/>
    <col min="6405" max="6405" width="49.42578125" style="11" bestFit="1" customWidth="1"/>
    <col min="6406" max="6408" width="9.7109375" style="11" bestFit="1" customWidth="1"/>
    <col min="6409" max="6410" width="29.7109375" style="11" customWidth="1"/>
    <col min="6411" max="6411" width="47.42578125" style="11" bestFit="1" customWidth="1"/>
    <col min="6412" max="6412" width="13.42578125" style="11" bestFit="1" customWidth="1"/>
    <col min="6413" max="6413" width="23.5703125" style="11" customWidth="1"/>
    <col min="6414" max="6414" width="9.7109375" style="11" bestFit="1" customWidth="1"/>
    <col min="6415" max="6417" width="10.140625" style="11" bestFit="1" customWidth="1"/>
    <col min="6418" max="6418" width="15.140625" style="11" bestFit="1" customWidth="1"/>
    <col min="6419" max="6419" width="9.140625" style="11" customWidth="1"/>
    <col min="6420" max="6656" width="9.140625" style="11"/>
    <col min="6657" max="6657" width="17" style="11" customWidth="1"/>
    <col min="6658" max="6658" width="9.140625" style="11"/>
    <col min="6659" max="6659" width="14" style="11" bestFit="1" customWidth="1"/>
    <col min="6660" max="6660" width="12" style="11" bestFit="1" customWidth="1"/>
    <col min="6661" max="6661" width="49.42578125" style="11" bestFit="1" customWidth="1"/>
    <col min="6662" max="6664" width="9.7109375" style="11" bestFit="1" customWidth="1"/>
    <col min="6665" max="6666" width="29.7109375" style="11" customWidth="1"/>
    <col min="6667" max="6667" width="47.42578125" style="11" bestFit="1" customWidth="1"/>
    <col min="6668" max="6668" width="13.42578125" style="11" bestFit="1" customWidth="1"/>
    <col min="6669" max="6669" width="23.5703125" style="11" customWidth="1"/>
    <col min="6670" max="6670" width="9.7109375" style="11" bestFit="1" customWidth="1"/>
    <col min="6671" max="6673" width="10.140625" style="11" bestFit="1" customWidth="1"/>
    <col min="6674" max="6674" width="15.140625" style="11" bestFit="1" customWidth="1"/>
    <col min="6675" max="6675" width="9.140625" style="11" customWidth="1"/>
    <col min="6676" max="6912" width="9.140625" style="11"/>
    <col min="6913" max="6913" width="17" style="11" customWidth="1"/>
    <col min="6914" max="6914" width="9.140625" style="11"/>
    <col min="6915" max="6915" width="14" style="11" bestFit="1" customWidth="1"/>
    <col min="6916" max="6916" width="12" style="11" bestFit="1" customWidth="1"/>
    <col min="6917" max="6917" width="49.42578125" style="11" bestFit="1" customWidth="1"/>
    <col min="6918" max="6920" width="9.7109375" style="11" bestFit="1" customWidth="1"/>
    <col min="6921" max="6922" width="29.7109375" style="11" customWidth="1"/>
    <col min="6923" max="6923" width="47.42578125" style="11" bestFit="1" customWidth="1"/>
    <col min="6924" max="6924" width="13.42578125" style="11" bestFit="1" customWidth="1"/>
    <col min="6925" max="6925" width="23.5703125" style="11" customWidth="1"/>
    <col min="6926" max="6926" width="9.7109375" style="11" bestFit="1" customWidth="1"/>
    <col min="6927" max="6929" width="10.140625" style="11" bestFit="1" customWidth="1"/>
    <col min="6930" max="6930" width="15.140625" style="11" bestFit="1" customWidth="1"/>
    <col min="6931" max="6931" width="9.140625" style="11" customWidth="1"/>
    <col min="6932" max="7168" width="9.140625" style="11"/>
    <col min="7169" max="7169" width="17" style="11" customWidth="1"/>
    <col min="7170" max="7170" width="9.140625" style="11"/>
    <col min="7171" max="7171" width="14" style="11" bestFit="1" customWidth="1"/>
    <col min="7172" max="7172" width="12" style="11" bestFit="1" customWidth="1"/>
    <col min="7173" max="7173" width="49.42578125" style="11" bestFit="1" customWidth="1"/>
    <col min="7174" max="7176" width="9.7109375" style="11" bestFit="1" customWidth="1"/>
    <col min="7177" max="7178" width="29.7109375" style="11" customWidth="1"/>
    <col min="7179" max="7179" width="47.42578125" style="11" bestFit="1" customWidth="1"/>
    <col min="7180" max="7180" width="13.42578125" style="11" bestFit="1" customWidth="1"/>
    <col min="7181" max="7181" width="23.5703125" style="11" customWidth="1"/>
    <col min="7182" max="7182" width="9.7109375" style="11" bestFit="1" customWidth="1"/>
    <col min="7183" max="7185" width="10.140625" style="11" bestFit="1" customWidth="1"/>
    <col min="7186" max="7186" width="15.140625" style="11" bestFit="1" customWidth="1"/>
    <col min="7187" max="7187" width="9.140625" style="11" customWidth="1"/>
    <col min="7188" max="7424" width="9.140625" style="11"/>
    <col min="7425" max="7425" width="17" style="11" customWidth="1"/>
    <col min="7426" max="7426" width="9.140625" style="11"/>
    <col min="7427" max="7427" width="14" style="11" bestFit="1" customWidth="1"/>
    <col min="7428" max="7428" width="12" style="11" bestFit="1" customWidth="1"/>
    <col min="7429" max="7429" width="49.42578125" style="11" bestFit="1" customWidth="1"/>
    <col min="7430" max="7432" width="9.7109375" style="11" bestFit="1" customWidth="1"/>
    <col min="7433" max="7434" width="29.7109375" style="11" customWidth="1"/>
    <col min="7435" max="7435" width="47.42578125" style="11" bestFit="1" customWidth="1"/>
    <col min="7436" max="7436" width="13.42578125" style="11" bestFit="1" customWidth="1"/>
    <col min="7437" max="7437" width="23.5703125" style="11" customWidth="1"/>
    <col min="7438" max="7438" width="9.7109375" style="11" bestFit="1" customWidth="1"/>
    <col min="7439" max="7441" width="10.140625" style="11" bestFit="1" customWidth="1"/>
    <col min="7442" max="7442" width="15.140625" style="11" bestFit="1" customWidth="1"/>
    <col min="7443" max="7443" width="9.140625" style="11" customWidth="1"/>
    <col min="7444" max="7680" width="9.140625" style="11"/>
    <col min="7681" max="7681" width="17" style="11" customWidth="1"/>
    <col min="7682" max="7682" width="9.140625" style="11"/>
    <col min="7683" max="7683" width="14" style="11" bestFit="1" customWidth="1"/>
    <col min="7684" max="7684" width="12" style="11" bestFit="1" customWidth="1"/>
    <col min="7685" max="7685" width="49.42578125" style="11" bestFit="1" customWidth="1"/>
    <col min="7686" max="7688" width="9.7109375" style="11" bestFit="1" customWidth="1"/>
    <col min="7689" max="7690" width="29.7109375" style="11" customWidth="1"/>
    <col min="7691" max="7691" width="47.42578125" style="11" bestFit="1" customWidth="1"/>
    <col min="7692" max="7692" width="13.42578125" style="11" bestFit="1" customWidth="1"/>
    <col min="7693" max="7693" width="23.5703125" style="11" customWidth="1"/>
    <col min="7694" max="7694" width="9.7109375" style="11" bestFit="1" customWidth="1"/>
    <col min="7695" max="7697" width="10.140625" style="11" bestFit="1" customWidth="1"/>
    <col min="7698" max="7698" width="15.140625" style="11" bestFit="1" customWidth="1"/>
    <col min="7699" max="7699" width="9.140625" style="11" customWidth="1"/>
    <col min="7700" max="7936" width="9.140625" style="11"/>
    <col min="7937" max="7937" width="17" style="11" customWidth="1"/>
    <col min="7938" max="7938" width="9.140625" style="11"/>
    <col min="7939" max="7939" width="14" style="11" bestFit="1" customWidth="1"/>
    <col min="7940" max="7940" width="12" style="11" bestFit="1" customWidth="1"/>
    <col min="7941" max="7941" width="49.42578125" style="11" bestFit="1" customWidth="1"/>
    <col min="7942" max="7944" width="9.7109375" style="11" bestFit="1" customWidth="1"/>
    <col min="7945" max="7946" width="29.7109375" style="11" customWidth="1"/>
    <col min="7947" max="7947" width="47.42578125" style="11" bestFit="1" customWidth="1"/>
    <col min="7948" max="7948" width="13.42578125" style="11" bestFit="1" customWidth="1"/>
    <col min="7949" max="7949" width="23.5703125" style="11" customWidth="1"/>
    <col min="7950" max="7950" width="9.7109375" style="11" bestFit="1" customWidth="1"/>
    <col min="7951" max="7953" width="10.140625" style="11" bestFit="1" customWidth="1"/>
    <col min="7954" max="7954" width="15.140625" style="11" bestFit="1" customWidth="1"/>
    <col min="7955" max="7955" width="9.140625" style="11" customWidth="1"/>
    <col min="7956" max="8192" width="9.140625" style="11"/>
    <col min="8193" max="8193" width="17" style="11" customWidth="1"/>
    <col min="8194" max="8194" width="9.140625" style="11"/>
    <col min="8195" max="8195" width="14" style="11" bestFit="1" customWidth="1"/>
    <col min="8196" max="8196" width="12" style="11" bestFit="1" customWidth="1"/>
    <col min="8197" max="8197" width="49.42578125" style="11" bestFit="1" customWidth="1"/>
    <col min="8198" max="8200" width="9.7109375" style="11" bestFit="1" customWidth="1"/>
    <col min="8201" max="8202" width="29.7109375" style="11" customWidth="1"/>
    <col min="8203" max="8203" width="47.42578125" style="11" bestFit="1" customWidth="1"/>
    <col min="8204" max="8204" width="13.42578125" style="11" bestFit="1" customWidth="1"/>
    <col min="8205" max="8205" width="23.5703125" style="11" customWidth="1"/>
    <col min="8206" max="8206" width="9.7109375" style="11" bestFit="1" customWidth="1"/>
    <col min="8207" max="8209" width="10.140625" style="11" bestFit="1" customWidth="1"/>
    <col min="8210" max="8210" width="15.140625" style="11" bestFit="1" customWidth="1"/>
    <col min="8211" max="8211" width="9.140625" style="11" customWidth="1"/>
    <col min="8212" max="8448" width="9.140625" style="11"/>
    <col min="8449" max="8449" width="17" style="11" customWidth="1"/>
    <col min="8450" max="8450" width="9.140625" style="11"/>
    <col min="8451" max="8451" width="14" style="11" bestFit="1" customWidth="1"/>
    <col min="8452" max="8452" width="12" style="11" bestFit="1" customWidth="1"/>
    <col min="8453" max="8453" width="49.42578125" style="11" bestFit="1" customWidth="1"/>
    <col min="8454" max="8456" width="9.7109375" style="11" bestFit="1" customWidth="1"/>
    <col min="8457" max="8458" width="29.7109375" style="11" customWidth="1"/>
    <col min="8459" max="8459" width="47.42578125" style="11" bestFit="1" customWidth="1"/>
    <col min="8460" max="8460" width="13.42578125" style="11" bestFit="1" customWidth="1"/>
    <col min="8461" max="8461" width="23.5703125" style="11" customWidth="1"/>
    <col min="8462" max="8462" width="9.7109375" style="11" bestFit="1" customWidth="1"/>
    <col min="8463" max="8465" width="10.140625" style="11" bestFit="1" customWidth="1"/>
    <col min="8466" max="8466" width="15.140625" style="11" bestFit="1" customWidth="1"/>
    <col min="8467" max="8467" width="9.140625" style="11" customWidth="1"/>
    <col min="8468" max="8704" width="9.140625" style="11"/>
    <col min="8705" max="8705" width="17" style="11" customWidth="1"/>
    <col min="8706" max="8706" width="9.140625" style="11"/>
    <col min="8707" max="8707" width="14" style="11" bestFit="1" customWidth="1"/>
    <col min="8708" max="8708" width="12" style="11" bestFit="1" customWidth="1"/>
    <col min="8709" max="8709" width="49.42578125" style="11" bestFit="1" customWidth="1"/>
    <col min="8710" max="8712" width="9.7109375" style="11" bestFit="1" customWidth="1"/>
    <col min="8713" max="8714" width="29.7109375" style="11" customWidth="1"/>
    <col min="8715" max="8715" width="47.42578125" style="11" bestFit="1" customWidth="1"/>
    <col min="8716" max="8716" width="13.42578125" style="11" bestFit="1" customWidth="1"/>
    <col min="8717" max="8717" width="23.5703125" style="11" customWidth="1"/>
    <col min="8718" max="8718" width="9.7109375" style="11" bestFit="1" customWidth="1"/>
    <col min="8719" max="8721" width="10.140625" style="11" bestFit="1" customWidth="1"/>
    <col min="8722" max="8722" width="15.140625" style="11" bestFit="1" customWidth="1"/>
    <col min="8723" max="8723" width="9.140625" style="11" customWidth="1"/>
    <col min="8724" max="8960" width="9.140625" style="11"/>
    <col min="8961" max="8961" width="17" style="11" customWidth="1"/>
    <col min="8962" max="8962" width="9.140625" style="11"/>
    <col min="8963" max="8963" width="14" style="11" bestFit="1" customWidth="1"/>
    <col min="8964" max="8964" width="12" style="11" bestFit="1" customWidth="1"/>
    <col min="8965" max="8965" width="49.42578125" style="11" bestFit="1" customWidth="1"/>
    <col min="8966" max="8968" width="9.7109375" style="11" bestFit="1" customWidth="1"/>
    <col min="8969" max="8970" width="29.7109375" style="11" customWidth="1"/>
    <col min="8971" max="8971" width="47.42578125" style="11" bestFit="1" customWidth="1"/>
    <col min="8972" max="8972" width="13.42578125" style="11" bestFit="1" customWidth="1"/>
    <col min="8973" max="8973" width="23.5703125" style="11" customWidth="1"/>
    <col min="8974" max="8974" width="9.7109375" style="11" bestFit="1" customWidth="1"/>
    <col min="8975" max="8977" width="10.140625" style="11" bestFit="1" customWidth="1"/>
    <col min="8978" max="8978" width="15.140625" style="11" bestFit="1" customWidth="1"/>
    <col min="8979" max="8979" width="9.140625" style="11" customWidth="1"/>
    <col min="8980" max="9216" width="9.140625" style="11"/>
    <col min="9217" max="9217" width="17" style="11" customWidth="1"/>
    <col min="9218" max="9218" width="9.140625" style="11"/>
    <col min="9219" max="9219" width="14" style="11" bestFit="1" customWidth="1"/>
    <col min="9220" max="9220" width="12" style="11" bestFit="1" customWidth="1"/>
    <col min="9221" max="9221" width="49.42578125" style="11" bestFit="1" customWidth="1"/>
    <col min="9222" max="9224" width="9.7109375" style="11" bestFit="1" customWidth="1"/>
    <col min="9225" max="9226" width="29.7109375" style="11" customWidth="1"/>
    <col min="9227" max="9227" width="47.42578125" style="11" bestFit="1" customWidth="1"/>
    <col min="9228" max="9228" width="13.42578125" style="11" bestFit="1" customWidth="1"/>
    <col min="9229" max="9229" width="23.5703125" style="11" customWidth="1"/>
    <col min="9230" max="9230" width="9.7109375" style="11" bestFit="1" customWidth="1"/>
    <col min="9231" max="9233" width="10.140625" style="11" bestFit="1" customWidth="1"/>
    <col min="9234" max="9234" width="15.140625" style="11" bestFit="1" customWidth="1"/>
    <col min="9235" max="9235" width="9.140625" style="11" customWidth="1"/>
    <col min="9236" max="9472" width="9.140625" style="11"/>
    <col min="9473" max="9473" width="17" style="11" customWidth="1"/>
    <col min="9474" max="9474" width="9.140625" style="11"/>
    <col min="9475" max="9475" width="14" style="11" bestFit="1" customWidth="1"/>
    <col min="9476" max="9476" width="12" style="11" bestFit="1" customWidth="1"/>
    <col min="9477" max="9477" width="49.42578125" style="11" bestFit="1" customWidth="1"/>
    <col min="9478" max="9480" width="9.7109375" style="11" bestFit="1" customWidth="1"/>
    <col min="9481" max="9482" width="29.7109375" style="11" customWidth="1"/>
    <col min="9483" max="9483" width="47.42578125" style="11" bestFit="1" customWidth="1"/>
    <col min="9484" max="9484" width="13.42578125" style="11" bestFit="1" customWidth="1"/>
    <col min="9485" max="9485" width="23.5703125" style="11" customWidth="1"/>
    <col min="9486" max="9486" width="9.7109375" style="11" bestFit="1" customWidth="1"/>
    <col min="9487" max="9489" width="10.140625" style="11" bestFit="1" customWidth="1"/>
    <col min="9490" max="9490" width="15.140625" style="11" bestFit="1" customWidth="1"/>
    <col min="9491" max="9491" width="9.140625" style="11" customWidth="1"/>
    <col min="9492" max="9728" width="9.140625" style="11"/>
    <col min="9729" max="9729" width="17" style="11" customWidth="1"/>
    <col min="9730" max="9730" width="9.140625" style="11"/>
    <col min="9731" max="9731" width="14" style="11" bestFit="1" customWidth="1"/>
    <col min="9732" max="9732" width="12" style="11" bestFit="1" customWidth="1"/>
    <col min="9733" max="9733" width="49.42578125" style="11" bestFit="1" customWidth="1"/>
    <col min="9734" max="9736" width="9.7109375" style="11" bestFit="1" customWidth="1"/>
    <col min="9737" max="9738" width="29.7109375" style="11" customWidth="1"/>
    <col min="9739" max="9739" width="47.42578125" style="11" bestFit="1" customWidth="1"/>
    <col min="9740" max="9740" width="13.42578125" style="11" bestFit="1" customWidth="1"/>
    <col min="9741" max="9741" width="23.5703125" style="11" customWidth="1"/>
    <col min="9742" max="9742" width="9.7109375" style="11" bestFit="1" customWidth="1"/>
    <col min="9743" max="9745" width="10.140625" style="11" bestFit="1" customWidth="1"/>
    <col min="9746" max="9746" width="15.140625" style="11" bestFit="1" customWidth="1"/>
    <col min="9747" max="9747" width="9.140625" style="11" customWidth="1"/>
    <col min="9748" max="9984" width="9.140625" style="11"/>
    <col min="9985" max="9985" width="17" style="11" customWidth="1"/>
    <col min="9986" max="9986" width="9.140625" style="11"/>
    <col min="9987" max="9987" width="14" style="11" bestFit="1" customWidth="1"/>
    <col min="9988" max="9988" width="12" style="11" bestFit="1" customWidth="1"/>
    <col min="9989" max="9989" width="49.42578125" style="11" bestFit="1" customWidth="1"/>
    <col min="9990" max="9992" width="9.7109375" style="11" bestFit="1" customWidth="1"/>
    <col min="9993" max="9994" width="29.7109375" style="11" customWidth="1"/>
    <col min="9995" max="9995" width="47.42578125" style="11" bestFit="1" customWidth="1"/>
    <col min="9996" max="9996" width="13.42578125" style="11" bestFit="1" customWidth="1"/>
    <col min="9997" max="9997" width="23.5703125" style="11" customWidth="1"/>
    <col min="9998" max="9998" width="9.7109375" style="11" bestFit="1" customWidth="1"/>
    <col min="9999" max="10001" width="10.140625" style="11" bestFit="1" customWidth="1"/>
    <col min="10002" max="10002" width="15.140625" style="11" bestFit="1" customWidth="1"/>
    <col min="10003" max="10003" width="9.140625" style="11" customWidth="1"/>
    <col min="10004" max="10240" width="9.140625" style="11"/>
    <col min="10241" max="10241" width="17" style="11" customWidth="1"/>
    <col min="10242" max="10242" width="9.140625" style="11"/>
    <col min="10243" max="10243" width="14" style="11" bestFit="1" customWidth="1"/>
    <col min="10244" max="10244" width="12" style="11" bestFit="1" customWidth="1"/>
    <col min="10245" max="10245" width="49.42578125" style="11" bestFit="1" customWidth="1"/>
    <col min="10246" max="10248" width="9.7109375" style="11" bestFit="1" customWidth="1"/>
    <col min="10249" max="10250" width="29.7109375" style="11" customWidth="1"/>
    <col min="10251" max="10251" width="47.42578125" style="11" bestFit="1" customWidth="1"/>
    <col min="10252" max="10252" width="13.42578125" style="11" bestFit="1" customWidth="1"/>
    <col min="10253" max="10253" width="23.5703125" style="11" customWidth="1"/>
    <col min="10254" max="10254" width="9.7109375" style="11" bestFit="1" customWidth="1"/>
    <col min="10255" max="10257" width="10.140625" style="11" bestFit="1" customWidth="1"/>
    <col min="10258" max="10258" width="15.140625" style="11" bestFit="1" customWidth="1"/>
    <col min="10259" max="10259" width="9.140625" style="11" customWidth="1"/>
    <col min="10260" max="10496" width="9.140625" style="11"/>
    <col min="10497" max="10497" width="17" style="11" customWidth="1"/>
    <col min="10498" max="10498" width="9.140625" style="11"/>
    <col min="10499" max="10499" width="14" style="11" bestFit="1" customWidth="1"/>
    <col min="10500" max="10500" width="12" style="11" bestFit="1" customWidth="1"/>
    <col min="10501" max="10501" width="49.42578125" style="11" bestFit="1" customWidth="1"/>
    <col min="10502" max="10504" width="9.7109375" style="11" bestFit="1" customWidth="1"/>
    <col min="10505" max="10506" width="29.7109375" style="11" customWidth="1"/>
    <col min="10507" max="10507" width="47.42578125" style="11" bestFit="1" customWidth="1"/>
    <col min="10508" max="10508" width="13.42578125" style="11" bestFit="1" customWidth="1"/>
    <col min="10509" max="10509" width="23.5703125" style="11" customWidth="1"/>
    <col min="10510" max="10510" width="9.7109375" style="11" bestFit="1" customWidth="1"/>
    <col min="10511" max="10513" width="10.140625" style="11" bestFit="1" customWidth="1"/>
    <col min="10514" max="10514" width="15.140625" style="11" bestFit="1" customWidth="1"/>
    <col min="10515" max="10515" width="9.140625" style="11" customWidth="1"/>
    <col min="10516" max="10752" width="9.140625" style="11"/>
    <col min="10753" max="10753" width="17" style="11" customWidth="1"/>
    <col min="10754" max="10754" width="9.140625" style="11"/>
    <col min="10755" max="10755" width="14" style="11" bestFit="1" customWidth="1"/>
    <col min="10756" max="10756" width="12" style="11" bestFit="1" customWidth="1"/>
    <col min="10757" max="10757" width="49.42578125" style="11" bestFit="1" customWidth="1"/>
    <col min="10758" max="10760" width="9.7109375" style="11" bestFit="1" customWidth="1"/>
    <col min="10761" max="10762" width="29.7109375" style="11" customWidth="1"/>
    <col min="10763" max="10763" width="47.42578125" style="11" bestFit="1" customWidth="1"/>
    <col min="10764" max="10764" width="13.42578125" style="11" bestFit="1" customWidth="1"/>
    <col min="10765" max="10765" width="23.5703125" style="11" customWidth="1"/>
    <col min="10766" max="10766" width="9.7109375" style="11" bestFit="1" customWidth="1"/>
    <col min="10767" max="10769" width="10.140625" style="11" bestFit="1" customWidth="1"/>
    <col min="10770" max="10770" width="15.140625" style="11" bestFit="1" customWidth="1"/>
    <col min="10771" max="10771" width="9.140625" style="11" customWidth="1"/>
    <col min="10772" max="11008" width="9.140625" style="11"/>
    <col min="11009" max="11009" width="17" style="11" customWidth="1"/>
    <col min="11010" max="11010" width="9.140625" style="11"/>
    <col min="11011" max="11011" width="14" style="11" bestFit="1" customWidth="1"/>
    <col min="11012" max="11012" width="12" style="11" bestFit="1" customWidth="1"/>
    <col min="11013" max="11013" width="49.42578125" style="11" bestFit="1" customWidth="1"/>
    <col min="11014" max="11016" width="9.7109375" style="11" bestFit="1" customWidth="1"/>
    <col min="11017" max="11018" width="29.7109375" style="11" customWidth="1"/>
    <col min="11019" max="11019" width="47.42578125" style="11" bestFit="1" customWidth="1"/>
    <col min="11020" max="11020" width="13.42578125" style="11" bestFit="1" customWidth="1"/>
    <col min="11021" max="11021" width="23.5703125" style="11" customWidth="1"/>
    <col min="11022" max="11022" width="9.7109375" style="11" bestFit="1" customWidth="1"/>
    <col min="11023" max="11025" width="10.140625" style="11" bestFit="1" customWidth="1"/>
    <col min="11026" max="11026" width="15.140625" style="11" bestFit="1" customWidth="1"/>
    <col min="11027" max="11027" width="9.140625" style="11" customWidth="1"/>
    <col min="11028" max="11264" width="9.140625" style="11"/>
    <col min="11265" max="11265" width="17" style="11" customWidth="1"/>
    <col min="11266" max="11266" width="9.140625" style="11"/>
    <col min="11267" max="11267" width="14" style="11" bestFit="1" customWidth="1"/>
    <col min="11268" max="11268" width="12" style="11" bestFit="1" customWidth="1"/>
    <col min="11269" max="11269" width="49.42578125" style="11" bestFit="1" customWidth="1"/>
    <col min="11270" max="11272" width="9.7109375" style="11" bestFit="1" customWidth="1"/>
    <col min="11273" max="11274" width="29.7109375" style="11" customWidth="1"/>
    <col min="11275" max="11275" width="47.42578125" style="11" bestFit="1" customWidth="1"/>
    <col min="11276" max="11276" width="13.42578125" style="11" bestFit="1" customWidth="1"/>
    <col min="11277" max="11277" width="23.5703125" style="11" customWidth="1"/>
    <col min="11278" max="11278" width="9.7109375" style="11" bestFit="1" customWidth="1"/>
    <col min="11279" max="11281" width="10.140625" style="11" bestFit="1" customWidth="1"/>
    <col min="11282" max="11282" width="15.140625" style="11" bestFit="1" customWidth="1"/>
    <col min="11283" max="11283" width="9.140625" style="11" customWidth="1"/>
    <col min="11284" max="11520" width="9.140625" style="11"/>
    <col min="11521" max="11521" width="17" style="11" customWidth="1"/>
    <col min="11522" max="11522" width="9.140625" style="11"/>
    <col min="11523" max="11523" width="14" style="11" bestFit="1" customWidth="1"/>
    <col min="11524" max="11524" width="12" style="11" bestFit="1" customWidth="1"/>
    <col min="11525" max="11525" width="49.42578125" style="11" bestFit="1" customWidth="1"/>
    <col min="11526" max="11528" width="9.7109375" style="11" bestFit="1" customWidth="1"/>
    <col min="11529" max="11530" width="29.7109375" style="11" customWidth="1"/>
    <col min="11531" max="11531" width="47.42578125" style="11" bestFit="1" customWidth="1"/>
    <col min="11532" max="11532" width="13.42578125" style="11" bestFit="1" customWidth="1"/>
    <col min="11533" max="11533" width="23.5703125" style="11" customWidth="1"/>
    <col min="11534" max="11534" width="9.7109375" style="11" bestFit="1" customWidth="1"/>
    <col min="11535" max="11537" width="10.140625" style="11" bestFit="1" customWidth="1"/>
    <col min="11538" max="11538" width="15.140625" style="11" bestFit="1" customWidth="1"/>
    <col min="11539" max="11539" width="9.140625" style="11" customWidth="1"/>
    <col min="11540" max="11776" width="9.140625" style="11"/>
    <col min="11777" max="11777" width="17" style="11" customWidth="1"/>
    <col min="11778" max="11778" width="9.140625" style="11"/>
    <col min="11779" max="11779" width="14" style="11" bestFit="1" customWidth="1"/>
    <col min="11780" max="11780" width="12" style="11" bestFit="1" customWidth="1"/>
    <col min="11781" max="11781" width="49.42578125" style="11" bestFit="1" customWidth="1"/>
    <col min="11782" max="11784" width="9.7109375" style="11" bestFit="1" customWidth="1"/>
    <col min="11785" max="11786" width="29.7109375" style="11" customWidth="1"/>
    <col min="11787" max="11787" width="47.42578125" style="11" bestFit="1" customWidth="1"/>
    <col min="11788" max="11788" width="13.42578125" style="11" bestFit="1" customWidth="1"/>
    <col min="11789" max="11789" width="23.5703125" style="11" customWidth="1"/>
    <col min="11790" max="11790" width="9.7109375" style="11" bestFit="1" customWidth="1"/>
    <col min="11791" max="11793" width="10.140625" style="11" bestFit="1" customWidth="1"/>
    <col min="11794" max="11794" width="15.140625" style="11" bestFit="1" customWidth="1"/>
    <col min="11795" max="11795" width="9.140625" style="11" customWidth="1"/>
    <col min="11796" max="12032" width="9.140625" style="11"/>
    <col min="12033" max="12033" width="17" style="11" customWidth="1"/>
    <col min="12034" max="12034" width="9.140625" style="11"/>
    <col min="12035" max="12035" width="14" style="11" bestFit="1" customWidth="1"/>
    <col min="12036" max="12036" width="12" style="11" bestFit="1" customWidth="1"/>
    <col min="12037" max="12037" width="49.42578125" style="11" bestFit="1" customWidth="1"/>
    <col min="12038" max="12040" width="9.7109375" style="11" bestFit="1" customWidth="1"/>
    <col min="12041" max="12042" width="29.7109375" style="11" customWidth="1"/>
    <col min="12043" max="12043" width="47.42578125" style="11" bestFit="1" customWidth="1"/>
    <col min="12044" max="12044" width="13.42578125" style="11" bestFit="1" customWidth="1"/>
    <col min="12045" max="12045" width="23.5703125" style="11" customWidth="1"/>
    <col min="12046" max="12046" width="9.7109375" style="11" bestFit="1" customWidth="1"/>
    <col min="12047" max="12049" width="10.140625" style="11" bestFit="1" customWidth="1"/>
    <col min="12050" max="12050" width="15.140625" style="11" bestFit="1" customWidth="1"/>
    <col min="12051" max="12051" width="9.140625" style="11" customWidth="1"/>
    <col min="12052" max="12288" width="9.140625" style="11"/>
    <col min="12289" max="12289" width="17" style="11" customWidth="1"/>
    <col min="12290" max="12290" width="9.140625" style="11"/>
    <col min="12291" max="12291" width="14" style="11" bestFit="1" customWidth="1"/>
    <col min="12292" max="12292" width="12" style="11" bestFit="1" customWidth="1"/>
    <col min="12293" max="12293" width="49.42578125" style="11" bestFit="1" customWidth="1"/>
    <col min="12294" max="12296" width="9.7109375" style="11" bestFit="1" customWidth="1"/>
    <col min="12297" max="12298" width="29.7109375" style="11" customWidth="1"/>
    <col min="12299" max="12299" width="47.42578125" style="11" bestFit="1" customWidth="1"/>
    <col min="12300" max="12300" width="13.42578125" style="11" bestFit="1" customWidth="1"/>
    <col min="12301" max="12301" width="23.5703125" style="11" customWidth="1"/>
    <col min="12302" max="12302" width="9.7109375" style="11" bestFit="1" customWidth="1"/>
    <col min="12303" max="12305" width="10.140625" style="11" bestFit="1" customWidth="1"/>
    <col min="12306" max="12306" width="15.140625" style="11" bestFit="1" customWidth="1"/>
    <col min="12307" max="12307" width="9.140625" style="11" customWidth="1"/>
    <col min="12308" max="12544" width="9.140625" style="11"/>
    <col min="12545" max="12545" width="17" style="11" customWidth="1"/>
    <col min="12546" max="12546" width="9.140625" style="11"/>
    <col min="12547" max="12547" width="14" style="11" bestFit="1" customWidth="1"/>
    <col min="12548" max="12548" width="12" style="11" bestFit="1" customWidth="1"/>
    <col min="12549" max="12549" width="49.42578125" style="11" bestFit="1" customWidth="1"/>
    <col min="12550" max="12552" width="9.7109375" style="11" bestFit="1" customWidth="1"/>
    <col min="12553" max="12554" width="29.7109375" style="11" customWidth="1"/>
    <col min="12555" max="12555" width="47.42578125" style="11" bestFit="1" customWidth="1"/>
    <col min="12556" max="12556" width="13.42578125" style="11" bestFit="1" customWidth="1"/>
    <col min="12557" max="12557" width="23.5703125" style="11" customWidth="1"/>
    <col min="12558" max="12558" width="9.7109375" style="11" bestFit="1" customWidth="1"/>
    <col min="12559" max="12561" width="10.140625" style="11" bestFit="1" customWidth="1"/>
    <col min="12562" max="12562" width="15.140625" style="11" bestFit="1" customWidth="1"/>
    <col min="12563" max="12563" width="9.140625" style="11" customWidth="1"/>
    <col min="12564" max="12800" width="9.140625" style="11"/>
    <col min="12801" max="12801" width="17" style="11" customWidth="1"/>
    <col min="12802" max="12802" width="9.140625" style="11"/>
    <col min="12803" max="12803" width="14" style="11" bestFit="1" customWidth="1"/>
    <col min="12804" max="12804" width="12" style="11" bestFit="1" customWidth="1"/>
    <col min="12805" max="12805" width="49.42578125" style="11" bestFit="1" customWidth="1"/>
    <col min="12806" max="12808" width="9.7109375" style="11" bestFit="1" customWidth="1"/>
    <col min="12809" max="12810" width="29.7109375" style="11" customWidth="1"/>
    <col min="12811" max="12811" width="47.42578125" style="11" bestFit="1" customWidth="1"/>
    <col min="12812" max="12812" width="13.42578125" style="11" bestFit="1" customWidth="1"/>
    <col min="12813" max="12813" width="23.5703125" style="11" customWidth="1"/>
    <col min="12814" max="12814" width="9.7109375" style="11" bestFit="1" customWidth="1"/>
    <col min="12815" max="12817" width="10.140625" style="11" bestFit="1" customWidth="1"/>
    <col min="12818" max="12818" width="15.140625" style="11" bestFit="1" customWidth="1"/>
    <col min="12819" max="12819" width="9.140625" style="11" customWidth="1"/>
    <col min="12820" max="13056" width="9.140625" style="11"/>
    <col min="13057" max="13057" width="17" style="11" customWidth="1"/>
    <col min="13058" max="13058" width="9.140625" style="11"/>
    <col min="13059" max="13059" width="14" style="11" bestFit="1" customWidth="1"/>
    <col min="13060" max="13060" width="12" style="11" bestFit="1" customWidth="1"/>
    <col min="13061" max="13061" width="49.42578125" style="11" bestFit="1" customWidth="1"/>
    <col min="13062" max="13064" width="9.7109375" style="11" bestFit="1" customWidth="1"/>
    <col min="13065" max="13066" width="29.7109375" style="11" customWidth="1"/>
    <col min="13067" max="13067" width="47.42578125" style="11" bestFit="1" customWidth="1"/>
    <col min="13068" max="13068" width="13.42578125" style="11" bestFit="1" customWidth="1"/>
    <col min="13069" max="13069" width="23.5703125" style="11" customWidth="1"/>
    <col min="13070" max="13070" width="9.7109375" style="11" bestFit="1" customWidth="1"/>
    <col min="13071" max="13073" width="10.140625" style="11" bestFit="1" customWidth="1"/>
    <col min="13074" max="13074" width="15.140625" style="11" bestFit="1" customWidth="1"/>
    <col min="13075" max="13075" width="9.140625" style="11" customWidth="1"/>
    <col min="13076" max="13312" width="9.140625" style="11"/>
    <col min="13313" max="13313" width="17" style="11" customWidth="1"/>
    <col min="13314" max="13314" width="9.140625" style="11"/>
    <col min="13315" max="13315" width="14" style="11" bestFit="1" customWidth="1"/>
    <col min="13316" max="13316" width="12" style="11" bestFit="1" customWidth="1"/>
    <col min="13317" max="13317" width="49.42578125" style="11" bestFit="1" customWidth="1"/>
    <col min="13318" max="13320" width="9.7109375" style="11" bestFit="1" customWidth="1"/>
    <col min="13321" max="13322" width="29.7109375" style="11" customWidth="1"/>
    <col min="13323" max="13323" width="47.42578125" style="11" bestFit="1" customWidth="1"/>
    <col min="13324" max="13324" width="13.42578125" style="11" bestFit="1" customWidth="1"/>
    <col min="13325" max="13325" width="23.5703125" style="11" customWidth="1"/>
    <col min="13326" max="13326" width="9.7109375" style="11" bestFit="1" customWidth="1"/>
    <col min="13327" max="13329" width="10.140625" style="11" bestFit="1" customWidth="1"/>
    <col min="13330" max="13330" width="15.140625" style="11" bestFit="1" customWidth="1"/>
    <col min="13331" max="13331" width="9.140625" style="11" customWidth="1"/>
    <col min="13332" max="13568" width="9.140625" style="11"/>
    <col min="13569" max="13569" width="17" style="11" customWidth="1"/>
    <col min="13570" max="13570" width="9.140625" style="11"/>
    <col min="13571" max="13571" width="14" style="11" bestFit="1" customWidth="1"/>
    <col min="13572" max="13572" width="12" style="11" bestFit="1" customWidth="1"/>
    <col min="13573" max="13573" width="49.42578125" style="11" bestFit="1" customWidth="1"/>
    <col min="13574" max="13576" width="9.7109375" style="11" bestFit="1" customWidth="1"/>
    <col min="13577" max="13578" width="29.7109375" style="11" customWidth="1"/>
    <col min="13579" max="13579" width="47.42578125" style="11" bestFit="1" customWidth="1"/>
    <col min="13580" max="13580" width="13.42578125" style="11" bestFit="1" customWidth="1"/>
    <col min="13581" max="13581" width="23.5703125" style="11" customWidth="1"/>
    <col min="13582" max="13582" width="9.7109375" style="11" bestFit="1" customWidth="1"/>
    <col min="13583" max="13585" width="10.140625" style="11" bestFit="1" customWidth="1"/>
    <col min="13586" max="13586" width="15.140625" style="11" bestFit="1" customWidth="1"/>
    <col min="13587" max="13587" width="9.140625" style="11" customWidth="1"/>
    <col min="13588" max="13824" width="9.140625" style="11"/>
    <col min="13825" max="13825" width="17" style="11" customWidth="1"/>
    <col min="13826" max="13826" width="9.140625" style="11"/>
    <col min="13827" max="13827" width="14" style="11" bestFit="1" customWidth="1"/>
    <col min="13828" max="13828" width="12" style="11" bestFit="1" customWidth="1"/>
    <col min="13829" max="13829" width="49.42578125" style="11" bestFit="1" customWidth="1"/>
    <col min="13830" max="13832" width="9.7109375" style="11" bestFit="1" customWidth="1"/>
    <col min="13833" max="13834" width="29.7109375" style="11" customWidth="1"/>
    <col min="13835" max="13835" width="47.42578125" style="11" bestFit="1" customWidth="1"/>
    <col min="13836" max="13836" width="13.42578125" style="11" bestFit="1" customWidth="1"/>
    <col min="13837" max="13837" width="23.5703125" style="11" customWidth="1"/>
    <col min="13838" max="13838" width="9.7109375" style="11" bestFit="1" customWidth="1"/>
    <col min="13839" max="13841" width="10.140625" style="11" bestFit="1" customWidth="1"/>
    <col min="13842" max="13842" width="15.140625" style="11" bestFit="1" customWidth="1"/>
    <col min="13843" max="13843" width="9.140625" style="11" customWidth="1"/>
    <col min="13844" max="14080" width="9.140625" style="11"/>
    <col min="14081" max="14081" width="17" style="11" customWidth="1"/>
    <col min="14082" max="14082" width="9.140625" style="11"/>
    <col min="14083" max="14083" width="14" style="11" bestFit="1" customWidth="1"/>
    <col min="14084" max="14084" width="12" style="11" bestFit="1" customWidth="1"/>
    <col min="14085" max="14085" width="49.42578125" style="11" bestFit="1" customWidth="1"/>
    <col min="14086" max="14088" width="9.7109375" style="11" bestFit="1" customWidth="1"/>
    <col min="14089" max="14090" width="29.7109375" style="11" customWidth="1"/>
    <col min="14091" max="14091" width="47.42578125" style="11" bestFit="1" customWidth="1"/>
    <col min="14092" max="14092" width="13.42578125" style="11" bestFit="1" customWidth="1"/>
    <col min="14093" max="14093" width="23.5703125" style="11" customWidth="1"/>
    <col min="14094" max="14094" width="9.7109375" style="11" bestFit="1" customWidth="1"/>
    <col min="14095" max="14097" width="10.140625" style="11" bestFit="1" customWidth="1"/>
    <col min="14098" max="14098" width="15.140625" style="11" bestFit="1" customWidth="1"/>
    <col min="14099" max="14099" width="9.140625" style="11" customWidth="1"/>
    <col min="14100" max="14336" width="9.140625" style="11"/>
    <col min="14337" max="14337" width="17" style="11" customWidth="1"/>
    <col min="14338" max="14338" width="9.140625" style="11"/>
    <col min="14339" max="14339" width="14" style="11" bestFit="1" customWidth="1"/>
    <col min="14340" max="14340" width="12" style="11" bestFit="1" customWidth="1"/>
    <col min="14341" max="14341" width="49.42578125" style="11" bestFit="1" customWidth="1"/>
    <col min="14342" max="14344" width="9.7109375" style="11" bestFit="1" customWidth="1"/>
    <col min="14345" max="14346" width="29.7109375" style="11" customWidth="1"/>
    <col min="14347" max="14347" width="47.42578125" style="11" bestFit="1" customWidth="1"/>
    <col min="14348" max="14348" width="13.42578125" style="11" bestFit="1" customWidth="1"/>
    <col min="14349" max="14349" width="23.5703125" style="11" customWidth="1"/>
    <col min="14350" max="14350" width="9.7109375" style="11" bestFit="1" customWidth="1"/>
    <col min="14351" max="14353" width="10.140625" style="11" bestFit="1" customWidth="1"/>
    <col min="14354" max="14354" width="15.140625" style="11" bestFit="1" customWidth="1"/>
    <col min="14355" max="14355" width="9.140625" style="11" customWidth="1"/>
    <col min="14356" max="14592" width="9.140625" style="11"/>
    <col min="14593" max="14593" width="17" style="11" customWidth="1"/>
    <col min="14594" max="14594" width="9.140625" style="11"/>
    <col min="14595" max="14595" width="14" style="11" bestFit="1" customWidth="1"/>
    <col min="14596" max="14596" width="12" style="11" bestFit="1" customWidth="1"/>
    <col min="14597" max="14597" width="49.42578125" style="11" bestFit="1" customWidth="1"/>
    <col min="14598" max="14600" width="9.7109375" style="11" bestFit="1" customWidth="1"/>
    <col min="14601" max="14602" width="29.7109375" style="11" customWidth="1"/>
    <col min="14603" max="14603" width="47.42578125" style="11" bestFit="1" customWidth="1"/>
    <col min="14604" max="14604" width="13.42578125" style="11" bestFit="1" customWidth="1"/>
    <col min="14605" max="14605" width="23.5703125" style="11" customWidth="1"/>
    <col min="14606" max="14606" width="9.7109375" style="11" bestFit="1" customWidth="1"/>
    <col min="14607" max="14609" width="10.140625" style="11" bestFit="1" customWidth="1"/>
    <col min="14610" max="14610" width="15.140625" style="11" bestFit="1" customWidth="1"/>
    <col min="14611" max="14611" width="9.140625" style="11" customWidth="1"/>
    <col min="14612" max="14848" width="9.140625" style="11"/>
    <col min="14849" max="14849" width="17" style="11" customWidth="1"/>
    <col min="14850" max="14850" width="9.140625" style="11"/>
    <col min="14851" max="14851" width="14" style="11" bestFit="1" customWidth="1"/>
    <col min="14852" max="14852" width="12" style="11" bestFit="1" customWidth="1"/>
    <col min="14853" max="14853" width="49.42578125" style="11" bestFit="1" customWidth="1"/>
    <col min="14854" max="14856" width="9.7109375" style="11" bestFit="1" customWidth="1"/>
    <col min="14857" max="14858" width="29.7109375" style="11" customWidth="1"/>
    <col min="14859" max="14859" width="47.42578125" style="11" bestFit="1" customWidth="1"/>
    <col min="14860" max="14860" width="13.42578125" style="11" bestFit="1" customWidth="1"/>
    <col min="14861" max="14861" width="23.5703125" style="11" customWidth="1"/>
    <col min="14862" max="14862" width="9.7109375" style="11" bestFit="1" customWidth="1"/>
    <col min="14863" max="14865" width="10.140625" style="11" bestFit="1" customWidth="1"/>
    <col min="14866" max="14866" width="15.140625" style="11" bestFit="1" customWidth="1"/>
    <col min="14867" max="14867" width="9.140625" style="11" customWidth="1"/>
    <col min="14868" max="15104" width="9.140625" style="11"/>
    <col min="15105" max="15105" width="17" style="11" customWidth="1"/>
    <col min="15106" max="15106" width="9.140625" style="11"/>
    <col min="15107" max="15107" width="14" style="11" bestFit="1" customWidth="1"/>
    <col min="15108" max="15108" width="12" style="11" bestFit="1" customWidth="1"/>
    <col min="15109" max="15109" width="49.42578125" style="11" bestFit="1" customWidth="1"/>
    <col min="15110" max="15112" width="9.7109375" style="11" bestFit="1" customWidth="1"/>
    <col min="15113" max="15114" width="29.7109375" style="11" customWidth="1"/>
    <col min="15115" max="15115" width="47.42578125" style="11" bestFit="1" customWidth="1"/>
    <col min="15116" max="15116" width="13.42578125" style="11" bestFit="1" customWidth="1"/>
    <col min="15117" max="15117" width="23.5703125" style="11" customWidth="1"/>
    <col min="15118" max="15118" width="9.7109375" style="11" bestFit="1" customWidth="1"/>
    <col min="15119" max="15121" width="10.140625" style="11" bestFit="1" customWidth="1"/>
    <col min="15122" max="15122" width="15.140625" style="11" bestFit="1" customWidth="1"/>
    <col min="15123" max="15123" width="9.140625" style="11" customWidth="1"/>
    <col min="15124" max="15360" width="9.140625" style="11"/>
    <col min="15361" max="15361" width="17" style="11" customWidth="1"/>
    <col min="15362" max="15362" width="9.140625" style="11"/>
    <col min="15363" max="15363" width="14" style="11" bestFit="1" customWidth="1"/>
    <col min="15364" max="15364" width="12" style="11" bestFit="1" customWidth="1"/>
    <col min="15365" max="15365" width="49.42578125" style="11" bestFit="1" customWidth="1"/>
    <col min="15366" max="15368" width="9.7109375" style="11" bestFit="1" customWidth="1"/>
    <col min="15369" max="15370" width="29.7109375" style="11" customWidth="1"/>
    <col min="15371" max="15371" width="47.42578125" style="11" bestFit="1" customWidth="1"/>
    <col min="15372" max="15372" width="13.42578125" style="11" bestFit="1" customWidth="1"/>
    <col min="15373" max="15373" width="23.5703125" style="11" customWidth="1"/>
    <col min="15374" max="15374" width="9.7109375" style="11" bestFit="1" customWidth="1"/>
    <col min="15375" max="15377" width="10.140625" style="11" bestFit="1" customWidth="1"/>
    <col min="15378" max="15378" width="15.140625" style="11" bestFit="1" customWidth="1"/>
    <col min="15379" max="15379" width="9.140625" style="11" customWidth="1"/>
    <col min="15380" max="15616" width="9.140625" style="11"/>
    <col min="15617" max="15617" width="17" style="11" customWidth="1"/>
    <col min="15618" max="15618" width="9.140625" style="11"/>
    <col min="15619" max="15619" width="14" style="11" bestFit="1" customWidth="1"/>
    <col min="15620" max="15620" width="12" style="11" bestFit="1" customWidth="1"/>
    <col min="15621" max="15621" width="49.42578125" style="11" bestFit="1" customWidth="1"/>
    <col min="15622" max="15624" width="9.7109375" style="11" bestFit="1" customWidth="1"/>
    <col min="15625" max="15626" width="29.7109375" style="11" customWidth="1"/>
    <col min="15627" max="15627" width="47.42578125" style="11" bestFit="1" customWidth="1"/>
    <col min="15628" max="15628" width="13.42578125" style="11" bestFit="1" customWidth="1"/>
    <col min="15629" max="15629" width="23.5703125" style="11" customWidth="1"/>
    <col min="15630" max="15630" width="9.7109375" style="11" bestFit="1" customWidth="1"/>
    <col min="15631" max="15633" width="10.140625" style="11" bestFit="1" customWidth="1"/>
    <col min="15634" max="15634" width="15.140625" style="11" bestFit="1" customWidth="1"/>
    <col min="15635" max="15635" width="9.140625" style="11" customWidth="1"/>
    <col min="15636" max="15872" width="9.140625" style="11"/>
    <col min="15873" max="15873" width="17" style="11" customWidth="1"/>
    <col min="15874" max="15874" width="9.140625" style="11"/>
    <col min="15875" max="15875" width="14" style="11" bestFit="1" customWidth="1"/>
    <col min="15876" max="15876" width="12" style="11" bestFit="1" customWidth="1"/>
    <col min="15877" max="15877" width="49.42578125" style="11" bestFit="1" customWidth="1"/>
    <col min="15878" max="15880" width="9.7109375" style="11" bestFit="1" customWidth="1"/>
    <col min="15881" max="15882" width="29.7109375" style="11" customWidth="1"/>
    <col min="15883" max="15883" width="47.42578125" style="11" bestFit="1" customWidth="1"/>
    <col min="15884" max="15884" width="13.42578125" style="11" bestFit="1" customWidth="1"/>
    <col min="15885" max="15885" width="23.5703125" style="11" customWidth="1"/>
    <col min="15886" max="15886" width="9.7109375" style="11" bestFit="1" customWidth="1"/>
    <col min="15887" max="15889" width="10.140625" style="11" bestFit="1" customWidth="1"/>
    <col min="15890" max="15890" width="15.140625" style="11" bestFit="1" customWidth="1"/>
    <col min="15891" max="15891" width="9.140625" style="11" customWidth="1"/>
    <col min="15892" max="16128" width="9.140625" style="11"/>
    <col min="16129" max="16129" width="17" style="11" customWidth="1"/>
    <col min="16130" max="16130" width="9.140625" style="11"/>
    <col min="16131" max="16131" width="14" style="11" bestFit="1" customWidth="1"/>
    <col min="16132" max="16132" width="12" style="11" bestFit="1" customWidth="1"/>
    <col min="16133" max="16133" width="49.42578125" style="11" bestFit="1" customWidth="1"/>
    <col min="16134" max="16136" width="9.7109375" style="11" bestFit="1" customWidth="1"/>
    <col min="16137" max="16138" width="29.7109375" style="11" customWidth="1"/>
    <col min="16139" max="16139" width="47.42578125" style="11" bestFit="1" customWidth="1"/>
    <col min="16140" max="16140" width="13.42578125" style="11" bestFit="1" customWidth="1"/>
    <col min="16141" max="16141" width="23.5703125" style="11" customWidth="1"/>
    <col min="16142" max="16142" width="9.7109375" style="11" bestFit="1" customWidth="1"/>
    <col min="16143" max="16145" width="10.140625" style="11" bestFit="1" customWidth="1"/>
    <col min="16146" max="16146" width="15.140625" style="11" bestFit="1" customWidth="1"/>
    <col min="16147" max="16147" width="9.140625" style="11" customWidth="1"/>
    <col min="16148" max="16384" width="9.140625" style="11"/>
  </cols>
  <sheetData>
    <row r="1" spans="1:27" s="22" customFormat="1" x14ac:dyDescent="0.25">
      <c r="B1" s="21" t="s">
        <v>0</v>
      </c>
      <c r="C1" s="311" t="s">
        <v>1138</v>
      </c>
      <c r="D1" s="21" t="s">
        <v>1468</v>
      </c>
      <c r="E1" s="21" t="s">
        <v>1467</v>
      </c>
      <c r="F1" s="21" t="s">
        <v>1466</v>
      </c>
      <c r="G1" s="340" t="s">
        <v>1465</v>
      </c>
      <c r="H1" s="340" t="s">
        <v>1464</v>
      </c>
      <c r="I1" s="340" t="s">
        <v>1463</v>
      </c>
      <c r="J1" s="21" t="s">
        <v>1462</v>
      </c>
      <c r="K1" s="21" t="s">
        <v>1461</v>
      </c>
      <c r="L1" s="21" t="s">
        <v>1460</v>
      </c>
      <c r="M1" s="311" t="s">
        <v>1459</v>
      </c>
      <c r="N1" s="311" t="s">
        <v>1458</v>
      </c>
      <c r="O1" s="311" t="s">
        <v>1457</v>
      </c>
      <c r="P1" s="312" t="s">
        <v>1469</v>
      </c>
      <c r="Q1" s="312" t="s">
        <v>1456</v>
      </c>
      <c r="R1" s="312" t="s">
        <v>1455</v>
      </c>
      <c r="S1" s="313" t="s">
        <v>1469</v>
      </c>
      <c r="T1" s="313" t="s">
        <v>1456</v>
      </c>
      <c r="U1" s="313" t="s">
        <v>1455</v>
      </c>
      <c r="V1" s="314" t="s">
        <v>1469</v>
      </c>
      <c r="W1" s="314" t="s">
        <v>1456</v>
      </c>
      <c r="X1" s="314" t="s">
        <v>1455</v>
      </c>
      <c r="Y1" s="333" t="s">
        <v>1465</v>
      </c>
      <c r="Z1" s="333" t="s">
        <v>1464</v>
      </c>
      <c r="AA1" s="333" t="s">
        <v>1463</v>
      </c>
    </row>
    <row r="2" spans="1:27" x14ac:dyDescent="0.25">
      <c r="A2" s="54" t="s">
        <v>137</v>
      </c>
      <c r="B2" s="69" t="s">
        <v>1454</v>
      </c>
      <c r="C2" s="205">
        <v>1</v>
      </c>
      <c r="D2" s="2" t="s">
        <v>1453</v>
      </c>
      <c r="E2" s="2" t="s">
        <v>1389</v>
      </c>
      <c r="F2" s="2" t="s">
        <v>733</v>
      </c>
      <c r="G2" s="537">
        <f>I2/20/10</f>
        <v>60</v>
      </c>
      <c r="H2" s="205">
        <f>I2/2</f>
        <v>6000</v>
      </c>
      <c r="I2" s="205">
        <v>12000</v>
      </c>
      <c r="J2" s="306" t="str">
        <f t="shared" ref="J2:J33" si="0">CONCATENATE($P$1&amp;":"&amp;P2&amp;":"&amp;$Q$1&amp;":"&amp;Q2&amp;":"&amp;$R$1&amp;":"&amp;R2)</f>
        <v>Kim Cương:1:Vàng:1500:Kinh Nghiệm:1000</v>
      </c>
      <c r="K2" s="305" t="str">
        <f>CONCATENATE($P$1&amp;":"&amp;S2&amp;":"&amp;$Q$1&amp;":"&amp;T2&amp;":"&amp;$R$1&amp;":"&amp;U2)</f>
        <v>Kim Cương:2:Vàng:12000:Kinh Nghiệm:8000</v>
      </c>
      <c r="L2" s="305" t="str">
        <f>CONCATENATE($P$1&amp;":"&amp;V2&amp;":"&amp;$Q$1&amp;":"&amp;W2&amp;":"&amp;$R$1&amp;":"&amp;X2)</f>
        <v>Kim Cương:3:Vàng:30000:Kinh Nghiệm:20000</v>
      </c>
      <c r="M2" s="205">
        <v>1</v>
      </c>
      <c r="N2" s="205">
        <v>2</v>
      </c>
      <c r="O2" s="205">
        <v>3</v>
      </c>
      <c r="P2" s="304">
        <v>1</v>
      </c>
      <c r="Q2" s="523">
        <v>1500</v>
      </c>
      <c r="R2" s="524">
        <f>ROUNDUP(Q2/1.5,0)</f>
        <v>1000</v>
      </c>
      <c r="S2" s="304">
        <v>2</v>
      </c>
      <c r="T2" s="319">
        <f>W2/2.5</f>
        <v>12000</v>
      </c>
      <c r="U2" s="319">
        <f>ROUNDUP(T2/1.5,0)</f>
        <v>8000</v>
      </c>
      <c r="V2" s="11">
        <v>3</v>
      </c>
      <c r="W2" s="246">
        <f>Q2*20</f>
        <v>30000</v>
      </c>
      <c r="X2" s="319">
        <f>ROUNDUP(W2/1.5,0)</f>
        <v>20000</v>
      </c>
      <c r="Y2" s="63">
        <v>6</v>
      </c>
      <c r="Z2" s="63">
        <v>12</v>
      </c>
      <c r="AA2" s="63">
        <v>18</v>
      </c>
    </row>
    <row r="3" spans="1:27" x14ac:dyDescent="0.25">
      <c r="A3" s="54" t="s">
        <v>1452</v>
      </c>
      <c r="B3" s="69" t="s">
        <v>1451</v>
      </c>
      <c r="C3" s="205">
        <v>1</v>
      </c>
      <c r="D3" s="4" t="s">
        <v>1450</v>
      </c>
      <c r="E3" s="2" t="s">
        <v>1389</v>
      </c>
      <c r="F3" s="4" t="s">
        <v>734</v>
      </c>
      <c r="G3" s="205">
        <f t="shared" ref="G3:G28" si="1">I3/20</f>
        <v>595</v>
      </c>
      <c r="H3" s="205">
        <f t="shared" ref="H3:H28" si="2">I3/2</f>
        <v>5950</v>
      </c>
      <c r="I3" s="205">
        <f>I2-100</f>
        <v>11900</v>
      </c>
      <c r="J3" s="306" t="str">
        <f t="shared" si="0"/>
        <v>Kim Cương:1:Vàng:1600:Kinh Nghiệm:1067</v>
      </c>
      <c r="K3" s="305" t="str">
        <f t="shared" ref="K3:K54" si="3">CONCATENATE($P$1&amp;":"&amp;S3&amp;":"&amp;$Q$1&amp;":"&amp;T3&amp;":"&amp;$R$1&amp;":"&amp;U3)</f>
        <v>Kim Cương:2:Vàng:12800:Kinh Nghiệm:8534</v>
      </c>
      <c r="L3" s="305" t="str">
        <f t="shared" ref="L3:L53" si="4">CONCATENATE($P$1&amp;":"&amp;V3&amp;":"&amp;$Q$1&amp;":"&amp;W3&amp;":"&amp;$R$1&amp;":"&amp;X3)</f>
        <v>Kim Cương:3:Vàng:32000:Kinh Nghiệm:21334</v>
      </c>
      <c r="M3" s="205">
        <v>1</v>
      </c>
      <c r="N3" s="205">
        <v>2</v>
      </c>
      <c r="O3" s="205">
        <v>3</v>
      </c>
      <c r="P3" s="304">
        <v>1</v>
      </c>
      <c r="Q3" s="338">
        <f>Q2+100</f>
        <v>1600</v>
      </c>
      <c r="R3" s="319">
        <f t="shared" ref="R3:R66" si="5">ROUNDUP(Q3/1.5,0)</f>
        <v>1067</v>
      </c>
      <c r="S3" s="304">
        <v>2</v>
      </c>
      <c r="T3" s="319">
        <f t="shared" ref="T3:T12" si="6">W3/2.5</f>
        <v>12800</v>
      </c>
      <c r="U3" s="319">
        <f t="shared" ref="U3:U66" si="7">ROUNDUP(T3/1.5,0)</f>
        <v>8534</v>
      </c>
      <c r="V3" s="11">
        <v>3</v>
      </c>
      <c r="W3" s="246">
        <f t="shared" ref="W3:W66" si="8">Q3*20</f>
        <v>32000</v>
      </c>
      <c r="X3" s="319">
        <f t="shared" ref="X3:X66" si="9">ROUNDUP(W3/1.5,0)</f>
        <v>21334</v>
      </c>
      <c r="Y3" s="63">
        <v>6</v>
      </c>
      <c r="Z3" s="63">
        <v>12</v>
      </c>
      <c r="AA3" s="63">
        <v>18</v>
      </c>
    </row>
    <row r="4" spans="1:27" s="534" customFormat="1" x14ac:dyDescent="0.25">
      <c r="A4" s="356" t="s">
        <v>1449</v>
      </c>
      <c r="B4" s="525" t="s">
        <v>1448</v>
      </c>
      <c r="C4" s="526">
        <v>1</v>
      </c>
      <c r="D4" s="525" t="s">
        <v>1447</v>
      </c>
      <c r="E4" s="527" t="s">
        <v>1389</v>
      </c>
      <c r="F4" s="356" t="s">
        <v>735</v>
      </c>
      <c r="G4" s="528">
        <f t="shared" si="1"/>
        <v>590</v>
      </c>
      <c r="H4" s="528">
        <f t="shared" si="2"/>
        <v>5900</v>
      </c>
      <c r="I4" s="528">
        <f t="shared" ref="I4:I15" si="10">I3-100</f>
        <v>11800</v>
      </c>
      <c r="J4" s="529" t="str">
        <f t="shared" si="0"/>
        <v>Kim Cương:1:Vàng:1700:Kinh Nghiệm:1134</v>
      </c>
      <c r="K4" s="530" t="str">
        <f t="shared" si="3"/>
        <v>Kim Cương:2:Vàng:13600:Kinh Nghiệm:9067</v>
      </c>
      <c r="L4" s="530" t="str">
        <f t="shared" si="4"/>
        <v>Kim Cương:3:Vàng:34000:Kinh Nghiệm:22667</v>
      </c>
      <c r="M4" s="528">
        <v>1</v>
      </c>
      <c r="N4" s="528">
        <v>2</v>
      </c>
      <c r="O4" s="528">
        <v>3</v>
      </c>
      <c r="P4" s="531">
        <v>1</v>
      </c>
      <c r="Q4" s="532">
        <f t="shared" ref="Q4:Q15" si="11">Q3+100</f>
        <v>1700</v>
      </c>
      <c r="R4" s="533">
        <f t="shared" si="5"/>
        <v>1134</v>
      </c>
      <c r="S4" s="531">
        <v>2</v>
      </c>
      <c r="T4" s="533">
        <f t="shared" si="6"/>
        <v>13600</v>
      </c>
      <c r="U4" s="533">
        <f t="shared" si="7"/>
        <v>9067</v>
      </c>
      <c r="V4" s="534">
        <v>3</v>
      </c>
      <c r="W4" s="535">
        <f t="shared" si="8"/>
        <v>34000</v>
      </c>
      <c r="X4" s="533">
        <f t="shared" si="9"/>
        <v>22667</v>
      </c>
      <c r="Y4" s="536">
        <v>6</v>
      </c>
      <c r="Z4" s="536">
        <v>12</v>
      </c>
      <c r="AA4" s="536">
        <v>18</v>
      </c>
    </row>
    <row r="5" spans="1:27" x14ac:dyDescent="0.25">
      <c r="A5" s="54" t="s">
        <v>645</v>
      </c>
      <c r="B5" s="69" t="s">
        <v>1446</v>
      </c>
      <c r="C5" s="205">
        <v>1</v>
      </c>
      <c r="D5" s="4" t="s">
        <v>1445</v>
      </c>
      <c r="E5" s="2" t="s">
        <v>1389</v>
      </c>
      <c r="F5" s="4" t="s">
        <v>736</v>
      </c>
      <c r="G5" s="205">
        <f t="shared" si="1"/>
        <v>585</v>
      </c>
      <c r="H5" s="205">
        <f t="shared" si="2"/>
        <v>5850</v>
      </c>
      <c r="I5" s="205">
        <f t="shared" si="10"/>
        <v>11700</v>
      </c>
      <c r="J5" s="306" t="str">
        <f t="shared" si="0"/>
        <v>Kim Cương:1:Vàng:1800:Kinh Nghiệm:1200</v>
      </c>
      <c r="K5" s="305" t="str">
        <f t="shared" si="3"/>
        <v>Kim Cương:2:Vàng:14400:Kinh Nghiệm:9600</v>
      </c>
      <c r="L5" s="305" t="str">
        <f t="shared" si="4"/>
        <v>Kim Cương:3:Vàng:36000:Kinh Nghiệm:24000</v>
      </c>
      <c r="M5" s="205">
        <v>1</v>
      </c>
      <c r="N5" s="205">
        <v>2</v>
      </c>
      <c r="O5" s="205">
        <v>3</v>
      </c>
      <c r="P5" s="304">
        <v>1</v>
      </c>
      <c r="Q5" s="338">
        <f t="shared" si="11"/>
        <v>1800</v>
      </c>
      <c r="R5" s="319">
        <f t="shared" si="5"/>
        <v>1200</v>
      </c>
      <c r="S5" s="304">
        <v>2</v>
      </c>
      <c r="T5" s="319">
        <f>W5/2.5</f>
        <v>14400</v>
      </c>
      <c r="U5" s="319">
        <f t="shared" si="7"/>
        <v>9600</v>
      </c>
      <c r="V5" s="11">
        <v>3</v>
      </c>
      <c r="W5" s="246">
        <f t="shared" si="8"/>
        <v>36000</v>
      </c>
      <c r="X5" s="319">
        <f t="shared" si="9"/>
        <v>24000</v>
      </c>
      <c r="Y5" s="63">
        <v>6</v>
      </c>
      <c r="Z5" s="63">
        <v>12</v>
      </c>
      <c r="AA5" s="63">
        <v>18</v>
      </c>
    </row>
    <row r="6" spans="1:27" ht="14.25" customHeight="1" x14ac:dyDescent="0.25">
      <c r="A6" s="54" t="s">
        <v>1444</v>
      </c>
      <c r="B6" s="69" t="s">
        <v>1443</v>
      </c>
      <c r="C6" s="205">
        <v>1</v>
      </c>
      <c r="D6" s="2" t="s">
        <v>1442</v>
      </c>
      <c r="E6" s="2" t="s">
        <v>1389</v>
      </c>
      <c r="F6" s="54" t="s">
        <v>737</v>
      </c>
      <c r="G6" s="205">
        <f t="shared" si="1"/>
        <v>580</v>
      </c>
      <c r="H6" s="205">
        <f t="shared" si="2"/>
        <v>5800</v>
      </c>
      <c r="I6" s="205">
        <f t="shared" si="10"/>
        <v>11600</v>
      </c>
      <c r="J6" s="306" t="str">
        <f t="shared" si="0"/>
        <v>Kim Cương:1:Vàng:1900:Kinh Nghiệm:1267</v>
      </c>
      <c r="K6" s="305" t="str">
        <f t="shared" si="3"/>
        <v>Kim Cương:2:Vàng:15200:Kinh Nghiệm:10134</v>
      </c>
      <c r="L6" s="305" t="str">
        <f t="shared" si="4"/>
        <v>Kim Cương:3:Vàng:38000:Kinh Nghiệm:25334</v>
      </c>
      <c r="M6" s="205">
        <v>1</v>
      </c>
      <c r="N6" s="205">
        <v>2</v>
      </c>
      <c r="O6" s="205">
        <v>3</v>
      </c>
      <c r="P6" s="304">
        <v>1</v>
      </c>
      <c r="Q6" s="338">
        <f t="shared" si="11"/>
        <v>1900</v>
      </c>
      <c r="R6" s="319">
        <f t="shared" si="5"/>
        <v>1267</v>
      </c>
      <c r="S6" s="304">
        <v>2</v>
      </c>
      <c r="T6" s="319">
        <f t="shared" si="6"/>
        <v>15200</v>
      </c>
      <c r="U6" s="319">
        <f t="shared" si="7"/>
        <v>10134</v>
      </c>
      <c r="V6" s="11">
        <v>3</v>
      </c>
      <c r="W6" s="246">
        <f t="shared" si="8"/>
        <v>38000</v>
      </c>
      <c r="X6" s="319">
        <f t="shared" si="9"/>
        <v>25334</v>
      </c>
      <c r="Y6" s="63">
        <v>6</v>
      </c>
      <c r="Z6" s="63">
        <v>12</v>
      </c>
      <c r="AA6" s="63">
        <v>18</v>
      </c>
    </row>
    <row r="7" spans="1:27" x14ac:dyDescent="0.25">
      <c r="A7" s="54" t="s">
        <v>1229</v>
      </c>
      <c r="B7" s="69" t="s">
        <v>1404</v>
      </c>
      <c r="C7" s="205">
        <v>1</v>
      </c>
      <c r="D7" s="4" t="s">
        <v>1403</v>
      </c>
      <c r="E7" s="2" t="s">
        <v>1389</v>
      </c>
      <c r="F7" s="54" t="s">
        <v>739</v>
      </c>
      <c r="G7" s="205">
        <f t="shared" si="1"/>
        <v>575</v>
      </c>
      <c r="H7" s="205">
        <f t="shared" si="2"/>
        <v>5750</v>
      </c>
      <c r="I7" s="205">
        <f t="shared" si="10"/>
        <v>11500</v>
      </c>
      <c r="J7" s="306" t="str">
        <f t="shared" si="0"/>
        <v>Kim Cương:1:Vàng:2000:Kinh Nghiệm:1334</v>
      </c>
      <c r="K7" s="305" t="str">
        <f t="shared" si="3"/>
        <v>Kim Cương:2:Vàng:16000:Kinh Nghiệm:10667</v>
      </c>
      <c r="L7" s="305" t="str">
        <f t="shared" si="4"/>
        <v>Kim Cương:3:Vàng:40000:Kinh Nghiệm:26667</v>
      </c>
      <c r="M7" s="205">
        <v>2</v>
      </c>
      <c r="N7" s="205">
        <v>3</v>
      </c>
      <c r="O7" s="205">
        <v>4</v>
      </c>
      <c r="P7" s="304">
        <v>1</v>
      </c>
      <c r="Q7" s="338">
        <f t="shared" si="11"/>
        <v>2000</v>
      </c>
      <c r="R7" s="319">
        <f>ROUNDUP(Q7/1.5,0)</f>
        <v>1334</v>
      </c>
      <c r="S7" s="304">
        <v>2</v>
      </c>
      <c r="T7" s="319">
        <f t="shared" si="6"/>
        <v>16000</v>
      </c>
      <c r="U7" s="319">
        <f t="shared" si="7"/>
        <v>10667</v>
      </c>
      <c r="V7" s="11">
        <v>3</v>
      </c>
      <c r="W7" s="246">
        <f t="shared" si="8"/>
        <v>40000</v>
      </c>
      <c r="X7" s="319">
        <f t="shared" si="9"/>
        <v>26667</v>
      </c>
      <c r="Y7" s="63">
        <v>6</v>
      </c>
      <c r="Z7" s="63">
        <v>12</v>
      </c>
      <c r="AA7" s="63">
        <v>18</v>
      </c>
    </row>
    <row r="8" spans="1:27" x14ac:dyDescent="0.25">
      <c r="A8" s="54" t="s">
        <v>646</v>
      </c>
      <c r="B8" s="69" t="s">
        <v>1441</v>
      </c>
      <c r="C8" s="205">
        <v>1</v>
      </c>
      <c r="D8" s="4" t="s">
        <v>1440</v>
      </c>
      <c r="E8" s="2" t="s">
        <v>1389</v>
      </c>
      <c r="F8" s="4" t="s">
        <v>741</v>
      </c>
      <c r="G8" s="205">
        <f t="shared" si="1"/>
        <v>570</v>
      </c>
      <c r="H8" s="205">
        <f t="shared" si="2"/>
        <v>5700</v>
      </c>
      <c r="I8" s="205">
        <f t="shared" si="10"/>
        <v>11400</v>
      </c>
      <c r="J8" s="306" t="str">
        <f t="shared" si="0"/>
        <v>Kim Cương:1:Vàng:2100:Kinh Nghiệm:1400</v>
      </c>
      <c r="K8" s="305" t="str">
        <f t="shared" si="3"/>
        <v>Kim Cương:2:Vàng:16800:Kinh Nghiệm:11200</v>
      </c>
      <c r="L8" s="305" t="str">
        <f t="shared" si="4"/>
        <v>Kim Cương:3:Vàng:42000:Kinh Nghiệm:28000</v>
      </c>
      <c r="M8" s="205">
        <v>2</v>
      </c>
      <c r="N8" s="205">
        <v>3</v>
      </c>
      <c r="O8" s="205">
        <v>4</v>
      </c>
      <c r="P8" s="304">
        <v>1</v>
      </c>
      <c r="Q8" s="338">
        <f t="shared" si="11"/>
        <v>2100</v>
      </c>
      <c r="R8" s="319">
        <f t="shared" si="5"/>
        <v>1400</v>
      </c>
      <c r="S8" s="304">
        <v>2</v>
      </c>
      <c r="T8" s="319">
        <f t="shared" si="6"/>
        <v>16800</v>
      </c>
      <c r="U8" s="319">
        <f t="shared" si="7"/>
        <v>11200</v>
      </c>
      <c r="V8" s="11">
        <v>3</v>
      </c>
      <c r="W8" s="246">
        <f t="shared" si="8"/>
        <v>42000</v>
      </c>
      <c r="X8" s="319">
        <f t="shared" si="9"/>
        <v>28000</v>
      </c>
      <c r="Y8" s="63">
        <v>6</v>
      </c>
      <c r="Z8" s="63">
        <v>12</v>
      </c>
      <c r="AA8" s="63">
        <v>18</v>
      </c>
    </row>
    <row r="9" spans="1:27" x14ac:dyDescent="0.25">
      <c r="A9" s="54" t="s">
        <v>1230</v>
      </c>
      <c r="B9" s="69" t="s">
        <v>1401</v>
      </c>
      <c r="C9" s="205">
        <v>1</v>
      </c>
      <c r="D9" s="4" t="s">
        <v>1400</v>
      </c>
      <c r="E9" s="2" t="s">
        <v>1389</v>
      </c>
      <c r="F9" s="54" t="s">
        <v>745</v>
      </c>
      <c r="G9" s="205">
        <f t="shared" si="1"/>
        <v>565</v>
      </c>
      <c r="H9" s="205">
        <f t="shared" si="2"/>
        <v>5650</v>
      </c>
      <c r="I9" s="205">
        <f t="shared" si="10"/>
        <v>11300</v>
      </c>
      <c r="J9" s="306" t="str">
        <f t="shared" si="0"/>
        <v>Kim Cương:1:Vàng:2200:Kinh Nghiệm:1467</v>
      </c>
      <c r="K9" s="305" t="str">
        <f t="shared" si="3"/>
        <v>Kim Cương:2:Vàng:17600:Kinh Nghiệm:11734</v>
      </c>
      <c r="L9" s="305" t="str">
        <f t="shared" si="4"/>
        <v>Kim Cương:3:Vàng:44000:Kinh Nghiệm:29334</v>
      </c>
      <c r="M9" s="205">
        <v>2</v>
      </c>
      <c r="N9" s="205">
        <v>3</v>
      </c>
      <c r="O9" s="205">
        <v>4</v>
      </c>
      <c r="P9" s="304">
        <v>1</v>
      </c>
      <c r="Q9" s="338">
        <f t="shared" si="11"/>
        <v>2200</v>
      </c>
      <c r="R9" s="319">
        <f t="shared" si="5"/>
        <v>1467</v>
      </c>
      <c r="S9" s="304">
        <v>2</v>
      </c>
      <c r="T9" s="319">
        <f t="shared" si="6"/>
        <v>17600</v>
      </c>
      <c r="U9" s="319">
        <f t="shared" si="7"/>
        <v>11734</v>
      </c>
      <c r="V9" s="11">
        <v>3</v>
      </c>
      <c r="W9" s="246">
        <f t="shared" si="8"/>
        <v>44000</v>
      </c>
      <c r="X9" s="319">
        <f t="shared" si="9"/>
        <v>29334</v>
      </c>
      <c r="Y9" s="63">
        <v>6</v>
      </c>
      <c r="Z9" s="63">
        <v>12</v>
      </c>
      <c r="AA9" s="63">
        <v>18</v>
      </c>
    </row>
    <row r="10" spans="1:27" x14ac:dyDescent="0.25">
      <c r="A10" s="54" t="s">
        <v>1228</v>
      </c>
      <c r="B10" s="4" t="s">
        <v>1439</v>
      </c>
      <c r="C10" s="4">
        <v>1</v>
      </c>
      <c r="D10" s="4" t="s">
        <v>1438</v>
      </c>
      <c r="E10" s="2" t="s">
        <v>1389</v>
      </c>
      <c r="F10" s="54" t="s">
        <v>747</v>
      </c>
      <c r="G10" s="205">
        <f t="shared" si="1"/>
        <v>560</v>
      </c>
      <c r="H10" s="205">
        <f t="shared" si="2"/>
        <v>5600</v>
      </c>
      <c r="I10" s="205">
        <f t="shared" si="10"/>
        <v>11200</v>
      </c>
      <c r="J10" s="306" t="str">
        <f t="shared" si="0"/>
        <v>Kim Cương:1:Vàng:2300:Kinh Nghiệm:1534</v>
      </c>
      <c r="K10" s="305" t="str">
        <f t="shared" si="3"/>
        <v>Kim Cương:2:Vàng:18400:Kinh Nghiệm:12267</v>
      </c>
      <c r="L10" s="305" t="str">
        <f t="shared" si="4"/>
        <v>Kim Cương:3:Vàng:46000:Kinh Nghiệm:30667</v>
      </c>
      <c r="M10" s="205">
        <v>2</v>
      </c>
      <c r="N10" s="205">
        <v>3</v>
      </c>
      <c r="O10" s="205">
        <v>4</v>
      </c>
      <c r="P10" s="304">
        <v>1</v>
      </c>
      <c r="Q10" s="338">
        <f t="shared" si="11"/>
        <v>2300</v>
      </c>
      <c r="R10" s="319">
        <f t="shared" si="5"/>
        <v>1534</v>
      </c>
      <c r="S10" s="304">
        <v>2</v>
      </c>
      <c r="T10" s="319">
        <f t="shared" si="6"/>
        <v>18400</v>
      </c>
      <c r="U10" s="319">
        <f t="shared" si="7"/>
        <v>12267</v>
      </c>
      <c r="V10" s="11">
        <v>3</v>
      </c>
      <c r="W10" s="246">
        <f t="shared" si="8"/>
        <v>46000</v>
      </c>
      <c r="X10" s="319">
        <f t="shared" si="9"/>
        <v>30667</v>
      </c>
      <c r="Y10" s="63">
        <v>6</v>
      </c>
      <c r="Z10" s="63">
        <v>12</v>
      </c>
      <c r="AA10" s="63">
        <v>18</v>
      </c>
    </row>
    <row r="11" spans="1:27" x14ac:dyDescent="0.25">
      <c r="A11" s="54" t="s">
        <v>647</v>
      </c>
      <c r="B11" s="69" t="s">
        <v>1399</v>
      </c>
      <c r="C11" s="205">
        <v>1</v>
      </c>
      <c r="D11" s="4" t="s">
        <v>1398</v>
      </c>
      <c r="E11" s="2" t="s">
        <v>1389</v>
      </c>
      <c r="F11" s="54" t="s">
        <v>748</v>
      </c>
      <c r="G11" s="205">
        <f t="shared" si="1"/>
        <v>555</v>
      </c>
      <c r="H11" s="205">
        <f t="shared" si="2"/>
        <v>5550</v>
      </c>
      <c r="I11" s="205">
        <f t="shared" si="10"/>
        <v>11100</v>
      </c>
      <c r="J11" s="306" t="str">
        <f t="shared" si="0"/>
        <v>Kim Cương:1:Vàng:2400:Kinh Nghiệm:1600</v>
      </c>
      <c r="K11" s="305" t="str">
        <f t="shared" si="3"/>
        <v>Kim Cương:2:Vàng:19200:Kinh Nghiệm:12800</v>
      </c>
      <c r="L11" s="305" t="str">
        <f t="shared" si="4"/>
        <v>Kim Cương:3:Vàng:48000:Kinh Nghiệm:32000</v>
      </c>
      <c r="M11" s="205">
        <v>2</v>
      </c>
      <c r="N11" s="205">
        <v>3</v>
      </c>
      <c r="O11" s="205">
        <v>4</v>
      </c>
      <c r="P11" s="304">
        <v>1</v>
      </c>
      <c r="Q11" s="338">
        <f t="shared" si="11"/>
        <v>2400</v>
      </c>
      <c r="R11" s="319">
        <f t="shared" si="5"/>
        <v>1600</v>
      </c>
      <c r="S11" s="304">
        <v>2</v>
      </c>
      <c r="T11" s="319">
        <f t="shared" si="6"/>
        <v>19200</v>
      </c>
      <c r="U11" s="319">
        <f t="shared" si="7"/>
        <v>12800</v>
      </c>
      <c r="V11" s="11">
        <v>3</v>
      </c>
      <c r="W11" s="246">
        <f t="shared" si="8"/>
        <v>48000</v>
      </c>
      <c r="X11" s="319">
        <f t="shared" si="9"/>
        <v>32000</v>
      </c>
      <c r="Y11" s="63">
        <v>6</v>
      </c>
      <c r="Z11" s="63">
        <v>12</v>
      </c>
      <c r="AA11" s="63">
        <v>18</v>
      </c>
    </row>
    <row r="12" spans="1:27" x14ac:dyDescent="0.25">
      <c r="A12" s="54" t="s">
        <v>1227</v>
      </c>
      <c r="B12" s="69" t="s">
        <v>1437</v>
      </c>
      <c r="C12" s="205">
        <v>1</v>
      </c>
      <c r="D12" s="4" t="s">
        <v>1436</v>
      </c>
      <c r="E12" s="2" t="s">
        <v>1389</v>
      </c>
      <c r="F12" s="4" t="s">
        <v>749</v>
      </c>
      <c r="G12" s="205">
        <f t="shared" si="1"/>
        <v>550</v>
      </c>
      <c r="H12" s="205">
        <f t="shared" si="2"/>
        <v>5500</v>
      </c>
      <c r="I12" s="205">
        <f t="shared" si="10"/>
        <v>11000</v>
      </c>
      <c r="J12" s="306" t="str">
        <f t="shared" si="0"/>
        <v>Kim Cương:1:Vàng:2500:Kinh Nghiệm:1667</v>
      </c>
      <c r="K12" s="305" t="str">
        <f t="shared" si="3"/>
        <v>Kim Cương:2:Vàng:20000:Kinh Nghiệm:13334</v>
      </c>
      <c r="L12" s="305" t="str">
        <f t="shared" si="4"/>
        <v>Kim Cương:3:Vàng:50000:Kinh Nghiệm:33334</v>
      </c>
      <c r="M12" s="205">
        <v>2</v>
      </c>
      <c r="N12" s="205">
        <v>3</v>
      </c>
      <c r="O12" s="205">
        <v>4</v>
      </c>
      <c r="P12" s="304">
        <v>1</v>
      </c>
      <c r="Q12" s="338">
        <f t="shared" si="11"/>
        <v>2500</v>
      </c>
      <c r="R12" s="319">
        <f t="shared" si="5"/>
        <v>1667</v>
      </c>
      <c r="S12" s="304">
        <v>2</v>
      </c>
      <c r="T12" s="319">
        <f t="shared" si="6"/>
        <v>20000</v>
      </c>
      <c r="U12" s="319">
        <f t="shared" si="7"/>
        <v>13334</v>
      </c>
      <c r="V12" s="11">
        <v>3</v>
      </c>
      <c r="W12" s="246">
        <f t="shared" si="8"/>
        <v>50000</v>
      </c>
      <c r="X12" s="319">
        <f t="shared" si="9"/>
        <v>33334</v>
      </c>
      <c r="Y12" s="63">
        <v>6</v>
      </c>
      <c r="Z12" s="63">
        <v>12</v>
      </c>
      <c r="AA12" s="63">
        <v>18</v>
      </c>
    </row>
    <row r="13" spans="1:27" x14ac:dyDescent="0.25">
      <c r="A13" s="54" t="s">
        <v>1429</v>
      </c>
      <c r="B13" s="69" t="s">
        <v>1397</v>
      </c>
      <c r="C13" s="205">
        <v>1</v>
      </c>
      <c r="D13" s="4" t="s">
        <v>1396</v>
      </c>
      <c r="E13" s="2" t="s">
        <v>1389</v>
      </c>
      <c r="F13" s="54" t="s">
        <v>750</v>
      </c>
      <c r="G13" s="205">
        <f t="shared" si="1"/>
        <v>545</v>
      </c>
      <c r="H13" s="205">
        <f t="shared" si="2"/>
        <v>5450</v>
      </c>
      <c r="I13" s="205">
        <f t="shared" si="10"/>
        <v>10900</v>
      </c>
      <c r="J13" s="306" t="str">
        <f t="shared" si="0"/>
        <v>Kim Cương:1:Vàng:2600:Kinh Nghiệm:1734</v>
      </c>
      <c r="K13" s="305" t="str">
        <f t="shared" si="3"/>
        <v>Kim Cương:2:Vàng:20800:Kinh Nghiệm:13867</v>
      </c>
      <c r="L13" s="305" t="str">
        <f t="shared" si="4"/>
        <v>Kim Cương:3:Vàng:52000:Kinh Nghiệm:34667</v>
      </c>
      <c r="M13" s="205">
        <v>2</v>
      </c>
      <c r="N13" s="205">
        <v>3</v>
      </c>
      <c r="O13" s="205">
        <v>4</v>
      </c>
      <c r="P13" s="304">
        <v>1</v>
      </c>
      <c r="Q13" s="338">
        <f t="shared" si="11"/>
        <v>2600</v>
      </c>
      <c r="R13" s="319">
        <f t="shared" si="5"/>
        <v>1734</v>
      </c>
      <c r="S13" s="304">
        <v>2</v>
      </c>
      <c r="T13" s="319">
        <f t="shared" ref="T13:T25" si="12">W13/2.5</f>
        <v>20800</v>
      </c>
      <c r="U13" s="319">
        <f t="shared" si="7"/>
        <v>13867</v>
      </c>
      <c r="V13" s="11">
        <v>3</v>
      </c>
      <c r="W13" s="246">
        <f t="shared" si="8"/>
        <v>52000</v>
      </c>
      <c r="X13" s="319">
        <f t="shared" si="9"/>
        <v>34667</v>
      </c>
      <c r="Y13" s="63">
        <v>6</v>
      </c>
      <c r="Z13" s="63">
        <v>12</v>
      </c>
      <c r="AA13" s="63">
        <v>18</v>
      </c>
    </row>
    <row r="14" spans="1:27" x14ac:dyDescent="0.25">
      <c r="A14" s="54" t="s">
        <v>648</v>
      </c>
      <c r="B14" s="69" t="s">
        <v>1394</v>
      </c>
      <c r="C14" s="205">
        <v>1</v>
      </c>
      <c r="D14" s="4" t="s">
        <v>1393</v>
      </c>
      <c r="E14" s="2" t="s">
        <v>1389</v>
      </c>
      <c r="F14" s="54" t="s">
        <v>751</v>
      </c>
      <c r="G14" s="205">
        <f t="shared" si="1"/>
        <v>540</v>
      </c>
      <c r="H14" s="205">
        <f t="shared" si="2"/>
        <v>5400</v>
      </c>
      <c r="I14" s="205">
        <f t="shared" si="10"/>
        <v>10800</v>
      </c>
      <c r="J14" s="306" t="str">
        <f t="shared" si="0"/>
        <v>Kim Cương:1:Vàng:2700:Kinh Nghiệm:1800</v>
      </c>
      <c r="K14" s="305" t="str">
        <f t="shared" si="3"/>
        <v>Kim Cương:2:Vàng:21600:Kinh Nghiệm:14400</v>
      </c>
      <c r="L14" s="305" t="str">
        <f t="shared" si="4"/>
        <v>Kim Cương:3:Vàng:54000:Kinh Nghiệm:36000</v>
      </c>
      <c r="M14" s="205">
        <v>2</v>
      </c>
      <c r="N14" s="205">
        <v>3</v>
      </c>
      <c r="O14" s="205">
        <v>4</v>
      </c>
      <c r="P14" s="304">
        <v>1</v>
      </c>
      <c r="Q14" s="338">
        <f t="shared" si="11"/>
        <v>2700</v>
      </c>
      <c r="R14" s="319">
        <f t="shared" si="5"/>
        <v>1800</v>
      </c>
      <c r="S14" s="304">
        <v>2</v>
      </c>
      <c r="T14" s="319">
        <f t="shared" si="12"/>
        <v>21600</v>
      </c>
      <c r="U14" s="319">
        <f t="shared" si="7"/>
        <v>14400</v>
      </c>
      <c r="V14" s="11">
        <v>3</v>
      </c>
      <c r="W14" s="246">
        <f t="shared" si="8"/>
        <v>54000</v>
      </c>
      <c r="X14" s="319">
        <f t="shared" si="9"/>
        <v>36000</v>
      </c>
      <c r="Y14" s="63">
        <v>6</v>
      </c>
      <c r="Z14" s="63">
        <v>12</v>
      </c>
      <c r="AA14" s="63">
        <v>18</v>
      </c>
    </row>
    <row r="15" spans="1:27" x14ac:dyDescent="0.25">
      <c r="A15" s="54" t="s">
        <v>1422</v>
      </c>
      <c r="B15" s="69" t="s">
        <v>1391</v>
      </c>
      <c r="C15" s="205">
        <v>1</v>
      </c>
      <c r="D15" s="4" t="s">
        <v>1390</v>
      </c>
      <c r="E15" s="2" t="s">
        <v>1389</v>
      </c>
      <c r="F15" s="54" t="s">
        <v>752</v>
      </c>
      <c r="G15" s="205">
        <f t="shared" si="1"/>
        <v>535</v>
      </c>
      <c r="H15" s="205">
        <f t="shared" si="2"/>
        <v>5350</v>
      </c>
      <c r="I15" s="205">
        <f t="shared" si="10"/>
        <v>10700</v>
      </c>
      <c r="J15" s="306" t="str">
        <f t="shared" si="0"/>
        <v>Kim Cương:1:Vàng:2800:Kinh Nghiệm:1867</v>
      </c>
      <c r="K15" s="305" t="str">
        <f t="shared" si="3"/>
        <v>Kim Cương:2:Vàng:22400:Kinh Nghiệm:14934</v>
      </c>
      <c r="L15" s="305" t="str">
        <f t="shared" si="4"/>
        <v>Kim Cương:3:Vàng:56000:Kinh Nghiệm:37334</v>
      </c>
      <c r="M15" s="205">
        <v>2</v>
      </c>
      <c r="N15" s="205">
        <v>3</v>
      </c>
      <c r="O15" s="205">
        <v>4</v>
      </c>
      <c r="P15" s="304">
        <v>1</v>
      </c>
      <c r="Q15" s="338">
        <f t="shared" si="11"/>
        <v>2800</v>
      </c>
      <c r="R15" s="319">
        <f t="shared" si="5"/>
        <v>1867</v>
      </c>
      <c r="S15" s="304">
        <v>2</v>
      </c>
      <c r="T15" s="319">
        <f t="shared" si="12"/>
        <v>22400</v>
      </c>
      <c r="U15" s="319">
        <f t="shared" si="7"/>
        <v>14934</v>
      </c>
      <c r="V15" s="11">
        <v>3</v>
      </c>
      <c r="W15" s="246">
        <f t="shared" si="8"/>
        <v>56000</v>
      </c>
      <c r="X15" s="319">
        <f t="shared" si="9"/>
        <v>37334</v>
      </c>
      <c r="Y15" s="63">
        <v>6</v>
      </c>
      <c r="Z15" s="63">
        <v>12</v>
      </c>
      <c r="AA15" s="63">
        <v>18</v>
      </c>
    </row>
    <row r="16" spans="1:27" x14ac:dyDescent="0.25">
      <c r="A16" s="54" t="s">
        <v>1418</v>
      </c>
      <c r="B16" s="339" t="s">
        <v>1435</v>
      </c>
      <c r="C16" s="205">
        <v>1</v>
      </c>
      <c r="D16" s="4" t="s">
        <v>1434</v>
      </c>
      <c r="E16" s="2" t="s">
        <v>1311</v>
      </c>
      <c r="F16" s="4" t="s">
        <v>97</v>
      </c>
      <c r="G16" s="205">
        <f t="shared" si="1"/>
        <v>500</v>
      </c>
      <c r="H16" s="205">
        <f t="shared" si="2"/>
        <v>5000</v>
      </c>
      <c r="I16" s="205">
        <v>10000</v>
      </c>
      <c r="J16" s="306" t="str">
        <f t="shared" si="0"/>
        <v>Kim Cương:2:Vàng:3000:Kinh Nghiệm:2000</v>
      </c>
      <c r="K16" s="305" t="str">
        <f t="shared" si="3"/>
        <v>Kim Cương:2:Vàng:24000:Kinh Nghiệm:16000</v>
      </c>
      <c r="L16" s="305" t="str">
        <f t="shared" si="4"/>
        <v>Kim Cương:3:Vàng:60000:Kinh Nghiệm:40000</v>
      </c>
      <c r="M16" s="205">
        <v>3</v>
      </c>
      <c r="N16" s="205">
        <v>3</v>
      </c>
      <c r="O16" s="205">
        <v>4</v>
      </c>
      <c r="P16" s="304">
        <v>2</v>
      </c>
      <c r="Q16" s="338">
        <f>Q2*2</f>
        <v>3000</v>
      </c>
      <c r="R16" s="319">
        <f t="shared" si="5"/>
        <v>2000</v>
      </c>
      <c r="S16" s="304">
        <v>2</v>
      </c>
      <c r="T16" s="319">
        <f t="shared" si="12"/>
        <v>24000</v>
      </c>
      <c r="U16" s="319">
        <f t="shared" si="7"/>
        <v>16000</v>
      </c>
      <c r="V16" s="11">
        <v>3</v>
      </c>
      <c r="W16" s="246">
        <f t="shared" si="8"/>
        <v>60000</v>
      </c>
      <c r="X16" s="319">
        <f t="shared" si="9"/>
        <v>40000</v>
      </c>
      <c r="Y16" s="63">
        <v>3</v>
      </c>
      <c r="Z16" s="63">
        <v>5</v>
      </c>
      <c r="AA16" s="63">
        <v>7</v>
      </c>
    </row>
    <row r="17" spans="1:27" x14ac:dyDescent="0.25">
      <c r="A17" s="54" t="s">
        <v>649</v>
      </c>
      <c r="B17" s="339" t="s">
        <v>1433</v>
      </c>
      <c r="C17" s="205">
        <v>1</v>
      </c>
      <c r="D17" s="4" t="s">
        <v>1432</v>
      </c>
      <c r="E17" s="2" t="s">
        <v>1311</v>
      </c>
      <c r="F17" s="30" t="s">
        <v>99</v>
      </c>
      <c r="G17" s="205">
        <f t="shared" si="1"/>
        <v>495</v>
      </c>
      <c r="H17" s="205">
        <f t="shared" si="2"/>
        <v>4950</v>
      </c>
      <c r="I17" s="205">
        <f>I16-100</f>
        <v>9900</v>
      </c>
      <c r="J17" s="306" t="str">
        <f t="shared" si="0"/>
        <v>Kim Cương:2:Vàng:3500:Kinh Nghiệm:2334</v>
      </c>
      <c r="K17" s="305" t="str">
        <f t="shared" si="3"/>
        <v>Kim Cương:2:Vàng:28000:Kinh Nghiệm:18667</v>
      </c>
      <c r="L17" s="305" t="str">
        <f t="shared" si="4"/>
        <v>Kim Cương:3:Vàng:70000:Kinh Nghiệm:46667</v>
      </c>
      <c r="M17" s="205">
        <v>3</v>
      </c>
      <c r="N17" s="205">
        <v>3</v>
      </c>
      <c r="O17" s="205">
        <v>4</v>
      </c>
      <c r="P17" s="304">
        <v>2</v>
      </c>
      <c r="Q17" s="338">
        <f>Q16+500</f>
        <v>3500</v>
      </c>
      <c r="R17" s="319">
        <f t="shared" si="5"/>
        <v>2334</v>
      </c>
      <c r="S17" s="304">
        <v>2</v>
      </c>
      <c r="T17" s="319">
        <f t="shared" si="12"/>
        <v>28000</v>
      </c>
      <c r="U17" s="319">
        <f t="shared" si="7"/>
        <v>18667</v>
      </c>
      <c r="V17" s="11">
        <v>3</v>
      </c>
      <c r="W17" s="246">
        <f t="shared" si="8"/>
        <v>70000</v>
      </c>
      <c r="X17" s="319">
        <f t="shared" si="9"/>
        <v>46667</v>
      </c>
      <c r="Y17" s="63">
        <v>3</v>
      </c>
      <c r="Z17" s="63">
        <v>5</v>
      </c>
      <c r="AA17" s="63">
        <v>7</v>
      </c>
    </row>
    <row r="18" spans="1:27" x14ac:dyDescent="0.25">
      <c r="A18" s="54" t="s">
        <v>1411</v>
      </c>
      <c r="B18" s="339" t="s">
        <v>1431</v>
      </c>
      <c r="C18" s="205">
        <v>1</v>
      </c>
      <c r="D18" s="4" t="s">
        <v>1430</v>
      </c>
      <c r="E18" s="2" t="s">
        <v>1311</v>
      </c>
      <c r="F18" s="30" t="s">
        <v>101</v>
      </c>
      <c r="G18" s="205">
        <f t="shared" si="1"/>
        <v>490</v>
      </c>
      <c r="H18" s="205">
        <f t="shared" si="2"/>
        <v>4900</v>
      </c>
      <c r="I18" s="205">
        <f t="shared" ref="I18:I25" si="13">I17-100</f>
        <v>9800</v>
      </c>
      <c r="J18" s="306" t="str">
        <f t="shared" si="0"/>
        <v>Kim Cương:2:Vàng:4000:Kinh Nghiệm:2667</v>
      </c>
      <c r="K18" s="305" t="str">
        <f t="shared" si="3"/>
        <v>Kim Cương:2:Vàng:32000:Kinh Nghiệm:21334</v>
      </c>
      <c r="L18" s="305" t="str">
        <f t="shared" si="4"/>
        <v>Kim Cương:3:Vàng:80000:Kinh Nghiệm:53334</v>
      </c>
      <c r="M18" s="205">
        <v>3</v>
      </c>
      <c r="N18" s="205">
        <v>3</v>
      </c>
      <c r="O18" s="205">
        <v>4</v>
      </c>
      <c r="P18" s="304">
        <v>2</v>
      </c>
      <c r="Q18" s="338">
        <f t="shared" ref="Q18:Q25" si="14">Q17+500</f>
        <v>4000</v>
      </c>
      <c r="R18" s="319">
        <f t="shared" si="5"/>
        <v>2667</v>
      </c>
      <c r="S18" s="304">
        <v>2</v>
      </c>
      <c r="T18" s="319">
        <f t="shared" si="12"/>
        <v>32000</v>
      </c>
      <c r="U18" s="319">
        <f t="shared" si="7"/>
        <v>21334</v>
      </c>
      <c r="V18" s="11">
        <v>3</v>
      </c>
      <c r="W18" s="246">
        <f t="shared" si="8"/>
        <v>80000</v>
      </c>
      <c r="X18" s="319">
        <f t="shared" si="9"/>
        <v>53334</v>
      </c>
      <c r="Y18" s="63">
        <v>3</v>
      </c>
      <c r="Z18" s="63">
        <v>5</v>
      </c>
      <c r="AA18" s="63">
        <v>7</v>
      </c>
    </row>
    <row r="19" spans="1:27" x14ac:dyDescent="0.25">
      <c r="A19" s="54" t="s">
        <v>1407</v>
      </c>
      <c r="B19" s="6" t="s">
        <v>1406</v>
      </c>
      <c r="C19" s="205">
        <v>1</v>
      </c>
      <c r="D19" s="4" t="s">
        <v>1405</v>
      </c>
      <c r="E19" s="2" t="s">
        <v>1311</v>
      </c>
      <c r="F19" s="30" t="s">
        <v>103</v>
      </c>
      <c r="G19" s="205">
        <f t="shared" si="1"/>
        <v>485</v>
      </c>
      <c r="H19" s="205">
        <f t="shared" si="2"/>
        <v>4850</v>
      </c>
      <c r="I19" s="205">
        <f t="shared" si="13"/>
        <v>9700</v>
      </c>
      <c r="J19" s="306" t="str">
        <f t="shared" si="0"/>
        <v>Kim Cương:2:Vàng:4500:Kinh Nghiệm:3000</v>
      </c>
      <c r="K19" s="305" t="str">
        <f t="shared" si="3"/>
        <v>Kim Cương:2:Vàng:36000:Kinh Nghiệm:24000</v>
      </c>
      <c r="L19" s="305" t="str">
        <f t="shared" si="4"/>
        <v>Kim Cương:3:Vàng:90000:Kinh Nghiệm:60000</v>
      </c>
      <c r="M19" s="205">
        <v>3</v>
      </c>
      <c r="N19" s="205">
        <v>3</v>
      </c>
      <c r="O19" s="205">
        <v>4</v>
      </c>
      <c r="P19" s="304">
        <v>2</v>
      </c>
      <c r="Q19" s="338">
        <f t="shared" si="14"/>
        <v>4500</v>
      </c>
      <c r="R19" s="319">
        <f t="shared" si="5"/>
        <v>3000</v>
      </c>
      <c r="S19" s="304">
        <v>2</v>
      </c>
      <c r="T19" s="319">
        <f t="shared" si="12"/>
        <v>36000</v>
      </c>
      <c r="U19" s="319">
        <f t="shared" si="7"/>
        <v>24000</v>
      </c>
      <c r="V19" s="11">
        <v>3</v>
      </c>
      <c r="W19" s="246">
        <f t="shared" si="8"/>
        <v>90000</v>
      </c>
      <c r="X19" s="319">
        <f t="shared" si="9"/>
        <v>60000</v>
      </c>
      <c r="Y19" s="63">
        <v>3</v>
      </c>
      <c r="Z19" s="63">
        <v>5</v>
      </c>
      <c r="AA19" s="63">
        <v>7</v>
      </c>
    </row>
    <row r="20" spans="1:27" x14ac:dyDescent="0.25">
      <c r="A20" s="54" t="s">
        <v>650</v>
      </c>
      <c r="B20" s="339" t="s">
        <v>1388</v>
      </c>
      <c r="C20" s="205">
        <v>1</v>
      </c>
      <c r="D20" s="4" t="s">
        <v>1387</v>
      </c>
      <c r="E20" s="2" t="s">
        <v>1311</v>
      </c>
      <c r="F20" s="30" t="s">
        <v>105</v>
      </c>
      <c r="G20" s="205">
        <f t="shared" si="1"/>
        <v>480</v>
      </c>
      <c r="H20" s="205">
        <f t="shared" si="2"/>
        <v>4800</v>
      </c>
      <c r="I20" s="205">
        <f t="shared" si="13"/>
        <v>9600</v>
      </c>
      <c r="J20" s="306" t="str">
        <f t="shared" si="0"/>
        <v>Kim Cương:2:Vàng:5000:Kinh Nghiệm:3334</v>
      </c>
      <c r="K20" s="305" t="str">
        <f t="shared" si="3"/>
        <v>Kim Cương:2:Vàng:40000:Kinh Nghiệm:26667</v>
      </c>
      <c r="L20" s="305" t="str">
        <f t="shared" si="4"/>
        <v>Kim Cương:3:Vàng:100000:Kinh Nghiệm:66667</v>
      </c>
      <c r="M20" s="205">
        <v>3</v>
      </c>
      <c r="N20" s="205">
        <v>4</v>
      </c>
      <c r="O20" s="205">
        <v>5</v>
      </c>
      <c r="P20" s="304">
        <v>2</v>
      </c>
      <c r="Q20" s="338">
        <f t="shared" si="14"/>
        <v>5000</v>
      </c>
      <c r="R20" s="319">
        <f t="shared" si="5"/>
        <v>3334</v>
      </c>
      <c r="S20" s="304">
        <v>2</v>
      </c>
      <c r="T20" s="319">
        <f t="shared" si="12"/>
        <v>40000</v>
      </c>
      <c r="U20" s="319">
        <f t="shared" si="7"/>
        <v>26667</v>
      </c>
      <c r="V20" s="11">
        <v>3</v>
      </c>
      <c r="W20" s="246">
        <f t="shared" si="8"/>
        <v>100000</v>
      </c>
      <c r="X20" s="319">
        <f t="shared" si="9"/>
        <v>66667</v>
      </c>
      <c r="Y20" s="63">
        <v>3</v>
      </c>
      <c r="Z20" s="63">
        <v>5</v>
      </c>
      <c r="AA20" s="63">
        <v>7</v>
      </c>
    </row>
    <row r="21" spans="1:27" x14ac:dyDescent="0.25">
      <c r="A21" s="54" t="s">
        <v>1402</v>
      </c>
      <c r="B21" s="339" t="s">
        <v>1386</v>
      </c>
      <c r="C21" s="205">
        <v>1</v>
      </c>
      <c r="D21" s="2" t="s">
        <v>1385</v>
      </c>
      <c r="E21" s="2" t="s">
        <v>1311</v>
      </c>
      <c r="F21" s="30" t="s">
        <v>107</v>
      </c>
      <c r="G21" s="205">
        <f t="shared" si="1"/>
        <v>475</v>
      </c>
      <c r="H21" s="205">
        <f t="shared" si="2"/>
        <v>4750</v>
      </c>
      <c r="I21" s="205">
        <f t="shared" si="13"/>
        <v>9500</v>
      </c>
      <c r="J21" s="306" t="str">
        <f t="shared" si="0"/>
        <v>Kim Cương:2:Vàng:5500:Kinh Nghiệm:3667</v>
      </c>
      <c r="K21" s="305" t="str">
        <f t="shared" si="3"/>
        <v>Kim Cương:2:Vàng:44000:Kinh Nghiệm:29334</v>
      </c>
      <c r="L21" s="305" t="str">
        <f t="shared" si="4"/>
        <v>Kim Cương:3:Vàng:110000:Kinh Nghiệm:73334</v>
      </c>
      <c r="M21" s="205">
        <v>3</v>
      </c>
      <c r="N21" s="205">
        <v>4</v>
      </c>
      <c r="O21" s="205">
        <v>5</v>
      </c>
      <c r="P21" s="304">
        <v>2</v>
      </c>
      <c r="Q21" s="338">
        <f t="shared" si="14"/>
        <v>5500</v>
      </c>
      <c r="R21" s="319">
        <f t="shared" si="5"/>
        <v>3667</v>
      </c>
      <c r="S21" s="304">
        <v>2</v>
      </c>
      <c r="T21" s="319">
        <f t="shared" si="12"/>
        <v>44000</v>
      </c>
      <c r="U21" s="319">
        <f t="shared" si="7"/>
        <v>29334</v>
      </c>
      <c r="V21" s="11">
        <v>3</v>
      </c>
      <c r="W21" s="246">
        <f t="shared" si="8"/>
        <v>110000</v>
      </c>
      <c r="X21" s="319">
        <f t="shared" si="9"/>
        <v>73334</v>
      </c>
      <c r="Y21" s="63">
        <v>3</v>
      </c>
      <c r="Z21" s="63">
        <v>5</v>
      </c>
      <c r="AA21" s="63">
        <v>7</v>
      </c>
    </row>
    <row r="22" spans="1:27" x14ac:dyDescent="0.25">
      <c r="A22" s="54" t="s">
        <v>1231</v>
      </c>
      <c r="B22" s="339" t="s">
        <v>1383</v>
      </c>
      <c r="C22" s="205">
        <v>1</v>
      </c>
      <c r="D22" s="4" t="s">
        <v>1382</v>
      </c>
      <c r="E22" s="2" t="s">
        <v>1311</v>
      </c>
      <c r="F22" s="30" t="s">
        <v>109</v>
      </c>
      <c r="G22" s="205">
        <f t="shared" si="1"/>
        <v>470</v>
      </c>
      <c r="H22" s="205">
        <f t="shared" si="2"/>
        <v>4700</v>
      </c>
      <c r="I22" s="205">
        <f t="shared" si="13"/>
        <v>9400</v>
      </c>
      <c r="J22" s="306" t="str">
        <f t="shared" si="0"/>
        <v>Kim Cương:2:Vàng:6000:Kinh Nghiệm:4000</v>
      </c>
      <c r="K22" s="305" t="str">
        <f t="shared" si="3"/>
        <v>Kim Cương:2:Vàng:48000:Kinh Nghiệm:32000</v>
      </c>
      <c r="L22" s="305" t="str">
        <f t="shared" si="4"/>
        <v>Kim Cương:3:Vàng:120000:Kinh Nghiệm:80000</v>
      </c>
      <c r="M22" s="205">
        <v>3</v>
      </c>
      <c r="N22" s="205">
        <v>4</v>
      </c>
      <c r="O22" s="205">
        <v>5</v>
      </c>
      <c r="P22" s="304">
        <v>2</v>
      </c>
      <c r="Q22" s="338">
        <f t="shared" si="14"/>
        <v>6000</v>
      </c>
      <c r="R22" s="319">
        <f t="shared" si="5"/>
        <v>4000</v>
      </c>
      <c r="S22" s="304">
        <v>2</v>
      </c>
      <c r="T22" s="319">
        <f t="shared" si="12"/>
        <v>48000</v>
      </c>
      <c r="U22" s="319">
        <f t="shared" si="7"/>
        <v>32000</v>
      </c>
      <c r="V22" s="11">
        <v>3</v>
      </c>
      <c r="W22" s="246">
        <f t="shared" si="8"/>
        <v>120000</v>
      </c>
      <c r="X22" s="319">
        <f t="shared" si="9"/>
        <v>80000</v>
      </c>
      <c r="Y22" s="63">
        <v>3</v>
      </c>
      <c r="Z22" s="63">
        <v>5</v>
      </c>
      <c r="AA22" s="63">
        <v>7</v>
      </c>
    </row>
    <row r="23" spans="1:27" x14ac:dyDescent="0.25">
      <c r="A23" s="54" t="s">
        <v>651</v>
      </c>
      <c r="B23" s="339" t="s">
        <v>1381</v>
      </c>
      <c r="C23" s="205">
        <v>1</v>
      </c>
      <c r="D23" s="4" t="s">
        <v>1380</v>
      </c>
      <c r="E23" s="2" t="s">
        <v>1311</v>
      </c>
      <c r="F23" s="30" t="s">
        <v>111</v>
      </c>
      <c r="G23" s="205">
        <f t="shared" si="1"/>
        <v>465</v>
      </c>
      <c r="H23" s="205">
        <f t="shared" si="2"/>
        <v>4650</v>
      </c>
      <c r="I23" s="205">
        <f t="shared" si="13"/>
        <v>9300</v>
      </c>
      <c r="J23" s="306" t="str">
        <f t="shared" si="0"/>
        <v>Kim Cương:2:Vàng:6500:Kinh Nghiệm:4334</v>
      </c>
      <c r="K23" s="305" t="str">
        <f t="shared" si="3"/>
        <v>Kim Cương:2:Vàng:52000:Kinh Nghiệm:34667</v>
      </c>
      <c r="L23" s="305" t="str">
        <f t="shared" si="4"/>
        <v>Kim Cương:3:Vàng:130000:Kinh Nghiệm:86667</v>
      </c>
      <c r="M23" s="205">
        <v>3</v>
      </c>
      <c r="N23" s="205">
        <v>4</v>
      </c>
      <c r="O23" s="205">
        <v>5</v>
      </c>
      <c r="P23" s="304">
        <v>2</v>
      </c>
      <c r="Q23" s="338">
        <f t="shared" si="14"/>
        <v>6500</v>
      </c>
      <c r="R23" s="319">
        <f t="shared" si="5"/>
        <v>4334</v>
      </c>
      <c r="S23" s="304">
        <v>2</v>
      </c>
      <c r="T23" s="319">
        <f t="shared" si="12"/>
        <v>52000</v>
      </c>
      <c r="U23" s="319">
        <f t="shared" si="7"/>
        <v>34667</v>
      </c>
      <c r="V23" s="11">
        <v>3</v>
      </c>
      <c r="W23" s="246">
        <f t="shared" si="8"/>
        <v>130000</v>
      </c>
      <c r="X23" s="319">
        <f t="shared" si="9"/>
        <v>86667</v>
      </c>
      <c r="Y23" s="63">
        <v>3</v>
      </c>
      <c r="Z23" s="63">
        <v>5</v>
      </c>
      <c r="AA23" s="63">
        <v>7</v>
      </c>
    </row>
    <row r="24" spans="1:27" x14ac:dyDescent="0.25">
      <c r="A24" s="54" t="s">
        <v>1395</v>
      </c>
      <c r="B24" s="339" t="s">
        <v>1378</v>
      </c>
      <c r="C24" s="205">
        <v>1</v>
      </c>
      <c r="D24" s="4" t="s">
        <v>1377</v>
      </c>
      <c r="E24" s="2" t="s">
        <v>1311</v>
      </c>
      <c r="F24" s="30" t="s">
        <v>113</v>
      </c>
      <c r="G24" s="205">
        <f t="shared" si="1"/>
        <v>460</v>
      </c>
      <c r="H24" s="205">
        <f t="shared" si="2"/>
        <v>4600</v>
      </c>
      <c r="I24" s="205">
        <f t="shared" si="13"/>
        <v>9200</v>
      </c>
      <c r="J24" s="306" t="str">
        <f t="shared" si="0"/>
        <v>Kim Cương:2:Vàng:7000:Kinh Nghiệm:4667</v>
      </c>
      <c r="K24" s="305" t="str">
        <f t="shared" si="3"/>
        <v>Kim Cương:2:Vàng:56000:Kinh Nghiệm:37334</v>
      </c>
      <c r="L24" s="305" t="str">
        <f t="shared" si="4"/>
        <v>Kim Cương:3:Vàng:140000:Kinh Nghiệm:93334</v>
      </c>
      <c r="M24" s="205">
        <v>3</v>
      </c>
      <c r="N24" s="205">
        <v>4</v>
      </c>
      <c r="O24" s="205">
        <v>5</v>
      </c>
      <c r="P24" s="304">
        <v>2</v>
      </c>
      <c r="Q24" s="338">
        <f t="shared" si="14"/>
        <v>7000</v>
      </c>
      <c r="R24" s="319">
        <f t="shared" si="5"/>
        <v>4667</v>
      </c>
      <c r="S24" s="304">
        <v>2</v>
      </c>
      <c r="T24" s="319">
        <f t="shared" si="12"/>
        <v>56000</v>
      </c>
      <c r="U24" s="319">
        <f t="shared" si="7"/>
        <v>37334</v>
      </c>
      <c r="V24" s="11">
        <v>3</v>
      </c>
      <c r="W24" s="246">
        <f t="shared" si="8"/>
        <v>140000</v>
      </c>
      <c r="X24" s="319">
        <f t="shared" si="9"/>
        <v>93334</v>
      </c>
      <c r="Y24" s="63">
        <v>3</v>
      </c>
      <c r="Z24" s="63">
        <v>5</v>
      </c>
      <c r="AA24" s="63">
        <v>7</v>
      </c>
    </row>
    <row r="25" spans="1:27" x14ac:dyDescent="0.25">
      <c r="A25" s="54" t="s">
        <v>1392</v>
      </c>
      <c r="B25" s="6" t="s">
        <v>1313</v>
      </c>
      <c r="C25" s="4">
        <v>1</v>
      </c>
      <c r="D25" s="4" t="s">
        <v>1312</v>
      </c>
      <c r="E25" s="2" t="s">
        <v>1311</v>
      </c>
      <c r="F25" s="30" t="s">
        <v>115</v>
      </c>
      <c r="G25" s="205">
        <f t="shared" si="1"/>
        <v>455</v>
      </c>
      <c r="H25" s="205">
        <f t="shared" si="2"/>
        <v>4550</v>
      </c>
      <c r="I25" s="205">
        <f t="shared" si="13"/>
        <v>9100</v>
      </c>
      <c r="J25" s="306" t="str">
        <f t="shared" si="0"/>
        <v>Kim Cương:2:Vàng:7500:Kinh Nghiệm:5000</v>
      </c>
      <c r="K25" s="305" t="str">
        <f t="shared" si="3"/>
        <v>Kim Cương:2:Vàng:60000:Kinh Nghiệm:40000</v>
      </c>
      <c r="L25" s="305" t="str">
        <f t="shared" si="4"/>
        <v>Kim Cương:3:Vàng:150000:Kinh Nghiệm:100000</v>
      </c>
      <c r="M25" s="205">
        <v>3</v>
      </c>
      <c r="N25" s="205">
        <v>4</v>
      </c>
      <c r="O25" s="205">
        <v>5</v>
      </c>
      <c r="P25" s="304">
        <v>2</v>
      </c>
      <c r="Q25" s="338">
        <f t="shared" si="14"/>
        <v>7500</v>
      </c>
      <c r="R25" s="319">
        <f t="shared" si="5"/>
        <v>5000</v>
      </c>
      <c r="S25" s="304">
        <v>2</v>
      </c>
      <c r="T25" s="319">
        <f t="shared" si="12"/>
        <v>60000</v>
      </c>
      <c r="U25" s="319">
        <f t="shared" si="7"/>
        <v>40000</v>
      </c>
      <c r="V25" s="11">
        <v>3</v>
      </c>
      <c r="W25" s="246">
        <f t="shared" si="8"/>
        <v>150000</v>
      </c>
      <c r="X25" s="319">
        <f t="shared" si="9"/>
        <v>100000</v>
      </c>
      <c r="Y25" s="63">
        <v>3</v>
      </c>
      <c r="Z25" s="63">
        <v>5</v>
      </c>
      <c r="AA25" s="63">
        <v>7</v>
      </c>
    </row>
    <row r="26" spans="1:27" x14ac:dyDescent="0.25">
      <c r="A26" s="54" t="s">
        <v>652</v>
      </c>
      <c r="B26" s="69" t="s">
        <v>1428</v>
      </c>
      <c r="C26" s="205">
        <v>2</v>
      </c>
      <c r="D26" s="2" t="s">
        <v>1427</v>
      </c>
      <c r="E26" s="2" t="s">
        <v>1426</v>
      </c>
      <c r="F26" s="2"/>
      <c r="G26" s="205">
        <f t="shared" si="1"/>
        <v>1000</v>
      </c>
      <c r="H26" s="205">
        <f>I26/2</f>
        <v>10000</v>
      </c>
      <c r="I26" s="205">
        <v>20000</v>
      </c>
      <c r="J26" s="306" t="str">
        <f t="shared" si="0"/>
        <v>Kim Cương:2:Vàng:5000:Kinh Nghiệm:3334</v>
      </c>
      <c r="K26" s="305" t="str">
        <f t="shared" si="3"/>
        <v>Kim Cương:2:Vàng:12500:Kinh Nghiệm:8334</v>
      </c>
      <c r="L26" s="305" t="str">
        <f t="shared" si="4"/>
        <v>Kim Cương:3:Vàng:100000:Kinh Nghiệm:66667</v>
      </c>
      <c r="M26" s="205">
        <v>4</v>
      </c>
      <c r="N26" s="205">
        <v>5</v>
      </c>
      <c r="O26" s="205">
        <v>6</v>
      </c>
      <c r="P26" s="304">
        <v>2</v>
      </c>
      <c r="Q26" s="303">
        <v>5000</v>
      </c>
      <c r="R26" s="319">
        <f t="shared" si="5"/>
        <v>3334</v>
      </c>
      <c r="S26" s="304">
        <v>2</v>
      </c>
      <c r="T26" s="319">
        <f t="shared" ref="T26:T31" si="15">Q26*2.5</f>
        <v>12500</v>
      </c>
      <c r="U26" s="319">
        <f t="shared" si="7"/>
        <v>8334</v>
      </c>
      <c r="V26" s="11">
        <v>3</v>
      </c>
      <c r="W26" s="246">
        <f t="shared" si="8"/>
        <v>100000</v>
      </c>
      <c r="X26" s="319">
        <f t="shared" si="9"/>
        <v>66667</v>
      </c>
      <c r="Y26" s="63">
        <v>3</v>
      </c>
      <c r="Z26" s="63">
        <v>5</v>
      </c>
      <c r="AA26" s="63">
        <v>7</v>
      </c>
    </row>
    <row r="27" spans="1:27" x14ac:dyDescent="0.25">
      <c r="A27" s="54" t="s">
        <v>1232</v>
      </c>
      <c r="B27" s="4" t="s">
        <v>1357</v>
      </c>
      <c r="C27" s="4">
        <v>2</v>
      </c>
      <c r="D27" s="4" t="s">
        <v>1356</v>
      </c>
      <c r="E27" s="2" t="s">
        <v>1355</v>
      </c>
      <c r="F27" s="4"/>
      <c r="G27" s="205">
        <f t="shared" si="1"/>
        <v>150</v>
      </c>
      <c r="H27" s="205">
        <f t="shared" si="2"/>
        <v>1500</v>
      </c>
      <c r="I27" s="205">
        <v>3000</v>
      </c>
      <c r="J27" s="306" t="str">
        <f t="shared" si="0"/>
        <v>Kim Cương:2:Vàng:10000:Kinh Nghiệm:6667</v>
      </c>
      <c r="K27" s="305" t="str">
        <f t="shared" si="3"/>
        <v>Kim Cương:2:Vàng:25000:Kinh Nghiệm:16667</v>
      </c>
      <c r="L27" s="305" t="str">
        <f t="shared" si="4"/>
        <v>Kim Cương:3:Vàng:200000:Kinh Nghiệm:133334</v>
      </c>
      <c r="M27" s="4">
        <v>5</v>
      </c>
      <c r="N27" s="4">
        <v>6</v>
      </c>
      <c r="O27" s="205">
        <v>7</v>
      </c>
      <c r="P27" s="304">
        <v>2</v>
      </c>
      <c r="Q27" s="304">
        <v>10000</v>
      </c>
      <c r="R27" s="319">
        <f t="shared" si="5"/>
        <v>6667</v>
      </c>
      <c r="S27" s="304">
        <v>2</v>
      </c>
      <c r="T27" s="319">
        <f t="shared" si="15"/>
        <v>25000</v>
      </c>
      <c r="U27" s="319">
        <f t="shared" si="7"/>
        <v>16667</v>
      </c>
      <c r="V27" s="11">
        <v>3</v>
      </c>
      <c r="W27" s="246">
        <f t="shared" si="8"/>
        <v>200000</v>
      </c>
      <c r="X27" s="319">
        <f t="shared" si="9"/>
        <v>133334</v>
      </c>
      <c r="Y27" s="63">
        <v>3</v>
      </c>
      <c r="Z27" s="63">
        <v>5</v>
      </c>
      <c r="AA27" s="63">
        <v>7</v>
      </c>
    </row>
    <row r="28" spans="1:27" x14ac:dyDescent="0.25">
      <c r="A28" s="54" t="s">
        <v>1384</v>
      </c>
      <c r="B28" s="69" t="s">
        <v>1425</v>
      </c>
      <c r="C28" s="205">
        <v>2</v>
      </c>
      <c r="D28" s="4" t="s">
        <v>1424</v>
      </c>
      <c r="E28" s="4" t="s">
        <v>1423</v>
      </c>
      <c r="F28" s="4"/>
      <c r="G28" s="205">
        <f t="shared" si="1"/>
        <v>900000</v>
      </c>
      <c r="H28" s="205">
        <f t="shared" si="2"/>
        <v>9000000</v>
      </c>
      <c r="I28" s="205">
        <v>18000000</v>
      </c>
      <c r="J28" s="306" t="str">
        <f t="shared" si="0"/>
        <v>Kim Cương:2:Vàng:1000:Kinh Nghiệm:667</v>
      </c>
      <c r="K28" s="305" t="str">
        <f t="shared" si="3"/>
        <v>Kim Cương:2:Vàng:2500:Kinh Nghiệm:1667</v>
      </c>
      <c r="L28" s="305" t="str">
        <f t="shared" si="4"/>
        <v>Kim Cương:3:Vàng:20000:Kinh Nghiệm:13334</v>
      </c>
      <c r="M28" s="205">
        <v>2</v>
      </c>
      <c r="N28" s="205">
        <v>3</v>
      </c>
      <c r="O28" s="205">
        <v>4</v>
      </c>
      <c r="P28" s="304">
        <v>2</v>
      </c>
      <c r="Q28" s="304">
        <v>1000</v>
      </c>
      <c r="R28" s="319">
        <f t="shared" si="5"/>
        <v>667</v>
      </c>
      <c r="S28" s="304">
        <v>2</v>
      </c>
      <c r="T28" s="319">
        <f t="shared" si="15"/>
        <v>2500</v>
      </c>
      <c r="U28" s="319">
        <f t="shared" si="7"/>
        <v>1667</v>
      </c>
      <c r="V28" s="11">
        <v>3</v>
      </c>
      <c r="W28" s="246">
        <f t="shared" si="8"/>
        <v>20000</v>
      </c>
      <c r="X28" s="319">
        <f t="shared" si="9"/>
        <v>13334</v>
      </c>
      <c r="Y28" s="63">
        <v>200</v>
      </c>
      <c r="Z28" s="63">
        <v>400</v>
      </c>
      <c r="AA28" s="63">
        <v>600</v>
      </c>
    </row>
    <row r="29" spans="1:27" x14ac:dyDescent="0.25">
      <c r="A29" s="54" t="s">
        <v>653</v>
      </c>
      <c r="B29" s="4" t="s">
        <v>1414</v>
      </c>
      <c r="C29" s="4">
        <v>3</v>
      </c>
      <c r="D29" s="4" t="s">
        <v>1413</v>
      </c>
      <c r="E29" s="4" t="s">
        <v>1412</v>
      </c>
      <c r="F29" s="4"/>
      <c r="G29" s="4">
        <f>I29/10</f>
        <v>40</v>
      </c>
      <c r="H29" s="4">
        <f>I29/2.5</f>
        <v>160</v>
      </c>
      <c r="I29" s="4">
        <v>400</v>
      </c>
      <c r="J29" s="306" t="str">
        <f>CONCATENATE($P$1&amp;":"&amp;P29&amp;":"&amp;$Q$1&amp;":"&amp;Q29&amp;":"&amp;$R$1&amp;":"&amp;R29)</f>
        <v>Kim Cương:2:Vàng:5000:Kinh Nghiệm:3334</v>
      </c>
      <c r="K29" s="305" t="str">
        <f t="shared" si="3"/>
        <v>Kim Cương:3:Vàng:12500:Kinh Nghiệm:8334</v>
      </c>
      <c r="L29" s="305" t="str">
        <f t="shared" si="4"/>
        <v>Kim Cương:4:Vàng:100000:Kinh Nghiệm:66667</v>
      </c>
      <c r="M29" s="4">
        <v>3</v>
      </c>
      <c r="N29" s="4">
        <v>4</v>
      </c>
      <c r="O29" s="4">
        <v>5</v>
      </c>
      <c r="P29" s="176">
        <v>2</v>
      </c>
      <c r="Q29" s="304">
        <v>5000</v>
      </c>
      <c r="R29" s="319">
        <f t="shared" si="5"/>
        <v>3334</v>
      </c>
      <c r="S29" s="11">
        <v>3</v>
      </c>
      <c r="T29" s="303">
        <f t="shared" si="15"/>
        <v>12500</v>
      </c>
      <c r="U29" s="319">
        <f t="shared" si="7"/>
        <v>8334</v>
      </c>
      <c r="V29" s="11">
        <v>4</v>
      </c>
      <c r="W29" s="246">
        <f t="shared" si="8"/>
        <v>100000</v>
      </c>
      <c r="X29" s="319">
        <f t="shared" si="9"/>
        <v>66667</v>
      </c>
      <c r="Y29" s="63">
        <v>1</v>
      </c>
      <c r="Z29" s="63">
        <v>2</v>
      </c>
      <c r="AA29" s="63">
        <v>3</v>
      </c>
    </row>
    <row r="30" spans="1:27" x14ac:dyDescent="0.25">
      <c r="A30" s="54" t="s">
        <v>1379</v>
      </c>
      <c r="B30" s="4" t="s">
        <v>1410</v>
      </c>
      <c r="C30" s="4">
        <v>3</v>
      </c>
      <c r="D30" s="4" t="s">
        <v>1409</v>
      </c>
      <c r="E30" s="4" t="s">
        <v>1408</v>
      </c>
      <c r="F30" s="4"/>
      <c r="G30" s="4">
        <f>I30/10</f>
        <v>80</v>
      </c>
      <c r="H30" s="4">
        <f>I30/2.5</f>
        <v>320</v>
      </c>
      <c r="I30" s="4">
        <v>800</v>
      </c>
      <c r="J30" s="306" t="str">
        <f t="shared" si="0"/>
        <v>Kim Cương:2:Vàng:6000:Kinh Nghiệm:4000</v>
      </c>
      <c r="K30" s="305" t="str">
        <f t="shared" si="3"/>
        <v>Kim Cương:3:Vàng:15000:Kinh Nghiệm:10000</v>
      </c>
      <c r="L30" s="305" t="str">
        <f t="shared" si="4"/>
        <v>Kim Cương:4:Vàng:120000:Kinh Nghiệm:80000</v>
      </c>
      <c r="M30" s="4">
        <v>3</v>
      </c>
      <c r="N30" s="4">
        <v>4</v>
      </c>
      <c r="O30" s="4">
        <v>5</v>
      </c>
      <c r="P30" s="176">
        <v>2</v>
      </c>
      <c r="Q30" s="304">
        <v>6000</v>
      </c>
      <c r="R30" s="319">
        <f t="shared" si="5"/>
        <v>4000</v>
      </c>
      <c r="S30" s="11">
        <v>3</v>
      </c>
      <c r="T30" s="303">
        <f t="shared" si="15"/>
        <v>15000</v>
      </c>
      <c r="U30" s="319">
        <f t="shared" si="7"/>
        <v>10000</v>
      </c>
      <c r="V30" s="11">
        <v>4</v>
      </c>
      <c r="W30" s="246">
        <f t="shared" si="8"/>
        <v>120000</v>
      </c>
      <c r="X30" s="319">
        <f t="shared" si="9"/>
        <v>80000</v>
      </c>
      <c r="Y30" s="63">
        <v>1</v>
      </c>
      <c r="Z30" s="63">
        <f>H30/100</f>
        <v>3.2</v>
      </c>
      <c r="AA30" s="63">
        <v>3</v>
      </c>
    </row>
    <row r="31" spans="1:27" x14ac:dyDescent="0.25">
      <c r="A31" s="54" t="s">
        <v>1376</v>
      </c>
      <c r="B31" s="69" t="s">
        <v>1375</v>
      </c>
      <c r="C31" s="205">
        <v>3</v>
      </c>
      <c r="D31" s="4" t="s">
        <v>1374</v>
      </c>
      <c r="E31" s="4" t="s">
        <v>1301</v>
      </c>
      <c r="F31" s="310" t="s">
        <v>1373</v>
      </c>
      <c r="G31" s="205">
        <v>4</v>
      </c>
      <c r="H31" s="205">
        <v>5</v>
      </c>
      <c r="I31" s="205">
        <v>6</v>
      </c>
      <c r="J31" s="306" t="str">
        <f t="shared" si="0"/>
        <v>Kim Cương:2:Vàng:5000:Kinh Nghiệm:3334</v>
      </c>
      <c r="K31" s="305" t="str">
        <f t="shared" si="3"/>
        <v>Kim Cương:3:Vàng:12500:Kinh Nghiệm:8334</v>
      </c>
      <c r="L31" s="305" t="str">
        <f t="shared" si="4"/>
        <v>Kim Cương:4:Vàng:50000:Kinh Nghiệm:33334</v>
      </c>
      <c r="M31" s="205">
        <v>3</v>
      </c>
      <c r="N31" s="205">
        <v>3</v>
      </c>
      <c r="O31" s="205">
        <v>4</v>
      </c>
      <c r="P31" s="176">
        <v>2</v>
      </c>
      <c r="Q31" s="304">
        <v>5000</v>
      </c>
      <c r="R31" s="319">
        <f t="shared" si="5"/>
        <v>3334</v>
      </c>
      <c r="S31" s="11">
        <v>3</v>
      </c>
      <c r="T31" s="303">
        <f t="shared" si="15"/>
        <v>12500</v>
      </c>
      <c r="U31" s="319">
        <f t="shared" si="7"/>
        <v>8334</v>
      </c>
      <c r="V31" s="11">
        <v>4</v>
      </c>
      <c r="W31" s="246">
        <f>Q31*10</f>
        <v>50000</v>
      </c>
      <c r="X31" s="319">
        <f t="shared" si="9"/>
        <v>33334</v>
      </c>
      <c r="Y31" s="63">
        <v>1</v>
      </c>
      <c r="Z31" s="63">
        <v>2</v>
      </c>
      <c r="AA31" s="63">
        <v>3</v>
      </c>
    </row>
    <row r="32" spans="1:27" x14ac:dyDescent="0.25">
      <c r="A32" s="54" t="s">
        <v>138</v>
      </c>
      <c r="B32" s="69" t="s">
        <v>1372</v>
      </c>
      <c r="C32" s="205">
        <v>3</v>
      </c>
      <c r="D32" s="4" t="s">
        <v>1371</v>
      </c>
      <c r="E32" s="4" t="s">
        <v>1301</v>
      </c>
      <c r="F32" s="310" t="s">
        <v>1370</v>
      </c>
      <c r="G32" s="205">
        <v>4</v>
      </c>
      <c r="H32" s="205">
        <v>5</v>
      </c>
      <c r="I32" s="205">
        <v>6</v>
      </c>
      <c r="J32" s="306" t="str">
        <f t="shared" si="0"/>
        <v>Kim Cương:2:Vàng:5500:Kinh Nghiệm:3667</v>
      </c>
      <c r="K32" s="305" t="str">
        <f t="shared" si="3"/>
        <v>Kim Cương:3:Vàng:13750:Kinh Nghiệm:9167</v>
      </c>
      <c r="L32" s="305" t="str">
        <f t="shared" si="4"/>
        <v>Kim Cương:4:Vàng:55000:Kinh Nghiệm:36667</v>
      </c>
      <c r="M32" s="205">
        <v>3</v>
      </c>
      <c r="N32" s="205">
        <v>3</v>
      </c>
      <c r="O32" s="205">
        <v>4</v>
      </c>
      <c r="P32" s="176">
        <v>2</v>
      </c>
      <c r="Q32" s="304">
        <f>Q31+500</f>
        <v>5500</v>
      </c>
      <c r="R32" s="319">
        <f t="shared" si="5"/>
        <v>3667</v>
      </c>
      <c r="S32" s="11">
        <v>3</v>
      </c>
      <c r="T32" s="303">
        <f t="shared" ref="T32:T40" si="16">Q32*2.5</f>
        <v>13750</v>
      </c>
      <c r="U32" s="319">
        <f t="shared" si="7"/>
        <v>9167</v>
      </c>
      <c r="V32" s="11">
        <v>4</v>
      </c>
      <c r="W32" s="246">
        <f>Q32*10</f>
        <v>55000</v>
      </c>
      <c r="X32" s="319">
        <f t="shared" si="9"/>
        <v>36667</v>
      </c>
      <c r="Y32" s="63">
        <v>1</v>
      </c>
      <c r="Z32" s="63">
        <v>2</v>
      </c>
      <c r="AA32" s="63">
        <v>3</v>
      </c>
    </row>
    <row r="33" spans="1:27" x14ac:dyDescent="0.25">
      <c r="A33" s="54" t="s">
        <v>1369</v>
      </c>
      <c r="B33" s="69" t="s">
        <v>1368</v>
      </c>
      <c r="C33" s="205">
        <v>3</v>
      </c>
      <c r="D33" s="2" t="s">
        <v>1367</v>
      </c>
      <c r="E33" s="4" t="s">
        <v>1301</v>
      </c>
      <c r="F33" s="310" t="s">
        <v>1366</v>
      </c>
      <c r="G33" s="205">
        <v>3</v>
      </c>
      <c r="H33" s="205">
        <v>5</v>
      </c>
      <c r="I33" s="205">
        <v>6</v>
      </c>
      <c r="J33" s="306" t="str">
        <f t="shared" si="0"/>
        <v>Kim Cương:2:Vàng:6500:Kinh Nghiệm:4334</v>
      </c>
      <c r="K33" s="305" t="str">
        <f t="shared" si="3"/>
        <v>Kim Cương:3:Vàng:16250:Kinh Nghiệm:10834</v>
      </c>
      <c r="L33" s="305" t="str">
        <f t="shared" si="4"/>
        <v>Kim Cương:4:Vàng:65000:Kinh Nghiệm:43334</v>
      </c>
      <c r="M33" s="205">
        <v>3</v>
      </c>
      <c r="N33" s="205">
        <v>3</v>
      </c>
      <c r="O33" s="205">
        <v>4</v>
      </c>
      <c r="P33" s="176">
        <v>2</v>
      </c>
      <c r="Q33" s="304">
        <f>Q32+1000</f>
        <v>6500</v>
      </c>
      <c r="R33" s="319">
        <f t="shared" si="5"/>
        <v>4334</v>
      </c>
      <c r="S33" s="11">
        <v>3</v>
      </c>
      <c r="T33" s="303">
        <f t="shared" si="16"/>
        <v>16250</v>
      </c>
      <c r="U33" s="319">
        <f t="shared" si="7"/>
        <v>10834</v>
      </c>
      <c r="V33" s="11">
        <v>4</v>
      </c>
      <c r="W33" s="246">
        <f>Q33*10</f>
        <v>65000</v>
      </c>
      <c r="X33" s="319">
        <f t="shared" si="9"/>
        <v>43334</v>
      </c>
      <c r="Y33" s="63">
        <v>1</v>
      </c>
      <c r="Z33" s="63">
        <v>2</v>
      </c>
      <c r="AA33" s="63">
        <v>3</v>
      </c>
    </row>
    <row r="34" spans="1:27" x14ac:dyDescent="0.25">
      <c r="A34" s="54" t="s">
        <v>1365</v>
      </c>
      <c r="B34" s="69" t="s">
        <v>1364</v>
      </c>
      <c r="C34" s="205">
        <v>3</v>
      </c>
      <c r="D34" s="4" t="s">
        <v>1363</v>
      </c>
      <c r="E34" s="4" t="s">
        <v>1301</v>
      </c>
      <c r="F34" s="307" t="s">
        <v>1362</v>
      </c>
      <c r="G34" s="205">
        <v>3</v>
      </c>
      <c r="H34" s="205">
        <v>5</v>
      </c>
      <c r="I34" s="4">
        <v>6</v>
      </c>
      <c r="J34" s="306" t="str">
        <f t="shared" ref="J34:J54" si="17">CONCATENATE($P$1&amp;":"&amp;P34&amp;":"&amp;$Q$1&amp;":"&amp;Q34&amp;":"&amp;$R$1&amp;":"&amp;R34)</f>
        <v>Kim Cương:2:Vàng:7500:Kinh Nghiệm:5000</v>
      </c>
      <c r="K34" s="305" t="str">
        <f t="shared" si="3"/>
        <v>Kim Cương:3:Vàng:18750:Kinh Nghiệm:12500</v>
      </c>
      <c r="L34" s="305" t="str">
        <f t="shared" si="4"/>
        <v>Kim Cương:4:Vàng:112500:Kinh Nghiệm:75000</v>
      </c>
      <c r="M34" s="205">
        <v>4</v>
      </c>
      <c r="N34" s="205">
        <v>5</v>
      </c>
      <c r="O34" s="205">
        <v>6</v>
      </c>
      <c r="P34" s="176">
        <v>2</v>
      </c>
      <c r="Q34" s="304">
        <f>Q33+1000</f>
        <v>7500</v>
      </c>
      <c r="R34" s="319">
        <f t="shared" si="5"/>
        <v>5000</v>
      </c>
      <c r="S34" s="11">
        <v>3</v>
      </c>
      <c r="T34" s="303">
        <f t="shared" si="16"/>
        <v>18750</v>
      </c>
      <c r="U34" s="319">
        <f t="shared" si="7"/>
        <v>12500</v>
      </c>
      <c r="V34" s="11">
        <v>4</v>
      </c>
      <c r="W34" s="246">
        <f>Q34*15</f>
        <v>112500</v>
      </c>
      <c r="X34" s="319">
        <f t="shared" si="9"/>
        <v>75000</v>
      </c>
      <c r="Y34" s="63">
        <v>1</v>
      </c>
      <c r="Z34" s="63">
        <v>2</v>
      </c>
      <c r="AA34" s="63">
        <v>3</v>
      </c>
    </row>
    <row r="35" spans="1:27" x14ac:dyDescent="0.25">
      <c r="A35" s="54" t="s">
        <v>654</v>
      </c>
      <c r="B35" s="4" t="s">
        <v>1310</v>
      </c>
      <c r="C35" s="4">
        <v>3</v>
      </c>
      <c r="D35" s="4" t="s">
        <v>1309</v>
      </c>
      <c r="E35" s="4" t="s">
        <v>1301</v>
      </c>
      <c r="F35" s="307" t="s">
        <v>1308</v>
      </c>
      <c r="G35" s="205">
        <v>3</v>
      </c>
      <c r="H35" s="205">
        <v>5</v>
      </c>
      <c r="I35" s="4">
        <v>6</v>
      </c>
      <c r="J35" s="306" t="str">
        <f t="shared" si="17"/>
        <v>Kim Cương:2:Vàng:8500:Kinh Nghiệm:5667</v>
      </c>
      <c r="K35" s="305" t="str">
        <f t="shared" si="3"/>
        <v>Kim Cương:3:Vàng:21250:Kinh Nghiệm:14167</v>
      </c>
      <c r="L35" s="305" t="str">
        <f t="shared" si="4"/>
        <v>Kim Cương:4:Vàng:127500:Kinh Nghiệm:85000</v>
      </c>
      <c r="M35" s="205">
        <v>4</v>
      </c>
      <c r="N35" s="205">
        <v>5</v>
      </c>
      <c r="O35" s="205">
        <v>6</v>
      </c>
      <c r="P35" s="176">
        <v>2</v>
      </c>
      <c r="Q35" s="304">
        <f>Q34+1000</f>
        <v>8500</v>
      </c>
      <c r="R35" s="319">
        <f t="shared" si="5"/>
        <v>5667</v>
      </c>
      <c r="S35" s="11">
        <v>3</v>
      </c>
      <c r="T35" s="303">
        <f t="shared" si="16"/>
        <v>21250</v>
      </c>
      <c r="U35" s="319">
        <f t="shared" si="7"/>
        <v>14167</v>
      </c>
      <c r="V35" s="11">
        <v>4</v>
      </c>
      <c r="W35" s="246">
        <f>Q35*15</f>
        <v>127500</v>
      </c>
      <c r="X35" s="319">
        <f t="shared" si="9"/>
        <v>85000</v>
      </c>
      <c r="Y35" s="63">
        <v>1</v>
      </c>
      <c r="Z35" s="63">
        <v>2</v>
      </c>
      <c r="AA35" s="63">
        <v>3</v>
      </c>
    </row>
    <row r="36" spans="1:27" x14ac:dyDescent="0.25">
      <c r="A36" s="54" t="s">
        <v>1358</v>
      </c>
      <c r="B36" s="4" t="s">
        <v>1347</v>
      </c>
      <c r="C36" s="4">
        <v>3</v>
      </c>
      <c r="D36" s="4" t="s">
        <v>1346</v>
      </c>
      <c r="E36" s="4" t="s">
        <v>1301</v>
      </c>
      <c r="F36" s="307" t="s">
        <v>1345</v>
      </c>
      <c r="G36" s="205">
        <v>3</v>
      </c>
      <c r="H36" s="205">
        <v>5</v>
      </c>
      <c r="I36" s="205">
        <v>6</v>
      </c>
      <c r="J36" s="306" t="str">
        <f t="shared" si="17"/>
        <v>Kim Cương:2:Vàng:9500:Kinh Nghiệm:6334</v>
      </c>
      <c r="K36" s="305" t="str">
        <f t="shared" si="3"/>
        <v>Kim Cương:3:Vàng:23750:Kinh Nghiệm:15834</v>
      </c>
      <c r="L36" s="305" t="str">
        <f t="shared" si="4"/>
        <v>Kim Cương:4:Vàng:142500:Kinh Nghiệm:95000</v>
      </c>
      <c r="M36" s="205">
        <v>4</v>
      </c>
      <c r="N36" s="205">
        <v>5</v>
      </c>
      <c r="O36" s="205">
        <v>6</v>
      </c>
      <c r="P36" s="176">
        <v>2</v>
      </c>
      <c r="Q36" s="304">
        <f>Q35+1000</f>
        <v>9500</v>
      </c>
      <c r="R36" s="319">
        <f t="shared" si="5"/>
        <v>6334</v>
      </c>
      <c r="S36" s="11">
        <v>3</v>
      </c>
      <c r="T36" s="303">
        <f t="shared" si="16"/>
        <v>23750</v>
      </c>
      <c r="U36" s="319">
        <f t="shared" si="7"/>
        <v>15834</v>
      </c>
      <c r="V36" s="11">
        <v>4</v>
      </c>
      <c r="W36" s="246">
        <f>Q36*15</f>
        <v>142500</v>
      </c>
      <c r="X36" s="319">
        <f t="shared" si="9"/>
        <v>95000</v>
      </c>
      <c r="Y36" s="63">
        <v>1</v>
      </c>
      <c r="Z36" s="63">
        <v>2</v>
      </c>
      <c r="AA36" s="63">
        <v>3</v>
      </c>
    </row>
    <row r="37" spans="1:27" x14ac:dyDescent="0.25">
      <c r="A37" s="54" t="s">
        <v>139</v>
      </c>
      <c r="B37" s="4" t="s">
        <v>1498</v>
      </c>
      <c r="C37" s="4">
        <v>3</v>
      </c>
      <c r="D37" s="4" t="s">
        <v>1322</v>
      </c>
      <c r="E37" s="4" t="s">
        <v>1301</v>
      </c>
      <c r="F37" s="210" t="s">
        <v>1321</v>
      </c>
      <c r="G37" s="4">
        <v>2</v>
      </c>
      <c r="H37" s="205">
        <v>4</v>
      </c>
      <c r="I37" s="4">
        <v>6</v>
      </c>
      <c r="J37" s="306" t="str">
        <f t="shared" si="17"/>
        <v>Kim Cương:2:Vàng:14500:Kinh Nghiệm:9667</v>
      </c>
      <c r="K37" s="305" t="str">
        <f t="shared" si="3"/>
        <v>Kim Cương:3:Vàng:36250:Kinh Nghiệm:24167</v>
      </c>
      <c r="L37" s="305" t="str">
        <f t="shared" si="4"/>
        <v>Kim Cương:4:Vàng:290000:Kinh Nghiệm:193334</v>
      </c>
      <c r="M37" s="4">
        <v>5</v>
      </c>
      <c r="N37" s="4">
        <v>6</v>
      </c>
      <c r="O37" s="4">
        <v>7</v>
      </c>
      <c r="P37" s="176">
        <v>2</v>
      </c>
      <c r="Q37" s="304">
        <f>Q36+5000</f>
        <v>14500</v>
      </c>
      <c r="R37" s="319">
        <f t="shared" si="5"/>
        <v>9667</v>
      </c>
      <c r="S37" s="11">
        <v>3</v>
      </c>
      <c r="T37" s="303">
        <f t="shared" si="16"/>
        <v>36250</v>
      </c>
      <c r="U37" s="319">
        <f t="shared" si="7"/>
        <v>24167</v>
      </c>
      <c r="V37" s="11">
        <v>4</v>
      </c>
      <c r="W37" s="246">
        <f>Q37*20</f>
        <v>290000</v>
      </c>
      <c r="X37" s="319">
        <f t="shared" si="9"/>
        <v>193334</v>
      </c>
      <c r="Y37" s="63">
        <v>1</v>
      </c>
      <c r="Z37" s="63">
        <v>2</v>
      </c>
      <c r="AA37" s="63">
        <v>3</v>
      </c>
    </row>
    <row r="38" spans="1:27" x14ac:dyDescent="0.25">
      <c r="A38" s="54" t="s">
        <v>655</v>
      </c>
      <c r="B38" s="4" t="s">
        <v>1499</v>
      </c>
      <c r="C38" s="4">
        <v>3</v>
      </c>
      <c r="D38" s="4" t="s">
        <v>1320</v>
      </c>
      <c r="E38" s="4" t="s">
        <v>1301</v>
      </c>
      <c r="F38" s="210" t="s">
        <v>1319</v>
      </c>
      <c r="G38" s="4">
        <v>2</v>
      </c>
      <c r="H38" s="205">
        <v>4</v>
      </c>
      <c r="I38" s="4">
        <v>6</v>
      </c>
      <c r="J38" s="306" t="str">
        <f t="shared" si="17"/>
        <v>Kim Cương:2:Vàng:24500:Kinh Nghiệm:16334</v>
      </c>
      <c r="K38" s="305" t="str">
        <f t="shared" si="3"/>
        <v>Kim Cương:3:Vàng:61250:Kinh Nghiệm:40834</v>
      </c>
      <c r="L38" s="305" t="str">
        <f t="shared" si="4"/>
        <v>Kim Cương:4:Vàng:490000:Kinh Nghiệm:326667</v>
      </c>
      <c r="M38" s="4">
        <v>5</v>
      </c>
      <c r="N38" s="4">
        <v>6</v>
      </c>
      <c r="O38" s="4">
        <v>7</v>
      </c>
      <c r="P38" s="176">
        <v>2</v>
      </c>
      <c r="Q38" s="304">
        <f>Q37+10000</f>
        <v>24500</v>
      </c>
      <c r="R38" s="319">
        <f t="shared" si="5"/>
        <v>16334</v>
      </c>
      <c r="S38" s="11">
        <v>3</v>
      </c>
      <c r="T38" s="303">
        <f t="shared" si="16"/>
        <v>61250</v>
      </c>
      <c r="U38" s="319">
        <f t="shared" si="7"/>
        <v>40834</v>
      </c>
      <c r="V38" s="11">
        <v>4</v>
      </c>
      <c r="W38" s="246">
        <f>Q38*20</f>
        <v>490000</v>
      </c>
      <c r="X38" s="319">
        <f t="shared" si="9"/>
        <v>326667</v>
      </c>
      <c r="Y38" s="63">
        <v>1</v>
      </c>
      <c r="Z38" s="63">
        <v>2</v>
      </c>
      <c r="AA38" s="63">
        <v>3</v>
      </c>
    </row>
    <row r="39" spans="1:27" x14ac:dyDescent="0.25">
      <c r="A39" s="54" t="s">
        <v>1348</v>
      </c>
      <c r="B39" s="4" t="s">
        <v>1306</v>
      </c>
      <c r="C39" s="4">
        <v>3</v>
      </c>
      <c r="D39" s="4" t="s">
        <v>1305</v>
      </c>
      <c r="E39" s="4" t="s">
        <v>1301</v>
      </c>
      <c r="F39" s="210" t="s">
        <v>1304</v>
      </c>
      <c r="G39" s="4">
        <v>2</v>
      </c>
      <c r="H39" s="205">
        <v>4</v>
      </c>
      <c r="I39" s="205">
        <v>6</v>
      </c>
      <c r="J39" s="306" t="str">
        <f t="shared" si="17"/>
        <v>Kim Cương:2:Vàng:34500:Kinh Nghiệm:23000</v>
      </c>
      <c r="K39" s="305" t="str">
        <f t="shared" si="3"/>
        <v>Kim Cương:3:Vàng:86250:Kinh Nghiệm:57500</v>
      </c>
      <c r="L39" s="305" t="str">
        <f t="shared" si="4"/>
        <v>Kim Cương:4:Vàng:690000:Kinh Nghiệm:460000</v>
      </c>
      <c r="M39" s="4">
        <v>6</v>
      </c>
      <c r="N39" s="4">
        <v>7</v>
      </c>
      <c r="O39" s="4">
        <v>8</v>
      </c>
      <c r="P39" s="176">
        <v>2</v>
      </c>
      <c r="Q39" s="304">
        <f>Q38+10000</f>
        <v>34500</v>
      </c>
      <c r="R39" s="319">
        <f t="shared" si="5"/>
        <v>23000</v>
      </c>
      <c r="S39" s="11">
        <v>3</v>
      </c>
      <c r="T39" s="303">
        <f t="shared" si="16"/>
        <v>86250</v>
      </c>
      <c r="U39" s="319">
        <f t="shared" si="7"/>
        <v>57500</v>
      </c>
      <c r="V39" s="11">
        <v>4</v>
      </c>
      <c r="W39" s="246">
        <f>Q39*20</f>
        <v>690000</v>
      </c>
      <c r="X39" s="319">
        <f t="shared" si="9"/>
        <v>460000</v>
      </c>
      <c r="Y39" s="63">
        <v>1</v>
      </c>
      <c r="Z39" s="63">
        <v>2</v>
      </c>
      <c r="AA39" s="63">
        <v>3</v>
      </c>
    </row>
    <row r="40" spans="1:27" x14ac:dyDescent="0.25">
      <c r="A40" s="54" t="s">
        <v>1344</v>
      </c>
      <c r="B40" s="4" t="s">
        <v>1303</v>
      </c>
      <c r="C40" s="4">
        <v>3</v>
      </c>
      <c r="D40" s="4" t="s">
        <v>1302</v>
      </c>
      <c r="E40" s="4" t="s">
        <v>1301</v>
      </c>
      <c r="F40" s="210" t="s">
        <v>1300</v>
      </c>
      <c r="G40" s="4">
        <v>2</v>
      </c>
      <c r="H40" s="205">
        <v>4</v>
      </c>
      <c r="I40" s="205">
        <v>6</v>
      </c>
      <c r="J40" s="306" t="str">
        <f t="shared" si="17"/>
        <v>Kim Cương:2:Vàng:44500:Kinh Nghiệm:29667</v>
      </c>
      <c r="K40" s="305" t="str">
        <f t="shared" si="3"/>
        <v>Kim Cương:3:Vàng:111250:Kinh Nghiệm:74167</v>
      </c>
      <c r="L40" s="305" t="str">
        <f t="shared" si="4"/>
        <v>Kim Cương:4:Vàng:890000:Kinh Nghiệm:593334</v>
      </c>
      <c r="M40" s="4">
        <v>6</v>
      </c>
      <c r="N40" s="4">
        <v>7</v>
      </c>
      <c r="O40" s="4">
        <v>8</v>
      </c>
      <c r="P40" s="176">
        <v>2</v>
      </c>
      <c r="Q40" s="304">
        <f>Q39+10000</f>
        <v>44500</v>
      </c>
      <c r="R40" s="319">
        <f t="shared" si="5"/>
        <v>29667</v>
      </c>
      <c r="S40" s="11">
        <v>3</v>
      </c>
      <c r="T40" s="303">
        <f t="shared" si="16"/>
        <v>111250</v>
      </c>
      <c r="U40" s="319">
        <f t="shared" si="7"/>
        <v>74167</v>
      </c>
      <c r="V40" s="11">
        <v>4</v>
      </c>
      <c r="W40" s="246">
        <f>Q40*20</f>
        <v>890000</v>
      </c>
      <c r="X40" s="319">
        <f t="shared" si="9"/>
        <v>593334</v>
      </c>
      <c r="Y40" s="63">
        <v>1</v>
      </c>
      <c r="Z40" s="63">
        <v>2</v>
      </c>
      <c r="AA40" s="63">
        <v>3</v>
      </c>
    </row>
    <row r="41" spans="1:27" x14ac:dyDescent="0.25">
      <c r="A41" s="54" t="s">
        <v>656</v>
      </c>
      <c r="B41" s="4" t="s">
        <v>1317</v>
      </c>
      <c r="C41" s="4">
        <v>3</v>
      </c>
      <c r="D41" s="4" t="s">
        <v>1316</v>
      </c>
      <c r="E41" s="4" t="s">
        <v>1315</v>
      </c>
      <c r="F41" s="4"/>
      <c r="G41" s="4">
        <f>I41/10</f>
        <v>3</v>
      </c>
      <c r="H41" s="4">
        <f>I41/2.5</f>
        <v>12</v>
      </c>
      <c r="I41" s="4">
        <v>30</v>
      </c>
      <c r="J41" s="306" t="str">
        <f t="shared" si="17"/>
        <v>Kim Cương:2:Vàng:12000:Kinh Nghiệm:8000</v>
      </c>
      <c r="K41" s="305" t="str">
        <f t="shared" si="3"/>
        <v>Kim Cương:3:Vàng:30000:Kinh Nghiệm:20000</v>
      </c>
      <c r="L41" s="305" t="str">
        <f t="shared" si="4"/>
        <v>Kim Cương:4:Vàng:240000:Kinh Nghiệm:160000</v>
      </c>
      <c r="M41" s="4">
        <v>6</v>
      </c>
      <c r="N41" s="4">
        <v>7</v>
      </c>
      <c r="O41" s="4">
        <v>8</v>
      </c>
      <c r="P41" s="176">
        <v>2</v>
      </c>
      <c r="Q41" s="304">
        <v>12000</v>
      </c>
      <c r="R41" s="319">
        <f t="shared" si="5"/>
        <v>8000</v>
      </c>
      <c r="S41" s="11">
        <v>3</v>
      </c>
      <c r="T41" s="303">
        <f t="shared" ref="T41:T48" si="18">Q41*2.5</f>
        <v>30000</v>
      </c>
      <c r="U41" s="319">
        <f t="shared" si="7"/>
        <v>20000</v>
      </c>
      <c r="V41" s="11">
        <v>4</v>
      </c>
      <c r="W41" s="246">
        <f t="shared" si="8"/>
        <v>240000</v>
      </c>
      <c r="X41" s="319">
        <f t="shared" si="9"/>
        <v>160000</v>
      </c>
      <c r="Y41" s="63">
        <v>1</v>
      </c>
      <c r="Z41" s="63">
        <v>2</v>
      </c>
      <c r="AA41" s="63">
        <v>3</v>
      </c>
    </row>
    <row r="42" spans="1:27" x14ac:dyDescent="0.25">
      <c r="A42" s="54" t="s">
        <v>1233</v>
      </c>
      <c r="B42" s="69" t="s">
        <v>1421</v>
      </c>
      <c r="C42" s="205">
        <v>4</v>
      </c>
      <c r="D42" s="4" t="s">
        <v>1420</v>
      </c>
      <c r="E42" s="4" t="s">
        <v>1419</v>
      </c>
      <c r="F42" s="4"/>
      <c r="G42" s="205">
        <f>I42/20</f>
        <v>500</v>
      </c>
      <c r="H42" s="205">
        <f>I42/2</f>
        <v>5000</v>
      </c>
      <c r="I42" s="205">
        <v>10000</v>
      </c>
      <c r="J42" s="306" t="str">
        <f t="shared" si="17"/>
        <v>Kim Cương:2:Vàng:4000:Kinh Nghiệm:2667</v>
      </c>
      <c r="K42" s="305" t="str">
        <f t="shared" si="3"/>
        <v>Kim Cương:3:Vàng:10000:Kinh Nghiệm:6667</v>
      </c>
      <c r="L42" s="305" t="str">
        <f t="shared" si="4"/>
        <v>Kim Cương:4:Vàng:80000:Kinh Nghiệm:53334</v>
      </c>
      <c r="M42" s="205">
        <v>3</v>
      </c>
      <c r="N42" s="205">
        <v>4</v>
      </c>
      <c r="O42" s="205">
        <v>5</v>
      </c>
      <c r="P42" s="304">
        <v>2</v>
      </c>
      <c r="Q42" s="11">
        <v>4000</v>
      </c>
      <c r="R42" s="319">
        <f t="shared" si="5"/>
        <v>2667</v>
      </c>
      <c r="S42" s="304">
        <v>3</v>
      </c>
      <c r="T42" s="319">
        <f t="shared" si="18"/>
        <v>10000</v>
      </c>
      <c r="U42" s="319">
        <f t="shared" si="7"/>
        <v>6667</v>
      </c>
      <c r="V42" s="11">
        <v>4</v>
      </c>
      <c r="W42" s="246">
        <f t="shared" si="8"/>
        <v>80000</v>
      </c>
      <c r="X42" s="319">
        <f t="shared" si="9"/>
        <v>53334</v>
      </c>
      <c r="Y42" s="63">
        <v>3</v>
      </c>
      <c r="Z42" s="63">
        <v>5</v>
      </c>
      <c r="AA42" s="63">
        <v>7</v>
      </c>
    </row>
    <row r="43" spans="1:27" x14ac:dyDescent="0.25">
      <c r="A43" s="54" t="s">
        <v>1334</v>
      </c>
      <c r="B43" s="69" t="s">
        <v>1361</v>
      </c>
      <c r="C43" s="205">
        <v>4</v>
      </c>
      <c r="D43" s="4" t="s">
        <v>1360</v>
      </c>
      <c r="E43" s="4" t="s">
        <v>1359</v>
      </c>
      <c r="F43" s="4"/>
      <c r="G43" s="205">
        <f t="shared" ref="G43:G53" si="19">I43/20</f>
        <v>25</v>
      </c>
      <c r="H43" s="205">
        <f t="shared" ref="H43:H60" si="20">I43/2</f>
        <v>250</v>
      </c>
      <c r="I43" s="205">
        <v>500</v>
      </c>
      <c r="J43" s="306" t="str">
        <f t="shared" si="17"/>
        <v>Kim Cương:1:Vàng:1200:Kinh Nghiệm:800</v>
      </c>
      <c r="K43" s="305" t="str">
        <f t="shared" si="3"/>
        <v>Kim Cương:2:Vàng:3000:Kinh Nghiệm:2000</v>
      </c>
      <c r="L43" s="305" t="str">
        <f t="shared" si="4"/>
        <v>Kim Cương:3:Vàng:24000:Kinh Nghiệm:16000</v>
      </c>
      <c r="M43" s="205">
        <v>2</v>
      </c>
      <c r="N43" s="205">
        <v>2</v>
      </c>
      <c r="O43" s="205">
        <v>3</v>
      </c>
      <c r="P43" s="304">
        <v>1</v>
      </c>
      <c r="Q43" s="304">
        <v>1200</v>
      </c>
      <c r="R43" s="319">
        <f t="shared" si="5"/>
        <v>800</v>
      </c>
      <c r="S43" s="11">
        <v>2</v>
      </c>
      <c r="T43" s="319">
        <f t="shared" si="18"/>
        <v>3000</v>
      </c>
      <c r="U43" s="319">
        <f t="shared" si="7"/>
        <v>2000</v>
      </c>
      <c r="V43" s="11">
        <v>3</v>
      </c>
      <c r="W43" s="246">
        <f t="shared" si="8"/>
        <v>24000</v>
      </c>
      <c r="X43" s="319">
        <f t="shared" si="9"/>
        <v>16000</v>
      </c>
      <c r="Y43" s="63">
        <v>2</v>
      </c>
      <c r="Z43" s="63">
        <v>4</v>
      </c>
      <c r="AA43" s="63">
        <v>6</v>
      </c>
    </row>
    <row r="44" spans="1:27" s="72" customFormat="1" x14ac:dyDescent="0.25">
      <c r="A44" s="54" t="s">
        <v>657</v>
      </c>
      <c r="B44" s="69" t="s">
        <v>1343</v>
      </c>
      <c r="C44" s="309">
        <v>4</v>
      </c>
      <c r="D44" s="69" t="s">
        <v>1342</v>
      </c>
      <c r="E44" s="4" t="s">
        <v>1341</v>
      </c>
      <c r="F44" s="69"/>
      <c r="G44" s="205">
        <f t="shared" si="19"/>
        <v>50</v>
      </c>
      <c r="H44" s="205">
        <f t="shared" si="20"/>
        <v>500</v>
      </c>
      <c r="I44" s="309">
        <v>1000</v>
      </c>
      <c r="J44" s="306" t="str">
        <f t="shared" si="17"/>
        <v>Kim Cương:1:Vàng:1200:Kinh Nghiệm:800</v>
      </c>
      <c r="K44" s="305" t="str">
        <f t="shared" si="3"/>
        <v>Kim Cương:2:Vàng:3000:Kinh Nghiệm:2000</v>
      </c>
      <c r="L44" s="305" t="str">
        <f t="shared" si="4"/>
        <v>Kim Cương:3:Vàng:24000:Kinh Nghiệm:16000</v>
      </c>
      <c r="M44" s="309">
        <v>2</v>
      </c>
      <c r="N44" s="309">
        <v>2</v>
      </c>
      <c r="O44" s="309">
        <v>3</v>
      </c>
      <c r="P44" s="304">
        <v>1</v>
      </c>
      <c r="Q44" s="308">
        <v>1200</v>
      </c>
      <c r="R44" s="319">
        <f t="shared" si="5"/>
        <v>800</v>
      </c>
      <c r="S44" s="72">
        <v>2</v>
      </c>
      <c r="T44" s="319">
        <f t="shared" si="18"/>
        <v>3000</v>
      </c>
      <c r="U44" s="319">
        <f t="shared" si="7"/>
        <v>2000</v>
      </c>
      <c r="V44" s="72">
        <v>3</v>
      </c>
      <c r="W44" s="246">
        <f t="shared" si="8"/>
        <v>24000</v>
      </c>
      <c r="X44" s="319">
        <f t="shared" si="9"/>
        <v>16000</v>
      </c>
      <c r="Y44" s="63">
        <v>2</v>
      </c>
      <c r="Z44" s="63">
        <v>4</v>
      </c>
      <c r="AA44" s="63">
        <v>6</v>
      </c>
    </row>
    <row r="45" spans="1:27" x14ac:dyDescent="0.25">
      <c r="A45" s="54" t="s">
        <v>1327</v>
      </c>
      <c r="B45" s="69" t="s">
        <v>1340</v>
      </c>
      <c r="C45" s="205">
        <v>4</v>
      </c>
      <c r="D45" s="4" t="s">
        <v>1339</v>
      </c>
      <c r="E45" s="4" t="s">
        <v>1338</v>
      </c>
      <c r="F45" s="4"/>
      <c r="G45" s="205">
        <f t="shared" si="19"/>
        <v>500</v>
      </c>
      <c r="H45" s="205">
        <f t="shared" si="20"/>
        <v>5000</v>
      </c>
      <c r="I45" s="205">
        <v>10000</v>
      </c>
      <c r="J45" s="306" t="str">
        <f t="shared" si="17"/>
        <v>Kim Cương:2:Vàng:2500:Kinh Nghiệm:1667</v>
      </c>
      <c r="K45" s="305" t="str">
        <f t="shared" si="3"/>
        <v>Kim Cương:3:Vàng:6250:Kinh Nghiệm:4167</v>
      </c>
      <c r="L45" s="305" t="str">
        <f t="shared" si="4"/>
        <v>Kim Cương:4:Vàng:50000:Kinh Nghiệm:33334</v>
      </c>
      <c r="M45" s="205">
        <v>3</v>
      </c>
      <c r="N45" s="205">
        <v>4</v>
      </c>
      <c r="O45" s="205">
        <v>5</v>
      </c>
      <c r="P45" s="304">
        <v>2</v>
      </c>
      <c r="Q45" s="308">
        <v>2500</v>
      </c>
      <c r="R45" s="319">
        <f t="shared" si="5"/>
        <v>1667</v>
      </c>
      <c r="S45" s="72">
        <v>3</v>
      </c>
      <c r="T45" s="319">
        <f t="shared" si="18"/>
        <v>6250</v>
      </c>
      <c r="U45" s="319">
        <f t="shared" si="7"/>
        <v>4167</v>
      </c>
      <c r="V45" s="72">
        <v>4</v>
      </c>
      <c r="W45" s="246">
        <f t="shared" si="8"/>
        <v>50000</v>
      </c>
      <c r="X45" s="319">
        <f t="shared" si="9"/>
        <v>33334</v>
      </c>
      <c r="Y45" s="63">
        <v>2</v>
      </c>
      <c r="Z45" s="63">
        <v>4</v>
      </c>
      <c r="AA45" s="63">
        <v>6</v>
      </c>
    </row>
    <row r="46" spans="1:27" x14ac:dyDescent="0.25">
      <c r="A46" s="54" t="s">
        <v>1323</v>
      </c>
      <c r="B46" s="69" t="s">
        <v>1337</v>
      </c>
      <c r="C46" s="205">
        <v>4</v>
      </c>
      <c r="D46" s="4" t="s">
        <v>1336</v>
      </c>
      <c r="E46" s="4" t="s">
        <v>1335</v>
      </c>
      <c r="F46" s="4"/>
      <c r="G46" s="205">
        <f t="shared" si="19"/>
        <v>500</v>
      </c>
      <c r="H46" s="205">
        <f t="shared" si="20"/>
        <v>5000</v>
      </c>
      <c r="I46" s="205">
        <v>10000</v>
      </c>
      <c r="J46" s="306" t="str">
        <f t="shared" si="17"/>
        <v>Kim Cương:1:Vàng:1200:Kinh Nghiệm:800</v>
      </c>
      <c r="K46" s="305" t="str">
        <f t="shared" si="3"/>
        <v>Kim Cương:2:Vàng:3000:Kinh Nghiệm:2000</v>
      </c>
      <c r="L46" s="305" t="str">
        <f t="shared" si="4"/>
        <v>Kim Cương:3:Vàng:24000:Kinh Nghiệm:16000</v>
      </c>
      <c r="M46" s="205">
        <v>1</v>
      </c>
      <c r="N46" s="205">
        <v>2</v>
      </c>
      <c r="O46" s="205">
        <v>3</v>
      </c>
      <c r="P46" s="304">
        <v>1</v>
      </c>
      <c r="Q46" s="308">
        <v>1200</v>
      </c>
      <c r="R46" s="319">
        <f t="shared" si="5"/>
        <v>800</v>
      </c>
      <c r="S46" s="72">
        <v>2</v>
      </c>
      <c r="T46" s="319">
        <f t="shared" si="18"/>
        <v>3000</v>
      </c>
      <c r="U46" s="319">
        <f t="shared" si="7"/>
        <v>2000</v>
      </c>
      <c r="V46" s="72">
        <v>3</v>
      </c>
      <c r="W46" s="246">
        <f t="shared" si="8"/>
        <v>24000</v>
      </c>
      <c r="X46" s="319">
        <f t="shared" si="9"/>
        <v>16000</v>
      </c>
      <c r="Y46" s="63">
        <v>2</v>
      </c>
      <c r="Z46" s="63">
        <v>4</v>
      </c>
      <c r="AA46" s="63">
        <v>6</v>
      </c>
    </row>
    <row r="47" spans="1:27" x14ac:dyDescent="0.25">
      <c r="A47" s="54" t="s">
        <v>658</v>
      </c>
      <c r="B47" s="69" t="s">
        <v>1333</v>
      </c>
      <c r="C47" s="205">
        <v>4</v>
      </c>
      <c r="D47" s="2" t="s">
        <v>1332</v>
      </c>
      <c r="E47" s="2" t="s">
        <v>1331</v>
      </c>
      <c r="F47" s="2"/>
      <c r="G47" s="205">
        <f t="shared" si="19"/>
        <v>1000</v>
      </c>
      <c r="H47" s="205">
        <f t="shared" si="20"/>
        <v>10000</v>
      </c>
      <c r="I47" s="205">
        <v>20000</v>
      </c>
      <c r="J47" s="306" t="str">
        <f t="shared" si="17"/>
        <v>Kim Cương:2:Vàng:3500:Kinh Nghiệm:2334</v>
      </c>
      <c r="K47" s="305" t="str">
        <f t="shared" si="3"/>
        <v>Kim Cương:3:Vàng:8750:Kinh Nghiệm:5834</v>
      </c>
      <c r="L47" s="305" t="str">
        <f t="shared" si="4"/>
        <v>Kim Cương:4:Vàng:70000:Kinh Nghiệm:46667</v>
      </c>
      <c r="M47" s="205">
        <v>3</v>
      </c>
      <c r="N47" s="205">
        <v>4</v>
      </c>
      <c r="O47" s="205">
        <v>5</v>
      </c>
      <c r="P47" s="304">
        <v>2</v>
      </c>
      <c r="Q47" s="308">
        <v>3500</v>
      </c>
      <c r="R47" s="319">
        <f t="shared" si="5"/>
        <v>2334</v>
      </c>
      <c r="S47" s="72">
        <v>3</v>
      </c>
      <c r="T47" s="319">
        <f t="shared" si="18"/>
        <v>8750</v>
      </c>
      <c r="U47" s="319">
        <f t="shared" si="7"/>
        <v>5834</v>
      </c>
      <c r="V47" s="72">
        <v>4</v>
      </c>
      <c r="W47" s="246">
        <f t="shared" si="8"/>
        <v>70000</v>
      </c>
      <c r="X47" s="319">
        <f t="shared" si="9"/>
        <v>46667</v>
      </c>
      <c r="Y47" s="63">
        <v>2</v>
      </c>
      <c r="Z47" s="63">
        <v>4</v>
      </c>
      <c r="AA47" s="63">
        <v>6</v>
      </c>
    </row>
    <row r="48" spans="1:27" x14ac:dyDescent="0.25">
      <c r="A48" s="54" t="s">
        <v>1318</v>
      </c>
      <c r="B48" s="69" t="s">
        <v>1417</v>
      </c>
      <c r="C48" s="205">
        <v>5</v>
      </c>
      <c r="D48" s="4" t="s">
        <v>1416</v>
      </c>
      <c r="E48" s="4" t="s">
        <v>1415</v>
      </c>
      <c r="F48" s="4"/>
      <c r="G48" s="205">
        <f t="shared" si="19"/>
        <v>600</v>
      </c>
      <c r="H48" s="205">
        <f t="shared" si="20"/>
        <v>6000</v>
      </c>
      <c r="I48" s="205">
        <v>12000</v>
      </c>
      <c r="J48" s="306" t="str">
        <f>CONCATENATE($P$1&amp;":"&amp;P48&amp;":"&amp;$Q$1&amp;":"&amp;Q48&amp;":"&amp;$R$1&amp;":"&amp;R48)</f>
        <v>Kim Cương:2:Vàng:4000:Kinh Nghiệm:2667</v>
      </c>
      <c r="K48" s="305" t="str">
        <f t="shared" si="3"/>
        <v>Kim Cương:3:Vàng:10000:Kinh Nghiệm:6667</v>
      </c>
      <c r="L48" s="305" t="str">
        <f t="shared" si="4"/>
        <v>Kim Cương:4:Vàng:80000:Kinh Nghiệm:53334</v>
      </c>
      <c r="M48" s="205">
        <v>3</v>
      </c>
      <c r="N48" s="205">
        <v>4</v>
      </c>
      <c r="O48" s="205">
        <v>5</v>
      </c>
      <c r="P48" s="304">
        <v>2</v>
      </c>
      <c r="Q48" s="304">
        <v>4000</v>
      </c>
      <c r="R48" s="319">
        <f t="shared" si="5"/>
        <v>2667</v>
      </c>
      <c r="S48" s="11">
        <v>3</v>
      </c>
      <c r="T48" s="11">
        <f t="shared" si="18"/>
        <v>10000</v>
      </c>
      <c r="U48" s="319">
        <f t="shared" si="7"/>
        <v>6667</v>
      </c>
      <c r="V48" s="11">
        <v>4</v>
      </c>
      <c r="W48" s="246">
        <f t="shared" si="8"/>
        <v>80000</v>
      </c>
      <c r="X48" s="319">
        <f t="shared" si="9"/>
        <v>53334</v>
      </c>
      <c r="Y48" s="63">
        <v>2</v>
      </c>
      <c r="Z48" s="63">
        <v>4</v>
      </c>
      <c r="AA48" s="63">
        <v>6</v>
      </c>
    </row>
    <row r="49" spans="1:27" x14ac:dyDescent="0.25">
      <c r="A49" s="54" t="s">
        <v>1314</v>
      </c>
      <c r="B49" s="4" t="s">
        <v>1354</v>
      </c>
      <c r="C49" s="4">
        <v>5</v>
      </c>
      <c r="D49" s="4" t="s">
        <v>1353</v>
      </c>
      <c r="E49" s="4" t="s">
        <v>1352</v>
      </c>
      <c r="F49" s="4"/>
      <c r="G49" s="205">
        <f t="shared" si="19"/>
        <v>125</v>
      </c>
      <c r="H49" s="205">
        <f t="shared" si="20"/>
        <v>1250</v>
      </c>
      <c r="I49" s="205">
        <v>2500</v>
      </c>
      <c r="J49" s="306" t="str">
        <f t="shared" si="17"/>
        <v>Kim Cương:2:Vàng:6000:Kinh Nghiệm:4000</v>
      </c>
      <c r="K49" s="305" t="str">
        <f t="shared" si="3"/>
        <v>Kim Cương:3:Vàng:15000:Kinh Nghiệm:10000</v>
      </c>
      <c r="L49" s="305" t="str">
        <f t="shared" si="4"/>
        <v>Kim Cương:4:Vàng:120000:Kinh Nghiệm:80000</v>
      </c>
      <c r="M49" s="205">
        <v>4</v>
      </c>
      <c r="N49" s="205">
        <v>5</v>
      </c>
      <c r="O49" s="205">
        <v>6</v>
      </c>
      <c r="P49" s="304">
        <v>2</v>
      </c>
      <c r="Q49" s="304">
        <v>6000</v>
      </c>
      <c r="R49" s="319">
        <f t="shared" si="5"/>
        <v>4000</v>
      </c>
      <c r="S49" s="11">
        <v>3</v>
      </c>
      <c r="T49" s="11">
        <f t="shared" ref="T49:T84" si="21">Q49*2.5</f>
        <v>15000</v>
      </c>
      <c r="U49" s="319">
        <f t="shared" si="7"/>
        <v>10000</v>
      </c>
      <c r="V49" s="11">
        <v>4</v>
      </c>
      <c r="W49" s="246">
        <f t="shared" si="8"/>
        <v>120000</v>
      </c>
      <c r="X49" s="319">
        <f t="shared" si="9"/>
        <v>80000</v>
      </c>
      <c r="Y49" s="63">
        <v>2</v>
      </c>
      <c r="Z49" s="63">
        <v>4</v>
      </c>
      <c r="AA49" s="63">
        <v>6</v>
      </c>
    </row>
    <row r="50" spans="1:27" x14ac:dyDescent="0.25">
      <c r="A50" s="54" t="s">
        <v>659</v>
      </c>
      <c r="B50" s="4" t="s">
        <v>1351</v>
      </c>
      <c r="C50" s="144">
        <v>5</v>
      </c>
      <c r="D50" s="4" t="s">
        <v>1350</v>
      </c>
      <c r="E50" s="4" t="s">
        <v>1349</v>
      </c>
      <c r="F50" s="4"/>
      <c r="G50" s="205">
        <f t="shared" si="19"/>
        <v>200</v>
      </c>
      <c r="H50" s="205">
        <f t="shared" si="20"/>
        <v>2000</v>
      </c>
      <c r="I50" s="205">
        <v>4000</v>
      </c>
      <c r="J50" s="306" t="str">
        <f t="shared" si="17"/>
        <v>Kim Cương:2:Vàng:6000:Kinh Nghiệm:4000</v>
      </c>
      <c r="K50" s="305" t="str">
        <f t="shared" si="3"/>
        <v>Kim Cương:3:Vàng:15000:Kinh Nghiệm:10000</v>
      </c>
      <c r="L50" s="305" t="str">
        <f t="shared" si="4"/>
        <v>Kim Cương:4:Vàng:120000:Kinh Nghiệm:80000</v>
      </c>
      <c r="M50" s="205">
        <v>3</v>
      </c>
      <c r="N50" s="205">
        <v>4</v>
      </c>
      <c r="O50" s="205">
        <v>5</v>
      </c>
      <c r="P50" s="304">
        <v>2</v>
      </c>
      <c r="Q50" s="304">
        <v>6000</v>
      </c>
      <c r="R50" s="319">
        <f t="shared" si="5"/>
        <v>4000</v>
      </c>
      <c r="S50" s="11">
        <v>3</v>
      </c>
      <c r="T50" s="11">
        <f t="shared" si="21"/>
        <v>15000</v>
      </c>
      <c r="U50" s="319">
        <f t="shared" si="7"/>
        <v>10000</v>
      </c>
      <c r="V50" s="11">
        <v>4</v>
      </c>
      <c r="W50" s="246">
        <f t="shared" si="8"/>
        <v>120000</v>
      </c>
      <c r="X50" s="319">
        <f t="shared" si="9"/>
        <v>80000</v>
      </c>
      <c r="Y50" s="63">
        <v>2</v>
      </c>
      <c r="Z50" s="63">
        <v>4</v>
      </c>
      <c r="AA50" s="63">
        <v>6</v>
      </c>
    </row>
    <row r="51" spans="1:27" x14ac:dyDescent="0.25">
      <c r="A51" s="54" t="s">
        <v>1307</v>
      </c>
      <c r="B51" s="69" t="s">
        <v>1330</v>
      </c>
      <c r="C51" s="205">
        <v>5</v>
      </c>
      <c r="D51" s="4" t="s">
        <v>1329</v>
      </c>
      <c r="E51" s="4" t="s">
        <v>1328</v>
      </c>
      <c r="F51" s="4"/>
      <c r="G51" s="205">
        <f t="shared" si="19"/>
        <v>150</v>
      </c>
      <c r="H51" s="205">
        <f t="shared" si="20"/>
        <v>1500</v>
      </c>
      <c r="I51" s="205">
        <v>3000</v>
      </c>
      <c r="J51" s="306" t="str">
        <f t="shared" si="17"/>
        <v>Kim Cương:2:Vàng:5000:Kinh Nghiệm:3334</v>
      </c>
      <c r="K51" s="305" t="str">
        <f t="shared" si="3"/>
        <v>Kim Cương:3:Vàng:12500:Kinh Nghiệm:8334</v>
      </c>
      <c r="L51" s="305" t="str">
        <f t="shared" si="4"/>
        <v>Kim Cương:4:Vàng:100000:Kinh Nghiệm:66667</v>
      </c>
      <c r="M51" s="205">
        <v>4</v>
      </c>
      <c r="N51" s="205">
        <v>5</v>
      </c>
      <c r="O51" s="205">
        <v>6</v>
      </c>
      <c r="P51" s="304">
        <v>2</v>
      </c>
      <c r="Q51" s="304">
        <v>5000</v>
      </c>
      <c r="R51" s="319">
        <f t="shared" si="5"/>
        <v>3334</v>
      </c>
      <c r="S51" s="11">
        <v>3</v>
      </c>
      <c r="T51" s="11">
        <f t="shared" si="21"/>
        <v>12500</v>
      </c>
      <c r="U51" s="319">
        <f t="shared" si="7"/>
        <v>8334</v>
      </c>
      <c r="V51" s="11">
        <v>4</v>
      </c>
      <c r="W51" s="246">
        <f t="shared" si="8"/>
        <v>100000</v>
      </c>
      <c r="X51" s="319">
        <f t="shared" si="9"/>
        <v>66667</v>
      </c>
      <c r="Y51" s="63">
        <v>2</v>
      </c>
      <c r="Z51" s="63">
        <v>4</v>
      </c>
      <c r="AA51" s="63">
        <v>6</v>
      </c>
    </row>
    <row r="52" spans="1:27" x14ac:dyDescent="0.25">
      <c r="A52" s="54" t="s">
        <v>140</v>
      </c>
      <c r="B52" s="69" t="s">
        <v>1326</v>
      </c>
      <c r="C52" s="205">
        <v>5</v>
      </c>
      <c r="D52" s="4" t="s">
        <v>1325</v>
      </c>
      <c r="E52" s="4" t="s">
        <v>1324</v>
      </c>
      <c r="F52" s="4"/>
      <c r="G52" s="205">
        <f t="shared" si="19"/>
        <v>400</v>
      </c>
      <c r="H52" s="205">
        <f t="shared" si="20"/>
        <v>4000</v>
      </c>
      <c r="I52" s="205">
        <v>8000</v>
      </c>
      <c r="J52" s="306" t="str">
        <f t="shared" si="17"/>
        <v>Kim Cương:2:Vàng:7000:Kinh Nghiệm:4667</v>
      </c>
      <c r="K52" s="305" t="str">
        <f t="shared" si="3"/>
        <v>Kim Cương:3:Vàng:17500:Kinh Nghiệm:11667</v>
      </c>
      <c r="L52" s="305" t="str">
        <f t="shared" si="4"/>
        <v>Kim Cương:4:Vàng:140000:Kinh Nghiệm:93334</v>
      </c>
      <c r="M52" s="205">
        <v>4</v>
      </c>
      <c r="N52" s="205">
        <v>5</v>
      </c>
      <c r="O52" s="205">
        <v>6</v>
      </c>
      <c r="P52" s="304">
        <v>2</v>
      </c>
      <c r="Q52" s="304">
        <v>7000</v>
      </c>
      <c r="R52" s="319">
        <f t="shared" si="5"/>
        <v>4667</v>
      </c>
      <c r="S52" s="11">
        <v>3</v>
      </c>
      <c r="T52" s="11">
        <f t="shared" si="21"/>
        <v>17500</v>
      </c>
      <c r="U52" s="319">
        <f t="shared" si="7"/>
        <v>11667</v>
      </c>
      <c r="V52" s="11">
        <v>4</v>
      </c>
      <c r="W52" s="246">
        <f t="shared" si="8"/>
        <v>140000</v>
      </c>
      <c r="X52" s="319">
        <f t="shared" si="9"/>
        <v>93334</v>
      </c>
      <c r="Y52" s="63">
        <v>2</v>
      </c>
      <c r="Z52" s="63">
        <v>4</v>
      </c>
      <c r="AA52" s="63">
        <v>6</v>
      </c>
    </row>
    <row r="53" spans="1:27" x14ac:dyDescent="0.25">
      <c r="A53" s="54" t="s">
        <v>660</v>
      </c>
      <c r="B53" s="69" t="s">
        <v>1500</v>
      </c>
      <c r="C53" s="205">
        <v>5</v>
      </c>
      <c r="D53" s="4" t="s">
        <v>1299</v>
      </c>
      <c r="E53" s="4" t="s">
        <v>1298</v>
      </c>
      <c r="F53" s="4"/>
      <c r="G53" s="205">
        <f t="shared" si="19"/>
        <v>325</v>
      </c>
      <c r="H53" s="205">
        <f t="shared" si="20"/>
        <v>3250</v>
      </c>
      <c r="I53" s="205">
        <v>6500</v>
      </c>
      <c r="J53" s="306" t="str">
        <f t="shared" si="17"/>
        <v>Kim Cương:2:Vàng:5000:Kinh Nghiệm:3334</v>
      </c>
      <c r="K53" s="305" t="str">
        <f t="shared" si="3"/>
        <v>Kim Cương:2:Vàng:12500:Kinh Nghiệm:8334</v>
      </c>
      <c r="L53" s="305" t="str">
        <f t="shared" si="4"/>
        <v>Kim Cương:3:Vàng:100000:Kinh Nghiệm:66667</v>
      </c>
      <c r="M53" s="205">
        <v>3</v>
      </c>
      <c r="N53" s="205">
        <v>4</v>
      </c>
      <c r="O53" s="205">
        <v>5</v>
      </c>
      <c r="P53" s="304">
        <v>2</v>
      </c>
      <c r="Q53" s="304">
        <v>5000</v>
      </c>
      <c r="R53" s="319">
        <f t="shared" si="5"/>
        <v>3334</v>
      </c>
      <c r="S53" s="11">
        <v>2</v>
      </c>
      <c r="T53" s="11">
        <f t="shared" si="21"/>
        <v>12500</v>
      </c>
      <c r="U53" s="319">
        <f t="shared" si="7"/>
        <v>8334</v>
      </c>
      <c r="V53" s="11">
        <v>3</v>
      </c>
      <c r="W53" s="246">
        <f t="shared" si="8"/>
        <v>100000</v>
      </c>
      <c r="X53" s="319">
        <f t="shared" si="9"/>
        <v>66667</v>
      </c>
      <c r="Y53" s="63">
        <v>2</v>
      </c>
      <c r="Z53" s="63">
        <v>4</v>
      </c>
      <c r="AA53" s="63">
        <v>6</v>
      </c>
    </row>
    <row r="54" spans="1:27" x14ac:dyDescent="0.25">
      <c r="A54" s="54" t="s">
        <v>1297</v>
      </c>
      <c r="B54" s="4" t="s">
        <v>1501</v>
      </c>
      <c r="C54" s="4">
        <v>5</v>
      </c>
      <c r="D54" s="4" t="s">
        <v>1296</v>
      </c>
      <c r="E54" s="4" t="s">
        <v>1295</v>
      </c>
      <c r="F54" s="4"/>
      <c r="G54" s="4">
        <f>I54/20</f>
        <v>9</v>
      </c>
      <c r="H54" s="205">
        <f t="shared" si="20"/>
        <v>90</v>
      </c>
      <c r="I54" s="4">
        <v>180</v>
      </c>
      <c r="J54" s="306" t="str">
        <f t="shared" si="17"/>
        <v>Kim Cương:2:Vàng:5500:Kinh Nghiệm:3667</v>
      </c>
      <c r="K54" s="305" t="str">
        <f t="shared" si="3"/>
        <v>Kim Cương:3:Vàng:13750:Kinh Nghiệm:9167</v>
      </c>
      <c r="L54" s="305" t="str">
        <f>CONCATENATE($P$1&amp;":"&amp;V54&amp;":"&amp;$Q$1&amp;":"&amp;W54&amp;":"&amp;$R$1&amp;":"&amp;X54)</f>
        <v>Kim Cương:4:Vàng:110000:Kinh Nghiệm:73334</v>
      </c>
      <c r="M54" s="205">
        <v>4</v>
      </c>
      <c r="N54" s="205">
        <v>5</v>
      </c>
      <c r="O54" s="205">
        <v>6</v>
      </c>
      <c r="P54" s="304">
        <v>2</v>
      </c>
      <c r="Q54" s="304">
        <v>5500</v>
      </c>
      <c r="R54" s="319">
        <f t="shared" si="5"/>
        <v>3667</v>
      </c>
      <c r="S54" s="304">
        <v>3</v>
      </c>
      <c r="T54" s="11">
        <f t="shared" si="21"/>
        <v>13750</v>
      </c>
      <c r="U54" s="319">
        <f t="shared" si="7"/>
        <v>9167</v>
      </c>
      <c r="V54" s="11">
        <v>4</v>
      </c>
      <c r="W54" s="246">
        <f t="shared" si="8"/>
        <v>110000</v>
      </c>
      <c r="X54" s="319">
        <f t="shared" si="9"/>
        <v>73334</v>
      </c>
      <c r="Y54" s="63">
        <v>3</v>
      </c>
      <c r="Z54" s="63">
        <v>5</v>
      </c>
      <c r="AA54" s="63">
        <v>6</v>
      </c>
    </row>
    <row r="55" spans="1:27" x14ac:dyDescent="0.25">
      <c r="A55" s="334" t="s">
        <v>2291</v>
      </c>
      <c r="B55" s="4"/>
      <c r="C55" s="205">
        <v>1</v>
      </c>
      <c r="D55" s="207" t="s">
        <v>2275</v>
      </c>
      <c r="E55" s="4"/>
      <c r="F55" s="4" t="s">
        <v>738</v>
      </c>
      <c r="G55" s="4">
        <f t="shared" ref="G55:G60" si="22">I55/20</f>
        <v>575</v>
      </c>
      <c r="H55" s="205">
        <f t="shared" si="20"/>
        <v>5750</v>
      </c>
      <c r="I55" s="4">
        <v>11500</v>
      </c>
      <c r="J55" s="306"/>
      <c r="K55" s="305"/>
      <c r="L55" s="305"/>
      <c r="M55" s="205">
        <v>1</v>
      </c>
      <c r="N55" s="205">
        <v>2</v>
      </c>
      <c r="O55" s="205">
        <v>3</v>
      </c>
      <c r="P55" s="304">
        <v>1</v>
      </c>
      <c r="Q55" s="304">
        <v>2000</v>
      </c>
      <c r="R55" s="319">
        <f t="shared" si="5"/>
        <v>1334</v>
      </c>
      <c r="S55" s="304">
        <v>2</v>
      </c>
      <c r="T55" s="11">
        <f t="shared" si="21"/>
        <v>5000</v>
      </c>
      <c r="U55" s="319">
        <f t="shared" si="7"/>
        <v>3334</v>
      </c>
      <c r="V55" s="11">
        <v>3</v>
      </c>
      <c r="W55" s="246">
        <f t="shared" si="8"/>
        <v>40000</v>
      </c>
      <c r="X55" s="319">
        <f t="shared" si="9"/>
        <v>26667</v>
      </c>
      <c r="Y55" s="63"/>
      <c r="Z55" s="63"/>
      <c r="AA55" s="63"/>
    </row>
    <row r="56" spans="1:27" x14ac:dyDescent="0.25">
      <c r="A56" s="334" t="s">
        <v>661</v>
      </c>
      <c r="B56" s="4"/>
      <c r="C56" s="205">
        <v>1</v>
      </c>
      <c r="D56" s="207" t="s">
        <v>2276</v>
      </c>
      <c r="E56" s="4"/>
      <c r="F56" s="4" t="s">
        <v>740</v>
      </c>
      <c r="G56" s="4">
        <f t="shared" si="22"/>
        <v>570</v>
      </c>
      <c r="H56" s="205">
        <f t="shared" si="20"/>
        <v>5700</v>
      </c>
      <c r="I56" s="4">
        <v>11400</v>
      </c>
      <c r="J56" s="306"/>
      <c r="K56" s="305"/>
      <c r="L56" s="305"/>
      <c r="M56" s="205">
        <v>2</v>
      </c>
      <c r="N56" s="205">
        <v>3</v>
      </c>
      <c r="O56" s="205">
        <v>4</v>
      </c>
      <c r="P56" s="304">
        <v>1</v>
      </c>
      <c r="Q56" s="304">
        <v>2100</v>
      </c>
      <c r="R56" s="319">
        <f t="shared" si="5"/>
        <v>1400</v>
      </c>
      <c r="S56" s="304">
        <v>2</v>
      </c>
      <c r="T56" s="11">
        <f t="shared" si="21"/>
        <v>5250</v>
      </c>
      <c r="U56" s="319">
        <f t="shared" si="7"/>
        <v>3500</v>
      </c>
      <c r="V56" s="11">
        <v>3</v>
      </c>
      <c r="W56" s="246">
        <f t="shared" si="8"/>
        <v>42000</v>
      </c>
      <c r="X56" s="319">
        <f t="shared" si="9"/>
        <v>28000</v>
      </c>
      <c r="Y56" s="63"/>
      <c r="Z56" s="63"/>
      <c r="AA56" s="63"/>
    </row>
    <row r="57" spans="1:27" x14ac:dyDescent="0.25">
      <c r="A57" s="334" t="s">
        <v>142</v>
      </c>
      <c r="B57" s="4"/>
      <c r="C57" s="205">
        <v>1</v>
      </c>
      <c r="D57" s="207" t="s">
        <v>2277</v>
      </c>
      <c r="E57" s="4"/>
      <c r="F57" s="4" t="s">
        <v>742</v>
      </c>
      <c r="G57" s="4">
        <f t="shared" si="22"/>
        <v>565</v>
      </c>
      <c r="H57" s="205">
        <f t="shared" si="20"/>
        <v>5650</v>
      </c>
      <c r="I57" s="4">
        <v>11300</v>
      </c>
      <c r="J57" s="306"/>
      <c r="K57" s="305"/>
      <c r="L57" s="305"/>
      <c r="M57" s="205">
        <v>2</v>
      </c>
      <c r="N57" s="205">
        <v>3</v>
      </c>
      <c r="O57" s="205">
        <v>4</v>
      </c>
      <c r="P57" s="304">
        <v>1</v>
      </c>
      <c r="Q57" s="304">
        <v>2200</v>
      </c>
      <c r="R57" s="319">
        <f t="shared" si="5"/>
        <v>1467</v>
      </c>
      <c r="S57" s="304">
        <v>2</v>
      </c>
      <c r="T57" s="11">
        <f t="shared" si="21"/>
        <v>5500</v>
      </c>
      <c r="U57" s="319">
        <f t="shared" si="7"/>
        <v>3667</v>
      </c>
      <c r="V57" s="11">
        <v>3</v>
      </c>
      <c r="W57" s="246">
        <f t="shared" si="8"/>
        <v>44000</v>
      </c>
      <c r="X57" s="319">
        <f t="shared" si="9"/>
        <v>29334</v>
      </c>
      <c r="Y57" s="63"/>
      <c r="Z57" s="63"/>
      <c r="AA57" s="63"/>
    </row>
    <row r="58" spans="1:27" x14ac:dyDescent="0.25">
      <c r="A58" s="334" t="s">
        <v>2292</v>
      </c>
      <c r="B58" s="4"/>
      <c r="C58" s="205">
        <v>1</v>
      </c>
      <c r="D58" s="207" t="s">
        <v>2278</v>
      </c>
      <c r="E58" s="4"/>
      <c r="F58" s="4" t="s">
        <v>743</v>
      </c>
      <c r="G58" s="4">
        <f t="shared" si="22"/>
        <v>560</v>
      </c>
      <c r="H58" s="205">
        <f t="shared" si="20"/>
        <v>5600</v>
      </c>
      <c r="I58" s="4">
        <v>11200</v>
      </c>
      <c r="J58" s="306"/>
      <c r="K58" s="305"/>
      <c r="L58" s="305"/>
      <c r="M58" s="205">
        <v>2</v>
      </c>
      <c r="N58" s="205">
        <v>3</v>
      </c>
      <c r="O58" s="205">
        <v>4</v>
      </c>
      <c r="P58" s="304">
        <v>1</v>
      </c>
      <c r="Q58" s="304">
        <v>2300</v>
      </c>
      <c r="R58" s="319">
        <f t="shared" si="5"/>
        <v>1534</v>
      </c>
      <c r="S58" s="304">
        <v>2</v>
      </c>
      <c r="T58" s="11">
        <f t="shared" si="21"/>
        <v>5750</v>
      </c>
      <c r="U58" s="319">
        <f t="shared" si="7"/>
        <v>3834</v>
      </c>
      <c r="V58" s="11">
        <v>3</v>
      </c>
      <c r="W58" s="246">
        <f t="shared" si="8"/>
        <v>46000</v>
      </c>
      <c r="X58" s="319">
        <f t="shared" si="9"/>
        <v>30667</v>
      </c>
      <c r="Y58" s="63"/>
      <c r="Z58" s="63"/>
      <c r="AA58" s="63"/>
    </row>
    <row r="59" spans="1:27" x14ac:dyDescent="0.25">
      <c r="A59" s="334" t="s">
        <v>662</v>
      </c>
      <c r="B59" s="4"/>
      <c r="C59" s="205">
        <v>1</v>
      </c>
      <c r="D59" s="207" t="s">
        <v>2279</v>
      </c>
      <c r="E59" s="4"/>
      <c r="F59" s="4" t="s">
        <v>744</v>
      </c>
      <c r="G59" s="4">
        <f t="shared" si="22"/>
        <v>555</v>
      </c>
      <c r="H59" s="205">
        <f t="shared" si="20"/>
        <v>5550</v>
      </c>
      <c r="I59" s="4">
        <v>11100</v>
      </c>
      <c r="J59" s="306"/>
      <c r="K59" s="305"/>
      <c r="L59" s="305"/>
      <c r="M59" s="205">
        <v>2</v>
      </c>
      <c r="N59" s="205">
        <v>3</v>
      </c>
      <c r="O59" s="205">
        <v>4</v>
      </c>
      <c r="P59" s="304">
        <v>1</v>
      </c>
      <c r="Q59" s="304">
        <v>2400</v>
      </c>
      <c r="R59" s="319">
        <f t="shared" si="5"/>
        <v>1600</v>
      </c>
      <c r="S59" s="304">
        <v>2</v>
      </c>
      <c r="T59" s="11">
        <f t="shared" si="21"/>
        <v>6000</v>
      </c>
      <c r="U59" s="319">
        <f t="shared" si="7"/>
        <v>4000</v>
      </c>
      <c r="V59" s="11">
        <v>3</v>
      </c>
      <c r="W59" s="246">
        <f t="shared" si="8"/>
        <v>48000</v>
      </c>
      <c r="X59" s="319">
        <f t="shared" si="9"/>
        <v>32000</v>
      </c>
      <c r="Y59" s="63"/>
      <c r="Z59" s="63"/>
      <c r="AA59" s="63"/>
    </row>
    <row r="60" spans="1:27" x14ac:dyDescent="0.25">
      <c r="A60" s="334" t="s">
        <v>2293</v>
      </c>
      <c r="B60" s="4"/>
      <c r="C60" s="205">
        <v>1</v>
      </c>
      <c r="D60" s="207" t="s">
        <v>2280</v>
      </c>
      <c r="E60" s="4"/>
      <c r="F60" s="4" t="s">
        <v>746</v>
      </c>
      <c r="G60" s="4">
        <f t="shared" si="22"/>
        <v>550</v>
      </c>
      <c r="H60" s="205">
        <f t="shared" si="20"/>
        <v>5500</v>
      </c>
      <c r="I60" s="4">
        <v>11000</v>
      </c>
      <c r="J60" s="306"/>
      <c r="K60" s="305"/>
      <c r="L60" s="305"/>
      <c r="M60" s="205">
        <v>2</v>
      </c>
      <c r="N60" s="205">
        <v>3</v>
      </c>
      <c r="O60" s="205">
        <v>4</v>
      </c>
      <c r="P60" s="304">
        <v>1</v>
      </c>
      <c r="Q60" s="304">
        <v>2500</v>
      </c>
      <c r="R60" s="319">
        <f t="shared" si="5"/>
        <v>1667</v>
      </c>
      <c r="S60" s="304">
        <v>2</v>
      </c>
      <c r="T60" s="11">
        <f t="shared" si="21"/>
        <v>6250</v>
      </c>
      <c r="U60" s="319">
        <f t="shared" si="7"/>
        <v>4167</v>
      </c>
      <c r="V60" s="11">
        <v>3</v>
      </c>
      <c r="W60" s="246">
        <f t="shared" si="8"/>
        <v>50000</v>
      </c>
      <c r="X60" s="319">
        <f t="shared" si="9"/>
        <v>33334</v>
      </c>
      <c r="Y60" s="63"/>
      <c r="Z60" s="63"/>
      <c r="AA60" s="63"/>
    </row>
    <row r="61" spans="1:27" x14ac:dyDescent="0.25">
      <c r="A61" s="334" t="s">
        <v>2294</v>
      </c>
      <c r="B61" s="4"/>
      <c r="C61" s="205">
        <v>3</v>
      </c>
      <c r="D61" s="207" t="s">
        <v>2281</v>
      </c>
      <c r="E61" s="4"/>
      <c r="F61" s="4" t="s">
        <v>97</v>
      </c>
      <c r="G61" s="4">
        <v>3</v>
      </c>
      <c r="H61" s="205">
        <v>6</v>
      </c>
      <c r="I61" s="4">
        <v>9</v>
      </c>
      <c r="J61" s="306"/>
      <c r="K61" s="305"/>
      <c r="L61" s="305"/>
      <c r="M61" s="205">
        <v>3</v>
      </c>
      <c r="N61" s="205">
        <v>3</v>
      </c>
      <c r="O61" s="205">
        <v>4</v>
      </c>
      <c r="P61" s="304">
        <v>2</v>
      </c>
      <c r="Q61" s="304">
        <v>5000</v>
      </c>
      <c r="R61" s="319">
        <f t="shared" si="5"/>
        <v>3334</v>
      </c>
      <c r="S61" s="304">
        <v>3</v>
      </c>
      <c r="T61" s="11">
        <f t="shared" si="21"/>
        <v>12500</v>
      </c>
      <c r="U61" s="319">
        <f t="shared" si="7"/>
        <v>8334</v>
      </c>
      <c r="V61" s="11">
        <v>4</v>
      </c>
      <c r="W61" s="246">
        <f t="shared" si="8"/>
        <v>100000</v>
      </c>
      <c r="X61" s="319">
        <f t="shared" si="9"/>
        <v>66667</v>
      </c>
      <c r="Y61" s="63"/>
      <c r="Z61" s="63"/>
      <c r="AA61" s="63"/>
    </row>
    <row r="62" spans="1:27" x14ac:dyDescent="0.25">
      <c r="A62" s="334" t="s">
        <v>144</v>
      </c>
      <c r="B62" s="4"/>
      <c r="C62" s="205">
        <v>3</v>
      </c>
      <c r="D62" s="207" t="s">
        <v>2282</v>
      </c>
      <c r="E62" s="4"/>
      <c r="F62" s="4" t="s">
        <v>99</v>
      </c>
      <c r="G62" s="4">
        <v>3</v>
      </c>
      <c r="H62" s="205">
        <v>6</v>
      </c>
      <c r="I62" s="4">
        <v>9</v>
      </c>
      <c r="J62" s="306"/>
      <c r="K62" s="305"/>
      <c r="L62" s="305"/>
      <c r="M62" s="205">
        <v>3</v>
      </c>
      <c r="N62" s="205">
        <v>3</v>
      </c>
      <c r="O62" s="205">
        <v>4</v>
      </c>
      <c r="P62" s="304">
        <v>2</v>
      </c>
      <c r="Q62" s="304">
        <v>5500</v>
      </c>
      <c r="R62" s="319">
        <f t="shared" si="5"/>
        <v>3667</v>
      </c>
      <c r="S62" s="304">
        <v>3</v>
      </c>
      <c r="T62" s="11">
        <f t="shared" si="21"/>
        <v>13750</v>
      </c>
      <c r="U62" s="319">
        <f t="shared" si="7"/>
        <v>9167</v>
      </c>
      <c r="V62" s="11">
        <v>4</v>
      </c>
      <c r="W62" s="246">
        <f t="shared" si="8"/>
        <v>110000</v>
      </c>
      <c r="X62" s="319">
        <f t="shared" si="9"/>
        <v>73334</v>
      </c>
      <c r="Y62" s="63"/>
      <c r="Z62" s="63"/>
      <c r="AA62" s="63"/>
    </row>
    <row r="63" spans="1:27" x14ac:dyDescent="0.25">
      <c r="A63" s="334" t="s">
        <v>2295</v>
      </c>
      <c r="B63" s="4"/>
      <c r="C63" s="205">
        <v>3</v>
      </c>
      <c r="D63" s="207" t="s">
        <v>2283</v>
      </c>
      <c r="E63" s="4"/>
      <c r="F63" s="4" t="s">
        <v>101</v>
      </c>
      <c r="G63" s="4">
        <v>3</v>
      </c>
      <c r="H63" s="205">
        <v>6</v>
      </c>
      <c r="I63" s="4">
        <v>9</v>
      </c>
      <c r="J63" s="306"/>
      <c r="K63" s="305"/>
      <c r="L63" s="305"/>
      <c r="M63" s="205">
        <v>3</v>
      </c>
      <c r="N63" s="205">
        <v>3</v>
      </c>
      <c r="O63" s="205">
        <v>4</v>
      </c>
      <c r="P63" s="304">
        <v>2</v>
      </c>
      <c r="Q63" s="304">
        <v>6500</v>
      </c>
      <c r="R63" s="319">
        <f t="shared" si="5"/>
        <v>4334</v>
      </c>
      <c r="S63" s="304">
        <v>3</v>
      </c>
      <c r="T63" s="11">
        <f t="shared" si="21"/>
        <v>16250</v>
      </c>
      <c r="U63" s="319">
        <f t="shared" si="7"/>
        <v>10834</v>
      </c>
      <c r="V63" s="11">
        <v>4</v>
      </c>
      <c r="W63" s="246">
        <f t="shared" si="8"/>
        <v>130000</v>
      </c>
      <c r="X63" s="319">
        <f t="shared" si="9"/>
        <v>86667</v>
      </c>
      <c r="Y63" s="63"/>
      <c r="Z63" s="63"/>
      <c r="AA63" s="63"/>
    </row>
    <row r="64" spans="1:27" x14ac:dyDescent="0.25">
      <c r="A64" s="334" t="s">
        <v>2296</v>
      </c>
      <c r="B64" s="4"/>
      <c r="C64" s="205">
        <v>3</v>
      </c>
      <c r="D64" s="207" t="s">
        <v>2284</v>
      </c>
      <c r="E64" s="4"/>
      <c r="F64" s="4" t="s">
        <v>103</v>
      </c>
      <c r="G64" s="4">
        <v>3</v>
      </c>
      <c r="H64" s="205">
        <v>6</v>
      </c>
      <c r="I64" s="4">
        <v>9</v>
      </c>
      <c r="J64" s="306"/>
      <c r="K64" s="305"/>
      <c r="L64" s="305"/>
      <c r="M64" s="205">
        <v>4</v>
      </c>
      <c r="N64" s="205">
        <v>5</v>
      </c>
      <c r="O64" s="205">
        <v>6</v>
      </c>
      <c r="P64" s="304">
        <v>2</v>
      </c>
      <c r="Q64" s="304">
        <v>7500</v>
      </c>
      <c r="R64" s="319">
        <f t="shared" si="5"/>
        <v>5000</v>
      </c>
      <c r="S64" s="304">
        <v>3</v>
      </c>
      <c r="T64" s="11">
        <f t="shared" si="21"/>
        <v>18750</v>
      </c>
      <c r="U64" s="319">
        <f t="shared" si="7"/>
        <v>12500</v>
      </c>
      <c r="V64" s="11">
        <v>4</v>
      </c>
      <c r="W64" s="246">
        <f t="shared" si="8"/>
        <v>150000</v>
      </c>
      <c r="X64" s="319">
        <f t="shared" si="9"/>
        <v>100000</v>
      </c>
      <c r="Y64" s="63"/>
      <c r="Z64" s="63"/>
      <c r="AA64" s="63"/>
    </row>
    <row r="65" spans="1:27" x14ac:dyDescent="0.25">
      <c r="A65" s="334" t="s">
        <v>663</v>
      </c>
      <c r="B65" s="4"/>
      <c r="C65" s="205">
        <v>3</v>
      </c>
      <c r="D65" s="207" t="s">
        <v>2285</v>
      </c>
      <c r="E65" s="4"/>
      <c r="F65" s="4" t="s">
        <v>105</v>
      </c>
      <c r="G65" s="4">
        <v>3</v>
      </c>
      <c r="H65" s="205">
        <v>6</v>
      </c>
      <c r="I65" s="4">
        <v>9</v>
      </c>
      <c r="J65" s="306"/>
      <c r="K65" s="305"/>
      <c r="L65" s="305"/>
      <c r="M65" s="205">
        <v>4</v>
      </c>
      <c r="N65" s="205">
        <v>5</v>
      </c>
      <c r="O65" s="205">
        <v>6</v>
      </c>
      <c r="P65" s="304">
        <v>2</v>
      </c>
      <c r="Q65" s="304">
        <v>8500</v>
      </c>
      <c r="R65" s="319">
        <f t="shared" si="5"/>
        <v>5667</v>
      </c>
      <c r="S65" s="304">
        <v>3</v>
      </c>
      <c r="T65" s="11">
        <f t="shared" si="21"/>
        <v>21250</v>
      </c>
      <c r="U65" s="319">
        <f t="shared" si="7"/>
        <v>14167</v>
      </c>
      <c r="V65" s="11">
        <v>4</v>
      </c>
      <c r="W65" s="246">
        <f t="shared" si="8"/>
        <v>170000</v>
      </c>
      <c r="X65" s="319">
        <f t="shared" si="9"/>
        <v>113334</v>
      </c>
      <c r="Y65" s="63"/>
      <c r="Z65" s="63"/>
      <c r="AA65" s="63"/>
    </row>
    <row r="66" spans="1:27" x14ac:dyDescent="0.25">
      <c r="A66" s="334" t="s">
        <v>2297</v>
      </c>
      <c r="B66" s="4"/>
      <c r="C66" s="205">
        <v>3</v>
      </c>
      <c r="D66" s="207" t="s">
        <v>2286</v>
      </c>
      <c r="E66" s="4"/>
      <c r="F66" s="4" t="s">
        <v>107</v>
      </c>
      <c r="G66" s="4">
        <v>3</v>
      </c>
      <c r="H66" s="205">
        <v>6</v>
      </c>
      <c r="I66" s="4">
        <v>9</v>
      </c>
      <c r="J66" s="306"/>
      <c r="K66" s="305"/>
      <c r="L66" s="305"/>
      <c r="M66" s="205">
        <v>4</v>
      </c>
      <c r="N66" s="205">
        <v>5</v>
      </c>
      <c r="O66" s="205">
        <v>6</v>
      </c>
      <c r="P66" s="304">
        <v>2</v>
      </c>
      <c r="Q66" s="304">
        <v>9500</v>
      </c>
      <c r="R66" s="319">
        <f t="shared" si="5"/>
        <v>6334</v>
      </c>
      <c r="S66" s="304">
        <v>3</v>
      </c>
      <c r="T66" s="11">
        <f t="shared" si="21"/>
        <v>23750</v>
      </c>
      <c r="U66" s="319">
        <f t="shared" si="7"/>
        <v>15834</v>
      </c>
      <c r="V66" s="11">
        <v>4</v>
      </c>
      <c r="W66" s="246">
        <f t="shared" si="8"/>
        <v>190000</v>
      </c>
      <c r="X66" s="319">
        <f t="shared" si="9"/>
        <v>126667</v>
      </c>
      <c r="Y66" s="63"/>
      <c r="Z66" s="63"/>
      <c r="AA66" s="63"/>
    </row>
    <row r="67" spans="1:27" x14ac:dyDescent="0.25">
      <c r="A67" s="334" t="s">
        <v>146</v>
      </c>
      <c r="B67" s="4"/>
      <c r="C67" s="205">
        <v>3</v>
      </c>
      <c r="D67" s="207" t="s">
        <v>2287</v>
      </c>
      <c r="E67" s="4"/>
      <c r="F67" s="4" t="s">
        <v>109</v>
      </c>
      <c r="G67" s="4">
        <v>3</v>
      </c>
      <c r="H67" s="205">
        <v>6</v>
      </c>
      <c r="I67" s="4">
        <v>9</v>
      </c>
      <c r="J67" s="306"/>
      <c r="K67" s="305"/>
      <c r="L67" s="305"/>
      <c r="M67" s="205">
        <v>5</v>
      </c>
      <c r="N67" s="205">
        <v>6</v>
      </c>
      <c r="O67" s="205">
        <v>7</v>
      </c>
      <c r="P67" s="304">
        <v>2</v>
      </c>
      <c r="Q67" s="304">
        <v>14500</v>
      </c>
      <c r="R67" s="319">
        <f t="shared" ref="R67:R84" si="23">ROUNDUP(Q67/1.5,0)</f>
        <v>9667</v>
      </c>
      <c r="S67" s="304">
        <v>3</v>
      </c>
      <c r="T67" s="11">
        <f t="shared" si="21"/>
        <v>36250</v>
      </c>
      <c r="U67" s="319">
        <f t="shared" ref="U67:U84" si="24">ROUNDUP(T67/1.5,0)</f>
        <v>24167</v>
      </c>
      <c r="V67" s="11">
        <v>4</v>
      </c>
      <c r="W67" s="246">
        <f t="shared" ref="W67:W84" si="25">Q67*20</f>
        <v>290000</v>
      </c>
      <c r="X67" s="319">
        <f t="shared" ref="X67:X84" si="26">ROUNDUP(W67/1.5,0)</f>
        <v>193334</v>
      </c>
      <c r="Y67" s="63"/>
      <c r="Z67" s="63"/>
      <c r="AA67" s="63"/>
    </row>
    <row r="68" spans="1:27" x14ac:dyDescent="0.25">
      <c r="A68" s="334" t="s">
        <v>664</v>
      </c>
      <c r="B68" s="4"/>
      <c r="C68" s="205">
        <v>3</v>
      </c>
      <c r="D68" s="207" t="s">
        <v>2288</v>
      </c>
      <c r="E68" s="4"/>
      <c r="F68" s="4" t="s">
        <v>111</v>
      </c>
      <c r="G68" s="4">
        <v>3</v>
      </c>
      <c r="H68" s="205">
        <v>6</v>
      </c>
      <c r="I68" s="4">
        <v>9</v>
      </c>
      <c r="J68" s="306"/>
      <c r="K68" s="305"/>
      <c r="L68" s="305"/>
      <c r="M68" s="205">
        <v>5</v>
      </c>
      <c r="N68" s="205">
        <v>6</v>
      </c>
      <c r="O68" s="205">
        <v>7</v>
      </c>
      <c r="P68" s="304">
        <v>2</v>
      </c>
      <c r="Q68" s="304">
        <v>24500</v>
      </c>
      <c r="R68" s="319">
        <f t="shared" si="23"/>
        <v>16334</v>
      </c>
      <c r="S68" s="304">
        <v>3</v>
      </c>
      <c r="T68" s="11">
        <f t="shared" si="21"/>
        <v>61250</v>
      </c>
      <c r="U68" s="319">
        <f t="shared" si="24"/>
        <v>40834</v>
      </c>
      <c r="V68" s="11">
        <v>4</v>
      </c>
      <c r="W68" s="246">
        <f>Q68*20</f>
        <v>490000</v>
      </c>
      <c r="X68" s="319">
        <f t="shared" si="26"/>
        <v>326667</v>
      </c>
      <c r="Y68" s="63"/>
      <c r="Z68" s="63"/>
      <c r="AA68" s="63"/>
    </row>
    <row r="69" spans="1:27" x14ac:dyDescent="0.25">
      <c r="A69" s="334" t="s">
        <v>2298</v>
      </c>
      <c r="B69" s="4"/>
      <c r="C69" s="205">
        <v>3</v>
      </c>
      <c r="D69" s="207" t="s">
        <v>2289</v>
      </c>
      <c r="E69" s="4"/>
      <c r="F69" s="4" t="s">
        <v>113</v>
      </c>
      <c r="G69" s="4">
        <v>3</v>
      </c>
      <c r="H69" s="205">
        <v>6</v>
      </c>
      <c r="I69" s="4">
        <v>9</v>
      </c>
      <c r="J69" s="306"/>
      <c r="K69" s="305"/>
      <c r="L69" s="305"/>
      <c r="M69" s="205">
        <v>6</v>
      </c>
      <c r="N69" s="205">
        <v>7</v>
      </c>
      <c r="O69" s="205">
        <v>8</v>
      </c>
      <c r="P69" s="304">
        <v>2</v>
      </c>
      <c r="Q69" s="304">
        <v>34500</v>
      </c>
      <c r="R69" s="319">
        <f t="shared" si="23"/>
        <v>23000</v>
      </c>
      <c r="S69" s="304">
        <v>3</v>
      </c>
      <c r="T69" s="11">
        <f t="shared" si="21"/>
        <v>86250</v>
      </c>
      <c r="U69" s="319">
        <f t="shared" si="24"/>
        <v>57500</v>
      </c>
      <c r="V69" s="11">
        <v>4</v>
      </c>
      <c r="W69" s="246">
        <f t="shared" si="25"/>
        <v>690000</v>
      </c>
      <c r="X69" s="319">
        <f t="shared" si="26"/>
        <v>460000</v>
      </c>
      <c r="Y69" s="63"/>
      <c r="Z69" s="63"/>
      <c r="AA69" s="63"/>
    </row>
    <row r="70" spans="1:27" x14ac:dyDescent="0.25">
      <c r="A70" s="334" t="s">
        <v>2299</v>
      </c>
      <c r="B70" s="4"/>
      <c r="C70" s="205">
        <v>3</v>
      </c>
      <c r="D70" s="207" t="s">
        <v>2290</v>
      </c>
      <c r="E70" s="4"/>
      <c r="F70" s="4" t="s">
        <v>115</v>
      </c>
      <c r="G70" s="4">
        <v>3</v>
      </c>
      <c r="H70" s="205">
        <v>6</v>
      </c>
      <c r="I70" s="4">
        <v>9</v>
      </c>
      <c r="J70" s="306"/>
      <c r="K70" s="305"/>
      <c r="L70" s="305"/>
      <c r="M70" s="205">
        <v>6</v>
      </c>
      <c r="N70" s="205">
        <v>7</v>
      </c>
      <c r="O70" s="205">
        <v>8</v>
      </c>
      <c r="P70" s="304">
        <v>2</v>
      </c>
      <c r="Q70" s="304">
        <v>44500</v>
      </c>
      <c r="R70" s="319">
        <f t="shared" si="23"/>
        <v>29667</v>
      </c>
      <c r="S70" s="304">
        <v>3</v>
      </c>
      <c r="T70" s="11">
        <f t="shared" si="21"/>
        <v>111250</v>
      </c>
      <c r="U70" s="319">
        <f t="shared" si="24"/>
        <v>74167</v>
      </c>
      <c r="V70" s="11">
        <v>4</v>
      </c>
      <c r="W70" s="246">
        <f t="shared" si="25"/>
        <v>890000</v>
      </c>
      <c r="X70" s="319">
        <f t="shared" si="26"/>
        <v>593334</v>
      </c>
      <c r="Y70" s="63"/>
      <c r="Z70" s="63"/>
      <c r="AA70" s="63"/>
    </row>
    <row r="71" spans="1:27" x14ac:dyDescent="0.25">
      <c r="A71" s="334" t="s">
        <v>665</v>
      </c>
      <c r="B71" s="4"/>
      <c r="C71" s="205">
        <v>3</v>
      </c>
      <c r="D71" s="207" t="s">
        <v>2305</v>
      </c>
      <c r="E71" s="4"/>
      <c r="F71" s="2" t="s">
        <v>2379</v>
      </c>
      <c r="G71" s="4">
        <f t="shared" ref="G71:G76" si="27">ROUNDUP(I71/20,0)</f>
        <v>10</v>
      </c>
      <c r="H71" s="205">
        <f t="shared" ref="H71:H76" si="28">I71/2</f>
        <v>99</v>
      </c>
      <c r="I71" s="4">
        <v>198</v>
      </c>
      <c r="J71" s="306"/>
      <c r="K71" s="305"/>
      <c r="L71" s="305"/>
      <c r="M71" s="205">
        <v>5</v>
      </c>
      <c r="N71" s="205">
        <v>6</v>
      </c>
      <c r="O71" s="205">
        <v>7</v>
      </c>
      <c r="P71" s="304">
        <v>2</v>
      </c>
      <c r="Q71" s="304">
        <v>6500</v>
      </c>
      <c r="R71" s="319">
        <f t="shared" si="23"/>
        <v>4334</v>
      </c>
      <c r="S71" s="304">
        <v>3</v>
      </c>
      <c r="T71" s="11">
        <f t="shared" si="21"/>
        <v>16250</v>
      </c>
      <c r="U71" s="319">
        <f t="shared" si="24"/>
        <v>10834</v>
      </c>
      <c r="V71" s="11">
        <v>4</v>
      </c>
      <c r="W71" s="246">
        <f t="shared" si="25"/>
        <v>130000</v>
      </c>
      <c r="X71" s="319">
        <f t="shared" si="26"/>
        <v>86667</v>
      </c>
      <c r="Y71" s="63"/>
      <c r="Z71" s="63"/>
      <c r="AA71" s="63"/>
    </row>
    <row r="72" spans="1:27" x14ac:dyDescent="0.25">
      <c r="A72" s="334" t="s">
        <v>148</v>
      </c>
      <c r="B72" s="4"/>
      <c r="C72" s="205">
        <v>3</v>
      </c>
      <c r="D72" s="207" t="s">
        <v>2306</v>
      </c>
      <c r="E72" s="4"/>
      <c r="F72" s="2" t="s">
        <v>2380</v>
      </c>
      <c r="G72" s="4">
        <f t="shared" si="27"/>
        <v>10</v>
      </c>
      <c r="H72" s="205">
        <f t="shared" si="28"/>
        <v>99</v>
      </c>
      <c r="I72" s="4">
        <v>198</v>
      </c>
      <c r="J72" s="306"/>
      <c r="K72" s="305"/>
      <c r="L72" s="305"/>
      <c r="M72" s="205">
        <v>5</v>
      </c>
      <c r="N72" s="205">
        <v>6</v>
      </c>
      <c r="O72" s="205">
        <v>7</v>
      </c>
      <c r="P72" s="304">
        <v>2</v>
      </c>
      <c r="Q72" s="304">
        <v>7500</v>
      </c>
      <c r="R72" s="319">
        <f t="shared" si="23"/>
        <v>5000</v>
      </c>
      <c r="S72" s="304">
        <v>3</v>
      </c>
      <c r="T72" s="11">
        <f t="shared" si="21"/>
        <v>18750</v>
      </c>
      <c r="U72" s="319">
        <f t="shared" si="24"/>
        <v>12500</v>
      </c>
      <c r="V72" s="11">
        <v>4</v>
      </c>
      <c r="W72" s="246">
        <f t="shared" si="25"/>
        <v>150000</v>
      </c>
      <c r="X72" s="319">
        <f t="shared" si="26"/>
        <v>100000</v>
      </c>
      <c r="Y72" s="63"/>
      <c r="Z72" s="63"/>
      <c r="AA72" s="63"/>
    </row>
    <row r="73" spans="1:27" x14ac:dyDescent="0.25">
      <c r="A73" s="334" t="s">
        <v>2300</v>
      </c>
      <c r="B73" s="4"/>
      <c r="C73" s="205">
        <v>3</v>
      </c>
      <c r="D73" s="207" t="s">
        <v>2307</v>
      </c>
      <c r="E73" s="4"/>
      <c r="F73" s="2" t="s">
        <v>2382</v>
      </c>
      <c r="G73" s="4">
        <f t="shared" si="27"/>
        <v>10</v>
      </c>
      <c r="H73" s="205">
        <f t="shared" si="28"/>
        <v>99</v>
      </c>
      <c r="I73" s="4">
        <v>198</v>
      </c>
      <c r="J73" s="306"/>
      <c r="K73" s="305"/>
      <c r="L73" s="305"/>
      <c r="M73" s="205">
        <v>5</v>
      </c>
      <c r="N73" s="205">
        <v>6</v>
      </c>
      <c r="O73" s="205">
        <v>7</v>
      </c>
      <c r="P73" s="304">
        <v>2</v>
      </c>
      <c r="Q73" s="304">
        <v>8500</v>
      </c>
      <c r="R73" s="319">
        <f t="shared" si="23"/>
        <v>5667</v>
      </c>
      <c r="S73" s="304">
        <v>3</v>
      </c>
      <c r="T73" s="11">
        <f>Q73*2.5</f>
        <v>21250</v>
      </c>
      <c r="U73" s="319">
        <f t="shared" si="24"/>
        <v>14167</v>
      </c>
      <c r="V73" s="11">
        <v>4</v>
      </c>
      <c r="W73" s="246">
        <f t="shared" si="25"/>
        <v>170000</v>
      </c>
      <c r="X73" s="319">
        <f t="shared" si="26"/>
        <v>113334</v>
      </c>
      <c r="Y73" s="63"/>
      <c r="Z73" s="63"/>
      <c r="AA73" s="63"/>
    </row>
    <row r="74" spans="1:27" x14ac:dyDescent="0.25">
      <c r="A74" s="334" t="s">
        <v>666</v>
      </c>
      <c r="B74" s="4"/>
      <c r="C74" s="205">
        <v>3</v>
      </c>
      <c r="D74" s="207" t="s">
        <v>2308</v>
      </c>
      <c r="E74" s="4"/>
      <c r="F74" s="54" t="s">
        <v>2381</v>
      </c>
      <c r="G74" s="4">
        <f t="shared" si="27"/>
        <v>10</v>
      </c>
      <c r="H74" s="205">
        <f t="shared" si="28"/>
        <v>99</v>
      </c>
      <c r="I74" s="4">
        <v>198</v>
      </c>
      <c r="J74" s="306"/>
      <c r="K74" s="305"/>
      <c r="L74" s="305"/>
      <c r="M74" s="205">
        <v>5</v>
      </c>
      <c r="N74" s="205">
        <v>6</v>
      </c>
      <c r="O74" s="205">
        <v>7</v>
      </c>
      <c r="P74" s="304">
        <v>2</v>
      </c>
      <c r="Q74" s="304">
        <v>9500</v>
      </c>
      <c r="R74" s="319">
        <f t="shared" si="23"/>
        <v>6334</v>
      </c>
      <c r="S74" s="304">
        <v>3</v>
      </c>
      <c r="T74" s="11">
        <f t="shared" si="21"/>
        <v>23750</v>
      </c>
      <c r="U74" s="319">
        <f t="shared" si="24"/>
        <v>15834</v>
      </c>
      <c r="V74" s="11">
        <v>4</v>
      </c>
      <c r="W74" s="246">
        <f t="shared" si="25"/>
        <v>190000</v>
      </c>
      <c r="X74" s="319">
        <f t="shared" si="26"/>
        <v>126667</v>
      </c>
      <c r="Y74" s="63"/>
      <c r="Z74" s="63"/>
      <c r="AA74" s="63"/>
    </row>
    <row r="75" spans="1:27" x14ac:dyDescent="0.25">
      <c r="A75" s="334" t="s">
        <v>2301</v>
      </c>
      <c r="B75" s="4"/>
      <c r="C75" s="205">
        <v>4</v>
      </c>
      <c r="D75" s="207" t="s">
        <v>2383</v>
      </c>
      <c r="E75" s="4"/>
      <c r="F75" s="4"/>
      <c r="G75" s="4">
        <f t="shared" si="27"/>
        <v>1000</v>
      </c>
      <c r="H75" s="205">
        <f t="shared" si="28"/>
        <v>10000</v>
      </c>
      <c r="I75" s="4">
        <v>20000</v>
      </c>
      <c r="J75" s="306"/>
      <c r="K75" s="305"/>
      <c r="L75" s="305"/>
      <c r="M75" s="205">
        <v>2</v>
      </c>
      <c r="N75" s="205">
        <v>3</v>
      </c>
      <c r="O75" s="205">
        <v>4</v>
      </c>
      <c r="P75" s="304">
        <v>1</v>
      </c>
      <c r="Q75" s="304">
        <v>2000</v>
      </c>
      <c r="R75" s="319">
        <f t="shared" si="23"/>
        <v>1334</v>
      </c>
      <c r="S75" s="304">
        <v>2</v>
      </c>
      <c r="T75" s="11">
        <f t="shared" si="21"/>
        <v>5000</v>
      </c>
      <c r="U75" s="319">
        <f t="shared" si="24"/>
        <v>3334</v>
      </c>
      <c r="V75" s="11">
        <v>3</v>
      </c>
      <c r="W75" s="246">
        <f t="shared" si="25"/>
        <v>40000</v>
      </c>
      <c r="X75" s="319">
        <f t="shared" si="26"/>
        <v>26667</v>
      </c>
      <c r="Y75" s="63"/>
      <c r="Z75" s="63"/>
      <c r="AA75" s="63"/>
    </row>
    <row r="76" spans="1:27" x14ac:dyDescent="0.25">
      <c r="A76" s="334" t="s">
        <v>2302</v>
      </c>
      <c r="B76" s="4"/>
      <c r="C76" s="205">
        <v>5</v>
      </c>
      <c r="D76" s="207" t="s">
        <v>2309</v>
      </c>
      <c r="E76" s="4"/>
      <c r="F76" s="4" t="s">
        <v>2385</v>
      </c>
      <c r="G76" s="4">
        <f t="shared" si="27"/>
        <v>400</v>
      </c>
      <c r="H76" s="205">
        <f t="shared" si="28"/>
        <v>4000</v>
      </c>
      <c r="I76" s="4">
        <v>8000</v>
      </c>
      <c r="J76" s="306"/>
      <c r="K76" s="305"/>
      <c r="L76" s="305"/>
      <c r="M76" s="205">
        <v>2</v>
      </c>
      <c r="N76" s="205">
        <v>3</v>
      </c>
      <c r="O76" s="205">
        <v>4</v>
      </c>
      <c r="P76" s="304">
        <v>1</v>
      </c>
      <c r="Q76" s="304">
        <v>8500</v>
      </c>
      <c r="R76" s="319">
        <f t="shared" si="23"/>
        <v>5667</v>
      </c>
      <c r="S76" s="304">
        <v>2</v>
      </c>
      <c r="T76" s="11">
        <f t="shared" si="21"/>
        <v>21250</v>
      </c>
      <c r="U76" s="319">
        <f t="shared" si="24"/>
        <v>14167</v>
      </c>
      <c r="V76" s="11">
        <v>3</v>
      </c>
      <c r="W76" s="246">
        <f t="shared" si="25"/>
        <v>170000</v>
      </c>
      <c r="X76" s="319">
        <f t="shared" si="26"/>
        <v>113334</v>
      </c>
      <c r="Y76" s="63"/>
      <c r="Z76" s="63"/>
      <c r="AA76" s="63"/>
    </row>
    <row r="77" spans="1:27" x14ac:dyDescent="0.25">
      <c r="A77" s="334" t="s">
        <v>150</v>
      </c>
      <c r="B77" s="4"/>
      <c r="C77" s="205">
        <v>5</v>
      </c>
      <c r="D77" s="207" t="s">
        <v>2310</v>
      </c>
      <c r="E77" s="4"/>
      <c r="F77" s="4" t="s">
        <v>2386</v>
      </c>
      <c r="G77" s="4">
        <f t="shared" ref="G77:G83" si="29">ROUNDUP(I77/20,0)</f>
        <v>400</v>
      </c>
      <c r="H77" s="205">
        <f t="shared" ref="H77:H84" si="30">I77/2</f>
        <v>4000</v>
      </c>
      <c r="I77" s="4">
        <v>8000</v>
      </c>
      <c r="J77" s="306"/>
      <c r="K77" s="305"/>
      <c r="L77" s="305"/>
      <c r="M77" s="205">
        <v>3</v>
      </c>
      <c r="N77" s="205">
        <v>4</v>
      </c>
      <c r="O77" s="205">
        <v>5</v>
      </c>
      <c r="P77" s="304">
        <v>2</v>
      </c>
      <c r="Q77" s="304">
        <v>9500</v>
      </c>
      <c r="R77" s="319">
        <f t="shared" si="23"/>
        <v>6334</v>
      </c>
      <c r="S77" s="304">
        <v>3</v>
      </c>
      <c r="T77" s="11">
        <f t="shared" si="21"/>
        <v>23750</v>
      </c>
      <c r="U77" s="319">
        <f t="shared" si="24"/>
        <v>15834</v>
      </c>
      <c r="V77" s="11">
        <v>4</v>
      </c>
      <c r="W77" s="246">
        <f t="shared" si="25"/>
        <v>190000</v>
      </c>
      <c r="X77" s="319">
        <f t="shared" si="26"/>
        <v>126667</v>
      </c>
      <c r="Y77" s="63"/>
      <c r="Z77" s="63"/>
      <c r="AA77" s="63"/>
    </row>
    <row r="78" spans="1:27" x14ac:dyDescent="0.25">
      <c r="A78" s="334" t="s">
        <v>2303</v>
      </c>
      <c r="B78" s="4"/>
      <c r="C78" s="205">
        <v>5</v>
      </c>
      <c r="D78" s="207" t="s">
        <v>2311</v>
      </c>
      <c r="E78" s="4"/>
      <c r="F78" s="4" t="s">
        <v>2387</v>
      </c>
      <c r="G78" s="4">
        <f t="shared" si="29"/>
        <v>400</v>
      </c>
      <c r="H78" s="205">
        <f t="shared" si="30"/>
        <v>4000</v>
      </c>
      <c r="I78" s="4">
        <v>8000</v>
      </c>
      <c r="J78" s="306"/>
      <c r="K78" s="305"/>
      <c r="L78" s="305"/>
      <c r="M78" s="205">
        <v>4</v>
      </c>
      <c r="N78" s="205">
        <v>5</v>
      </c>
      <c r="O78" s="205">
        <v>6</v>
      </c>
      <c r="P78" s="304">
        <v>2</v>
      </c>
      <c r="Q78" s="304">
        <v>14500</v>
      </c>
      <c r="R78" s="319">
        <f t="shared" si="23"/>
        <v>9667</v>
      </c>
      <c r="S78" s="304">
        <v>3</v>
      </c>
      <c r="T78" s="11">
        <f t="shared" si="21"/>
        <v>36250</v>
      </c>
      <c r="U78" s="319">
        <f t="shared" si="24"/>
        <v>24167</v>
      </c>
      <c r="V78" s="11">
        <v>4</v>
      </c>
      <c r="W78" s="246">
        <f t="shared" si="25"/>
        <v>290000</v>
      </c>
      <c r="X78" s="319">
        <f t="shared" si="26"/>
        <v>193334</v>
      </c>
      <c r="Y78" s="63"/>
      <c r="Z78" s="63"/>
      <c r="AA78" s="63"/>
    </row>
    <row r="79" spans="1:27" x14ac:dyDescent="0.25">
      <c r="A79" s="334" t="s">
        <v>2304</v>
      </c>
      <c r="B79" s="4"/>
      <c r="C79" s="205">
        <v>5</v>
      </c>
      <c r="D79" s="207" t="s">
        <v>2312</v>
      </c>
      <c r="E79" s="4"/>
      <c r="F79" s="4" t="s">
        <v>2388</v>
      </c>
      <c r="G79" s="4">
        <f t="shared" si="29"/>
        <v>200</v>
      </c>
      <c r="H79" s="205">
        <f t="shared" si="30"/>
        <v>2000</v>
      </c>
      <c r="I79" s="4">
        <v>4000</v>
      </c>
      <c r="J79" s="306"/>
      <c r="K79" s="305"/>
      <c r="L79" s="305"/>
      <c r="M79" s="205">
        <v>5</v>
      </c>
      <c r="N79" s="205">
        <v>6</v>
      </c>
      <c r="O79" s="205">
        <v>7</v>
      </c>
      <c r="P79" s="304">
        <v>2</v>
      </c>
      <c r="Q79" s="304">
        <v>24500</v>
      </c>
      <c r="R79" s="319">
        <f t="shared" si="23"/>
        <v>16334</v>
      </c>
      <c r="S79" s="304">
        <v>3</v>
      </c>
      <c r="T79" s="11">
        <f t="shared" si="21"/>
        <v>61250</v>
      </c>
      <c r="U79" s="319">
        <f t="shared" si="24"/>
        <v>40834</v>
      </c>
      <c r="V79" s="11">
        <v>4</v>
      </c>
      <c r="W79" s="246">
        <f t="shared" si="25"/>
        <v>490000</v>
      </c>
      <c r="X79" s="319">
        <f t="shared" si="26"/>
        <v>326667</v>
      </c>
      <c r="Y79" s="63"/>
      <c r="Z79" s="63"/>
      <c r="AA79" s="63"/>
    </row>
    <row r="80" spans="1:27" x14ac:dyDescent="0.25">
      <c r="A80" s="334" t="s">
        <v>667</v>
      </c>
      <c r="B80" s="4"/>
      <c r="C80" s="205">
        <v>5</v>
      </c>
      <c r="D80" s="207" t="s">
        <v>2313</v>
      </c>
      <c r="E80" s="4"/>
      <c r="F80" s="4"/>
      <c r="G80" s="4">
        <f t="shared" si="29"/>
        <v>15</v>
      </c>
      <c r="H80" s="205">
        <f t="shared" si="30"/>
        <v>150</v>
      </c>
      <c r="I80" s="4">
        <v>300</v>
      </c>
      <c r="J80" s="306"/>
      <c r="K80" s="305"/>
      <c r="L80" s="305"/>
      <c r="M80" s="205">
        <v>4</v>
      </c>
      <c r="N80" s="205">
        <v>5</v>
      </c>
      <c r="O80" s="205">
        <v>6</v>
      </c>
      <c r="P80" s="304">
        <v>2</v>
      </c>
      <c r="Q80" s="304">
        <v>7000</v>
      </c>
      <c r="R80" s="319">
        <f t="shared" si="23"/>
        <v>4667</v>
      </c>
      <c r="S80" s="304">
        <v>3</v>
      </c>
      <c r="T80" s="11">
        <f t="shared" si="21"/>
        <v>17500</v>
      </c>
      <c r="U80" s="319">
        <f t="shared" si="24"/>
        <v>11667</v>
      </c>
      <c r="V80" s="11">
        <v>4</v>
      </c>
      <c r="W80" s="246">
        <f t="shared" si="25"/>
        <v>140000</v>
      </c>
      <c r="X80" s="319">
        <f t="shared" si="26"/>
        <v>93334</v>
      </c>
      <c r="Y80" s="63"/>
      <c r="Z80" s="63"/>
      <c r="AA80" s="63"/>
    </row>
    <row r="81" spans="1:27" x14ac:dyDescent="0.25">
      <c r="A81" s="334">
        <v>79</v>
      </c>
      <c r="B81" s="4"/>
      <c r="C81" s="205">
        <v>2</v>
      </c>
      <c r="D81" s="207" t="s">
        <v>2314</v>
      </c>
      <c r="E81" s="4"/>
      <c r="F81" s="4"/>
      <c r="G81" s="4">
        <f t="shared" si="29"/>
        <v>900</v>
      </c>
      <c r="H81" s="205">
        <f t="shared" si="30"/>
        <v>9000</v>
      </c>
      <c r="I81" s="4">
        <v>18000</v>
      </c>
      <c r="J81" s="306"/>
      <c r="K81" s="305"/>
      <c r="L81" s="305"/>
      <c r="M81" s="205">
        <v>3</v>
      </c>
      <c r="N81" s="205">
        <v>4</v>
      </c>
      <c r="O81" s="205">
        <v>5</v>
      </c>
      <c r="P81" s="304">
        <v>1</v>
      </c>
      <c r="Q81" s="304">
        <v>5000</v>
      </c>
      <c r="R81" s="319">
        <f t="shared" si="23"/>
        <v>3334</v>
      </c>
      <c r="S81" s="304">
        <v>2</v>
      </c>
      <c r="T81" s="11">
        <f t="shared" si="21"/>
        <v>12500</v>
      </c>
      <c r="U81" s="319">
        <f t="shared" si="24"/>
        <v>8334</v>
      </c>
      <c r="V81" s="11">
        <v>3</v>
      </c>
      <c r="W81" s="246">
        <f t="shared" si="25"/>
        <v>100000</v>
      </c>
      <c r="X81" s="319">
        <f t="shared" si="26"/>
        <v>66667</v>
      </c>
      <c r="Y81" s="63"/>
      <c r="Z81" s="63"/>
      <c r="AA81" s="63"/>
    </row>
    <row r="82" spans="1:27" x14ac:dyDescent="0.25">
      <c r="A82" s="334">
        <v>80</v>
      </c>
      <c r="B82" s="4"/>
      <c r="C82" s="4">
        <v>5</v>
      </c>
      <c r="D82" s="207" t="s">
        <v>2315</v>
      </c>
      <c r="E82" s="4"/>
      <c r="F82" s="4"/>
      <c r="G82" s="4">
        <f t="shared" si="29"/>
        <v>35</v>
      </c>
      <c r="H82" s="205">
        <f t="shared" si="30"/>
        <v>350</v>
      </c>
      <c r="I82" s="4">
        <v>700</v>
      </c>
      <c r="J82" s="306"/>
      <c r="K82" s="305"/>
      <c r="L82" s="305"/>
      <c r="M82" s="205">
        <v>4</v>
      </c>
      <c r="N82" s="205">
        <v>5</v>
      </c>
      <c r="O82" s="205">
        <v>6</v>
      </c>
      <c r="P82" s="304">
        <v>2</v>
      </c>
      <c r="Q82" s="304">
        <v>7000</v>
      </c>
      <c r="R82" s="319">
        <f t="shared" si="23"/>
        <v>4667</v>
      </c>
      <c r="S82" s="304">
        <v>3</v>
      </c>
      <c r="T82" s="11">
        <f t="shared" si="21"/>
        <v>17500</v>
      </c>
      <c r="U82" s="319">
        <f t="shared" si="24"/>
        <v>11667</v>
      </c>
      <c r="V82" s="11">
        <v>4</v>
      </c>
      <c r="W82" s="246">
        <f t="shared" si="25"/>
        <v>140000</v>
      </c>
      <c r="X82" s="319">
        <f t="shared" si="26"/>
        <v>93334</v>
      </c>
      <c r="Y82" s="63"/>
      <c r="Z82" s="63"/>
      <c r="AA82" s="63"/>
    </row>
    <row r="83" spans="1:27" x14ac:dyDescent="0.25">
      <c r="A83" s="334">
        <v>81</v>
      </c>
      <c r="B83" s="4"/>
      <c r="C83" s="4">
        <v>5</v>
      </c>
      <c r="D83" s="207" t="s">
        <v>2396</v>
      </c>
      <c r="E83" s="4"/>
      <c r="F83" s="4"/>
      <c r="G83" s="4">
        <f t="shared" si="29"/>
        <v>2</v>
      </c>
      <c r="H83" s="205">
        <f t="shared" si="30"/>
        <v>15</v>
      </c>
      <c r="I83" s="4">
        <v>30</v>
      </c>
      <c r="J83" s="306"/>
      <c r="K83" s="305"/>
      <c r="L83" s="305"/>
      <c r="M83" s="205">
        <v>5</v>
      </c>
      <c r="N83" s="205">
        <v>6</v>
      </c>
      <c r="O83" s="205">
        <v>7</v>
      </c>
      <c r="P83" s="304">
        <v>3</v>
      </c>
      <c r="Q83" s="304">
        <v>20000</v>
      </c>
      <c r="R83" s="319">
        <f t="shared" si="23"/>
        <v>13334</v>
      </c>
      <c r="S83" s="304">
        <v>4</v>
      </c>
      <c r="T83" s="11">
        <f t="shared" si="21"/>
        <v>50000</v>
      </c>
      <c r="U83" s="319">
        <f t="shared" si="24"/>
        <v>33334</v>
      </c>
      <c r="V83" s="11">
        <v>5</v>
      </c>
      <c r="W83" s="246">
        <f t="shared" si="25"/>
        <v>400000</v>
      </c>
      <c r="X83" s="319">
        <f t="shared" si="26"/>
        <v>266667</v>
      </c>
      <c r="Y83" s="63"/>
      <c r="Z83" s="63"/>
      <c r="AA83" s="63"/>
    </row>
    <row r="84" spans="1:27" x14ac:dyDescent="0.25">
      <c r="A84" s="334">
        <v>82</v>
      </c>
      <c r="B84" s="4"/>
      <c r="C84" s="4">
        <v>5</v>
      </c>
      <c r="D84" s="207" t="s">
        <v>2395</v>
      </c>
      <c r="E84" s="4"/>
      <c r="F84" s="4"/>
      <c r="G84" s="4">
        <v>2</v>
      </c>
      <c r="H84" s="205">
        <f t="shared" si="30"/>
        <v>10</v>
      </c>
      <c r="I84" s="4">
        <v>20</v>
      </c>
      <c r="J84" s="306"/>
      <c r="K84" s="305"/>
      <c r="L84" s="305"/>
      <c r="M84" s="205">
        <v>6</v>
      </c>
      <c r="N84" s="205">
        <v>7</v>
      </c>
      <c r="O84" s="205">
        <v>8</v>
      </c>
      <c r="P84" s="304">
        <v>3</v>
      </c>
      <c r="Q84" s="304">
        <v>30000</v>
      </c>
      <c r="R84" s="319">
        <f t="shared" si="23"/>
        <v>20000</v>
      </c>
      <c r="S84" s="304">
        <v>4</v>
      </c>
      <c r="T84" s="11">
        <f t="shared" si="21"/>
        <v>75000</v>
      </c>
      <c r="U84" s="319">
        <f t="shared" si="24"/>
        <v>50000</v>
      </c>
      <c r="V84" s="11">
        <v>5</v>
      </c>
      <c r="W84" s="246">
        <f t="shared" si="25"/>
        <v>600000</v>
      </c>
      <c r="X84" s="319">
        <f t="shared" si="26"/>
        <v>400000</v>
      </c>
      <c r="Y84" s="63"/>
      <c r="Z84" s="63"/>
      <c r="AA84" s="63"/>
    </row>
    <row r="85" spans="1:27" x14ac:dyDescent="0.25">
      <c r="M85" s="322">
        <f>SUM(M2:M84)</f>
        <v>270</v>
      </c>
      <c r="N85" s="322">
        <f>SUM(N2:N84)</f>
        <v>341</v>
      </c>
      <c r="O85" s="322">
        <f>SUM(O2:O84)</f>
        <v>424</v>
      </c>
      <c r="P85" s="322">
        <f>SUM(P2:P84)</f>
        <v>142</v>
      </c>
      <c r="Q85" s="322">
        <f t="shared" ref="Q85:X85" si="31">SUM(Q2:Q84)</f>
        <v>668200</v>
      </c>
      <c r="R85" s="322">
        <f t="shared" si="31"/>
        <v>445496</v>
      </c>
      <c r="S85" s="322">
        <f t="shared" si="31"/>
        <v>211</v>
      </c>
      <c r="T85" s="322">
        <f t="shared" si="31"/>
        <v>2124800</v>
      </c>
      <c r="U85" s="322">
        <f t="shared" si="31"/>
        <v>1416563</v>
      </c>
      <c r="V85" s="322">
        <f t="shared" si="31"/>
        <v>294</v>
      </c>
      <c r="W85" s="322">
        <f t="shared" si="31"/>
        <v>13066500</v>
      </c>
      <c r="X85" s="322">
        <f t="shared" si="31"/>
        <v>8711029</v>
      </c>
    </row>
    <row r="87" spans="1:27" x14ac:dyDescent="0.25">
      <c r="F87" s="303"/>
      <c r="G87" s="246"/>
      <c r="O87" s="341" t="s">
        <v>1579</v>
      </c>
      <c r="P87" s="342">
        <f>P85+S85+V85</f>
        <v>647</v>
      </c>
      <c r="Q87" s="342">
        <f>Q85+T85+W85</f>
        <v>15859500</v>
      </c>
      <c r="R87" s="342">
        <f>Q87/1.5</f>
        <v>10573000</v>
      </c>
    </row>
    <row r="88" spans="1:27" x14ac:dyDescent="0.25">
      <c r="F88" s="303"/>
      <c r="G88" s="303"/>
      <c r="I88" s="315" t="s">
        <v>1470</v>
      </c>
      <c r="J88" s="315" t="s">
        <v>1471</v>
      </c>
      <c r="K88" s="315" t="s">
        <v>1472</v>
      </c>
      <c r="L88" s="315" t="s">
        <v>1473</v>
      </c>
    </row>
    <row r="89" spans="1:27" x14ac:dyDescent="0.25">
      <c r="F89" s="303"/>
      <c r="G89" s="302"/>
      <c r="H89" s="315">
        <v>1</v>
      </c>
      <c r="I89" s="315">
        <v>3</v>
      </c>
      <c r="J89" s="34"/>
      <c r="K89" s="315">
        <f>70*10*6</f>
        <v>4200</v>
      </c>
      <c r="L89" s="315">
        <f>27+20</f>
        <v>47</v>
      </c>
    </row>
    <row r="90" spans="1:27" x14ac:dyDescent="0.25">
      <c r="F90" s="303"/>
      <c r="G90" s="246" t="s">
        <v>1657</v>
      </c>
      <c r="H90" s="315">
        <v>1000</v>
      </c>
      <c r="I90" s="315">
        <f>H90*I89/H89</f>
        <v>3000</v>
      </c>
      <c r="J90" s="34"/>
      <c r="K90" s="315">
        <f>K89/5</f>
        <v>840</v>
      </c>
      <c r="L90" s="315">
        <f>L89*H90</f>
        <v>47000</v>
      </c>
    </row>
    <row r="91" spans="1:27" x14ac:dyDescent="0.25">
      <c r="G91" s="301"/>
      <c r="H91" s="315"/>
      <c r="I91" s="316">
        <f>I90*60*60</f>
        <v>10800000</v>
      </c>
      <c r="J91" s="315"/>
      <c r="K91" s="315"/>
      <c r="L91" s="315">
        <f>L90/2</f>
        <v>23500</v>
      </c>
    </row>
    <row r="92" spans="1:27" x14ac:dyDescent="0.25">
      <c r="G92" s="11" t="s">
        <v>1568</v>
      </c>
      <c r="H92" s="315"/>
      <c r="I92" s="316">
        <f>I91/(108900/20)</f>
        <v>1983.4710743801652</v>
      </c>
      <c r="J92" s="320">
        <f>I91/(30000/15)</f>
        <v>5400</v>
      </c>
      <c r="K92" s="315"/>
      <c r="L92" s="315" t="s">
        <v>1474</v>
      </c>
    </row>
    <row r="93" spans="1:27" x14ac:dyDescent="0.25">
      <c r="G93" s="11" t="s">
        <v>1569</v>
      </c>
      <c r="H93" s="315"/>
      <c r="I93" s="318">
        <f>I92*60</f>
        <v>119008.26446280991</v>
      </c>
      <c r="J93" s="320">
        <f>J92*10</f>
        <v>54000</v>
      </c>
      <c r="K93" s="315"/>
      <c r="L93" s="315">
        <v>10</v>
      </c>
    </row>
    <row r="94" spans="1:27" x14ac:dyDescent="0.25">
      <c r="H94" s="315"/>
      <c r="I94" s="317">
        <f>I93/20</f>
        <v>5950.4132231404956</v>
      </c>
      <c r="J94" s="320"/>
      <c r="K94" s="315"/>
      <c r="L94" s="315">
        <f>H90*10</f>
        <v>10000</v>
      </c>
    </row>
    <row r="95" spans="1:27" x14ac:dyDescent="0.25">
      <c r="H95" s="315"/>
      <c r="I95" s="318">
        <f>I94*2</f>
        <v>11900.826446280991</v>
      </c>
      <c r="J95" s="320">
        <f>J92*2</f>
        <v>10800</v>
      </c>
      <c r="K95" s="315"/>
      <c r="L95" s="315">
        <f>L94/3</f>
        <v>3333.3333333333335</v>
      </c>
    </row>
    <row r="96" spans="1:27" x14ac:dyDescent="0.25">
      <c r="E96" s="358"/>
      <c r="J96" s="34"/>
    </row>
    <row r="97" spans="8:12" x14ac:dyDescent="0.25">
      <c r="H97" s="315"/>
      <c r="I97" s="315" t="s">
        <v>1476</v>
      </c>
      <c r="J97" s="320" t="s">
        <v>1477</v>
      </c>
      <c r="K97" s="315" t="s">
        <v>1478</v>
      </c>
      <c r="L97" s="315" t="s">
        <v>1475</v>
      </c>
    </row>
    <row r="98" spans="8:12" x14ac:dyDescent="0.25">
      <c r="H98" s="315">
        <v>1</v>
      </c>
      <c r="I98" s="315">
        <v>20</v>
      </c>
      <c r="J98" s="320">
        <v>4</v>
      </c>
      <c r="K98" s="315">
        <v>6</v>
      </c>
      <c r="L98" s="315">
        <v>18</v>
      </c>
    </row>
    <row r="99" spans="8:12" x14ac:dyDescent="0.25">
      <c r="H99" s="315">
        <f>H90</f>
        <v>1000</v>
      </c>
      <c r="I99" s="315">
        <f>H99*I98</f>
        <v>20000</v>
      </c>
      <c r="J99" s="320">
        <f>H99*J98</f>
        <v>4000</v>
      </c>
      <c r="K99" s="315">
        <f>H99*K98</f>
        <v>6000</v>
      </c>
      <c r="L99" s="315">
        <f>L98*1000</f>
        <v>18000</v>
      </c>
    </row>
    <row r="100" spans="8:12" x14ac:dyDescent="0.25">
      <c r="H100" s="315"/>
      <c r="I100" s="315">
        <f>I99/1.5</f>
        <v>13333.333333333334</v>
      </c>
      <c r="J100" s="320">
        <f>J99/1.5</f>
        <v>2666.6666666666665</v>
      </c>
      <c r="K100" s="320">
        <f>K99/1.5</f>
        <v>4000</v>
      </c>
      <c r="L100" s="316">
        <f>H99*L99</f>
        <v>18000000</v>
      </c>
    </row>
    <row r="101" spans="8:12" x14ac:dyDescent="0.25">
      <c r="H101" s="315"/>
      <c r="I101" s="315" t="s">
        <v>1479</v>
      </c>
      <c r="J101" s="320" t="s">
        <v>1480</v>
      </c>
      <c r="K101" s="315" t="s">
        <v>1481</v>
      </c>
    </row>
    <row r="102" spans="8:12" x14ac:dyDescent="0.25">
      <c r="H102" s="315">
        <v>1</v>
      </c>
      <c r="I102" s="315">
        <v>3</v>
      </c>
      <c r="J102" s="320">
        <v>8</v>
      </c>
      <c r="K102" s="315">
        <v>10</v>
      </c>
    </row>
    <row r="103" spans="8:12" x14ac:dyDescent="0.25">
      <c r="H103" s="315">
        <f>H90</f>
        <v>1000</v>
      </c>
      <c r="I103" s="315">
        <f>H103*I102</f>
        <v>3000</v>
      </c>
      <c r="J103" s="320">
        <f>H103*J102</f>
        <v>8000</v>
      </c>
      <c r="K103" s="315">
        <f>H103*K102</f>
        <v>10000</v>
      </c>
    </row>
    <row r="104" spans="8:12" x14ac:dyDescent="0.25">
      <c r="H104" s="315"/>
      <c r="I104" s="315"/>
      <c r="J104" s="320"/>
      <c r="K104" s="315">
        <f>K103/1.5</f>
        <v>6666.666666666667</v>
      </c>
    </row>
    <row r="105" spans="8:12" x14ac:dyDescent="0.25">
      <c r="H105" s="315"/>
      <c r="I105" s="315" t="s">
        <v>1482</v>
      </c>
      <c r="J105" s="320" t="s">
        <v>1483</v>
      </c>
      <c r="K105" s="315" t="s">
        <v>1484</v>
      </c>
    </row>
    <row r="106" spans="8:12" x14ac:dyDescent="0.25">
      <c r="H106" s="315">
        <v>1</v>
      </c>
      <c r="I106" s="315">
        <v>10</v>
      </c>
      <c r="J106" s="320">
        <v>15</v>
      </c>
      <c r="K106" s="315">
        <v>10</v>
      </c>
    </row>
    <row r="107" spans="8:12" x14ac:dyDescent="0.25">
      <c r="H107" s="315">
        <f>H90</f>
        <v>1000</v>
      </c>
      <c r="I107" s="315">
        <f>H107*I106</f>
        <v>10000</v>
      </c>
      <c r="J107" s="320">
        <f>H107*J106</f>
        <v>15000</v>
      </c>
      <c r="K107" s="315">
        <f>K106*H107*2</f>
        <v>20000</v>
      </c>
    </row>
    <row r="108" spans="8:12" x14ac:dyDescent="0.25">
      <c r="I108" s="315"/>
      <c r="J108" s="320">
        <f>J107/1.5</f>
        <v>10000</v>
      </c>
      <c r="K108" s="315"/>
    </row>
    <row r="109" spans="8:12" x14ac:dyDescent="0.25">
      <c r="H109" s="315"/>
      <c r="I109" s="315" t="s">
        <v>2384</v>
      </c>
      <c r="J109" s="320" t="s">
        <v>2391</v>
      </c>
      <c r="K109" s="11" t="s">
        <v>2394</v>
      </c>
    </row>
    <row r="110" spans="8:12" x14ac:dyDescent="0.25">
      <c r="H110" s="315">
        <v>1</v>
      </c>
      <c r="I110" s="315">
        <v>20</v>
      </c>
      <c r="J110" s="320">
        <f>$H$90/3</f>
        <v>333.33333333333331</v>
      </c>
      <c r="K110" s="11">
        <f>1000/7</f>
        <v>142.85714285714286</v>
      </c>
    </row>
    <row r="111" spans="8:12" x14ac:dyDescent="0.25">
      <c r="H111" s="315"/>
      <c r="I111" s="315">
        <f>$H$90*I110/H110</f>
        <v>20000</v>
      </c>
    </row>
    <row r="112" spans="8:12" x14ac:dyDescent="0.25">
      <c r="I112" s="315" t="s">
        <v>2389</v>
      </c>
      <c r="J112" s="320" t="s">
        <v>2392</v>
      </c>
    </row>
    <row r="113" spans="8:10" x14ac:dyDescent="0.25">
      <c r="H113" s="315">
        <v>1</v>
      </c>
      <c r="I113" s="315">
        <v>8</v>
      </c>
      <c r="J113" s="320">
        <f>3000*6</f>
        <v>18000</v>
      </c>
    </row>
    <row r="114" spans="8:10" x14ac:dyDescent="0.25">
      <c r="H114" s="315"/>
      <c r="I114" s="315">
        <f>$H$90*I113/H113</f>
        <v>8000</v>
      </c>
      <c r="J114" s="320"/>
    </row>
    <row r="115" spans="8:10" x14ac:dyDescent="0.25">
      <c r="H115" s="315"/>
      <c r="I115" s="315" t="s">
        <v>2390</v>
      </c>
      <c r="J115" s="320" t="s">
        <v>2393</v>
      </c>
    </row>
    <row r="116" spans="8:10" x14ac:dyDescent="0.25">
      <c r="H116" s="315">
        <v>1</v>
      </c>
      <c r="I116" s="315">
        <v>4</v>
      </c>
      <c r="J116" s="320">
        <f>1000/7*10/2</f>
        <v>714.28571428571433</v>
      </c>
    </row>
    <row r="117" spans="8:10" x14ac:dyDescent="0.25">
      <c r="I117" s="315">
        <f>$H$90*I116/H116</f>
        <v>4000</v>
      </c>
      <c r="J117" s="320"/>
    </row>
    <row r="118" spans="8:10" x14ac:dyDescent="0.25">
      <c r="H118" s="315"/>
      <c r="I118" s="315" t="s">
        <v>2399</v>
      </c>
      <c r="J118" s="320" t="s">
        <v>2400</v>
      </c>
    </row>
    <row r="119" spans="8:10" x14ac:dyDescent="0.25">
      <c r="H119" s="315">
        <v>30</v>
      </c>
      <c r="I119" s="315">
        <v>1</v>
      </c>
      <c r="J119" s="320">
        <v>1</v>
      </c>
    </row>
    <row r="120" spans="8:10" x14ac:dyDescent="0.25">
      <c r="H120" s="315">
        <v>1200</v>
      </c>
      <c r="I120" s="315">
        <f>H120*I119/H119</f>
        <v>40</v>
      </c>
      <c r="J120" s="320">
        <f>H120*J119/60</f>
        <v>20</v>
      </c>
    </row>
    <row r="121" spans="8:10" x14ac:dyDescent="0.25">
      <c r="J121" s="34"/>
    </row>
    <row r="122" spans="8:10" x14ac:dyDescent="0.25">
      <c r="J122" s="34"/>
    </row>
    <row r="123" spans="8:10" x14ac:dyDescent="0.25">
      <c r="J123" s="34"/>
    </row>
    <row r="124" spans="8:10" x14ac:dyDescent="0.25">
      <c r="J124" s="34"/>
    </row>
    <row r="125" spans="8:10" x14ac:dyDescent="0.25">
      <c r="J125" s="34"/>
    </row>
    <row r="126" spans="8:10" x14ac:dyDescent="0.25">
      <c r="J126" s="34"/>
    </row>
    <row r="127" spans="8:10" x14ac:dyDescent="0.25">
      <c r="J127" s="34"/>
    </row>
    <row r="128" spans="8:10" x14ac:dyDescent="0.25">
      <c r="J128" s="34"/>
    </row>
    <row r="129" spans="10:10" x14ac:dyDescent="0.25">
      <c r="J129" s="34"/>
    </row>
    <row r="130" spans="10:10" x14ac:dyDescent="0.25">
      <c r="J130" s="34"/>
    </row>
  </sheetData>
  <autoFilter ref="A1:O95"/>
  <conditionalFormatting sqref="D51:F53 D40 D46:F46 D44:D45 F44:F45 F40 D47 F47">
    <cfRule type="duplicateValues" dxfId="3" priority="1780" stopIfTrue="1"/>
  </conditionalFormatting>
  <conditionalFormatting sqref="D36 F36">
    <cfRule type="duplicateValues" dxfId="2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58"/>
  <sheetViews>
    <sheetView workbookViewId="0">
      <pane xSplit="2" ySplit="1" topLeftCell="AB56" activePane="bottomRight" state="frozen"/>
      <selection pane="topRight" activeCell="C1" sqref="C1"/>
      <selection pane="bottomLeft" activeCell="A2" sqref="A2"/>
      <selection pane="bottomRight" activeCell="AJ67" sqref="AJ67"/>
    </sheetView>
  </sheetViews>
  <sheetFormatPr defaultRowHeight="15" x14ac:dyDescent="0.25"/>
  <cols>
    <col min="1" max="1" width="27.28515625" style="11" bestFit="1" customWidth="1"/>
    <col min="2" max="2" width="23.140625" style="11" customWidth="1"/>
    <col min="3" max="3" width="14.85546875" bestFit="1" customWidth="1"/>
    <col min="5" max="5" width="12.85546875" bestFit="1" customWidth="1"/>
    <col min="7" max="7" width="12.85546875" bestFit="1" customWidth="1"/>
    <col min="9" max="9" width="14.85546875" bestFit="1" customWidth="1"/>
    <col min="11" max="11" width="14.85546875" bestFit="1" customWidth="1"/>
    <col min="13" max="13" width="12.85546875" bestFit="1" customWidth="1"/>
    <col min="17" max="17" width="14.85546875" bestFit="1" customWidth="1"/>
    <col min="19" max="19" width="10.28515625" bestFit="1" customWidth="1"/>
    <col min="23" max="23" width="9.7109375" bestFit="1" customWidth="1"/>
    <col min="25" max="25" width="12.5703125" bestFit="1" customWidth="1"/>
    <col min="27" max="27" width="14.28515625" bestFit="1" customWidth="1"/>
    <col min="29" max="29" width="10.28515625" bestFit="1" customWidth="1"/>
    <col min="33" max="33" width="10.140625" bestFit="1" customWidth="1"/>
    <col min="35" max="35" width="13.85546875" bestFit="1" customWidth="1"/>
    <col min="37" max="37" width="10.5703125" bestFit="1" customWidth="1"/>
    <col min="39" max="39" width="12.42578125" bestFit="1" customWidth="1"/>
    <col min="41" max="41" width="18.5703125" style="15" bestFit="1" customWidth="1"/>
    <col min="42" max="42" width="24" style="15" bestFit="1" customWidth="1"/>
    <col min="43" max="43" width="11.7109375" bestFit="1" customWidth="1"/>
    <col min="44" max="44" width="17.28515625" bestFit="1" customWidth="1"/>
    <col min="45" max="45" width="10.5703125" bestFit="1" customWidth="1"/>
    <col min="47" max="47" width="14.28515625" style="11" bestFit="1" customWidth="1"/>
    <col min="50" max="51" width="13.28515625" bestFit="1" customWidth="1"/>
  </cols>
  <sheetData>
    <row r="1" spans="1:47" x14ac:dyDescent="0.25">
      <c r="A1" s="1" t="s">
        <v>0</v>
      </c>
      <c r="B1" s="49" t="s">
        <v>1116</v>
      </c>
      <c r="C1" s="133" t="s">
        <v>996</v>
      </c>
      <c r="D1" s="134">
        <v>3</v>
      </c>
      <c r="E1" s="133" t="s">
        <v>997</v>
      </c>
      <c r="F1" s="134">
        <v>3</v>
      </c>
      <c r="G1" s="133" t="s">
        <v>998</v>
      </c>
      <c r="H1" s="134">
        <v>3</v>
      </c>
      <c r="I1" s="133" t="s">
        <v>1001</v>
      </c>
      <c r="J1" s="134">
        <v>4</v>
      </c>
      <c r="K1" s="133" t="s">
        <v>999</v>
      </c>
      <c r="L1" s="134">
        <v>4</v>
      </c>
      <c r="M1" s="133" t="s">
        <v>1000</v>
      </c>
      <c r="N1" s="134">
        <v>4</v>
      </c>
      <c r="O1" s="133" t="s">
        <v>980</v>
      </c>
      <c r="P1" s="134">
        <v>11</v>
      </c>
      <c r="Q1" s="133" t="s">
        <v>985</v>
      </c>
      <c r="R1" s="134">
        <v>14</v>
      </c>
      <c r="S1" s="133" t="s">
        <v>984</v>
      </c>
      <c r="T1" s="134">
        <v>17</v>
      </c>
      <c r="U1" s="133" t="s">
        <v>987</v>
      </c>
      <c r="V1" s="134">
        <v>48</v>
      </c>
      <c r="W1" s="133" t="s">
        <v>990</v>
      </c>
      <c r="X1" s="134">
        <v>63</v>
      </c>
      <c r="Y1" s="133" t="s">
        <v>993</v>
      </c>
      <c r="Z1" s="134">
        <v>70</v>
      </c>
      <c r="AA1" s="133" t="s">
        <v>989</v>
      </c>
      <c r="AB1" s="134">
        <v>295</v>
      </c>
      <c r="AC1" s="133" t="s">
        <v>1112</v>
      </c>
      <c r="AD1" s="134">
        <v>10</v>
      </c>
      <c r="AE1" s="133" t="s">
        <v>1113</v>
      </c>
      <c r="AF1" s="134">
        <v>20</v>
      </c>
      <c r="AG1" s="133" t="s">
        <v>1107</v>
      </c>
      <c r="AH1" s="134">
        <v>30</v>
      </c>
      <c r="AI1" s="133" t="s">
        <v>1106</v>
      </c>
      <c r="AJ1" s="134">
        <v>40</v>
      </c>
      <c r="AK1" s="133" t="s">
        <v>1104</v>
      </c>
      <c r="AL1" s="134">
        <v>5</v>
      </c>
      <c r="AM1" s="133" t="s">
        <v>1105</v>
      </c>
      <c r="AN1" s="134">
        <v>5</v>
      </c>
      <c r="AO1" s="139" t="s">
        <v>1237</v>
      </c>
      <c r="AP1" s="139" t="s">
        <v>1245</v>
      </c>
      <c r="AQ1" s="233" t="s">
        <v>1244</v>
      </c>
      <c r="AR1" s="276" t="s">
        <v>1286</v>
      </c>
      <c r="AS1" s="255" t="s">
        <v>1285</v>
      </c>
      <c r="AT1" s="275">
        <v>0.2</v>
      </c>
      <c r="AU1" s="276" t="s">
        <v>161</v>
      </c>
    </row>
    <row r="2" spans="1:47" s="268" customFormat="1" x14ac:dyDescent="0.25">
      <c r="A2" s="263" t="s">
        <v>1</v>
      </c>
      <c r="B2" s="271" t="s">
        <v>1117</v>
      </c>
      <c r="C2" s="268" t="s">
        <v>996</v>
      </c>
      <c r="D2" s="268">
        <v>0</v>
      </c>
      <c r="AO2" s="267">
        <v>1</v>
      </c>
      <c r="AP2" s="267">
        <f>AO2*Pot_UP_Gold!E2</f>
        <v>1</v>
      </c>
      <c r="AQ2" s="272">
        <f>AP2+Pot_UP_Gold!K2</f>
        <v>1.2</v>
      </c>
      <c r="AR2" s="272">
        <v>1</v>
      </c>
      <c r="AS2" s="272">
        <f>$AT$1*AQ2</f>
        <v>0.24</v>
      </c>
      <c r="AU2" s="246">
        <v>1</v>
      </c>
    </row>
    <row r="3" spans="1:47" x14ac:dyDescent="0.25">
      <c r="A3" s="2" t="s">
        <v>2</v>
      </c>
      <c r="B3" s="130" t="s">
        <v>1117</v>
      </c>
      <c r="C3" s="268"/>
      <c r="D3" s="268"/>
      <c r="E3" s="268" t="s">
        <v>997</v>
      </c>
      <c r="F3" s="268">
        <v>0</v>
      </c>
      <c r="G3" s="268"/>
      <c r="H3" s="268"/>
      <c r="AO3" s="15">
        <f>D2*$D$1+F2*$F$1+H2*$H$1+J2*$J$1+L2*$L$1+N2*$N$1+P2*$P$1+R2*$R$1+T2*$T$1+V2*$V$1+X2*$X$1+Z2*$Z$1+AB2*$AB$1+AD2*$AD$1+AF2*$AF$1+AH2*$AH$1+AJ2*$AJ$1+AL2*$AL$1+AN2*$AN$1</f>
        <v>0</v>
      </c>
      <c r="AP3" s="15">
        <f>AO3*Pot_UP_Gold!E2</f>
        <v>0</v>
      </c>
      <c r="AQ3" s="16">
        <f>AP3+Pot_UP_Gold!K3</f>
        <v>0.2</v>
      </c>
      <c r="AR3" s="16">
        <f>AP3+Pot_UP_Gold!K3+AQ2</f>
        <v>1.4</v>
      </c>
      <c r="AS3" s="16">
        <f>$AT$1*AR3</f>
        <v>0.27999999999999997</v>
      </c>
      <c r="AU3" s="246">
        <v>2</v>
      </c>
    </row>
    <row r="4" spans="1:47" x14ac:dyDescent="0.25">
      <c r="A4" s="2" t="s">
        <v>3</v>
      </c>
      <c r="B4" s="130" t="s">
        <v>1117</v>
      </c>
      <c r="C4" s="11" t="s">
        <v>996</v>
      </c>
      <c r="D4" s="11">
        <v>2</v>
      </c>
      <c r="E4" s="268"/>
      <c r="F4" s="268"/>
      <c r="G4" s="268" t="s">
        <v>998</v>
      </c>
      <c r="H4" s="268">
        <v>0</v>
      </c>
      <c r="AO4" s="15">
        <f t="shared" ref="AO4:AO67" si="0">D3*$D$1+F3*$F$1+H3*$H$1+J3*$J$1+L3*$L$1+N3*$N$1+P3*$P$1+R3*$R$1+T3*$T$1+V3*$V$1+X3*$X$1+Z3*$Z$1+AB3*$AB$1+AD3*$AD$1+AF3*$AF$1+AH3*$AH$1+AJ3*$AJ$1+AL3*$AL$1+AN3*$AN$1</f>
        <v>0</v>
      </c>
      <c r="AP4" s="15">
        <f>AO4*Pot_UP_Gold!E3</f>
        <v>0</v>
      </c>
      <c r="AQ4" s="16">
        <f>AP4+Pot_UP_Gold!K4</f>
        <v>0.5</v>
      </c>
      <c r="AR4" s="16">
        <f>AP4+Pot_UP_Gold!K4+AQ3</f>
        <v>0.7</v>
      </c>
      <c r="AS4" s="16">
        <f t="shared" ref="AS4:AS67" si="1">$AT$1*AR4</f>
        <v>0.13999999999999999</v>
      </c>
      <c r="AU4" s="246">
        <v>3</v>
      </c>
    </row>
    <row r="5" spans="1:47" x14ac:dyDescent="0.25">
      <c r="A5" s="2" t="s">
        <v>4</v>
      </c>
      <c r="B5" s="130" t="s">
        <v>1117</v>
      </c>
      <c r="C5" s="11"/>
      <c r="D5" s="11"/>
      <c r="E5" s="11" t="s">
        <v>997</v>
      </c>
      <c r="F5" s="11">
        <v>2</v>
      </c>
      <c r="G5" s="11"/>
      <c r="H5" s="11"/>
      <c r="I5" s="11"/>
      <c r="J5" s="11"/>
      <c r="AO5" s="15">
        <f>D4*$D$1+F4*$F$1+H4*$H$1+J4*$J$1+L4*$L$1+N4*$N$1+P4*$P$1+R4*$R$1+T4*$T$1+V4*$V$1+X4*$X$1+Z4*$Z$1+AB4*$AB$1+AD4*$AD$1+AF4*$AF$1+AH4*$AH$1+AJ4*$AJ$1+AL4*$AL$1+AN4*$AN$1</f>
        <v>6</v>
      </c>
      <c r="AP5" s="15">
        <f>AO5*Pot_UP_Gold!E4</f>
        <v>6</v>
      </c>
      <c r="AQ5" s="16">
        <f>AP5+Pot_UP_Gold!K5</f>
        <v>7</v>
      </c>
      <c r="AR5" s="16">
        <f>AP5+Pot_UP_Gold!K5+AQ4</f>
        <v>7.5</v>
      </c>
      <c r="AS5" s="16">
        <f t="shared" si="1"/>
        <v>1.5</v>
      </c>
      <c r="AU5" s="246">
        <f>ROUNDUP(AR5/2,0)</f>
        <v>4</v>
      </c>
    </row>
    <row r="6" spans="1:47" x14ac:dyDescent="0.25">
      <c r="A6" s="3" t="s">
        <v>5</v>
      </c>
      <c r="B6" s="130" t="s">
        <v>1117</v>
      </c>
      <c r="C6" s="233" t="s">
        <v>996</v>
      </c>
      <c r="D6" s="233">
        <v>1</v>
      </c>
      <c r="E6" s="233" t="s">
        <v>997</v>
      </c>
      <c r="F6" s="233">
        <v>1</v>
      </c>
      <c r="G6" s="233" t="s">
        <v>998</v>
      </c>
      <c r="H6" s="233">
        <v>1</v>
      </c>
      <c r="I6" s="233" t="s">
        <v>1001</v>
      </c>
      <c r="J6" s="233">
        <v>0</v>
      </c>
      <c r="K6" s="233"/>
      <c r="L6" s="233"/>
      <c r="M6" s="233" t="s">
        <v>1000</v>
      </c>
      <c r="N6" s="233">
        <v>0</v>
      </c>
      <c r="AO6" s="15">
        <f>D5*$D$1+F5*$F$1+H5*$H$1+J5*$J$1+L5*$L$1+N5*$N$1+P5*$P$1+R5*$R$1+T5*$T$1+V5*$V$1+X5*$X$1+Z5*$Z$1+AB5*$AB$1+AD5*$AD$1+AF5*$AF$1+AH5*$AH$1+AJ5*$AJ$1+AL5*$AL$1+AN5*$AN$1</f>
        <v>6</v>
      </c>
      <c r="AP6" s="15">
        <f>AO6*Pot_UP_Gold!E5</f>
        <v>6</v>
      </c>
      <c r="AQ6" s="16">
        <f>AP6+Pot_UP_Gold!K6</f>
        <v>8</v>
      </c>
      <c r="AR6" s="16">
        <f>AP6+Pot_UP_Gold!K6+AQ5</f>
        <v>15</v>
      </c>
      <c r="AS6" s="16">
        <f t="shared" si="1"/>
        <v>3</v>
      </c>
      <c r="AU6" s="246">
        <f>ROUNDUP(AR6/2,0)</f>
        <v>8</v>
      </c>
    </row>
    <row r="7" spans="1:47" x14ac:dyDescent="0.25">
      <c r="A7" s="2" t="s">
        <v>6</v>
      </c>
      <c r="B7" s="130" t="s">
        <v>1117</v>
      </c>
      <c r="C7" t="s">
        <v>996</v>
      </c>
      <c r="D7">
        <v>7</v>
      </c>
      <c r="I7" s="11" t="s">
        <v>1001</v>
      </c>
      <c r="J7" s="11">
        <v>2</v>
      </c>
      <c r="O7" t="s">
        <v>980</v>
      </c>
      <c r="P7">
        <v>3</v>
      </c>
      <c r="AO7" s="15">
        <f t="shared" si="0"/>
        <v>9</v>
      </c>
      <c r="AP7" s="15">
        <f>AO7*Pot_UP_Gold!E6</f>
        <v>9</v>
      </c>
      <c r="AQ7" s="16">
        <f>AP7+Pot_UP_Gold!K7</f>
        <v>23</v>
      </c>
      <c r="AR7" s="16">
        <f>AP7+Pot_UP_Gold!K7+AQ6</f>
        <v>31</v>
      </c>
      <c r="AS7" s="16">
        <f t="shared" si="1"/>
        <v>6.2</v>
      </c>
      <c r="AU7" s="246">
        <f>ROUNDUP(AR7/2,0)</f>
        <v>16</v>
      </c>
    </row>
    <row r="8" spans="1:47" x14ac:dyDescent="0.25">
      <c r="A8" s="2" t="s">
        <v>7</v>
      </c>
      <c r="B8" s="130" t="s">
        <v>1117</v>
      </c>
      <c r="C8" t="s">
        <v>996</v>
      </c>
      <c r="D8">
        <v>7</v>
      </c>
      <c r="I8" s="11" t="s">
        <v>1001</v>
      </c>
      <c r="J8" s="11">
        <v>2</v>
      </c>
      <c r="O8" t="s">
        <v>980</v>
      </c>
      <c r="P8">
        <v>3</v>
      </c>
      <c r="AO8" s="15">
        <f t="shared" si="0"/>
        <v>62</v>
      </c>
      <c r="AP8" s="15">
        <f>AO8*Pot_UP_Gold!E7</f>
        <v>88.571428571428569</v>
      </c>
      <c r="AQ8" s="16">
        <f>AP8+Pot_UP_Gold!K8</f>
        <v>131.42857142857142</v>
      </c>
      <c r="AR8" s="16">
        <f>AP8+Pot_UP_Gold!K8+AQ7</f>
        <v>154.42857142857142</v>
      </c>
      <c r="AS8" s="16">
        <f t="shared" si="1"/>
        <v>30.885714285714286</v>
      </c>
      <c r="AU8" s="246">
        <f>ROUNDUP(AR8/2,0)</f>
        <v>78</v>
      </c>
    </row>
    <row r="9" spans="1:47" x14ac:dyDescent="0.25">
      <c r="A9" s="2" t="s">
        <v>8</v>
      </c>
      <c r="B9" s="130" t="s">
        <v>1117</v>
      </c>
      <c r="C9" t="s">
        <v>996</v>
      </c>
      <c r="D9">
        <v>7</v>
      </c>
      <c r="I9" s="11" t="s">
        <v>1001</v>
      </c>
      <c r="J9" s="11">
        <v>2</v>
      </c>
      <c r="O9" t="s">
        <v>980</v>
      </c>
      <c r="P9">
        <v>3</v>
      </c>
      <c r="AO9" s="15">
        <f t="shared" si="0"/>
        <v>62</v>
      </c>
      <c r="AP9" s="15">
        <f>AO9*Pot_UP_Gold!E8</f>
        <v>95.384615384615387</v>
      </c>
      <c r="AQ9" s="16">
        <f>AP9+Pot_UP_Gold!K9</f>
        <v>147.69230769230771</v>
      </c>
      <c r="AR9" s="16">
        <f>AP9+Pot_UP_Gold!K9+AQ8</f>
        <v>279.12087912087912</v>
      </c>
      <c r="AS9" s="16">
        <f t="shared" si="1"/>
        <v>55.824175824175825</v>
      </c>
      <c r="AU9" s="246">
        <f t="shared" ref="AU9:AU70" si="2">ROUNDUP(AR9/2,0)</f>
        <v>140</v>
      </c>
    </row>
    <row r="10" spans="1:47" x14ac:dyDescent="0.25">
      <c r="A10" s="4" t="s">
        <v>9</v>
      </c>
      <c r="B10" s="130" t="s">
        <v>1117</v>
      </c>
      <c r="C10" t="s">
        <v>996</v>
      </c>
      <c r="D10">
        <v>7</v>
      </c>
      <c r="I10" s="11" t="s">
        <v>1001</v>
      </c>
      <c r="J10" s="11">
        <v>2</v>
      </c>
      <c r="O10" t="s">
        <v>980</v>
      </c>
      <c r="P10">
        <v>3</v>
      </c>
      <c r="AO10" s="15">
        <f t="shared" si="0"/>
        <v>62</v>
      </c>
      <c r="AP10" s="15">
        <f>AO10*Pot_UP_Gold!E9</f>
        <v>95.384615384615387</v>
      </c>
      <c r="AQ10" s="16">
        <f>AP10+Pot_UP_Gold!K10</f>
        <v>153.84615384615387</v>
      </c>
      <c r="AR10" s="16">
        <f>AP10+Pot_UP_Gold!K10+AQ9</f>
        <v>301.53846153846155</v>
      </c>
      <c r="AS10" s="16">
        <f t="shared" si="1"/>
        <v>60.307692307692314</v>
      </c>
      <c r="AU10" s="246">
        <f t="shared" si="2"/>
        <v>151</v>
      </c>
    </row>
    <row r="11" spans="1:47" x14ac:dyDescent="0.25">
      <c r="A11" s="4" t="s">
        <v>10</v>
      </c>
      <c r="B11" s="130" t="s">
        <v>1117</v>
      </c>
      <c r="C11" t="s">
        <v>996</v>
      </c>
      <c r="D11">
        <v>7</v>
      </c>
      <c r="I11" s="11" t="s">
        <v>1001</v>
      </c>
      <c r="J11" s="11">
        <v>2</v>
      </c>
      <c r="O11" t="s">
        <v>980</v>
      </c>
      <c r="P11">
        <v>3</v>
      </c>
      <c r="AO11" s="15">
        <f t="shared" si="0"/>
        <v>62</v>
      </c>
      <c r="AP11" s="15">
        <f>AO11*Pot_UP_Gold!E10</f>
        <v>95.384615384615387</v>
      </c>
      <c r="AQ11" s="16">
        <f>AP11+Pot_UP_Gold!K11</f>
        <v>160</v>
      </c>
      <c r="AR11" s="16">
        <f>AP11+Pot_UP_Gold!K11+AQ10</f>
        <v>313.84615384615387</v>
      </c>
      <c r="AS11" s="16">
        <f t="shared" si="1"/>
        <v>62.769230769230774</v>
      </c>
      <c r="AU11" s="246">
        <f t="shared" si="2"/>
        <v>157</v>
      </c>
    </row>
    <row r="12" spans="1:47" x14ac:dyDescent="0.25">
      <c r="A12" s="4" t="s">
        <v>11</v>
      </c>
      <c r="B12" s="130" t="s">
        <v>1117</v>
      </c>
      <c r="C12" t="s">
        <v>996</v>
      </c>
      <c r="D12">
        <v>7</v>
      </c>
      <c r="I12" s="11" t="s">
        <v>1001</v>
      </c>
      <c r="J12" s="11">
        <v>2</v>
      </c>
      <c r="O12" t="s">
        <v>980</v>
      </c>
      <c r="P12">
        <v>3</v>
      </c>
      <c r="AO12" s="15">
        <f t="shared" si="0"/>
        <v>62</v>
      </c>
      <c r="AP12" s="15">
        <f>AO12*Pot_UP_Gold!E11</f>
        <v>95.384615384615387</v>
      </c>
      <c r="AQ12" s="16">
        <f>AP12+Pot_UP_Gold!K12</f>
        <v>166.15384615384616</v>
      </c>
      <c r="AR12" s="16">
        <f>AP12+Pot_UP_Gold!K12+AQ11</f>
        <v>326.15384615384619</v>
      </c>
      <c r="AS12" s="16">
        <f t="shared" si="1"/>
        <v>65.230769230769241</v>
      </c>
      <c r="AU12" s="246">
        <f t="shared" si="2"/>
        <v>164</v>
      </c>
    </row>
    <row r="13" spans="1:47" x14ac:dyDescent="0.25">
      <c r="A13" s="5" t="s">
        <v>12</v>
      </c>
      <c r="B13" s="130" t="s">
        <v>1117</v>
      </c>
      <c r="E13" t="s">
        <v>997</v>
      </c>
      <c r="F13">
        <v>7</v>
      </c>
      <c r="M13" s="11" t="s">
        <v>1000</v>
      </c>
      <c r="N13" s="11">
        <v>3</v>
      </c>
      <c r="Q13" t="s">
        <v>985</v>
      </c>
      <c r="R13">
        <v>3</v>
      </c>
      <c r="AO13" s="15">
        <f t="shared" si="0"/>
        <v>62</v>
      </c>
      <c r="AP13" s="15">
        <f>AO13*Pot_UP_Gold!E12</f>
        <v>95.384615384615387</v>
      </c>
      <c r="AQ13" s="16">
        <f>AP13+Pot_UP_Gold!K13</f>
        <v>172.30769230769232</v>
      </c>
      <c r="AR13" s="16">
        <f>AP13+Pot_UP_Gold!K13+AQ12</f>
        <v>338.46153846153845</v>
      </c>
      <c r="AS13" s="16">
        <f t="shared" si="1"/>
        <v>67.692307692307693</v>
      </c>
      <c r="AU13" s="246">
        <f t="shared" si="2"/>
        <v>170</v>
      </c>
    </row>
    <row r="14" spans="1:47" x14ac:dyDescent="0.25">
      <c r="A14" s="5" t="s">
        <v>13</v>
      </c>
      <c r="B14" s="130" t="s">
        <v>1117</v>
      </c>
      <c r="E14" t="s">
        <v>997</v>
      </c>
      <c r="F14">
        <v>7</v>
      </c>
      <c r="M14" s="11" t="s">
        <v>1000</v>
      </c>
      <c r="N14" s="11">
        <v>3</v>
      </c>
      <c r="Q14" t="s">
        <v>985</v>
      </c>
      <c r="R14">
        <v>3</v>
      </c>
      <c r="AO14" s="15">
        <f t="shared" si="0"/>
        <v>75</v>
      </c>
      <c r="AP14" s="15">
        <f>AO14*Pot_UP_Gold!E13</f>
        <v>115.38461538461539</v>
      </c>
      <c r="AQ14" s="16">
        <f>AP14+Pot_UP_Gold!K14</f>
        <v>207.69230769230768</v>
      </c>
      <c r="AR14" s="16">
        <f>AP14+Pot_UP_Gold!K14+AQ13</f>
        <v>380</v>
      </c>
      <c r="AS14" s="16">
        <f t="shared" si="1"/>
        <v>76</v>
      </c>
      <c r="AU14" s="246">
        <f t="shared" si="2"/>
        <v>190</v>
      </c>
    </row>
    <row r="15" spans="1:47" x14ac:dyDescent="0.25">
      <c r="A15" s="6" t="s">
        <v>14</v>
      </c>
      <c r="B15" s="130" t="s">
        <v>1117</v>
      </c>
      <c r="E15" t="s">
        <v>997</v>
      </c>
      <c r="F15">
        <v>7</v>
      </c>
      <c r="M15" s="11" t="s">
        <v>1000</v>
      </c>
      <c r="N15" s="11">
        <v>3</v>
      </c>
      <c r="Q15" t="s">
        <v>985</v>
      </c>
      <c r="R15">
        <v>3</v>
      </c>
      <c r="AO15" s="15">
        <f t="shared" si="0"/>
        <v>75</v>
      </c>
      <c r="AP15" s="15">
        <f>AO15*Pot_UP_Gold!E14</f>
        <v>115.38461538461539</v>
      </c>
      <c r="AQ15" s="16">
        <f>AP15+Pot_UP_Gold!K15</f>
        <v>213.84615384615387</v>
      </c>
      <c r="AR15" s="16">
        <f>AP15+Pot_UP_Gold!K15+AQ14</f>
        <v>421.53846153846155</v>
      </c>
      <c r="AS15" s="16">
        <f t="shared" si="1"/>
        <v>84.307692307692321</v>
      </c>
      <c r="AU15" s="246">
        <f t="shared" si="2"/>
        <v>211</v>
      </c>
    </row>
    <row r="16" spans="1:47" x14ac:dyDescent="0.25">
      <c r="A16" s="6" t="s">
        <v>15</v>
      </c>
      <c r="B16" s="130" t="s">
        <v>1117</v>
      </c>
      <c r="E16" t="s">
        <v>997</v>
      </c>
      <c r="F16">
        <v>7</v>
      </c>
      <c r="M16" s="11" t="s">
        <v>1000</v>
      </c>
      <c r="N16" s="11">
        <v>3</v>
      </c>
      <c r="Q16" t="s">
        <v>985</v>
      </c>
      <c r="R16">
        <v>3</v>
      </c>
      <c r="AO16" s="15">
        <f t="shared" si="0"/>
        <v>75</v>
      </c>
      <c r="AP16" s="15">
        <f>AO16*Pot_UP_Gold!E15</f>
        <v>115.38461538461539</v>
      </c>
      <c r="AQ16" s="16">
        <f>AP16+Pot_UP_Gold!K16</f>
        <v>220</v>
      </c>
      <c r="AR16" s="16">
        <f>AP16+Pot_UP_Gold!K16+AQ15</f>
        <v>433.84615384615387</v>
      </c>
      <c r="AS16" s="16">
        <f t="shared" si="1"/>
        <v>86.769230769230774</v>
      </c>
      <c r="AU16" s="246">
        <f t="shared" si="2"/>
        <v>217</v>
      </c>
    </row>
    <row r="17" spans="1:47" x14ac:dyDescent="0.25">
      <c r="A17" s="6" t="s">
        <v>16</v>
      </c>
      <c r="B17" s="130" t="s">
        <v>1117</v>
      </c>
      <c r="E17" t="s">
        <v>997</v>
      </c>
      <c r="F17">
        <v>7</v>
      </c>
      <c r="M17" s="11" t="s">
        <v>1000</v>
      </c>
      <c r="N17" s="11">
        <v>3</v>
      </c>
      <c r="Q17" t="s">
        <v>985</v>
      </c>
      <c r="R17">
        <v>3</v>
      </c>
      <c r="AO17" s="15">
        <f t="shared" si="0"/>
        <v>75</v>
      </c>
      <c r="AP17" s="15">
        <f>AO17*Pot_UP_Gold!E16</f>
        <v>115.38461538461539</v>
      </c>
      <c r="AQ17" s="16">
        <f>AP17+Pot_UP_Gold!K17</f>
        <v>226.15384615384616</v>
      </c>
      <c r="AR17" s="16">
        <f>AP17+Pot_UP_Gold!K17+AQ16</f>
        <v>446.15384615384619</v>
      </c>
      <c r="AS17" s="16">
        <f t="shared" si="1"/>
        <v>89.230769230769241</v>
      </c>
      <c r="AU17" s="246">
        <f t="shared" si="2"/>
        <v>224</v>
      </c>
    </row>
    <row r="18" spans="1:47" x14ac:dyDescent="0.25">
      <c r="A18" s="6" t="s">
        <v>17</v>
      </c>
      <c r="B18" s="130" t="s">
        <v>1117</v>
      </c>
      <c r="E18" t="s">
        <v>997</v>
      </c>
      <c r="F18">
        <v>7</v>
      </c>
      <c r="M18" s="11" t="s">
        <v>1000</v>
      </c>
      <c r="N18" s="11">
        <v>3</v>
      </c>
      <c r="Q18" t="s">
        <v>985</v>
      </c>
      <c r="R18">
        <v>3</v>
      </c>
      <c r="AO18" s="15">
        <f t="shared" si="0"/>
        <v>75</v>
      </c>
      <c r="AP18" s="15">
        <f>AO18*Pot_UP_Gold!E17</f>
        <v>115.38461538461539</v>
      </c>
      <c r="AQ18" s="16">
        <f>AP18+Pot_UP_Gold!K18</f>
        <v>232.30769230769232</v>
      </c>
      <c r="AR18" s="16">
        <f>AP18+Pot_UP_Gold!K18+AQ17</f>
        <v>458.46153846153845</v>
      </c>
      <c r="AS18" s="16">
        <f t="shared" si="1"/>
        <v>91.692307692307693</v>
      </c>
      <c r="AU18" s="246">
        <f t="shared" si="2"/>
        <v>230</v>
      </c>
    </row>
    <row r="19" spans="1:47" x14ac:dyDescent="0.25">
      <c r="A19" s="4" t="s">
        <v>18</v>
      </c>
      <c r="B19" s="130" t="s">
        <v>1117</v>
      </c>
      <c r="G19" t="s">
        <v>998</v>
      </c>
      <c r="H19">
        <v>7</v>
      </c>
      <c r="O19" t="s">
        <v>980</v>
      </c>
      <c r="P19">
        <v>5</v>
      </c>
      <c r="S19" t="s">
        <v>984</v>
      </c>
      <c r="T19">
        <v>3</v>
      </c>
      <c r="AO19" s="15">
        <f>D18*$D$1+F18*$F$1+H18*$H$1+J18*$J$1+L18*$L$1+N18*$N$1+P18*$P$1+R18*$R$1+T18*$T$1+V18*$V$1+X18*$X$1+Z18*$Z$1+AB18*$AB$1+AD18*$AD$1+AF18*$AF$1+AH18*$AH$1+AJ18*$AJ$1+AL18*$AL$1+AN18*$AN$1</f>
        <v>75</v>
      </c>
      <c r="AP19" s="15">
        <f>AO19*Pot_UP_Gold!E18</f>
        <v>115.38461538461539</v>
      </c>
      <c r="AQ19" s="16">
        <f>AP19+Pot_UP_Gold!K19</f>
        <v>238.46153846153845</v>
      </c>
      <c r="AR19" s="16">
        <f>AP19+Pot_UP_Gold!K19+AQ18</f>
        <v>470.76923076923077</v>
      </c>
      <c r="AS19" s="16">
        <f t="shared" si="1"/>
        <v>94.15384615384616</v>
      </c>
      <c r="AU19" s="246">
        <f t="shared" si="2"/>
        <v>236</v>
      </c>
    </row>
    <row r="20" spans="1:47" x14ac:dyDescent="0.25">
      <c r="A20" s="4" t="s">
        <v>19</v>
      </c>
      <c r="B20" s="130" t="s">
        <v>1117</v>
      </c>
      <c r="G20" t="s">
        <v>998</v>
      </c>
      <c r="H20">
        <v>7</v>
      </c>
      <c r="O20" t="s">
        <v>980</v>
      </c>
      <c r="P20">
        <v>5</v>
      </c>
      <c r="S20" t="s">
        <v>984</v>
      </c>
      <c r="T20">
        <v>3</v>
      </c>
      <c r="AO20" s="15">
        <f t="shared" si="0"/>
        <v>127</v>
      </c>
      <c r="AP20" s="15">
        <f>AO20*Pot_UP_Gold!E19</f>
        <v>195.38461538461539</v>
      </c>
      <c r="AQ20" s="16">
        <f>AP20+Pot_UP_Gold!K20</f>
        <v>321.53846153846155</v>
      </c>
      <c r="AR20" s="16">
        <f>AP20+Pot_UP_Gold!K20+AQ19</f>
        <v>560</v>
      </c>
      <c r="AS20" s="16">
        <f t="shared" si="1"/>
        <v>112</v>
      </c>
      <c r="AU20" s="246">
        <f t="shared" si="2"/>
        <v>280</v>
      </c>
    </row>
    <row r="21" spans="1:47" x14ac:dyDescent="0.25">
      <c r="A21" s="4" t="s">
        <v>20</v>
      </c>
      <c r="B21" s="130" t="s">
        <v>1117</v>
      </c>
      <c r="G21" t="s">
        <v>998</v>
      </c>
      <c r="H21">
        <v>7</v>
      </c>
      <c r="O21" t="s">
        <v>980</v>
      </c>
      <c r="P21">
        <v>5</v>
      </c>
      <c r="S21" t="s">
        <v>984</v>
      </c>
      <c r="T21">
        <v>3</v>
      </c>
      <c r="AO21" s="15">
        <f t="shared" si="0"/>
        <v>127</v>
      </c>
      <c r="AP21" s="15">
        <f>AO21*Pot_UP_Gold!E20</f>
        <v>211.66666666666669</v>
      </c>
      <c r="AQ21" s="16">
        <f>AP21+Pot_UP_Gold!K21</f>
        <v>351.66666666666669</v>
      </c>
      <c r="AR21" s="16">
        <f>AP21+Pot_UP_Gold!K21+AQ20</f>
        <v>673.20512820512818</v>
      </c>
      <c r="AS21" s="16">
        <f t="shared" si="1"/>
        <v>134.64102564102564</v>
      </c>
      <c r="AU21" s="246">
        <f t="shared" si="2"/>
        <v>337</v>
      </c>
    </row>
    <row r="22" spans="1:47" x14ac:dyDescent="0.25">
      <c r="A22" s="4" t="s">
        <v>21</v>
      </c>
      <c r="B22" s="130" t="s">
        <v>1117</v>
      </c>
      <c r="G22" t="s">
        <v>998</v>
      </c>
      <c r="H22">
        <v>7</v>
      </c>
      <c r="O22" t="s">
        <v>980</v>
      </c>
      <c r="P22">
        <v>5</v>
      </c>
      <c r="S22" t="s">
        <v>984</v>
      </c>
      <c r="T22">
        <v>3</v>
      </c>
      <c r="AO22" s="15">
        <f t="shared" si="0"/>
        <v>127</v>
      </c>
      <c r="AP22" s="15">
        <f>AO22*Pot_UP_Gold!E21</f>
        <v>211.66666666666669</v>
      </c>
      <c r="AQ22" s="16">
        <f>AP22+Pot_UP_Gold!K22</f>
        <v>355</v>
      </c>
      <c r="AR22" s="16">
        <f>AP22+Pot_UP_Gold!K22+AQ21</f>
        <v>706.66666666666674</v>
      </c>
      <c r="AS22" s="16">
        <f t="shared" si="1"/>
        <v>141.33333333333334</v>
      </c>
      <c r="AU22" s="246">
        <f t="shared" si="2"/>
        <v>354</v>
      </c>
    </row>
    <row r="23" spans="1:47" x14ac:dyDescent="0.25">
      <c r="A23" s="4" t="s">
        <v>22</v>
      </c>
      <c r="B23" s="130" t="s">
        <v>1117</v>
      </c>
      <c r="G23" t="s">
        <v>998</v>
      </c>
      <c r="H23">
        <v>7</v>
      </c>
      <c r="O23" t="s">
        <v>980</v>
      </c>
      <c r="P23">
        <v>5</v>
      </c>
      <c r="S23" t="s">
        <v>984</v>
      </c>
      <c r="T23">
        <v>3</v>
      </c>
      <c r="AO23" s="15">
        <f t="shared" si="0"/>
        <v>127</v>
      </c>
      <c r="AP23" s="15">
        <f>AO23*Pot_UP_Gold!E22</f>
        <v>211.66666666666669</v>
      </c>
      <c r="AQ23" s="16">
        <f>AP23+Pot_UP_Gold!K23</f>
        <v>358.33333333333337</v>
      </c>
      <c r="AR23" s="16">
        <f>AP23+Pot_UP_Gold!K23+AQ22</f>
        <v>713.33333333333337</v>
      </c>
      <c r="AS23" s="16">
        <f t="shared" si="1"/>
        <v>142.66666666666669</v>
      </c>
      <c r="AU23" s="246">
        <f t="shared" si="2"/>
        <v>357</v>
      </c>
    </row>
    <row r="24" spans="1:47" x14ac:dyDescent="0.25">
      <c r="A24" s="4" t="s">
        <v>23</v>
      </c>
      <c r="B24" s="130" t="s">
        <v>1117</v>
      </c>
      <c r="G24" t="s">
        <v>998</v>
      </c>
      <c r="H24">
        <v>7</v>
      </c>
      <c r="O24" t="s">
        <v>980</v>
      </c>
      <c r="P24">
        <v>5</v>
      </c>
      <c r="S24" t="s">
        <v>984</v>
      </c>
      <c r="T24">
        <v>3</v>
      </c>
      <c r="AO24" s="15">
        <f t="shared" si="0"/>
        <v>127</v>
      </c>
      <c r="AP24" s="15">
        <f>AO24*Pot_UP_Gold!E23</f>
        <v>211.66666666666669</v>
      </c>
      <c r="AQ24" s="16">
        <f>AP24+Pot_UP_Gold!K24</f>
        <v>361.66666666666669</v>
      </c>
      <c r="AR24" s="16">
        <f>AP24+Pot_UP_Gold!K24+AQ23</f>
        <v>720</v>
      </c>
      <c r="AS24" s="16">
        <f t="shared" si="1"/>
        <v>144</v>
      </c>
      <c r="AU24" s="246">
        <f t="shared" si="2"/>
        <v>360</v>
      </c>
    </row>
    <row r="25" spans="1:47" x14ac:dyDescent="0.25">
      <c r="A25" s="5" t="s">
        <v>24</v>
      </c>
      <c r="B25" s="130" t="s">
        <v>1117</v>
      </c>
      <c r="C25" s="11" t="s">
        <v>996</v>
      </c>
      <c r="D25" s="11">
        <v>5</v>
      </c>
      <c r="E25" s="11"/>
      <c r="F25" s="11"/>
      <c r="K25" s="11" t="s">
        <v>999</v>
      </c>
      <c r="L25" s="11">
        <v>3</v>
      </c>
      <c r="Q25" t="s">
        <v>985</v>
      </c>
      <c r="R25">
        <v>6</v>
      </c>
      <c r="U25" s="498" t="s">
        <v>987</v>
      </c>
      <c r="V25" s="498">
        <v>0</v>
      </c>
      <c r="AO25" s="15">
        <f t="shared" si="0"/>
        <v>127</v>
      </c>
      <c r="AP25" s="15">
        <f>AO25*Pot_UP_Gold!E24</f>
        <v>211.66666666666669</v>
      </c>
      <c r="AQ25" s="16">
        <f>AP25+Pot_UP_Gold!K25</f>
        <v>365</v>
      </c>
      <c r="AR25" s="16">
        <f>AP25+Pot_UP_Gold!K25+AQ24</f>
        <v>726.66666666666674</v>
      </c>
      <c r="AS25" s="16">
        <f>$AT$1*AR25</f>
        <v>145.33333333333334</v>
      </c>
      <c r="AU25" s="246">
        <f t="shared" si="2"/>
        <v>364</v>
      </c>
    </row>
    <row r="26" spans="1:47" x14ac:dyDescent="0.25">
      <c r="A26" s="5" t="s">
        <v>25</v>
      </c>
      <c r="B26" s="130" t="s">
        <v>1117</v>
      </c>
      <c r="C26" s="11" t="s">
        <v>996</v>
      </c>
      <c r="D26" s="11">
        <v>5</v>
      </c>
      <c r="E26" s="11"/>
      <c r="F26" s="11"/>
      <c r="K26" s="11" t="s">
        <v>999</v>
      </c>
      <c r="L26" s="11">
        <v>3</v>
      </c>
      <c r="Q26" t="s">
        <v>985</v>
      </c>
      <c r="R26">
        <v>6</v>
      </c>
      <c r="U26" s="498" t="s">
        <v>987</v>
      </c>
      <c r="V26" s="498">
        <v>0</v>
      </c>
      <c r="AO26" s="15">
        <f t="shared" si="0"/>
        <v>111</v>
      </c>
      <c r="AP26" s="15">
        <f>AO26*Pot_UP_Gold!E25</f>
        <v>185</v>
      </c>
      <c r="AQ26" s="16">
        <f>AP26+Pot_UP_Gold!K26</f>
        <v>351.66666666666669</v>
      </c>
      <c r="AR26" s="16">
        <f>AP26+Pot_UP_Gold!K26+AQ25</f>
        <v>716.66666666666674</v>
      </c>
      <c r="AS26" s="16">
        <f t="shared" si="1"/>
        <v>143.33333333333334</v>
      </c>
      <c r="AU26" s="246">
        <f t="shared" si="2"/>
        <v>359</v>
      </c>
    </row>
    <row r="27" spans="1:47" x14ac:dyDescent="0.25">
      <c r="A27" s="5" t="s">
        <v>26</v>
      </c>
      <c r="B27" s="130" t="s">
        <v>1117</v>
      </c>
      <c r="C27" s="11" t="s">
        <v>996</v>
      </c>
      <c r="D27" s="11">
        <v>5</v>
      </c>
      <c r="E27" s="11"/>
      <c r="F27" s="11"/>
      <c r="K27" s="11" t="s">
        <v>999</v>
      </c>
      <c r="L27" s="11">
        <v>3</v>
      </c>
      <c r="Q27" t="s">
        <v>985</v>
      </c>
      <c r="R27">
        <v>6</v>
      </c>
      <c r="U27" s="498" t="s">
        <v>987</v>
      </c>
      <c r="V27" s="498">
        <v>0</v>
      </c>
      <c r="AO27" s="15">
        <f t="shared" si="0"/>
        <v>111</v>
      </c>
      <c r="AP27" s="15">
        <f>AO27*Pot_UP_Gold!E26</f>
        <v>201.81818181818181</v>
      </c>
      <c r="AQ27" s="16">
        <f>AP27+Pot_UP_Gold!K27</f>
        <v>394.54545454545456</v>
      </c>
      <c r="AR27" s="16">
        <f>AP27+Pot_UP_Gold!K27+AQ26</f>
        <v>746.21212121212125</v>
      </c>
      <c r="AS27" s="16">
        <f t="shared" si="1"/>
        <v>149.24242424242425</v>
      </c>
      <c r="AU27" s="246">
        <f t="shared" si="2"/>
        <v>374</v>
      </c>
    </row>
    <row r="28" spans="1:47" x14ac:dyDescent="0.25">
      <c r="A28" s="5" t="s">
        <v>27</v>
      </c>
      <c r="B28" s="130" t="s">
        <v>1117</v>
      </c>
      <c r="C28" s="11" t="s">
        <v>996</v>
      </c>
      <c r="D28" s="11">
        <v>5</v>
      </c>
      <c r="E28" s="11"/>
      <c r="F28" s="11"/>
      <c r="K28" s="11" t="s">
        <v>999</v>
      </c>
      <c r="L28" s="11">
        <v>3</v>
      </c>
      <c r="Q28" t="s">
        <v>985</v>
      </c>
      <c r="R28">
        <v>6</v>
      </c>
      <c r="U28" s="498" t="s">
        <v>987</v>
      </c>
      <c r="V28" s="498">
        <v>0</v>
      </c>
      <c r="AO28" s="15">
        <f t="shared" si="0"/>
        <v>111</v>
      </c>
      <c r="AP28" s="15">
        <f>AO28*Pot_UP_Gold!E27</f>
        <v>201.81818181818181</v>
      </c>
      <c r="AQ28" s="16">
        <f>AP28+Pot_UP_Gold!K28</f>
        <v>405.45454545454544</v>
      </c>
      <c r="AR28" s="16">
        <f>AP28+Pot_UP_Gold!K28+AQ27</f>
        <v>800</v>
      </c>
      <c r="AS28" s="16">
        <f t="shared" si="1"/>
        <v>160</v>
      </c>
      <c r="AU28" s="246">
        <f t="shared" si="2"/>
        <v>400</v>
      </c>
    </row>
    <row r="29" spans="1:47" x14ac:dyDescent="0.25">
      <c r="A29" s="5" t="s">
        <v>28</v>
      </c>
      <c r="B29" s="130" t="s">
        <v>1117</v>
      </c>
      <c r="C29" s="11" t="s">
        <v>996</v>
      </c>
      <c r="D29" s="11">
        <v>5</v>
      </c>
      <c r="E29" s="11"/>
      <c r="F29" s="11"/>
      <c r="K29" s="11" t="s">
        <v>999</v>
      </c>
      <c r="L29" s="11">
        <v>3</v>
      </c>
      <c r="Q29" t="s">
        <v>985</v>
      </c>
      <c r="R29">
        <v>6</v>
      </c>
      <c r="U29" s="498" t="s">
        <v>987</v>
      </c>
      <c r="V29" s="498">
        <v>0</v>
      </c>
      <c r="AO29" s="15">
        <f t="shared" si="0"/>
        <v>111</v>
      </c>
      <c r="AP29" s="15">
        <f>AO29*Pot_UP_Gold!E28</f>
        <v>201.81818181818181</v>
      </c>
      <c r="AQ29" s="16">
        <f>AP29+Pot_UP_Gold!K29</f>
        <v>416.36363636363637</v>
      </c>
      <c r="AR29" s="16">
        <f>AP29+Pot_UP_Gold!K29+AQ28</f>
        <v>821.81818181818176</v>
      </c>
      <c r="AS29" s="16">
        <f t="shared" si="1"/>
        <v>164.36363636363637</v>
      </c>
      <c r="AU29" s="246">
        <f t="shared" si="2"/>
        <v>411</v>
      </c>
    </row>
    <row r="30" spans="1:47" x14ac:dyDescent="0.25">
      <c r="A30" s="5" t="s">
        <v>29</v>
      </c>
      <c r="B30" s="130" t="s">
        <v>1117</v>
      </c>
      <c r="C30" s="11" t="s">
        <v>996</v>
      </c>
      <c r="D30" s="11">
        <v>5</v>
      </c>
      <c r="E30" s="11"/>
      <c r="F30" s="11"/>
      <c r="K30" s="11" t="s">
        <v>999</v>
      </c>
      <c r="L30" s="11">
        <v>3</v>
      </c>
      <c r="Q30" t="s">
        <v>985</v>
      </c>
      <c r="R30">
        <v>6</v>
      </c>
      <c r="U30" s="498" t="s">
        <v>987</v>
      </c>
      <c r="V30" s="498">
        <v>0</v>
      </c>
      <c r="AO30" s="15">
        <f t="shared" si="0"/>
        <v>111</v>
      </c>
      <c r="AP30" s="15">
        <f>AO30*Pot_UP_Gold!E29</f>
        <v>201.81818181818181</v>
      </c>
      <c r="AQ30" s="16">
        <f>AP30+Pot_UP_Gold!K30</f>
        <v>427.27272727272725</v>
      </c>
      <c r="AR30" s="16">
        <f>AP30+Pot_UP_Gold!K30+AQ29</f>
        <v>843.63636363636363</v>
      </c>
      <c r="AS30" s="16">
        <f t="shared" si="1"/>
        <v>168.72727272727275</v>
      </c>
      <c r="AU30" s="246">
        <f t="shared" si="2"/>
        <v>422</v>
      </c>
    </row>
    <row r="31" spans="1:47" s="11" customFormat="1" x14ac:dyDescent="0.25">
      <c r="A31" s="2" t="s">
        <v>30</v>
      </c>
      <c r="B31" s="48" t="s">
        <v>1117</v>
      </c>
      <c r="E31" s="11" t="s">
        <v>997</v>
      </c>
      <c r="F31" s="11">
        <v>5</v>
      </c>
      <c r="I31" s="11" t="s">
        <v>1001</v>
      </c>
      <c r="J31" s="11">
        <v>3</v>
      </c>
      <c r="Q31"/>
      <c r="R31"/>
      <c r="S31" t="s">
        <v>984</v>
      </c>
      <c r="T31">
        <v>5</v>
      </c>
      <c r="U31" s="498" t="s">
        <v>987</v>
      </c>
      <c r="V31" s="498">
        <v>0</v>
      </c>
      <c r="W31" s="11" t="s">
        <v>990</v>
      </c>
      <c r="X31" s="11">
        <v>0</v>
      </c>
      <c r="AO31" s="303">
        <f>D30*$D$1+F30*$F$1+H30*$H$1+J30*$J$1+L30*$L$1+N30*$N$1+P30*$P$1+R30*$R$1+T30*$T$1+V30*$V$1+X30*$X$1+Z30*$Z$1+AB30*$AB$1+AD30*$AD$1+AF30*$AF$1+AH30*$AH$1+AJ30*$AJ$1+AL30*$AL$1+AN30*$AN$1</f>
        <v>111</v>
      </c>
      <c r="AP31" s="303">
        <f>AO31*Pot_UP_Gold!E30</f>
        <v>201.81818181818181</v>
      </c>
      <c r="AQ31" s="246">
        <f>AP31+Pot_UP_Gold!K31</f>
        <v>438.18181818181813</v>
      </c>
      <c r="AR31" s="246">
        <f>AP31+Pot_UP_Gold!K31+AQ30</f>
        <v>865.45454545454538</v>
      </c>
      <c r="AS31" s="246">
        <f t="shared" si="1"/>
        <v>173.09090909090909</v>
      </c>
      <c r="AU31" s="246">
        <f t="shared" si="2"/>
        <v>433</v>
      </c>
    </row>
    <row r="32" spans="1:47" s="11" customFormat="1" x14ac:dyDescent="0.25">
      <c r="A32" s="2" t="s">
        <v>31</v>
      </c>
      <c r="B32" s="48" t="s">
        <v>1117</v>
      </c>
      <c r="E32" s="11" t="s">
        <v>997</v>
      </c>
      <c r="F32" s="11">
        <v>5</v>
      </c>
      <c r="I32" s="11" t="s">
        <v>1001</v>
      </c>
      <c r="J32" s="11">
        <v>3</v>
      </c>
      <c r="Q32"/>
      <c r="R32"/>
      <c r="S32" t="s">
        <v>984</v>
      </c>
      <c r="T32">
        <v>5</v>
      </c>
      <c r="U32" s="498" t="s">
        <v>987</v>
      </c>
      <c r="V32" s="498">
        <v>0</v>
      </c>
      <c r="W32" s="11" t="s">
        <v>990</v>
      </c>
      <c r="X32" s="11">
        <v>0</v>
      </c>
      <c r="AO32" s="303">
        <f>D31*$D$1+F31*$F$1+H31*$H$1+J31*$J$1+L31*$L$1+N31*$N$1+P31*$P$1+R31*$R$1+T31*$T$1+V31*$V$1+X31*$X$1+Z31*$Z$1+AB31*$AB$1+AD31*$AD$1+AF31*$AF$1+AH31*$AH$1+AJ31*$AJ$1+AL31*$AL$1+AN31*$AN$1</f>
        <v>112</v>
      </c>
      <c r="AP32" s="303">
        <f>AO32*Pot_UP_Gold!E31</f>
        <v>203.63636363636363</v>
      </c>
      <c r="AQ32" s="246">
        <f>AP32+Pot_UP_Gold!K32</f>
        <v>443.63636363636363</v>
      </c>
      <c r="AR32" s="246">
        <f>AP32+Pot_UP_Gold!K32+AQ31</f>
        <v>881.81818181818176</v>
      </c>
      <c r="AS32" s="246">
        <f t="shared" si="1"/>
        <v>176.36363636363637</v>
      </c>
      <c r="AU32" s="246">
        <f t="shared" si="2"/>
        <v>441</v>
      </c>
    </row>
    <row r="33" spans="1:47" s="11" customFormat="1" x14ac:dyDescent="0.25">
      <c r="A33" s="7" t="s">
        <v>32</v>
      </c>
      <c r="B33" s="48" t="s">
        <v>1117</v>
      </c>
      <c r="E33" s="11" t="s">
        <v>997</v>
      </c>
      <c r="F33" s="11">
        <v>5</v>
      </c>
      <c r="I33" s="11" t="s">
        <v>1001</v>
      </c>
      <c r="J33" s="11">
        <v>3</v>
      </c>
      <c r="Q33"/>
      <c r="R33"/>
      <c r="S33" t="s">
        <v>984</v>
      </c>
      <c r="T33">
        <v>5</v>
      </c>
      <c r="U33" s="498" t="s">
        <v>987</v>
      </c>
      <c r="V33" s="498">
        <v>0</v>
      </c>
      <c r="W33" s="11" t="s">
        <v>990</v>
      </c>
      <c r="X33" s="11">
        <v>0</v>
      </c>
      <c r="AO33" s="303">
        <f t="shared" si="0"/>
        <v>112</v>
      </c>
      <c r="AP33" s="303">
        <f>AO33*Pot_UP_Gold!E32</f>
        <v>224</v>
      </c>
      <c r="AQ33" s="246">
        <f>AP33+Pot_UP_Gold!K33</f>
        <v>492</v>
      </c>
      <c r="AR33" s="246">
        <f>AP33+Pot_UP_Gold!K33+AQ32</f>
        <v>935.63636363636363</v>
      </c>
      <c r="AS33" s="246">
        <f t="shared" si="1"/>
        <v>187.12727272727273</v>
      </c>
      <c r="AU33" s="246">
        <f t="shared" si="2"/>
        <v>468</v>
      </c>
    </row>
    <row r="34" spans="1:47" s="11" customFormat="1" x14ac:dyDescent="0.25">
      <c r="A34" s="7" t="s">
        <v>33</v>
      </c>
      <c r="B34" s="48" t="s">
        <v>1117</v>
      </c>
      <c r="E34" s="11" t="s">
        <v>997</v>
      </c>
      <c r="F34" s="11">
        <v>5</v>
      </c>
      <c r="I34" s="11" t="s">
        <v>1001</v>
      </c>
      <c r="J34" s="11">
        <v>3</v>
      </c>
      <c r="Q34"/>
      <c r="R34"/>
      <c r="S34" t="s">
        <v>984</v>
      </c>
      <c r="T34">
        <v>5</v>
      </c>
      <c r="U34" s="498" t="s">
        <v>987</v>
      </c>
      <c r="V34" s="498">
        <v>0</v>
      </c>
      <c r="W34" s="11" t="s">
        <v>990</v>
      </c>
      <c r="X34" s="11">
        <v>0</v>
      </c>
      <c r="AO34" s="303">
        <f t="shared" si="0"/>
        <v>112</v>
      </c>
      <c r="AP34" s="303">
        <f>AO34*Pot_UP_Gold!E33</f>
        <v>224</v>
      </c>
      <c r="AQ34" s="246">
        <f>AP34+Pot_UP_Gold!K34</f>
        <v>496</v>
      </c>
      <c r="AR34" s="246">
        <f>AP34+Pot_UP_Gold!K34+AQ33</f>
        <v>988</v>
      </c>
      <c r="AS34" s="246">
        <f t="shared" si="1"/>
        <v>197.60000000000002</v>
      </c>
      <c r="AU34" s="246">
        <f t="shared" si="2"/>
        <v>494</v>
      </c>
    </row>
    <row r="35" spans="1:47" s="11" customFormat="1" x14ac:dyDescent="0.25">
      <c r="A35" s="7" t="s">
        <v>34</v>
      </c>
      <c r="B35" s="48" t="s">
        <v>1117</v>
      </c>
      <c r="E35" s="11" t="s">
        <v>997</v>
      </c>
      <c r="F35" s="11">
        <v>5</v>
      </c>
      <c r="I35" s="11" t="s">
        <v>1001</v>
      </c>
      <c r="J35" s="11">
        <v>3</v>
      </c>
      <c r="Q35"/>
      <c r="R35"/>
      <c r="S35" t="s">
        <v>984</v>
      </c>
      <c r="T35">
        <v>5</v>
      </c>
      <c r="U35" s="498" t="s">
        <v>987</v>
      </c>
      <c r="V35" s="498">
        <v>0</v>
      </c>
      <c r="W35" s="11" t="s">
        <v>990</v>
      </c>
      <c r="X35" s="11">
        <v>0</v>
      </c>
      <c r="AO35" s="303">
        <f t="shared" si="0"/>
        <v>112</v>
      </c>
      <c r="AP35" s="303">
        <f>AO35*Pot_UP_Gold!E34</f>
        <v>224</v>
      </c>
      <c r="AQ35" s="246">
        <f>AP35+Pot_UP_Gold!K35</f>
        <v>500</v>
      </c>
      <c r="AR35" s="246">
        <f>AP35+Pot_UP_Gold!K35+AQ34</f>
        <v>996</v>
      </c>
      <c r="AS35" s="246">
        <f t="shared" si="1"/>
        <v>199.20000000000002</v>
      </c>
      <c r="AU35" s="246">
        <f t="shared" si="2"/>
        <v>498</v>
      </c>
    </row>
    <row r="36" spans="1:47" s="11" customFormat="1" x14ac:dyDescent="0.25">
      <c r="A36" s="4" t="s">
        <v>35</v>
      </c>
      <c r="B36" s="48" t="s">
        <v>1117</v>
      </c>
      <c r="E36" s="11" t="s">
        <v>997</v>
      </c>
      <c r="F36" s="11">
        <v>5</v>
      </c>
      <c r="I36" s="11" t="s">
        <v>1001</v>
      </c>
      <c r="J36" s="11">
        <v>3</v>
      </c>
      <c r="Q36"/>
      <c r="R36"/>
      <c r="S36" t="s">
        <v>984</v>
      </c>
      <c r="T36">
        <v>5</v>
      </c>
      <c r="U36" s="498" t="s">
        <v>987</v>
      </c>
      <c r="V36" s="498">
        <v>0</v>
      </c>
      <c r="W36" s="11" t="s">
        <v>990</v>
      </c>
      <c r="X36" s="11">
        <v>0</v>
      </c>
      <c r="AO36" s="303">
        <f t="shared" si="0"/>
        <v>112</v>
      </c>
      <c r="AP36" s="303">
        <f>AO36*Pot_UP_Gold!E35</f>
        <v>224</v>
      </c>
      <c r="AQ36" s="246">
        <f>AP36+Pot_UP_Gold!K36</f>
        <v>504</v>
      </c>
      <c r="AR36" s="246">
        <f>AP36+Pot_UP_Gold!K36+AQ35</f>
        <v>1004</v>
      </c>
      <c r="AS36" s="246">
        <f t="shared" si="1"/>
        <v>200.8</v>
      </c>
      <c r="AU36" s="246">
        <f t="shared" si="2"/>
        <v>502</v>
      </c>
    </row>
    <row r="37" spans="1:47" x14ac:dyDescent="0.25">
      <c r="A37" s="5" t="s">
        <v>36</v>
      </c>
      <c r="B37" s="48" t="s">
        <v>1118</v>
      </c>
      <c r="M37" s="11" t="s">
        <v>1000</v>
      </c>
      <c r="N37" s="11">
        <v>4</v>
      </c>
      <c r="S37" t="s">
        <v>984</v>
      </c>
      <c r="T37">
        <v>7</v>
      </c>
      <c r="U37" t="s">
        <v>987</v>
      </c>
      <c r="V37">
        <v>5</v>
      </c>
      <c r="W37" s="11" t="s">
        <v>990</v>
      </c>
      <c r="X37" s="11">
        <v>0</v>
      </c>
      <c r="AO37" s="15">
        <f t="shared" si="0"/>
        <v>112</v>
      </c>
      <c r="AP37" s="15">
        <f>AO37*Pot_UP_Gold!E36</f>
        <v>224</v>
      </c>
      <c r="AQ37" s="16">
        <f>AP37+Pot_UP_Gold!K37</f>
        <v>508</v>
      </c>
      <c r="AR37" s="16">
        <f>AP37+Pot_UP_Gold!K37+AQ36</f>
        <v>1012</v>
      </c>
      <c r="AS37" s="16">
        <f t="shared" si="1"/>
        <v>202.4</v>
      </c>
      <c r="AU37" s="246">
        <f t="shared" si="2"/>
        <v>506</v>
      </c>
    </row>
    <row r="38" spans="1:47" x14ac:dyDescent="0.25">
      <c r="A38" s="6" t="s">
        <v>37</v>
      </c>
      <c r="B38" s="48" t="s">
        <v>1118</v>
      </c>
      <c r="M38" s="11" t="s">
        <v>1000</v>
      </c>
      <c r="N38" s="11">
        <v>4</v>
      </c>
      <c r="S38" t="s">
        <v>984</v>
      </c>
      <c r="T38">
        <v>7</v>
      </c>
      <c r="U38" t="s">
        <v>987</v>
      </c>
      <c r="V38">
        <v>5</v>
      </c>
      <c r="W38" s="11" t="s">
        <v>990</v>
      </c>
      <c r="X38" s="11">
        <v>0</v>
      </c>
      <c r="AO38" s="15">
        <f t="shared" si="0"/>
        <v>375</v>
      </c>
      <c r="AP38" s="15">
        <f>AO38*Pot_UP_Gold!E37</f>
        <v>750</v>
      </c>
      <c r="AQ38" s="16">
        <f>AP38+Pot_UP_Gold!K38</f>
        <v>1070</v>
      </c>
      <c r="AR38" s="16">
        <f>AP38+Pot_UP_Gold!K38+AQ37</f>
        <v>1578</v>
      </c>
      <c r="AS38" s="16">
        <f t="shared" si="1"/>
        <v>315.60000000000002</v>
      </c>
      <c r="AU38" s="246">
        <f t="shared" si="2"/>
        <v>789</v>
      </c>
    </row>
    <row r="39" spans="1:47" x14ac:dyDescent="0.25">
      <c r="A39" s="6" t="s">
        <v>38</v>
      </c>
      <c r="B39" s="48" t="s">
        <v>1118</v>
      </c>
      <c r="M39" s="11" t="s">
        <v>1000</v>
      </c>
      <c r="N39" s="11">
        <v>4</v>
      </c>
      <c r="S39" t="s">
        <v>984</v>
      </c>
      <c r="T39">
        <v>7</v>
      </c>
      <c r="U39" t="s">
        <v>987</v>
      </c>
      <c r="V39">
        <v>5</v>
      </c>
      <c r="W39" s="11" t="s">
        <v>990</v>
      </c>
      <c r="X39" s="11">
        <v>0</v>
      </c>
      <c r="AO39" s="15">
        <f t="shared" si="0"/>
        <v>375</v>
      </c>
      <c r="AP39" s="15">
        <f>AO39*Pot_UP_Gold!E38</f>
        <v>750</v>
      </c>
      <c r="AQ39" s="16">
        <f>AP39+Pot_UP_Gold!K39</f>
        <v>1074</v>
      </c>
      <c r="AR39" s="16">
        <f>AP39+Pot_UP_Gold!K39+AQ38</f>
        <v>2144</v>
      </c>
      <c r="AS39" s="16">
        <f t="shared" si="1"/>
        <v>428.8</v>
      </c>
      <c r="AU39" s="246">
        <f t="shared" si="2"/>
        <v>1072</v>
      </c>
    </row>
    <row r="40" spans="1:47" x14ac:dyDescent="0.25">
      <c r="A40" s="6" t="s">
        <v>39</v>
      </c>
      <c r="B40" s="48" t="s">
        <v>1118</v>
      </c>
      <c r="M40" s="11" t="s">
        <v>1000</v>
      </c>
      <c r="N40" s="11">
        <v>4</v>
      </c>
      <c r="S40" t="s">
        <v>984</v>
      </c>
      <c r="T40">
        <v>7</v>
      </c>
      <c r="U40" t="s">
        <v>987</v>
      </c>
      <c r="V40">
        <v>5</v>
      </c>
      <c r="W40" s="11" t="s">
        <v>990</v>
      </c>
      <c r="X40" s="11">
        <v>0</v>
      </c>
      <c r="AO40" s="15">
        <f t="shared" si="0"/>
        <v>375</v>
      </c>
      <c r="AP40" s="15">
        <f>AO40*Pot_UP_Gold!E39</f>
        <v>750</v>
      </c>
      <c r="AQ40" s="16">
        <f>AP40+Pot_UP_Gold!K40</f>
        <v>1078</v>
      </c>
      <c r="AR40" s="16">
        <f>AP40+Pot_UP_Gold!K40+AQ39</f>
        <v>2152</v>
      </c>
      <c r="AS40" s="16">
        <f t="shared" si="1"/>
        <v>430.40000000000003</v>
      </c>
      <c r="AU40" s="246">
        <f t="shared" si="2"/>
        <v>1076</v>
      </c>
    </row>
    <row r="41" spans="1:47" x14ac:dyDescent="0.25">
      <c r="A41" s="6" t="s">
        <v>40</v>
      </c>
      <c r="B41" s="48" t="s">
        <v>1118</v>
      </c>
      <c r="M41" s="11" t="s">
        <v>1000</v>
      </c>
      <c r="N41" s="11">
        <v>4</v>
      </c>
      <c r="S41" t="s">
        <v>984</v>
      </c>
      <c r="T41">
        <v>7</v>
      </c>
      <c r="U41" t="s">
        <v>987</v>
      </c>
      <c r="V41">
        <v>5</v>
      </c>
      <c r="W41" s="11" t="s">
        <v>990</v>
      </c>
      <c r="X41" s="11">
        <v>0</v>
      </c>
      <c r="AO41" s="15">
        <f t="shared" si="0"/>
        <v>375</v>
      </c>
      <c r="AP41" s="15">
        <f>AO41*Pot_UP_Gold!E40</f>
        <v>750</v>
      </c>
      <c r="AQ41" s="16">
        <f>AP41+Pot_UP_Gold!K41</f>
        <v>1082</v>
      </c>
      <c r="AR41" s="16">
        <f>AP41+Pot_UP_Gold!K41+AQ40</f>
        <v>2160</v>
      </c>
      <c r="AS41" s="16">
        <f t="shared" si="1"/>
        <v>432</v>
      </c>
      <c r="AU41" s="246">
        <f t="shared" si="2"/>
        <v>1080</v>
      </c>
    </row>
    <row r="42" spans="1:47" x14ac:dyDescent="0.25">
      <c r="A42" s="6" t="s">
        <v>41</v>
      </c>
      <c r="B42" s="48" t="s">
        <v>1118</v>
      </c>
      <c r="M42" s="11" t="s">
        <v>1000</v>
      </c>
      <c r="N42" s="11">
        <v>4</v>
      </c>
      <c r="S42" t="s">
        <v>984</v>
      </c>
      <c r="T42">
        <v>7</v>
      </c>
      <c r="U42" t="s">
        <v>987</v>
      </c>
      <c r="V42">
        <v>5</v>
      </c>
      <c r="W42" s="11" t="s">
        <v>990</v>
      </c>
      <c r="X42" s="11">
        <v>0</v>
      </c>
      <c r="AO42" s="15">
        <f t="shared" si="0"/>
        <v>375</v>
      </c>
      <c r="AP42" s="15">
        <f>AO42*Pot_UP_Gold!E41</f>
        <v>750</v>
      </c>
      <c r="AQ42" s="16">
        <f>AP42+Pot_UP_Gold!K42</f>
        <v>1086</v>
      </c>
      <c r="AR42" s="16">
        <f>AP42+Pot_UP_Gold!K42+AQ41</f>
        <v>2168</v>
      </c>
      <c r="AS42" s="16">
        <f t="shared" si="1"/>
        <v>433.6</v>
      </c>
      <c r="AU42" s="246">
        <f t="shared" si="2"/>
        <v>1084</v>
      </c>
    </row>
    <row r="43" spans="1:47" x14ac:dyDescent="0.25">
      <c r="A43" s="2" t="s">
        <v>42</v>
      </c>
      <c r="B43" s="48" t="s">
        <v>1118</v>
      </c>
      <c r="Q43" t="s">
        <v>985</v>
      </c>
      <c r="R43">
        <v>9</v>
      </c>
      <c r="S43" t="s">
        <v>984</v>
      </c>
      <c r="T43">
        <v>7</v>
      </c>
      <c r="U43" s="233" t="s">
        <v>987</v>
      </c>
      <c r="V43" s="233">
        <v>4</v>
      </c>
      <c r="W43" t="s">
        <v>990</v>
      </c>
      <c r="X43">
        <v>3</v>
      </c>
      <c r="AO43" s="15">
        <f t="shared" si="0"/>
        <v>375</v>
      </c>
      <c r="AP43" s="15">
        <f>AO43*Pot_UP_Gold!E42</f>
        <v>750</v>
      </c>
      <c r="AQ43" s="16">
        <f>AP43+Pot_UP_Gold!K43</f>
        <v>1090</v>
      </c>
      <c r="AR43" s="16">
        <f>AP43+Pot_UP_Gold!K43+AQ42</f>
        <v>2176</v>
      </c>
      <c r="AS43" s="16">
        <f t="shared" si="1"/>
        <v>435.20000000000005</v>
      </c>
      <c r="AU43" s="246">
        <f t="shared" si="2"/>
        <v>1088</v>
      </c>
    </row>
    <row r="44" spans="1:47" x14ac:dyDescent="0.25">
      <c r="A44" s="8" t="s">
        <v>43</v>
      </c>
      <c r="B44" s="48" t="s">
        <v>1118</v>
      </c>
      <c r="Q44" t="s">
        <v>985</v>
      </c>
      <c r="R44">
        <v>9</v>
      </c>
      <c r="S44" t="s">
        <v>984</v>
      </c>
      <c r="T44">
        <v>7</v>
      </c>
      <c r="U44" s="233" t="s">
        <v>987</v>
      </c>
      <c r="V44" s="233">
        <v>4</v>
      </c>
      <c r="W44" t="s">
        <v>990</v>
      </c>
      <c r="X44">
        <v>3</v>
      </c>
      <c r="AO44" s="15">
        <f t="shared" si="0"/>
        <v>626</v>
      </c>
      <c r="AP44" s="15">
        <f>AO44*Pot_UP_Gold!E43</f>
        <v>1252</v>
      </c>
      <c r="AQ44" s="16">
        <f>AP44+Pot_UP_Gold!K44</f>
        <v>1672</v>
      </c>
      <c r="AR44" s="16">
        <f>AP44+Pot_UP_Gold!K44+AQ43</f>
        <v>2762</v>
      </c>
      <c r="AS44" s="16">
        <f t="shared" si="1"/>
        <v>552.4</v>
      </c>
      <c r="AU44" s="246">
        <f t="shared" si="2"/>
        <v>1381</v>
      </c>
    </row>
    <row r="45" spans="1:47" x14ac:dyDescent="0.25">
      <c r="A45" s="8" t="s">
        <v>44</v>
      </c>
      <c r="B45" s="48" t="s">
        <v>1118</v>
      </c>
      <c r="Q45" t="s">
        <v>985</v>
      </c>
      <c r="R45">
        <v>9</v>
      </c>
      <c r="S45" t="s">
        <v>984</v>
      </c>
      <c r="T45">
        <v>7</v>
      </c>
      <c r="U45" s="233" t="s">
        <v>987</v>
      </c>
      <c r="V45" s="233">
        <v>4</v>
      </c>
      <c r="W45" t="s">
        <v>990</v>
      </c>
      <c r="X45">
        <v>3</v>
      </c>
      <c r="AO45" s="15">
        <f t="shared" si="0"/>
        <v>626</v>
      </c>
      <c r="AP45" s="15">
        <f>AO45*Pot_UP_Gold!E44</f>
        <v>1565</v>
      </c>
      <c r="AQ45" s="16">
        <f>AP45+Pot_UP_Gold!K45</f>
        <v>2100</v>
      </c>
      <c r="AR45" s="16">
        <f>AP45+Pot_UP_Gold!K45+AQ44</f>
        <v>3772</v>
      </c>
      <c r="AS45" s="16">
        <f t="shared" si="1"/>
        <v>754.40000000000009</v>
      </c>
      <c r="AU45" s="246">
        <f t="shared" si="2"/>
        <v>1886</v>
      </c>
    </row>
    <row r="46" spans="1:47" x14ac:dyDescent="0.25">
      <c r="A46" s="8" t="s">
        <v>45</v>
      </c>
      <c r="B46" s="48" t="s">
        <v>1118</v>
      </c>
      <c r="Q46" t="s">
        <v>985</v>
      </c>
      <c r="R46">
        <v>9</v>
      </c>
      <c r="S46" t="s">
        <v>984</v>
      </c>
      <c r="T46">
        <v>7</v>
      </c>
      <c r="U46" s="233" t="s">
        <v>987</v>
      </c>
      <c r="V46" s="233">
        <v>4</v>
      </c>
      <c r="W46" t="s">
        <v>990</v>
      </c>
      <c r="X46">
        <v>3</v>
      </c>
      <c r="AO46" s="15">
        <f t="shared" si="0"/>
        <v>626</v>
      </c>
      <c r="AP46" s="15">
        <f>AO46*Pot_UP_Gold!E45</f>
        <v>1565</v>
      </c>
      <c r="AQ46" s="16">
        <f>AP46+Pot_UP_Gold!K46</f>
        <v>2110</v>
      </c>
      <c r="AR46" s="16">
        <f>AP46+Pot_UP_Gold!K46+AQ45</f>
        <v>4210</v>
      </c>
      <c r="AS46" s="16">
        <f t="shared" si="1"/>
        <v>842</v>
      </c>
      <c r="AU46" s="246">
        <f t="shared" si="2"/>
        <v>2105</v>
      </c>
    </row>
    <row r="47" spans="1:47" x14ac:dyDescent="0.25">
      <c r="A47" s="8" t="s">
        <v>46</v>
      </c>
      <c r="B47" s="48" t="s">
        <v>1118</v>
      </c>
      <c r="Q47" t="s">
        <v>985</v>
      </c>
      <c r="R47">
        <v>9</v>
      </c>
      <c r="S47" t="s">
        <v>984</v>
      </c>
      <c r="T47">
        <v>7</v>
      </c>
      <c r="U47" s="233" t="s">
        <v>987</v>
      </c>
      <c r="V47" s="233">
        <v>4</v>
      </c>
      <c r="W47" t="s">
        <v>990</v>
      </c>
      <c r="X47">
        <v>3</v>
      </c>
      <c r="AO47" s="15">
        <f t="shared" si="0"/>
        <v>626</v>
      </c>
      <c r="AP47" s="15">
        <f>AO47*Pot_UP_Gold!E46</f>
        <v>1565</v>
      </c>
      <c r="AQ47" s="16">
        <f>AP47+Pot_UP_Gold!K47</f>
        <v>2120</v>
      </c>
      <c r="AR47" s="16">
        <f>AP47+Pot_UP_Gold!K47+AQ46</f>
        <v>4230</v>
      </c>
      <c r="AS47" s="16">
        <f t="shared" si="1"/>
        <v>846</v>
      </c>
      <c r="AU47" s="246">
        <f t="shared" si="2"/>
        <v>2115</v>
      </c>
    </row>
    <row r="48" spans="1:47" x14ac:dyDescent="0.25">
      <c r="A48" s="8" t="s">
        <v>47</v>
      </c>
      <c r="B48" s="48" t="s">
        <v>1118</v>
      </c>
      <c r="Q48" t="s">
        <v>985</v>
      </c>
      <c r="R48">
        <v>9</v>
      </c>
      <c r="S48" t="s">
        <v>984</v>
      </c>
      <c r="T48">
        <v>7</v>
      </c>
      <c r="U48" s="233" t="s">
        <v>987</v>
      </c>
      <c r="V48" s="233">
        <v>4</v>
      </c>
      <c r="W48" t="s">
        <v>990</v>
      </c>
      <c r="X48">
        <v>3</v>
      </c>
      <c r="AO48" s="15">
        <f t="shared" si="0"/>
        <v>626</v>
      </c>
      <c r="AP48" s="15">
        <f>AO48*Pot_UP_Gold!E47</f>
        <v>1565</v>
      </c>
      <c r="AQ48" s="16">
        <f>AP48+Pot_UP_Gold!K48</f>
        <v>2130</v>
      </c>
      <c r="AR48" s="16">
        <f>AP48+Pot_UP_Gold!K48+AQ47</f>
        <v>4250</v>
      </c>
      <c r="AS48" s="16">
        <f t="shared" si="1"/>
        <v>850</v>
      </c>
      <c r="AU48" s="246">
        <f t="shared" si="2"/>
        <v>2125</v>
      </c>
    </row>
    <row r="49" spans="1:51" x14ac:dyDescent="0.25">
      <c r="A49" s="5" t="s">
        <v>48</v>
      </c>
      <c r="B49" s="48" t="s">
        <v>1118</v>
      </c>
      <c r="Q49" s="11" t="s">
        <v>985</v>
      </c>
      <c r="R49" s="11">
        <v>11</v>
      </c>
      <c r="S49" s="11" t="s">
        <v>984</v>
      </c>
      <c r="T49" s="11">
        <v>9</v>
      </c>
      <c r="U49" s="11" t="s">
        <v>987</v>
      </c>
      <c r="V49" s="11">
        <v>7</v>
      </c>
      <c r="W49" s="11" t="s">
        <v>990</v>
      </c>
      <c r="X49" s="11">
        <v>5</v>
      </c>
      <c r="Y49" s="11" t="s">
        <v>993</v>
      </c>
      <c r="Z49" s="11">
        <v>0</v>
      </c>
      <c r="AO49" s="15">
        <f t="shared" si="0"/>
        <v>626</v>
      </c>
      <c r="AP49" s="15">
        <f>AO49*Pot_UP_Gold!E48</f>
        <v>1565</v>
      </c>
      <c r="AQ49" s="16">
        <f>AP49+Pot_UP_Gold!K49</f>
        <v>2140</v>
      </c>
      <c r="AR49" s="16">
        <f>AP49+Pot_UP_Gold!K49+AQ48</f>
        <v>4270</v>
      </c>
      <c r="AS49" s="16">
        <f t="shared" si="1"/>
        <v>854</v>
      </c>
      <c r="AU49" s="246">
        <f t="shared" si="2"/>
        <v>2135</v>
      </c>
    </row>
    <row r="50" spans="1:51" x14ac:dyDescent="0.25">
      <c r="A50" s="5" t="s">
        <v>49</v>
      </c>
      <c r="B50" s="48" t="s">
        <v>1118</v>
      </c>
      <c r="Q50" s="11" t="s">
        <v>985</v>
      </c>
      <c r="R50" s="11">
        <v>11</v>
      </c>
      <c r="S50" s="11" t="s">
        <v>984</v>
      </c>
      <c r="T50" s="11">
        <v>9</v>
      </c>
      <c r="U50" s="11" t="s">
        <v>987</v>
      </c>
      <c r="V50" s="11">
        <v>7</v>
      </c>
      <c r="W50" s="11" t="s">
        <v>990</v>
      </c>
      <c r="X50" s="11">
        <v>5</v>
      </c>
      <c r="Y50" s="11" t="s">
        <v>993</v>
      </c>
      <c r="Z50" s="11">
        <v>0</v>
      </c>
      <c r="AO50" s="15">
        <f t="shared" si="0"/>
        <v>958</v>
      </c>
      <c r="AP50" s="15">
        <f>AO50*Pot_UP_Gold!E49</f>
        <v>2395</v>
      </c>
      <c r="AQ50" s="16">
        <f>AP50+Pot_UP_Gold!K50</f>
        <v>3020</v>
      </c>
      <c r="AR50" s="16">
        <f>AP50+Pot_UP_Gold!K50+AQ49</f>
        <v>5160</v>
      </c>
      <c r="AS50" s="16">
        <f t="shared" si="1"/>
        <v>1032</v>
      </c>
      <c r="AU50" s="246">
        <f t="shared" si="2"/>
        <v>2580</v>
      </c>
    </row>
    <row r="51" spans="1:51" x14ac:dyDescent="0.25">
      <c r="A51" s="6" t="s">
        <v>50</v>
      </c>
      <c r="B51" s="48" t="s">
        <v>1118</v>
      </c>
      <c r="Q51" s="11" t="s">
        <v>985</v>
      </c>
      <c r="R51" s="11">
        <v>11</v>
      </c>
      <c r="S51" s="11" t="s">
        <v>984</v>
      </c>
      <c r="T51" s="11">
        <v>9</v>
      </c>
      <c r="U51" s="11" t="s">
        <v>987</v>
      </c>
      <c r="V51" s="11">
        <v>7</v>
      </c>
      <c r="W51" s="11" t="s">
        <v>990</v>
      </c>
      <c r="X51" s="11">
        <v>5</v>
      </c>
      <c r="Y51" s="11" t="s">
        <v>993</v>
      </c>
      <c r="Z51" s="11">
        <v>0</v>
      </c>
      <c r="AO51" s="15">
        <f t="shared" si="0"/>
        <v>958</v>
      </c>
      <c r="AP51" s="15">
        <f>AO51*Pot_UP_Gold!E50</f>
        <v>2737.1428571428573</v>
      </c>
      <c r="AQ51" s="16">
        <f>AP51+Pot_UP_Gold!K51</f>
        <v>3480</v>
      </c>
      <c r="AR51" s="16">
        <f>AP51+Pot_UP_Gold!K51+AQ50</f>
        <v>6500</v>
      </c>
      <c r="AS51" s="16">
        <f t="shared" si="1"/>
        <v>1300</v>
      </c>
      <c r="AU51" s="246">
        <f t="shared" si="2"/>
        <v>3250</v>
      </c>
    </row>
    <row r="52" spans="1:51" x14ac:dyDescent="0.25">
      <c r="A52" s="6" t="s">
        <v>51</v>
      </c>
      <c r="B52" s="48" t="s">
        <v>1118</v>
      </c>
      <c r="Q52" s="11" t="s">
        <v>985</v>
      </c>
      <c r="R52" s="11">
        <v>11</v>
      </c>
      <c r="S52" s="11" t="s">
        <v>984</v>
      </c>
      <c r="T52" s="11">
        <v>9</v>
      </c>
      <c r="U52" s="11" t="s">
        <v>987</v>
      </c>
      <c r="V52" s="11">
        <v>7</v>
      </c>
      <c r="W52" s="11" t="s">
        <v>990</v>
      </c>
      <c r="X52" s="11">
        <v>5</v>
      </c>
      <c r="Y52" s="11" t="s">
        <v>993</v>
      </c>
      <c r="Z52" s="11">
        <v>0</v>
      </c>
      <c r="AO52" s="15">
        <f t="shared" si="0"/>
        <v>958</v>
      </c>
      <c r="AP52" s="15">
        <f>AO52*Pot_UP_Gold!E51</f>
        <v>2737.1428571428573</v>
      </c>
      <c r="AQ52" s="16">
        <f>AP52+Pot_UP_Gold!K52</f>
        <v>3508.5714285714289</v>
      </c>
      <c r="AR52" s="16">
        <f>AP52+Pot_UP_Gold!K52+AQ51</f>
        <v>6988.5714285714294</v>
      </c>
      <c r="AS52" s="16">
        <f t="shared" si="1"/>
        <v>1397.714285714286</v>
      </c>
      <c r="AU52" s="246">
        <f t="shared" si="2"/>
        <v>3495</v>
      </c>
    </row>
    <row r="53" spans="1:51" x14ac:dyDescent="0.25">
      <c r="A53" s="6" t="s">
        <v>52</v>
      </c>
      <c r="B53" s="48" t="s">
        <v>1118</v>
      </c>
      <c r="Q53" s="11" t="s">
        <v>985</v>
      </c>
      <c r="R53" s="11">
        <v>11</v>
      </c>
      <c r="S53" s="11" t="s">
        <v>984</v>
      </c>
      <c r="T53" s="11">
        <v>9</v>
      </c>
      <c r="U53" s="11" t="s">
        <v>987</v>
      </c>
      <c r="V53" s="11">
        <v>7</v>
      </c>
      <c r="W53" s="11" t="s">
        <v>990</v>
      </c>
      <c r="X53" s="11">
        <v>5</v>
      </c>
      <c r="Y53" s="11" t="s">
        <v>993</v>
      </c>
      <c r="Z53" s="11">
        <v>0</v>
      </c>
      <c r="AO53" s="15">
        <f t="shared" si="0"/>
        <v>958</v>
      </c>
      <c r="AP53" s="15">
        <f>AO53*Pot_UP_Gold!E52</f>
        <v>2737.1428571428573</v>
      </c>
      <c r="AQ53" s="16">
        <f>AP53+Pot_UP_Gold!K53</f>
        <v>3537.1428571428573</v>
      </c>
      <c r="AR53" s="16">
        <f>AP53+Pot_UP_Gold!K53+AQ52</f>
        <v>7045.7142857142862</v>
      </c>
      <c r="AS53" s="16">
        <f t="shared" si="1"/>
        <v>1409.1428571428573</v>
      </c>
      <c r="AU53" s="246">
        <f t="shared" si="2"/>
        <v>3523</v>
      </c>
    </row>
    <row r="54" spans="1:51" x14ac:dyDescent="0.25">
      <c r="A54" s="6" t="s">
        <v>53</v>
      </c>
      <c r="B54" s="48" t="s">
        <v>1118</v>
      </c>
      <c r="Q54" s="11" t="s">
        <v>985</v>
      </c>
      <c r="R54" s="11">
        <v>11</v>
      </c>
      <c r="S54" s="11" t="s">
        <v>984</v>
      </c>
      <c r="T54" s="11">
        <v>9</v>
      </c>
      <c r="U54" s="11" t="s">
        <v>987</v>
      </c>
      <c r="V54" s="11">
        <v>7</v>
      </c>
      <c r="W54" s="11" t="s">
        <v>990</v>
      </c>
      <c r="X54" s="11">
        <v>5</v>
      </c>
      <c r="Y54" s="11" t="s">
        <v>993</v>
      </c>
      <c r="Z54" s="11">
        <v>0</v>
      </c>
      <c r="AO54" s="15">
        <f t="shared" si="0"/>
        <v>958</v>
      </c>
      <c r="AP54" s="15">
        <f>AO54*Pot_UP_Gold!E53</f>
        <v>2737.1428571428573</v>
      </c>
      <c r="AQ54" s="16">
        <f>AP54+Pot_UP_Gold!K54</f>
        <v>3565.7142857142862</v>
      </c>
      <c r="AR54" s="16">
        <f>AP54+Pot_UP_Gold!K54+AQ53</f>
        <v>7102.8571428571431</v>
      </c>
      <c r="AS54" s="16">
        <f t="shared" si="1"/>
        <v>1420.5714285714287</v>
      </c>
      <c r="AU54" s="246">
        <f t="shared" si="2"/>
        <v>3552</v>
      </c>
    </row>
    <row r="55" spans="1:51" x14ac:dyDescent="0.25">
      <c r="A55" s="7" t="s">
        <v>54</v>
      </c>
      <c r="B55" s="48" t="s">
        <v>1119</v>
      </c>
      <c r="S55" t="s">
        <v>984</v>
      </c>
      <c r="T55">
        <v>21</v>
      </c>
      <c r="U55" t="s">
        <v>987</v>
      </c>
      <c r="V55">
        <v>15</v>
      </c>
      <c r="W55" t="s">
        <v>990</v>
      </c>
      <c r="X55">
        <v>9</v>
      </c>
      <c r="Y55" t="s">
        <v>993</v>
      </c>
      <c r="Z55">
        <v>7</v>
      </c>
      <c r="AA55" t="s">
        <v>989</v>
      </c>
      <c r="AB55">
        <v>5</v>
      </c>
      <c r="AC55" t="s">
        <v>1112</v>
      </c>
      <c r="AD55">
        <v>20</v>
      </c>
      <c r="AO55" s="15">
        <f t="shared" si="0"/>
        <v>958</v>
      </c>
      <c r="AP55" s="15">
        <f>AO55*Pot_UP_Gold!E54</f>
        <v>2737.1428571428573</v>
      </c>
      <c r="AQ55" s="16">
        <f>AP55+Pot_UP_Gold!K55</f>
        <v>3594.2857142857147</v>
      </c>
      <c r="AR55" s="16">
        <f>AP55+Pot_UP_Gold!K55+AQ54</f>
        <v>7160.0000000000009</v>
      </c>
      <c r="AS55" s="16">
        <f t="shared" si="1"/>
        <v>1432.0000000000002</v>
      </c>
      <c r="AU55" s="246">
        <f t="shared" si="2"/>
        <v>3580</v>
      </c>
      <c r="AX55" s="550"/>
      <c r="AY55" s="256"/>
    </row>
    <row r="56" spans="1:51" x14ac:dyDescent="0.25">
      <c r="A56" s="7" t="s">
        <v>55</v>
      </c>
      <c r="B56" s="48" t="s">
        <v>1119</v>
      </c>
      <c r="S56" t="s">
        <v>984</v>
      </c>
      <c r="T56">
        <v>21</v>
      </c>
      <c r="U56" t="s">
        <v>987</v>
      </c>
      <c r="V56">
        <v>15</v>
      </c>
      <c r="W56" t="s">
        <v>990</v>
      </c>
      <c r="X56">
        <v>9</v>
      </c>
      <c r="Y56" t="s">
        <v>993</v>
      </c>
      <c r="Z56">
        <v>7</v>
      </c>
      <c r="AA56" t="s">
        <v>989</v>
      </c>
      <c r="AB56">
        <v>5</v>
      </c>
      <c r="AC56" t="s">
        <v>1112</v>
      </c>
      <c r="AD56">
        <v>20</v>
      </c>
      <c r="AO56" s="15">
        <f t="shared" si="0"/>
        <v>3809</v>
      </c>
      <c r="AP56" s="15">
        <f>AO56*Pot_UP_Gold!E55</f>
        <v>10882.857142857143</v>
      </c>
      <c r="AQ56" s="16">
        <f>AP56+Pot_UP_Gold!K56</f>
        <v>12025.714285714286</v>
      </c>
      <c r="AR56" s="16">
        <f>AP56+Pot_UP_Gold!K56+AQ55</f>
        <v>15620</v>
      </c>
      <c r="AS56" s="16">
        <f t="shared" si="1"/>
        <v>3124</v>
      </c>
      <c r="AU56" s="246">
        <f t="shared" si="2"/>
        <v>7810</v>
      </c>
    </row>
    <row r="57" spans="1:51" x14ac:dyDescent="0.25">
      <c r="A57" s="7" t="s">
        <v>56</v>
      </c>
      <c r="B57" s="48" t="s">
        <v>1119</v>
      </c>
      <c r="S57" t="s">
        <v>984</v>
      </c>
      <c r="T57">
        <v>21</v>
      </c>
      <c r="U57" t="s">
        <v>987</v>
      </c>
      <c r="V57">
        <v>15</v>
      </c>
      <c r="W57" t="s">
        <v>990</v>
      </c>
      <c r="X57">
        <v>9</v>
      </c>
      <c r="Y57" t="s">
        <v>993</v>
      </c>
      <c r="Z57">
        <v>7</v>
      </c>
      <c r="AA57" t="s">
        <v>989</v>
      </c>
      <c r="AB57">
        <v>5</v>
      </c>
      <c r="AC57" t="s">
        <v>1112</v>
      </c>
      <c r="AD57">
        <v>20</v>
      </c>
      <c r="AO57" s="15">
        <f t="shared" si="0"/>
        <v>3809</v>
      </c>
      <c r="AP57" s="15">
        <f>AO57*Pot_UP_Gold!E56</f>
        <v>12696.666666666668</v>
      </c>
      <c r="AQ57" s="16">
        <f>AP57+Pot_UP_Gold!K57</f>
        <v>14163.333333333334</v>
      </c>
      <c r="AR57" s="16">
        <f>AP57+Pot_UP_Gold!K57+AQ56</f>
        <v>26189.047619047618</v>
      </c>
      <c r="AS57" s="16">
        <f t="shared" si="1"/>
        <v>5237.8095238095239</v>
      </c>
      <c r="AU57" s="246">
        <f t="shared" si="2"/>
        <v>13095</v>
      </c>
    </row>
    <row r="58" spans="1:51" x14ac:dyDescent="0.25">
      <c r="A58" s="7" t="s">
        <v>57</v>
      </c>
      <c r="B58" s="48" t="s">
        <v>1119</v>
      </c>
      <c r="S58" t="s">
        <v>984</v>
      </c>
      <c r="T58">
        <v>21</v>
      </c>
      <c r="U58" t="s">
        <v>987</v>
      </c>
      <c r="V58">
        <v>15</v>
      </c>
      <c r="W58" t="s">
        <v>990</v>
      </c>
      <c r="X58">
        <v>9</v>
      </c>
      <c r="Y58" t="s">
        <v>993</v>
      </c>
      <c r="Z58">
        <v>7</v>
      </c>
      <c r="AA58" t="s">
        <v>989</v>
      </c>
      <c r="AB58">
        <v>5</v>
      </c>
      <c r="AC58" t="s">
        <v>1112</v>
      </c>
      <c r="AD58">
        <v>20</v>
      </c>
      <c r="AO58" s="15">
        <f t="shared" si="0"/>
        <v>3809</v>
      </c>
      <c r="AP58" s="15">
        <f>AO58*Pot_UP_Gold!E57</f>
        <v>12696.666666666668</v>
      </c>
      <c r="AQ58" s="16">
        <f>AP58+Pot_UP_Gold!K58</f>
        <v>14296.666666666668</v>
      </c>
      <c r="AR58" s="16">
        <f>AP58+Pot_UP_Gold!K58+AQ57</f>
        <v>28460</v>
      </c>
      <c r="AS58" s="16">
        <f t="shared" si="1"/>
        <v>5692</v>
      </c>
      <c r="AU58" s="246">
        <f t="shared" si="2"/>
        <v>14230</v>
      </c>
    </row>
    <row r="59" spans="1:51" x14ac:dyDescent="0.25">
      <c r="A59" s="7" t="s">
        <v>58</v>
      </c>
      <c r="B59" s="48" t="s">
        <v>1119</v>
      </c>
      <c r="S59" t="s">
        <v>984</v>
      </c>
      <c r="T59">
        <v>21</v>
      </c>
      <c r="U59" t="s">
        <v>987</v>
      </c>
      <c r="V59">
        <v>15</v>
      </c>
      <c r="W59" t="s">
        <v>990</v>
      </c>
      <c r="X59">
        <v>9</v>
      </c>
      <c r="Y59" t="s">
        <v>993</v>
      </c>
      <c r="Z59">
        <v>7</v>
      </c>
      <c r="AA59" t="s">
        <v>989</v>
      </c>
      <c r="AB59">
        <v>5</v>
      </c>
      <c r="AC59" t="s">
        <v>1112</v>
      </c>
      <c r="AD59">
        <v>20</v>
      </c>
      <c r="AO59" s="15">
        <f t="shared" si="0"/>
        <v>3809</v>
      </c>
      <c r="AP59" s="15">
        <f>AO59*Pot_UP_Gold!E58</f>
        <v>12696.666666666668</v>
      </c>
      <c r="AQ59" s="16">
        <f>AP59+Pot_UP_Gold!K59</f>
        <v>14430.000000000002</v>
      </c>
      <c r="AR59" s="16">
        <f>AP59+Pot_UP_Gold!K59+AQ58</f>
        <v>28726.666666666672</v>
      </c>
      <c r="AS59" s="16">
        <f t="shared" si="1"/>
        <v>5745.3333333333348</v>
      </c>
      <c r="AU59" s="246">
        <f t="shared" si="2"/>
        <v>14364</v>
      </c>
    </row>
    <row r="60" spans="1:51" x14ac:dyDescent="0.25">
      <c r="A60" s="7" t="s">
        <v>59</v>
      </c>
      <c r="B60" s="48" t="s">
        <v>1119</v>
      </c>
      <c r="S60" t="s">
        <v>984</v>
      </c>
      <c r="T60">
        <v>21</v>
      </c>
      <c r="U60" t="s">
        <v>987</v>
      </c>
      <c r="V60">
        <v>15</v>
      </c>
      <c r="W60" t="s">
        <v>990</v>
      </c>
      <c r="X60">
        <v>9</v>
      </c>
      <c r="Y60" t="s">
        <v>993</v>
      </c>
      <c r="Z60">
        <v>7</v>
      </c>
      <c r="AA60" t="s">
        <v>989</v>
      </c>
      <c r="AB60">
        <v>5</v>
      </c>
      <c r="AC60" t="s">
        <v>1112</v>
      </c>
      <c r="AD60">
        <v>20</v>
      </c>
      <c r="AO60" s="15">
        <f t="shared" si="0"/>
        <v>3809</v>
      </c>
      <c r="AP60" s="15">
        <f>AO60*Pot_UP_Gold!E59</f>
        <v>12696.666666666668</v>
      </c>
      <c r="AQ60" s="16">
        <f>AP60+Pot_UP_Gold!K60</f>
        <v>14563.333333333334</v>
      </c>
      <c r="AR60" s="16">
        <f>AP60+Pot_UP_Gold!K60+AQ59</f>
        <v>28993.333333333336</v>
      </c>
      <c r="AS60" s="16">
        <f t="shared" si="1"/>
        <v>5798.6666666666679</v>
      </c>
      <c r="AU60" s="246">
        <f t="shared" si="2"/>
        <v>14497</v>
      </c>
    </row>
    <row r="61" spans="1:51" x14ac:dyDescent="0.25">
      <c r="A61" s="9" t="s">
        <v>60</v>
      </c>
      <c r="B61" s="48" t="s">
        <v>1119</v>
      </c>
      <c r="W61" t="s">
        <v>990</v>
      </c>
      <c r="X61">
        <v>17</v>
      </c>
      <c r="Y61" t="s">
        <v>993</v>
      </c>
      <c r="Z61">
        <v>15</v>
      </c>
      <c r="AA61" t="s">
        <v>989</v>
      </c>
      <c r="AB61">
        <v>7</v>
      </c>
      <c r="AE61" t="s">
        <v>1113</v>
      </c>
      <c r="AF61">
        <v>23</v>
      </c>
      <c r="AK61" t="s">
        <v>1104</v>
      </c>
      <c r="AL61">
        <v>7</v>
      </c>
      <c r="AM61" t="s">
        <v>1105</v>
      </c>
      <c r="AN61">
        <v>7</v>
      </c>
      <c r="AO61" s="15">
        <f t="shared" si="0"/>
        <v>3809</v>
      </c>
      <c r="AP61" s="15">
        <f>AO61*Pot_UP_Gold!E60</f>
        <v>12696.666666666668</v>
      </c>
      <c r="AQ61" s="16">
        <f>AP61+Pot_UP_Gold!K61</f>
        <v>14696.666666666668</v>
      </c>
      <c r="AR61" s="16">
        <f>AP61+Pot_UP_Gold!K61+AQ60</f>
        <v>29260</v>
      </c>
      <c r="AS61" s="16">
        <f t="shared" si="1"/>
        <v>5852</v>
      </c>
      <c r="AU61" s="246">
        <f t="shared" si="2"/>
        <v>14630</v>
      </c>
    </row>
    <row r="62" spans="1:51" x14ac:dyDescent="0.25">
      <c r="A62" s="9" t="s">
        <v>61</v>
      </c>
      <c r="B62" s="48" t="s">
        <v>1119</v>
      </c>
      <c r="W62" t="s">
        <v>990</v>
      </c>
      <c r="X62">
        <v>17</v>
      </c>
      <c r="Y62" t="s">
        <v>993</v>
      </c>
      <c r="Z62">
        <v>15</v>
      </c>
      <c r="AA62" t="s">
        <v>989</v>
      </c>
      <c r="AB62">
        <v>7</v>
      </c>
      <c r="AE62" t="s">
        <v>1113</v>
      </c>
      <c r="AF62">
        <v>23</v>
      </c>
      <c r="AK62" t="s">
        <v>1104</v>
      </c>
      <c r="AL62">
        <v>7</v>
      </c>
      <c r="AM62" t="s">
        <v>1105</v>
      </c>
      <c r="AN62">
        <v>7</v>
      </c>
      <c r="AO62" s="15">
        <f t="shared" si="0"/>
        <v>4716</v>
      </c>
      <c r="AP62" s="15">
        <f>AO62*Pot_UP_Gold!E61</f>
        <v>15720</v>
      </c>
      <c r="AQ62" s="16">
        <f>AP62+Pot_UP_Gold!K62</f>
        <v>18386.666666666668</v>
      </c>
      <c r="AR62" s="16">
        <f>AP62+Pot_UP_Gold!K62+AQ61</f>
        <v>33083.333333333336</v>
      </c>
      <c r="AS62" s="16">
        <f t="shared" si="1"/>
        <v>6616.6666666666679</v>
      </c>
      <c r="AU62" s="246">
        <f t="shared" si="2"/>
        <v>16542</v>
      </c>
    </row>
    <row r="63" spans="1:51" x14ac:dyDescent="0.25">
      <c r="A63" s="9" t="s">
        <v>62</v>
      </c>
      <c r="B63" s="48" t="s">
        <v>1119</v>
      </c>
      <c r="W63" t="s">
        <v>990</v>
      </c>
      <c r="X63">
        <v>17</v>
      </c>
      <c r="Y63" t="s">
        <v>993</v>
      </c>
      <c r="Z63">
        <v>15</v>
      </c>
      <c r="AA63" t="s">
        <v>989</v>
      </c>
      <c r="AB63">
        <v>7</v>
      </c>
      <c r="AE63" t="s">
        <v>1113</v>
      </c>
      <c r="AF63">
        <v>23</v>
      </c>
      <c r="AK63" t="s">
        <v>1104</v>
      </c>
      <c r="AL63">
        <v>7</v>
      </c>
      <c r="AM63" t="s">
        <v>1105</v>
      </c>
      <c r="AN63">
        <v>7</v>
      </c>
      <c r="AO63" s="15">
        <f t="shared" si="0"/>
        <v>4716</v>
      </c>
      <c r="AP63" s="15">
        <f>AO63*Pot_UP_Gold!E62</f>
        <v>18864</v>
      </c>
      <c r="AQ63" s="16">
        <f>AP63+Pot_UP_Gold!K63</f>
        <v>22224</v>
      </c>
      <c r="AR63" s="16">
        <f>AP63+Pot_UP_Gold!K63+AQ62</f>
        <v>40610.666666666672</v>
      </c>
      <c r="AS63" s="16">
        <f t="shared" si="1"/>
        <v>8122.133333333335</v>
      </c>
      <c r="AU63" s="246">
        <f t="shared" si="2"/>
        <v>20306</v>
      </c>
    </row>
    <row r="64" spans="1:51" x14ac:dyDescent="0.25">
      <c r="A64" s="9" t="s">
        <v>63</v>
      </c>
      <c r="B64" s="48" t="s">
        <v>1119</v>
      </c>
      <c r="W64" t="s">
        <v>990</v>
      </c>
      <c r="X64">
        <v>17</v>
      </c>
      <c r="Y64" t="s">
        <v>993</v>
      </c>
      <c r="Z64">
        <v>15</v>
      </c>
      <c r="AA64" t="s">
        <v>989</v>
      </c>
      <c r="AB64">
        <v>7</v>
      </c>
      <c r="AE64" t="s">
        <v>1113</v>
      </c>
      <c r="AF64">
        <v>23</v>
      </c>
      <c r="AK64" t="s">
        <v>1104</v>
      </c>
      <c r="AL64">
        <v>7</v>
      </c>
      <c r="AM64" t="s">
        <v>1105</v>
      </c>
      <c r="AN64">
        <v>7</v>
      </c>
      <c r="AO64" s="15">
        <f t="shared" si="0"/>
        <v>4716</v>
      </c>
      <c r="AP64" s="15">
        <f>AO64*Pot_UP_Gold!E63</f>
        <v>23580</v>
      </c>
      <c r="AQ64" s="16">
        <f>AP64+Pot_UP_Gold!K64</f>
        <v>27980</v>
      </c>
      <c r="AR64" s="16">
        <f>AP64+Pot_UP_Gold!K64+AQ63</f>
        <v>50204</v>
      </c>
      <c r="AS64" s="16">
        <f t="shared" si="1"/>
        <v>10040.800000000001</v>
      </c>
      <c r="AU64" s="246">
        <f t="shared" si="2"/>
        <v>25102</v>
      </c>
    </row>
    <row r="65" spans="1:47" x14ac:dyDescent="0.25">
      <c r="A65" s="9" t="s">
        <v>64</v>
      </c>
      <c r="B65" s="48" t="s">
        <v>1119</v>
      </c>
      <c r="W65" t="s">
        <v>990</v>
      </c>
      <c r="X65">
        <v>17</v>
      </c>
      <c r="Y65" t="s">
        <v>993</v>
      </c>
      <c r="Z65">
        <v>15</v>
      </c>
      <c r="AA65" t="s">
        <v>989</v>
      </c>
      <c r="AB65">
        <v>7</v>
      </c>
      <c r="AE65" t="s">
        <v>1113</v>
      </c>
      <c r="AF65">
        <v>23</v>
      </c>
      <c r="AK65" t="s">
        <v>1104</v>
      </c>
      <c r="AL65">
        <v>7</v>
      </c>
      <c r="AM65" t="s">
        <v>1105</v>
      </c>
      <c r="AN65">
        <v>7</v>
      </c>
      <c r="AO65" s="15">
        <f t="shared" si="0"/>
        <v>4716</v>
      </c>
      <c r="AP65" s="15">
        <f>AO65*Pot_UP_Gold!E64</f>
        <v>31440</v>
      </c>
      <c r="AQ65" s="16">
        <f>AP65+Pot_UP_Gold!K65</f>
        <v>37573.333333333336</v>
      </c>
      <c r="AR65" s="16">
        <f>AP65+Pot_UP_Gold!K65+AQ64</f>
        <v>65553.333333333343</v>
      </c>
      <c r="AS65" s="16">
        <f t="shared" si="1"/>
        <v>13110.66666666667</v>
      </c>
      <c r="AU65" s="246">
        <f t="shared" si="2"/>
        <v>32777</v>
      </c>
    </row>
    <row r="66" spans="1:47" x14ac:dyDescent="0.25">
      <c r="A66" s="9" t="s">
        <v>65</v>
      </c>
      <c r="B66" s="48" t="s">
        <v>1119</v>
      </c>
      <c r="W66" t="s">
        <v>990</v>
      </c>
      <c r="X66">
        <v>17</v>
      </c>
      <c r="Y66" t="s">
        <v>993</v>
      </c>
      <c r="Z66">
        <v>15</v>
      </c>
      <c r="AA66" t="s">
        <v>989</v>
      </c>
      <c r="AB66">
        <v>7</v>
      </c>
      <c r="AE66" t="s">
        <v>1113</v>
      </c>
      <c r="AF66">
        <v>23</v>
      </c>
      <c r="AK66" t="s">
        <v>1104</v>
      </c>
      <c r="AL66">
        <v>7</v>
      </c>
      <c r="AM66" t="s">
        <v>1105</v>
      </c>
      <c r="AN66">
        <v>7</v>
      </c>
      <c r="AO66" s="15">
        <f t="shared" si="0"/>
        <v>4716</v>
      </c>
      <c r="AP66" s="15">
        <f>AO66*Pot_UP_Gold!E65</f>
        <v>47160</v>
      </c>
      <c r="AQ66" s="16">
        <f>AP66+Pot_UP_Gold!K66</f>
        <v>56760</v>
      </c>
      <c r="AR66" s="16">
        <f>AP66+Pot_UP_Gold!K66+AQ65</f>
        <v>94333.333333333343</v>
      </c>
      <c r="AS66" s="16">
        <f t="shared" si="1"/>
        <v>18866.666666666668</v>
      </c>
      <c r="AU66" s="246">
        <f t="shared" si="2"/>
        <v>47167</v>
      </c>
    </row>
    <row r="67" spans="1:47" x14ac:dyDescent="0.25">
      <c r="A67" s="7" t="s">
        <v>66</v>
      </c>
      <c r="B67" s="48" t="s">
        <v>1119</v>
      </c>
      <c r="Y67" t="s">
        <v>993</v>
      </c>
      <c r="Z67">
        <v>16</v>
      </c>
      <c r="AA67" t="s">
        <v>989</v>
      </c>
      <c r="AB67">
        <v>9</v>
      </c>
      <c r="AG67" t="s">
        <v>1107</v>
      </c>
      <c r="AH67">
        <v>17</v>
      </c>
      <c r="AI67" t="s">
        <v>1106</v>
      </c>
      <c r="AJ67">
        <v>15</v>
      </c>
      <c r="AK67" t="s">
        <v>1104</v>
      </c>
      <c r="AL67">
        <v>9</v>
      </c>
      <c r="AM67" t="s">
        <v>1105</v>
      </c>
      <c r="AN67">
        <v>9</v>
      </c>
      <c r="AO67" s="15">
        <f t="shared" si="0"/>
        <v>4716</v>
      </c>
      <c r="AP67" s="15">
        <f>AO67*Pot_UP_Gold!E66</f>
        <v>47160</v>
      </c>
      <c r="AQ67" s="16">
        <f>AP67+Pot_UP_Gold!K67</f>
        <v>57160</v>
      </c>
      <c r="AR67" s="16">
        <f>AP67+Pot_UP_Gold!K67+AQ66</f>
        <v>113920</v>
      </c>
      <c r="AS67" s="16">
        <f t="shared" si="1"/>
        <v>22784</v>
      </c>
      <c r="AU67" s="246">
        <f t="shared" si="2"/>
        <v>56960</v>
      </c>
    </row>
    <row r="68" spans="1:47" x14ac:dyDescent="0.25">
      <c r="A68" s="7" t="s">
        <v>67</v>
      </c>
      <c r="B68" s="48" t="s">
        <v>1119</v>
      </c>
      <c r="Y68" t="s">
        <v>993</v>
      </c>
      <c r="Z68">
        <v>16</v>
      </c>
      <c r="AA68" t="s">
        <v>989</v>
      </c>
      <c r="AB68">
        <v>9</v>
      </c>
      <c r="AG68" t="s">
        <v>1107</v>
      </c>
      <c r="AH68">
        <v>17</v>
      </c>
      <c r="AI68" t="s">
        <v>1106</v>
      </c>
      <c r="AJ68">
        <v>15</v>
      </c>
      <c r="AK68" t="s">
        <v>1104</v>
      </c>
      <c r="AL68">
        <v>9</v>
      </c>
      <c r="AM68" t="s">
        <v>1105</v>
      </c>
      <c r="AN68">
        <v>9</v>
      </c>
      <c r="AO68" s="15">
        <f>D67*$D$1+F67*$F$1+H67*$H$1+J67*$J$1+L67*$L$1+N67*$N$1+P67*$P$1+R67*$R$1+T67*$T$1+V67*$V$1+X67*$X$1+Z67*$Z$1+AB67*$AB$1+AD67*$AD$1+AF67*$AF$1+AH67*$AH$1+AJ67*$AJ$1+AL67*$AL$1+AN67*$AN$1</f>
        <v>4975</v>
      </c>
      <c r="AP68" s="15">
        <f>AO68*Pot_UP_Gold!E67</f>
        <v>49750</v>
      </c>
      <c r="AQ68" s="16">
        <f>AP68+Pot_UP_Gold!K68</f>
        <v>69750</v>
      </c>
      <c r="AR68" s="16">
        <f>AP68+Pot_UP_Gold!K68+AQ67</f>
        <v>126910</v>
      </c>
      <c r="AS68" s="16">
        <f>$AT$1*AR68</f>
        <v>25382</v>
      </c>
      <c r="AU68" s="246">
        <f t="shared" si="2"/>
        <v>63455</v>
      </c>
    </row>
    <row r="69" spans="1:47" x14ac:dyDescent="0.25">
      <c r="A69" s="7" t="s">
        <v>68</v>
      </c>
      <c r="B69" s="48" t="s">
        <v>1119</v>
      </c>
      <c r="Y69" t="s">
        <v>993</v>
      </c>
      <c r="Z69">
        <v>16</v>
      </c>
      <c r="AA69" t="s">
        <v>989</v>
      </c>
      <c r="AB69">
        <v>9</v>
      </c>
      <c r="AG69" t="s">
        <v>1107</v>
      </c>
      <c r="AH69">
        <v>17</v>
      </c>
      <c r="AI69" t="s">
        <v>1106</v>
      </c>
      <c r="AJ69">
        <v>15</v>
      </c>
      <c r="AK69" t="s">
        <v>1104</v>
      </c>
      <c r="AL69">
        <v>9</v>
      </c>
      <c r="AM69" t="s">
        <v>1105</v>
      </c>
      <c r="AN69">
        <v>9</v>
      </c>
      <c r="AO69" s="15">
        <f>D68*$D$1+F68*$F$1+H68*$H$1+J68*$J$1+L68*$L$1+N68*$N$1+P68*$P$1+R68*$R$1+T68*$T$1+V68*$V$1+X68*$X$1+Z68*$Z$1+AB68*$AB$1+AD68*$AD$1+AF68*$AF$1+AH68*$AH$1+AJ68*$AJ$1+AL68*$AL$1+AN68*$AN$1</f>
        <v>4975</v>
      </c>
      <c r="AP69" s="15">
        <f>AO69*Pot_UP_Gold!E68</f>
        <v>49750</v>
      </c>
      <c r="AQ69" s="16">
        <f>AP69+Pot_UP_Gold!K69</f>
        <v>70750</v>
      </c>
      <c r="AR69" s="16">
        <f>AP69+Pot_UP_Gold!K69+AQ68</f>
        <v>140500</v>
      </c>
      <c r="AS69" s="16">
        <f>$AT$1*AR69</f>
        <v>28100</v>
      </c>
      <c r="AU69" s="246">
        <f t="shared" si="2"/>
        <v>70250</v>
      </c>
    </row>
    <row r="70" spans="1:47" x14ac:dyDescent="0.25">
      <c r="A70" s="7" t="s">
        <v>69</v>
      </c>
      <c r="B70" s="48" t="s">
        <v>1119</v>
      </c>
      <c r="Y70" t="s">
        <v>993</v>
      </c>
      <c r="Z70">
        <v>16</v>
      </c>
      <c r="AA70" t="s">
        <v>989</v>
      </c>
      <c r="AB70">
        <v>9</v>
      </c>
      <c r="AG70" t="s">
        <v>1107</v>
      </c>
      <c r="AH70">
        <v>17</v>
      </c>
      <c r="AI70" t="s">
        <v>1106</v>
      </c>
      <c r="AJ70">
        <v>15</v>
      </c>
      <c r="AK70" t="s">
        <v>1104</v>
      </c>
      <c r="AL70">
        <v>9</v>
      </c>
      <c r="AM70" t="s">
        <v>1105</v>
      </c>
      <c r="AN70">
        <v>9</v>
      </c>
      <c r="AO70" s="15">
        <f>D69*$D$1+F69*$F$1+H69*$H$1+J69*$J$1+L69*$L$1+N69*$N$1+P69*$P$1+R69*$R$1+T69*$T$1+V69*$V$1+X69*$X$1+Z69*$Z$1+AB69*$AB$1+AD69*$AD$1+AF69*$AF$1+AH69*$AH$1+AJ69*$AJ$1+AL69*$AL$1+AN69*$AN$1</f>
        <v>4975</v>
      </c>
      <c r="AP70" s="15">
        <f>AO70*Pot_UP_Gold!E69</f>
        <v>49750</v>
      </c>
      <c r="AQ70" s="16">
        <f>AP70+Pot_UP_Gold!K70</f>
        <v>71750</v>
      </c>
      <c r="AR70" s="16">
        <f>AP70+Pot_UP_Gold!K70+AQ69</f>
        <v>142500</v>
      </c>
      <c r="AS70" s="16">
        <f>$AT$1*AR70</f>
        <v>28500</v>
      </c>
      <c r="AU70" s="246">
        <f t="shared" si="2"/>
        <v>71250</v>
      </c>
    </row>
    <row r="71" spans="1:47" x14ac:dyDescent="0.25">
      <c r="A71" s="7" t="s">
        <v>70</v>
      </c>
      <c r="B71" s="48" t="s">
        <v>1119</v>
      </c>
      <c r="Y71" t="s">
        <v>993</v>
      </c>
      <c r="Z71">
        <v>16</v>
      </c>
      <c r="AA71" t="s">
        <v>989</v>
      </c>
      <c r="AB71">
        <v>9</v>
      </c>
      <c r="AG71" t="s">
        <v>1107</v>
      </c>
      <c r="AH71">
        <v>17</v>
      </c>
      <c r="AI71" t="s">
        <v>1106</v>
      </c>
      <c r="AJ71">
        <v>15</v>
      </c>
      <c r="AK71" t="s">
        <v>1104</v>
      </c>
      <c r="AL71">
        <v>9</v>
      </c>
      <c r="AM71" t="s">
        <v>1105</v>
      </c>
      <c r="AN71">
        <v>9</v>
      </c>
      <c r="AO71" s="15">
        <f>D70*$D$1+F70*$F$1+H70*$H$1+J70*$J$1+L70*$L$1+N70*$N$1+P70*$P$1+R70*$R$1+T70*$T$1+V70*$V$1+X70*$X$1+Z70*$Z$1+AB70*$AB$1+AD70*$AD$1+AF70*$AF$1+AH70*$AH$1+AJ70*$AJ$1+AL70*$AL$1+AN70*$AN$1</f>
        <v>4975</v>
      </c>
      <c r="AP71" s="15">
        <f>AO71*Pot_UP_Gold!E70</f>
        <v>49750</v>
      </c>
      <c r="AQ71" s="16">
        <f>AP71+Pot_UP_Gold!K71</f>
        <v>72750</v>
      </c>
      <c r="AR71" s="16">
        <f>AP71+Pot_UP_Gold!K71+AQ70</f>
        <v>144500</v>
      </c>
      <c r="AS71" s="16">
        <f>$AT$1*AR71</f>
        <v>28900</v>
      </c>
      <c r="AU71" s="246">
        <f t="shared" ref="AU71:AU134" si="3">ROUNDUP(AR71/2,0)</f>
        <v>72250</v>
      </c>
    </row>
    <row r="72" spans="1:47" x14ac:dyDescent="0.25">
      <c r="A72" s="7" t="s">
        <v>71</v>
      </c>
      <c r="B72" s="48" t="s">
        <v>1119</v>
      </c>
      <c r="AO72" s="15">
        <f>D71*$D$1+F71*$F$1+H71*$H$1+J71*$J$1+L71*$L$1+N71*$N$1+P71*$P$1+R71*$R$1+T71*$T$1+V71*$V$1+X71*$X$1+Z71*$Z$1+AB71*$AB$1+AD71*$AD$1+AF71*$AF$1+AH71*$AH$1+AJ71*$AJ$1+AL71*$AL$1+AN71*$AN$1</f>
        <v>4975</v>
      </c>
      <c r="AP72" s="15">
        <f>AO72*Pot_UP_Gold!E71</f>
        <v>49750</v>
      </c>
      <c r="AQ72" s="16">
        <f>AP72+Pot_UP_Gold!K72</f>
        <v>73750</v>
      </c>
      <c r="AR72" s="16">
        <f>AP72+Pot_UP_Gold!K72+AQ71</f>
        <v>146500</v>
      </c>
      <c r="AS72" s="16">
        <f>$AT$1*AR72</f>
        <v>29300</v>
      </c>
      <c r="AU72" s="246">
        <f t="shared" si="3"/>
        <v>73250</v>
      </c>
    </row>
    <row r="73" spans="1:47" x14ac:dyDescent="0.25">
      <c r="A73" s="10" t="s">
        <v>72</v>
      </c>
      <c r="B73" s="48" t="s">
        <v>1120</v>
      </c>
      <c r="U73" t="s">
        <v>1111</v>
      </c>
      <c r="V73">
        <v>35</v>
      </c>
      <c r="W73" t="s">
        <v>1110</v>
      </c>
      <c r="X73">
        <v>25</v>
      </c>
      <c r="Y73" t="s">
        <v>1109</v>
      </c>
      <c r="Z73">
        <v>17</v>
      </c>
      <c r="AA73" t="s">
        <v>1108</v>
      </c>
      <c r="AB73">
        <v>15</v>
      </c>
      <c r="AC73" t="s">
        <v>1112</v>
      </c>
      <c r="AD73">
        <v>30</v>
      </c>
      <c r="AE73" t="s">
        <v>1113</v>
      </c>
      <c r="AF73">
        <v>25</v>
      </c>
      <c r="AG73" t="s">
        <v>1114</v>
      </c>
      <c r="AH73">
        <v>21</v>
      </c>
      <c r="AI73" t="s">
        <v>1115</v>
      </c>
      <c r="AJ73">
        <v>17</v>
      </c>
      <c r="AO73" s="15">
        <f>D73*$D$1+F73*$F$1+H73*$H$1+J73*$J$1+L73*$L$1+N73*$N$1+P73*$P$1+R73*$R$1+T73*$T$1+V73*$V$1+X73*$X$1+Z73*$Z$1+AB73*$AB$1+AD73*$AD$1+AF73*$AF$1+AH73*$AH$1+AJ73*$AJ$1+AL73*$AL$1+AN73*$AN$1</f>
        <v>10980</v>
      </c>
      <c r="AP73" s="15">
        <f>AO73*Pot_UP_Gold!E73</f>
        <v>109800</v>
      </c>
      <c r="AQ73" s="16">
        <f>AP73+Pot_UP_Gold!K73</f>
        <v>109800</v>
      </c>
      <c r="AR73" s="16">
        <f>AP73+Pot_UP_Gold!K73+AQ72</f>
        <v>183550</v>
      </c>
      <c r="AS73" s="16">
        <f t="shared" ref="AS73:AS84" si="4">$AT$1*AQ73</f>
        <v>21960</v>
      </c>
      <c r="AU73" s="246">
        <f t="shared" si="3"/>
        <v>91775</v>
      </c>
    </row>
    <row r="74" spans="1:47" x14ac:dyDescent="0.25">
      <c r="A74" s="10" t="s">
        <v>73</v>
      </c>
      <c r="B74" s="48" t="s">
        <v>1120</v>
      </c>
      <c r="U74" t="s">
        <v>1111</v>
      </c>
      <c r="V74">
        <v>35</v>
      </c>
      <c r="W74" t="s">
        <v>1110</v>
      </c>
      <c r="X74">
        <v>25</v>
      </c>
      <c r="Y74" t="s">
        <v>1109</v>
      </c>
      <c r="Z74">
        <v>17</v>
      </c>
      <c r="AA74" t="s">
        <v>1108</v>
      </c>
      <c r="AB74">
        <v>15</v>
      </c>
      <c r="AC74" t="s">
        <v>1112</v>
      </c>
      <c r="AD74">
        <v>30</v>
      </c>
      <c r="AE74" t="s">
        <v>1113</v>
      </c>
      <c r="AF74">
        <v>25</v>
      </c>
      <c r="AG74" t="s">
        <v>1114</v>
      </c>
      <c r="AH74">
        <v>21</v>
      </c>
      <c r="AI74" t="s">
        <v>1115</v>
      </c>
      <c r="AJ74">
        <v>17</v>
      </c>
      <c r="AO74" s="15">
        <f t="shared" ref="AO74:AO84" si="5">D74*$D$1+F74*$F$1+H74*$H$1+J74*$J$1+L74*$L$1+N74*$N$1+P74*$P$1+R74*$R$1+T74*$T$1+V74*$V$1+X74*$X$1+Z74*$Z$1+AB74*$AB$1+AD74*$AD$1+AF74*$AF$1+AH74*$AH$1+AJ74*$AJ$1+AL74*$AL$1+AN74*$AN$1</f>
        <v>10980</v>
      </c>
      <c r="AP74" s="15">
        <f>AO74*Pot_UP_Gold!E74</f>
        <v>109800</v>
      </c>
      <c r="AQ74" s="16">
        <f>AP74+Pot_UP_Gold!K74</f>
        <v>109800</v>
      </c>
      <c r="AR74" s="16">
        <f>AP74+Pot_UP_Gold!K74+AQ73</f>
        <v>219600</v>
      </c>
      <c r="AS74" s="16">
        <f t="shared" si="4"/>
        <v>21960</v>
      </c>
      <c r="AU74" s="246">
        <f t="shared" si="3"/>
        <v>109800</v>
      </c>
    </row>
    <row r="75" spans="1:47" x14ac:dyDescent="0.25">
      <c r="A75" s="10" t="s">
        <v>74</v>
      </c>
      <c r="B75" s="48" t="s">
        <v>1120</v>
      </c>
      <c r="U75" t="s">
        <v>1111</v>
      </c>
      <c r="V75">
        <v>35</v>
      </c>
      <c r="W75" t="s">
        <v>1110</v>
      </c>
      <c r="X75">
        <v>25</v>
      </c>
      <c r="Y75" t="s">
        <v>1109</v>
      </c>
      <c r="Z75">
        <v>17</v>
      </c>
      <c r="AA75" t="s">
        <v>1108</v>
      </c>
      <c r="AB75">
        <v>15</v>
      </c>
      <c r="AC75" t="s">
        <v>1112</v>
      </c>
      <c r="AD75">
        <v>30</v>
      </c>
      <c r="AE75" t="s">
        <v>1113</v>
      </c>
      <c r="AF75">
        <v>25</v>
      </c>
      <c r="AG75" t="s">
        <v>1114</v>
      </c>
      <c r="AH75">
        <v>21</v>
      </c>
      <c r="AI75" t="s">
        <v>1115</v>
      </c>
      <c r="AJ75">
        <v>17</v>
      </c>
      <c r="AO75" s="15">
        <f t="shared" si="5"/>
        <v>10980</v>
      </c>
      <c r="AP75" s="15">
        <f>AO75*Pot_UP_Gold!E75</f>
        <v>109800</v>
      </c>
      <c r="AQ75" s="16">
        <f>AP75+Pot_UP_Gold!K75</f>
        <v>109800</v>
      </c>
      <c r="AR75" s="16">
        <f>AP75+Pot_UP_Gold!K75+AQ74</f>
        <v>219600</v>
      </c>
      <c r="AS75" s="16">
        <f t="shared" si="4"/>
        <v>21960</v>
      </c>
      <c r="AU75" s="246">
        <f t="shared" si="3"/>
        <v>109800</v>
      </c>
    </row>
    <row r="76" spans="1:47" x14ac:dyDescent="0.25">
      <c r="A76" s="10" t="s">
        <v>75</v>
      </c>
      <c r="B76" s="48" t="s">
        <v>1120</v>
      </c>
      <c r="U76" t="s">
        <v>1111</v>
      </c>
      <c r="V76">
        <v>35</v>
      </c>
      <c r="W76" t="s">
        <v>1110</v>
      </c>
      <c r="X76">
        <v>25</v>
      </c>
      <c r="Y76" t="s">
        <v>1109</v>
      </c>
      <c r="Z76">
        <v>17</v>
      </c>
      <c r="AA76" t="s">
        <v>1108</v>
      </c>
      <c r="AB76">
        <v>15</v>
      </c>
      <c r="AC76" t="s">
        <v>1112</v>
      </c>
      <c r="AD76">
        <v>30</v>
      </c>
      <c r="AE76" t="s">
        <v>1113</v>
      </c>
      <c r="AF76">
        <v>25</v>
      </c>
      <c r="AG76" t="s">
        <v>1114</v>
      </c>
      <c r="AH76">
        <v>21</v>
      </c>
      <c r="AI76" t="s">
        <v>1115</v>
      </c>
      <c r="AJ76">
        <v>17</v>
      </c>
      <c r="AO76" s="15">
        <f t="shared" si="5"/>
        <v>10980</v>
      </c>
      <c r="AP76" s="15">
        <f>AO76*Pot_UP_Gold!E76</f>
        <v>109800</v>
      </c>
      <c r="AQ76" s="16">
        <f>AP76+Pot_UP_Gold!K76</f>
        <v>109800</v>
      </c>
      <c r="AR76" s="16">
        <f>AP76+Pot_UP_Gold!K76+AQ75</f>
        <v>219600</v>
      </c>
      <c r="AS76" s="16">
        <f t="shared" si="4"/>
        <v>21960</v>
      </c>
      <c r="AU76" s="246">
        <f t="shared" si="3"/>
        <v>109800</v>
      </c>
    </row>
    <row r="77" spans="1:47" x14ac:dyDescent="0.25">
      <c r="A77" s="10" t="s">
        <v>76</v>
      </c>
      <c r="B77" s="48" t="s">
        <v>1120</v>
      </c>
      <c r="U77" t="s">
        <v>1111</v>
      </c>
      <c r="V77">
        <v>35</v>
      </c>
      <c r="W77" t="s">
        <v>1110</v>
      </c>
      <c r="X77">
        <v>25</v>
      </c>
      <c r="Y77" t="s">
        <v>1109</v>
      </c>
      <c r="Z77">
        <v>17</v>
      </c>
      <c r="AA77" t="s">
        <v>1108</v>
      </c>
      <c r="AB77">
        <v>15</v>
      </c>
      <c r="AC77" t="s">
        <v>1112</v>
      </c>
      <c r="AD77">
        <v>30</v>
      </c>
      <c r="AE77" t="s">
        <v>1113</v>
      </c>
      <c r="AF77">
        <v>25</v>
      </c>
      <c r="AG77" t="s">
        <v>1114</v>
      </c>
      <c r="AH77">
        <v>21</v>
      </c>
      <c r="AI77" t="s">
        <v>1115</v>
      </c>
      <c r="AJ77">
        <v>17</v>
      </c>
      <c r="AO77" s="15">
        <f t="shared" si="5"/>
        <v>10980</v>
      </c>
      <c r="AP77" s="15">
        <f>AO77*Pot_UP_Gold!E77</f>
        <v>109800</v>
      </c>
      <c r="AQ77" s="16">
        <f>AP77+Pot_UP_Gold!K77</f>
        <v>109800</v>
      </c>
      <c r="AR77" s="16">
        <f>AP77+Pot_UP_Gold!K77+AQ76</f>
        <v>219600</v>
      </c>
      <c r="AS77" s="16">
        <f t="shared" si="4"/>
        <v>21960</v>
      </c>
      <c r="AU77" s="246">
        <f t="shared" si="3"/>
        <v>109800</v>
      </c>
    </row>
    <row r="78" spans="1:47" x14ac:dyDescent="0.25">
      <c r="A78" s="10" t="s">
        <v>77</v>
      </c>
      <c r="B78" s="48" t="s">
        <v>1120</v>
      </c>
      <c r="U78" t="s">
        <v>1111</v>
      </c>
      <c r="V78">
        <v>35</v>
      </c>
      <c r="W78" t="s">
        <v>1110</v>
      </c>
      <c r="X78">
        <v>25</v>
      </c>
      <c r="Y78" t="s">
        <v>1109</v>
      </c>
      <c r="Z78">
        <v>17</v>
      </c>
      <c r="AA78" t="s">
        <v>1108</v>
      </c>
      <c r="AB78">
        <v>15</v>
      </c>
      <c r="AC78" t="s">
        <v>1112</v>
      </c>
      <c r="AD78">
        <v>30</v>
      </c>
      <c r="AE78" t="s">
        <v>1113</v>
      </c>
      <c r="AF78">
        <v>25</v>
      </c>
      <c r="AG78" t="s">
        <v>1114</v>
      </c>
      <c r="AH78">
        <v>21</v>
      </c>
      <c r="AI78" t="s">
        <v>1115</v>
      </c>
      <c r="AJ78">
        <v>17</v>
      </c>
      <c r="AO78" s="15">
        <f t="shared" si="5"/>
        <v>10980</v>
      </c>
      <c r="AP78" s="15">
        <f>AO78*Pot_UP_Gold!E78</f>
        <v>109800</v>
      </c>
      <c r="AQ78" s="16">
        <f>AP78+Pot_UP_Gold!K78</f>
        <v>109800</v>
      </c>
      <c r="AR78" s="16">
        <f>AP78+Pot_UP_Gold!K78+AQ77</f>
        <v>219600</v>
      </c>
      <c r="AS78" s="16">
        <f t="shared" si="4"/>
        <v>21960</v>
      </c>
      <c r="AU78" s="246">
        <f t="shared" si="3"/>
        <v>109800</v>
      </c>
    </row>
    <row r="79" spans="1:47" x14ac:dyDescent="0.25">
      <c r="A79" s="10" t="s">
        <v>78</v>
      </c>
      <c r="B79" s="48" t="s">
        <v>1120</v>
      </c>
      <c r="U79" t="s">
        <v>1111</v>
      </c>
      <c r="V79">
        <v>39</v>
      </c>
      <c r="W79" t="s">
        <v>1110</v>
      </c>
      <c r="X79">
        <v>27</v>
      </c>
      <c r="Y79" t="s">
        <v>1109</v>
      </c>
      <c r="Z79">
        <v>19</v>
      </c>
      <c r="AA79" t="s">
        <v>1108</v>
      </c>
      <c r="AB79">
        <v>17</v>
      </c>
      <c r="AC79" t="s">
        <v>1112</v>
      </c>
      <c r="AD79">
        <v>35</v>
      </c>
      <c r="AE79" t="s">
        <v>1113</v>
      </c>
      <c r="AF79">
        <v>30</v>
      </c>
      <c r="AG79" t="s">
        <v>1114</v>
      </c>
      <c r="AH79">
        <v>25</v>
      </c>
      <c r="AI79" t="s">
        <v>1115</v>
      </c>
      <c r="AJ79">
        <v>20</v>
      </c>
      <c r="AO79" s="15">
        <f t="shared" si="5"/>
        <v>12418</v>
      </c>
      <c r="AP79" s="15">
        <f>AO79*Pot_UP_Gold!E79</f>
        <v>124180</v>
      </c>
      <c r="AQ79" s="16">
        <f>AP79+Pot_UP_Gold!K79</f>
        <v>124180</v>
      </c>
      <c r="AR79" s="16">
        <f>AP79+Pot_UP_Gold!K79+AQ78</f>
        <v>233980</v>
      </c>
      <c r="AS79" s="16">
        <f t="shared" si="4"/>
        <v>24836</v>
      </c>
      <c r="AU79" s="246">
        <f t="shared" si="3"/>
        <v>116990</v>
      </c>
    </row>
    <row r="80" spans="1:47" x14ac:dyDescent="0.25">
      <c r="A80" s="10" t="s">
        <v>79</v>
      </c>
      <c r="B80" s="48" t="s">
        <v>1120</v>
      </c>
      <c r="U80" t="s">
        <v>1111</v>
      </c>
      <c r="V80">
        <v>39</v>
      </c>
      <c r="W80" t="s">
        <v>1110</v>
      </c>
      <c r="X80">
        <v>27</v>
      </c>
      <c r="Y80" t="s">
        <v>1109</v>
      </c>
      <c r="Z80">
        <v>19</v>
      </c>
      <c r="AA80" t="s">
        <v>1108</v>
      </c>
      <c r="AB80">
        <v>17</v>
      </c>
      <c r="AC80" t="s">
        <v>1112</v>
      </c>
      <c r="AD80">
        <v>35</v>
      </c>
      <c r="AE80" t="s">
        <v>1113</v>
      </c>
      <c r="AF80">
        <v>30</v>
      </c>
      <c r="AG80" t="s">
        <v>1114</v>
      </c>
      <c r="AH80">
        <v>25</v>
      </c>
      <c r="AI80" t="s">
        <v>1115</v>
      </c>
      <c r="AJ80">
        <v>20</v>
      </c>
      <c r="AO80" s="15">
        <f t="shared" si="5"/>
        <v>12418</v>
      </c>
      <c r="AP80" s="15">
        <f>AO80*Pot_UP_Gold!E80</f>
        <v>124180</v>
      </c>
      <c r="AQ80" s="16">
        <f>AP80+Pot_UP_Gold!K80</f>
        <v>124180</v>
      </c>
      <c r="AR80" s="16">
        <f>AP80+Pot_UP_Gold!K80+AQ79</f>
        <v>248360</v>
      </c>
      <c r="AS80" s="16">
        <f t="shared" si="4"/>
        <v>24836</v>
      </c>
      <c r="AU80" s="246">
        <f t="shared" si="3"/>
        <v>124180</v>
      </c>
    </row>
    <row r="81" spans="1:47" x14ac:dyDescent="0.25">
      <c r="A81" s="10" t="s">
        <v>80</v>
      </c>
      <c r="B81" s="48" t="s">
        <v>1120</v>
      </c>
      <c r="U81" t="s">
        <v>1111</v>
      </c>
      <c r="V81">
        <v>39</v>
      </c>
      <c r="W81" t="s">
        <v>1110</v>
      </c>
      <c r="X81">
        <v>27</v>
      </c>
      <c r="Y81" t="s">
        <v>1109</v>
      </c>
      <c r="Z81">
        <v>19</v>
      </c>
      <c r="AA81" t="s">
        <v>1108</v>
      </c>
      <c r="AB81">
        <v>17</v>
      </c>
      <c r="AC81" t="s">
        <v>1112</v>
      </c>
      <c r="AD81">
        <v>35</v>
      </c>
      <c r="AE81" t="s">
        <v>1113</v>
      </c>
      <c r="AF81">
        <v>30</v>
      </c>
      <c r="AG81" t="s">
        <v>1114</v>
      </c>
      <c r="AH81">
        <v>25</v>
      </c>
      <c r="AI81" t="s">
        <v>1115</v>
      </c>
      <c r="AJ81">
        <v>20</v>
      </c>
      <c r="AO81" s="15">
        <f t="shared" si="5"/>
        <v>12418</v>
      </c>
      <c r="AP81" s="15">
        <f>AO81*Pot_UP_Gold!E81</f>
        <v>124180</v>
      </c>
      <c r="AQ81" s="16">
        <f>AP81+Pot_UP_Gold!K81</f>
        <v>124180</v>
      </c>
      <c r="AR81" s="16">
        <f>AP81+Pot_UP_Gold!K81+AQ80</f>
        <v>248360</v>
      </c>
      <c r="AS81" s="16">
        <f t="shared" si="4"/>
        <v>24836</v>
      </c>
      <c r="AU81" s="246">
        <f t="shared" si="3"/>
        <v>124180</v>
      </c>
    </row>
    <row r="82" spans="1:47" x14ac:dyDescent="0.25">
      <c r="A82" s="10" t="s">
        <v>81</v>
      </c>
      <c r="B82" s="48" t="s">
        <v>1120</v>
      </c>
      <c r="U82" t="s">
        <v>1111</v>
      </c>
      <c r="V82">
        <v>39</v>
      </c>
      <c r="W82" t="s">
        <v>1110</v>
      </c>
      <c r="X82">
        <v>27</v>
      </c>
      <c r="Y82" t="s">
        <v>1109</v>
      </c>
      <c r="Z82">
        <v>19</v>
      </c>
      <c r="AA82" t="s">
        <v>1108</v>
      </c>
      <c r="AB82">
        <v>17</v>
      </c>
      <c r="AC82" t="s">
        <v>1112</v>
      </c>
      <c r="AD82">
        <v>35</v>
      </c>
      <c r="AE82" t="s">
        <v>1113</v>
      </c>
      <c r="AF82">
        <v>30</v>
      </c>
      <c r="AG82" t="s">
        <v>1114</v>
      </c>
      <c r="AH82">
        <v>25</v>
      </c>
      <c r="AI82" t="s">
        <v>1115</v>
      </c>
      <c r="AJ82">
        <v>20</v>
      </c>
      <c r="AO82" s="15">
        <f t="shared" si="5"/>
        <v>12418</v>
      </c>
      <c r="AP82" s="15">
        <f>AO82*Pot_UP_Gold!E82</f>
        <v>124180</v>
      </c>
      <c r="AQ82" s="16">
        <f>AP82+Pot_UP_Gold!K82</f>
        <v>124180</v>
      </c>
      <c r="AR82" s="16">
        <f>AP82+Pot_UP_Gold!K82+AQ81</f>
        <v>248360</v>
      </c>
      <c r="AS82" s="16">
        <f t="shared" si="4"/>
        <v>24836</v>
      </c>
      <c r="AU82" s="246">
        <f t="shared" si="3"/>
        <v>124180</v>
      </c>
    </row>
    <row r="83" spans="1:47" x14ac:dyDescent="0.25">
      <c r="A83" s="10" t="s">
        <v>82</v>
      </c>
      <c r="B83" s="48" t="s">
        <v>1120</v>
      </c>
      <c r="U83" t="s">
        <v>1111</v>
      </c>
      <c r="V83">
        <v>39</v>
      </c>
      <c r="W83" t="s">
        <v>1110</v>
      </c>
      <c r="X83">
        <v>27</v>
      </c>
      <c r="Y83" t="s">
        <v>1109</v>
      </c>
      <c r="Z83">
        <v>19</v>
      </c>
      <c r="AA83" t="s">
        <v>1108</v>
      </c>
      <c r="AB83">
        <v>17</v>
      </c>
      <c r="AC83" t="s">
        <v>1112</v>
      </c>
      <c r="AD83">
        <v>35</v>
      </c>
      <c r="AE83" t="s">
        <v>1113</v>
      </c>
      <c r="AF83">
        <v>30</v>
      </c>
      <c r="AG83" t="s">
        <v>1114</v>
      </c>
      <c r="AH83">
        <v>25</v>
      </c>
      <c r="AI83" t="s">
        <v>1115</v>
      </c>
      <c r="AJ83">
        <v>20</v>
      </c>
      <c r="AO83" s="15">
        <f t="shared" si="5"/>
        <v>12418</v>
      </c>
      <c r="AP83" s="15">
        <f>AO83*Pot_UP_Gold!E83</f>
        <v>124180</v>
      </c>
      <c r="AQ83" s="16">
        <f>AP83+Pot_UP_Gold!K83</f>
        <v>124180</v>
      </c>
      <c r="AR83" s="16">
        <f>AP83+Pot_UP_Gold!K83+AQ82</f>
        <v>248360</v>
      </c>
      <c r="AS83" s="16">
        <f t="shared" si="4"/>
        <v>24836</v>
      </c>
      <c r="AU83" s="246">
        <f t="shared" si="3"/>
        <v>124180</v>
      </c>
    </row>
    <row r="84" spans="1:47" x14ac:dyDescent="0.25">
      <c r="A84" s="10" t="s">
        <v>83</v>
      </c>
      <c r="B84" s="48" t="s">
        <v>1120</v>
      </c>
      <c r="U84" t="s">
        <v>1111</v>
      </c>
      <c r="V84">
        <v>39</v>
      </c>
      <c r="W84" t="s">
        <v>1110</v>
      </c>
      <c r="X84">
        <v>27</v>
      </c>
      <c r="Y84" t="s">
        <v>1109</v>
      </c>
      <c r="Z84">
        <v>19</v>
      </c>
      <c r="AA84" t="s">
        <v>1108</v>
      </c>
      <c r="AB84">
        <v>17</v>
      </c>
      <c r="AC84" t="s">
        <v>1112</v>
      </c>
      <c r="AD84">
        <v>35</v>
      </c>
      <c r="AE84" t="s">
        <v>1113</v>
      </c>
      <c r="AF84">
        <v>30</v>
      </c>
      <c r="AG84" t="s">
        <v>1114</v>
      </c>
      <c r="AH84">
        <v>25</v>
      </c>
      <c r="AI84" t="s">
        <v>1115</v>
      </c>
      <c r="AJ84">
        <v>20</v>
      </c>
      <c r="AO84" s="15">
        <f t="shared" si="5"/>
        <v>12418</v>
      </c>
      <c r="AP84" s="15">
        <f>AO84*Pot_UP_Gold!E84</f>
        <v>124180</v>
      </c>
      <c r="AQ84" s="16">
        <f>AP84+Pot_UP_Gold!K84</f>
        <v>124180</v>
      </c>
      <c r="AR84" s="16">
        <f>AP84+Pot_UP_Gold!K84+AQ83</f>
        <v>248360</v>
      </c>
      <c r="AS84" s="16">
        <f t="shared" si="4"/>
        <v>24836</v>
      </c>
      <c r="AU84" s="246">
        <f t="shared" si="3"/>
        <v>124180</v>
      </c>
    </row>
    <row r="85" spans="1:47" s="137" customFormat="1" x14ac:dyDescent="0.25">
      <c r="A85" s="135"/>
      <c r="B85" s="136"/>
      <c r="D85" s="138">
        <f>SUM(D2:D84)</f>
        <v>75</v>
      </c>
      <c r="F85" s="138">
        <f>SUM(F2:F84)</f>
        <v>75</v>
      </c>
      <c r="H85" s="138">
        <f>SUM(H2:H84)</f>
        <v>43</v>
      </c>
      <c r="J85" s="138">
        <f>SUM(J2:J84)</f>
        <v>30</v>
      </c>
      <c r="L85" s="138">
        <f>SUM(L2:L84)</f>
        <v>18</v>
      </c>
      <c r="N85" s="138">
        <f>SUM(N2:N84)</f>
        <v>42</v>
      </c>
      <c r="P85" s="138">
        <f>SUM(P2:P84)</f>
        <v>48</v>
      </c>
      <c r="R85" s="138">
        <f>SUM(R2:R84)</f>
        <v>174</v>
      </c>
      <c r="T85" s="138">
        <f>SUM(T2:T84)</f>
        <v>312</v>
      </c>
      <c r="V85" s="138">
        <f>SUM(V2:V84)</f>
        <v>630</v>
      </c>
      <c r="X85" s="138">
        <f>SUM(X2:X84)</f>
        <v>516</v>
      </c>
      <c r="Z85" s="138">
        <f>SUM(Z2:Z84)</f>
        <v>428</v>
      </c>
      <c r="AB85" s="138">
        <f>SUM(AB2:AB84)</f>
        <v>309</v>
      </c>
      <c r="AD85" s="138">
        <f>SUM(AD2:AD84)</f>
        <v>510</v>
      </c>
      <c r="AF85" s="138">
        <f>SUM(AF2:AF84)</f>
        <v>468</v>
      </c>
      <c r="AH85" s="138">
        <f>SUM(AH2:AH84)</f>
        <v>361</v>
      </c>
      <c r="AJ85" s="138">
        <f>SUM(AJ2:AJ84)</f>
        <v>297</v>
      </c>
      <c r="AL85" s="138">
        <f>SUM(AL2:AL84)</f>
        <v>87</v>
      </c>
      <c r="AN85" s="138">
        <f>SUM(AN2:AN84)</f>
        <v>87</v>
      </c>
      <c r="AO85" s="140"/>
      <c r="AP85" s="15"/>
      <c r="AQ85" s="16"/>
      <c r="AR85" s="16"/>
      <c r="AS85" s="16"/>
      <c r="AU85" s="246">
        <f t="shared" si="3"/>
        <v>0</v>
      </c>
    </row>
    <row r="86" spans="1:47" x14ac:dyDescent="0.25">
      <c r="A86" s="125" t="s">
        <v>1031</v>
      </c>
      <c r="B86" s="48" t="s">
        <v>1120</v>
      </c>
      <c r="AQ86" s="16"/>
      <c r="AR86" s="16"/>
      <c r="AS86" s="16"/>
      <c r="AU86" s="246">
        <f t="shared" si="3"/>
        <v>0</v>
      </c>
    </row>
    <row r="87" spans="1:47" x14ac:dyDescent="0.25">
      <c r="A87" s="125" t="s">
        <v>1032</v>
      </c>
      <c r="B87" s="48" t="s">
        <v>1120</v>
      </c>
      <c r="AQ87" s="16"/>
      <c r="AR87" s="16"/>
      <c r="AS87" s="16"/>
      <c r="AU87" s="246">
        <f t="shared" si="3"/>
        <v>0</v>
      </c>
    </row>
    <row r="88" spans="1:47" x14ac:dyDescent="0.25">
      <c r="A88" s="125" t="s">
        <v>1033</v>
      </c>
      <c r="B88" s="48" t="s">
        <v>1120</v>
      </c>
      <c r="AQ88" s="16"/>
      <c r="AR88" s="16"/>
      <c r="AS88" s="16"/>
      <c r="AU88" s="246">
        <f t="shared" si="3"/>
        <v>0</v>
      </c>
    </row>
    <row r="89" spans="1:47" x14ac:dyDescent="0.25">
      <c r="A89" s="125" t="s">
        <v>1034</v>
      </c>
      <c r="B89" s="48" t="s">
        <v>1120</v>
      </c>
      <c r="AQ89" s="16"/>
      <c r="AR89" s="16"/>
      <c r="AS89" s="16"/>
      <c r="AU89" s="246">
        <f t="shared" si="3"/>
        <v>0</v>
      </c>
    </row>
    <row r="90" spans="1:47" x14ac:dyDescent="0.25">
      <c r="A90" s="125" t="s">
        <v>1035</v>
      </c>
      <c r="B90" s="48" t="s">
        <v>1120</v>
      </c>
      <c r="AQ90" s="16"/>
      <c r="AR90" s="16"/>
      <c r="AS90" s="16"/>
      <c r="AU90" s="246">
        <f t="shared" si="3"/>
        <v>0</v>
      </c>
    </row>
    <row r="91" spans="1:47" x14ac:dyDescent="0.25">
      <c r="A91" s="125" t="s">
        <v>1036</v>
      </c>
      <c r="B91" s="48" t="s">
        <v>1120</v>
      </c>
      <c r="AQ91" s="16"/>
      <c r="AR91" s="16"/>
      <c r="AS91" s="16"/>
      <c r="AU91" s="246">
        <f t="shared" si="3"/>
        <v>0</v>
      </c>
    </row>
    <row r="92" spans="1:47" x14ac:dyDescent="0.25">
      <c r="A92" s="125" t="s">
        <v>1037</v>
      </c>
      <c r="B92" s="48" t="s">
        <v>1120</v>
      </c>
      <c r="AQ92" s="16"/>
      <c r="AR92" s="16"/>
      <c r="AS92" s="16"/>
      <c r="AU92" s="246">
        <f t="shared" si="3"/>
        <v>0</v>
      </c>
    </row>
    <row r="93" spans="1:47" x14ac:dyDescent="0.25">
      <c r="A93" s="125" t="s">
        <v>1038</v>
      </c>
      <c r="B93" s="48" t="s">
        <v>1120</v>
      </c>
      <c r="AQ93" s="16"/>
      <c r="AR93" s="16"/>
      <c r="AS93" s="16"/>
      <c r="AU93" s="246">
        <f t="shared" si="3"/>
        <v>0</v>
      </c>
    </row>
    <row r="94" spans="1:47" x14ac:dyDescent="0.25">
      <c r="A94" s="125" t="s">
        <v>1039</v>
      </c>
      <c r="B94" s="48" t="s">
        <v>1120</v>
      </c>
      <c r="AQ94" s="16"/>
      <c r="AR94" s="16"/>
      <c r="AS94" s="16"/>
      <c r="AU94" s="246">
        <f t="shared" si="3"/>
        <v>0</v>
      </c>
    </row>
    <row r="95" spans="1:47" x14ac:dyDescent="0.25">
      <c r="A95" s="125" t="s">
        <v>1040</v>
      </c>
      <c r="B95" s="48" t="s">
        <v>1120</v>
      </c>
      <c r="AQ95" s="16"/>
      <c r="AR95" s="16"/>
      <c r="AS95" s="16"/>
      <c r="AU95" s="246">
        <f t="shared" si="3"/>
        <v>0</v>
      </c>
    </row>
    <row r="96" spans="1:47" x14ac:dyDescent="0.25">
      <c r="A96" s="125" t="s">
        <v>1041</v>
      </c>
      <c r="B96" s="48" t="s">
        <v>1120</v>
      </c>
      <c r="AQ96" s="16"/>
      <c r="AR96" s="16"/>
      <c r="AS96" s="16"/>
      <c r="AU96" s="246">
        <f t="shared" si="3"/>
        <v>0</v>
      </c>
    </row>
    <row r="97" spans="1:47" x14ac:dyDescent="0.25">
      <c r="A97" s="125" t="s">
        <v>1042</v>
      </c>
      <c r="B97" s="48" t="s">
        <v>1120</v>
      </c>
      <c r="AQ97" s="16"/>
      <c r="AR97" s="16"/>
      <c r="AS97" s="16"/>
      <c r="AU97" s="246">
        <f t="shared" si="3"/>
        <v>0</v>
      </c>
    </row>
    <row r="98" spans="1:47" x14ac:dyDescent="0.25">
      <c r="A98" s="126" t="s">
        <v>1043</v>
      </c>
      <c r="B98" s="131" t="s">
        <v>1119</v>
      </c>
      <c r="AQ98" s="16"/>
      <c r="AR98" s="16"/>
      <c r="AS98" s="16"/>
      <c r="AU98" s="246">
        <f t="shared" si="3"/>
        <v>0</v>
      </c>
    </row>
    <row r="99" spans="1:47" x14ac:dyDescent="0.25">
      <c r="A99" s="126" t="s">
        <v>1044</v>
      </c>
      <c r="B99" s="131" t="s">
        <v>1119</v>
      </c>
      <c r="AQ99" s="16"/>
      <c r="AR99" s="16"/>
      <c r="AS99" s="16"/>
      <c r="AU99" s="246">
        <f t="shared" si="3"/>
        <v>0</v>
      </c>
    </row>
    <row r="100" spans="1:47" x14ac:dyDescent="0.25">
      <c r="A100" s="126" t="s">
        <v>1045</v>
      </c>
      <c r="B100" s="131" t="s">
        <v>1119</v>
      </c>
      <c r="AQ100" s="16"/>
      <c r="AR100" s="16"/>
      <c r="AS100" s="16"/>
      <c r="AU100" s="246">
        <f t="shared" si="3"/>
        <v>0</v>
      </c>
    </row>
    <row r="101" spans="1:47" x14ac:dyDescent="0.25">
      <c r="A101" s="126" t="s">
        <v>1046</v>
      </c>
      <c r="B101" s="131" t="s">
        <v>1119</v>
      </c>
      <c r="AQ101" s="16"/>
      <c r="AR101" s="16"/>
      <c r="AS101" s="16"/>
      <c r="AU101" s="246">
        <f t="shared" si="3"/>
        <v>0</v>
      </c>
    </row>
    <row r="102" spans="1:47" x14ac:dyDescent="0.25">
      <c r="A102" s="126" t="s">
        <v>1047</v>
      </c>
      <c r="B102" s="131" t="s">
        <v>1119</v>
      </c>
      <c r="AQ102" s="16"/>
      <c r="AR102" s="16"/>
      <c r="AS102" s="16"/>
      <c r="AU102" s="246">
        <f t="shared" si="3"/>
        <v>0</v>
      </c>
    </row>
    <row r="103" spans="1:47" x14ac:dyDescent="0.25">
      <c r="A103" s="126" t="s">
        <v>1048</v>
      </c>
      <c r="B103" s="131" t="s">
        <v>1119</v>
      </c>
      <c r="AQ103" s="16"/>
      <c r="AR103" s="16"/>
      <c r="AS103" s="16"/>
      <c r="AU103" s="246">
        <f t="shared" si="3"/>
        <v>0</v>
      </c>
    </row>
    <row r="104" spans="1:47" x14ac:dyDescent="0.25">
      <c r="A104" s="126" t="s">
        <v>1049</v>
      </c>
      <c r="B104" s="131" t="s">
        <v>1119</v>
      </c>
      <c r="AQ104" s="16"/>
      <c r="AR104" s="16"/>
      <c r="AS104" s="16"/>
      <c r="AU104" s="246">
        <f t="shared" si="3"/>
        <v>0</v>
      </c>
    </row>
    <row r="105" spans="1:47" x14ac:dyDescent="0.25">
      <c r="A105" s="126" t="s">
        <v>1050</v>
      </c>
      <c r="B105" s="131" t="s">
        <v>1119</v>
      </c>
      <c r="AQ105" s="16"/>
      <c r="AR105" s="16"/>
      <c r="AS105" s="16"/>
      <c r="AU105" s="246">
        <f t="shared" si="3"/>
        <v>0</v>
      </c>
    </row>
    <row r="106" spans="1:47" x14ac:dyDescent="0.25">
      <c r="A106" s="126" t="s">
        <v>1051</v>
      </c>
      <c r="B106" s="131" t="s">
        <v>1119</v>
      </c>
      <c r="AQ106" s="16"/>
      <c r="AR106" s="16"/>
      <c r="AS106" s="16"/>
      <c r="AU106" s="246">
        <f t="shared" si="3"/>
        <v>0</v>
      </c>
    </row>
    <row r="107" spans="1:47" x14ac:dyDescent="0.25">
      <c r="A107" s="126" t="s">
        <v>1052</v>
      </c>
      <c r="B107" s="131" t="s">
        <v>1119</v>
      </c>
      <c r="AQ107" s="16"/>
      <c r="AR107" s="16"/>
      <c r="AS107" s="16"/>
      <c r="AU107" s="246">
        <f t="shared" si="3"/>
        <v>0</v>
      </c>
    </row>
    <row r="108" spans="1:47" x14ac:dyDescent="0.25">
      <c r="A108" s="126" t="s">
        <v>1053</v>
      </c>
      <c r="B108" s="131" t="s">
        <v>1119</v>
      </c>
      <c r="AQ108" s="16"/>
      <c r="AR108" s="16"/>
      <c r="AS108" s="16"/>
      <c r="AU108" s="246">
        <f t="shared" si="3"/>
        <v>0</v>
      </c>
    </row>
    <row r="109" spans="1:47" x14ac:dyDescent="0.25">
      <c r="A109" s="126" t="s">
        <v>1054</v>
      </c>
      <c r="B109" s="131" t="s">
        <v>1119</v>
      </c>
      <c r="AQ109" s="16"/>
      <c r="AR109" s="16"/>
      <c r="AS109" s="16"/>
      <c r="AU109" s="246">
        <f t="shared" si="3"/>
        <v>0</v>
      </c>
    </row>
    <row r="110" spans="1:47" x14ac:dyDescent="0.25">
      <c r="A110" s="126" t="s">
        <v>1055</v>
      </c>
      <c r="B110" s="131" t="s">
        <v>1119</v>
      </c>
      <c r="AQ110" s="16"/>
      <c r="AR110" s="16"/>
      <c r="AS110" s="16"/>
      <c r="AU110" s="246">
        <f t="shared" si="3"/>
        <v>0</v>
      </c>
    </row>
    <row r="111" spans="1:47" x14ac:dyDescent="0.25">
      <c r="A111" s="126" t="s">
        <v>1056</v>
      </c>
      <c r="B111" s="131" t="s">
        <v>1119</v>
      </c>
      <c r="AQ111" s="16"/>
      <c r="AR111" s="16"/>
      <c r="AS111" s="16"/>
      <c r="AU111" s="246">
        <f t="shared" si="3"/>
        <v>0</v>
      </c>
    </row>
    <row r="112" spans="1:47" x14ac:dyDescent="0.25">
      <c r="A112" s="126" t="s">
        <v>1057</v>
      </c>
      <c r="B112" s="131" t="s">
        <v>1119</v>
      </c>
      <c r="AQ112" s="16"/>
      <c r="AR112" s="16"/>
      <c r="AS112" s="16"/>
      <c r="AU112" s="246">
        <f t="shared" si="3"/>
        <v>0</v>
      </c>
    </row>
    <row r="113" spans="1:47" x14ac:dyDescent="0.25">
      <c r="A113" s="126" t="s">
        <v>1058</v>
      </c>
      <c r="B113" s="131" t="s">
        <v>1119</v>
      </c>
      <c r="AQ113" s="16"/>
      <c r="AR113" s="16"/>
      <c r="AS113" s="16"/>
      <c r="AU113" s="246">
        <f t="shared" si="3"/>
        <v>0</v>
      </c>
    </row>
    <row r="114" spans="1:47" x14ac:dyDescent="0.25">
      <c r="A114" s="126" t="s">
        <v>1059</v>
      </c>
      <c r="B114" s="131" t="s">
        <v>1119</v>
      </c>
      <c r="AQ114" s="16"/>
      <c r="AR114" s="16"/>
      <c r="AS114" s="16"/>
      <c r="AU114" s="246">
        <f t="shared" si="3"/>
        <v>0</v>
      </c>
    </row>
    <row r="115" spans="1:47" x14ac:dyDescent="0.25">
      <c r="A115" s="126" t="s">
        <v>1060</v>
      </c>
      <c r="B115" s="131" t="s">
        <v>1119</v>
      </c>
      <c r="AQ115" s="16"/>
      <c r="AR115" s="16"/>
      <c r="AS115" s="16"/>
      <c r="AU115" s="246">
        <f t="shared" si="3"/>
        <v>0</v>
      </c>
    </row>
    <row r="116" spans="1:47" x14ac:dyDescent="0.25">
      <c r="A116" s="127" t="s">
        <v>1061</v>
      </c>
      <c r="B116" s="131" t="s">
        <v>1119</v>
      </c>
      <c r="AQ116" s="16"/>
      <c r="AR116" s="16"/>
      <c r="AS116" s="16"/>
      <c r="AU116" s="246">
        <f t="shared" si="3"/>
        <v>0</v>
      </c>
    </row>
    <row r="117" spans="1:47" x14ac:dyDescent="0.25">
      <c r="A117" s="127" t="s">
        <v>1062</v>
      </c>
      <c r="B117" s="131" t="s">
        <v>1119</v>
      </c>
      <c r="AQ117" s="16"/>
      <c r="AR117" s="16"/>
      <c r="AS117" s="16"/>
      <c r="AU117" s="246">
        <f t="shared" si="3"/>
        <v>0</v>
      </c>
    </row>
    <row r="118" spans="1:47" x14ac:dyDescent="0.25">
      <c r="A118" s="127" t="s">
        <v>1063</v>
      </c>
      <c r="B118" s="131" t="s">
        <v>1119</v>
      </c>
      <c r="AQ118" s="16"/>
      <c r="AR118" s="16"/>
      <c r="AS118" s="16"/>
      <c r="AU118" s="246">
        <f t="shared" si="3"/>
        <v>0</v>
      </c>
    </row>
    <row r="119" spans="1:47" x14ac:dyDescent="0.25">
      <c r="A119" s="127" t="s">
        <v>1064</v>
      </c>
      <c r="B119" s="131" t="s">
        <v>1119</v>
      </c>
      <c r="AQ119" s="16"/>
      <c r="AR119" s="16"/>
      <c r="AS119" s="16"/>
      <c r="AU119" s="246">
        <f t="shared" si="3"/>
        <v>0</v>
      </c>
    </row>
    <row r="120" spans="1:47" x14ac:dyDescent="0.25">
      <c r="A120" s="127" t="s">
        <v>1065</v>
      </c>
      <c r="B120" s="131" t="s">
        <v>1119</v>
      </c>
      <c r="AQ120" s="16"/>
      <c r="AR120" s="16"/>
      <c r="AS120" s="16"/>
      <c r="AU120" s="246">
        <f t="shared" si="3"/>
        <v>0</v>
      </c>
    </row>
    <row r="121" spans="1:47" x14ac:dyDescent="0.25">
      <c r="A121" s="127" t="s">
        <v>1066</v>
      </c>
      <c r="B121" s="131" t="s">
        <v>1119</v>
      </c>
      <c r="AQ121" s="16"/>
      <c r="AR121" s="16"/>
      <c r="AS121" s="16"/>
      <c r="AU121" s="246">
        <f t="shared" si="3"/>
        <v>0</v>
      </c>
    </row>
    <row r="122" spans="1:47" x14ac:dyDescent="0.25">
      <c r="A122" s="128" t="s">
        <v>1067</v>
      </c>
      <c r="B122" s="131" t="s">
        <v>1119</v>
      </c>
      <c r="AQ122" s="16"/>
      <c r="AR122" s="16"/>
      <c r="AS122" s="16"/>
      <c r="AU122" s="246">
        <f t="shared" si="3"/>
        <v>0</v>
      </c>
    </row>
    <row r="123" spans="1:47" x14ac:dyDescent="0.25">
      <c r="A123" s="128" t="s">
        <v>1068</v>
      </c>
      <c r="B123" s="131" t="s">
        <v>1119</v>
      </c>
      <c r="AQ123" s="16"/>
      <c r="AR123" s="16"/>
      <c r="AS123" s="16"/>
      <c r="AU123" s="246">
        <f t="shared" si="3"/>
        <v>0</v>
      </c>
    </row>
    <row r="124" spans="1:47" x14ac:dyDescent="0.25">
      <c r="A124" s="129" t="s">
        <v>1069</v>
      </c>
      <c r="B124" s="131" t="s">
        <v>1119</v>
      </c>
      <c r="AQ124" s="16"/>
      <c r="AR124" s="16"/>
      <c r="AS124" s="16"/>
      <c r="AU124" s="246">
        <f t="shared" si="3"/>
        <v>0</v>
      </c>
    </row>
    <row r="125" spans="1:47" x14ac:dyDescent="0.25">
      <c r="A125" s="129" t="s">
        <v>1070</v>
      </c>
      <c r="B125" s="131" t="s">
        <v>1119</v>
      </c>
      <c r="AQ125" s="16"/>
      <c r="AR125" s="16"/>
      <c r="AS125" s="16"/>
      <c r="AU125" s="246">
        <f t="shared" si="3"/>
        <v>0</v>
      </c>
    </row>
    <row r="126" spans="1:47" x14ac:dyDescent="0.25">
      <c r="A126" s="129" t="s">
        <v>1071</v>
      </c>
      <c r="B126" s="131" t="s">
        <v>1119</v>
      </c>
      <c r="AQ126" s="16"/>
      <c r="AR126" s="16"/>
      <c r="AS126" s="16"/>
      <c r="AU126" s="246">
        <f t="shared" si="3"/>
        <v>0</v>
      </c>
    </row>
    <row r="127" spans="1:47" x14ac:dyDescent="0.25">
      <c r="A127" s="129" t="s">
        <v>1072</v>
      </c>
      <c r="B127" s="131" t="s">
        <v>1119</v>
      </c>
      <c r="AQ127" s="16"/>
      <c r="AR127" s="16"/>
      <c r="AS127" s="16"/>
      <c r="AU127" s="246">
        <f t="shared" si="3"/>
        <v>0</v>
      </c>
    </row>
    <row r="128" spans="1:47" x14ac:dyDescent="0.25">
      <c r="A128" s="129" t="s">
        <v>1073</v>
      </c>
      <c r="B128" s="131" t="s">
        <v>1119</v>
      </c>
      <c r="AQ128" s="16"/>
      <c r="AR128" s="16"/>
      <c r="AS128" s="16"/>
      <c r="AU128" s="246">
        <f t="shared" si="3"/>
        <v>0</v>
      </c>
    </row>
    <row r="129" spans="1:47" x14ac:dyDescent="0.25">
      <c r="A129" s="129" t="s">
        <v>1074</v>
      </c>
      <c r="B129" s="131" t="s">
        <v>1119</v>
      </c>
      <c r="AQ129" s="16"/>
      <c r="AR129" s="16"/>
      <c r="AS129" s="16"/>
      <c r="AU129" s="246">
        <f t="shared" si="3"/>
        <v>0</v>
      </c>
    </row>
    <row r="130" spans="1:47" x14ac:dyDescent="0.25">
      <c r="A130" s="129" t="s">
        <v>1075</v>
      </c>
      <c r="B130" s="131" t="s">
        <v>1119</v>
      </c>
      <c r="AQ130" s="16"/>
      <c r="AR130" s="16"/>
      <c r="AS130" s="16"/>
      <c r="AU130" s="246">
        <f t="shared" si="3"/>
        <v>0</v>
      </c>
    </row>
    <row r="131" spans="1:47" x14ac:dyDescent="0.25">
      <c r="A131" s="129" t="s">
        <v>1076</v>
      </c>
      <c r="B131" s="131" t="s">
        <v>1119</v>
      </c>
      <c r="AQ131" s="16"/>
      <c r="AR131" s="16"/>
      <c r="AS131" s="16"/>
      <c r="AU131" s="246">
        <f t="shared" si="3"/>
        <v>0</v>
      </c>
    </row>
    <row r="132" spans="1:47" x14ac:dyDescent="0.25">
      <c r="A132" s="129" t="s">
        <v>1077</v>
      </c>
      <c r="B132" s="131" t="s">
        <v>1119</v>
      </c>
      <c r="AQ132" s="16"/>
      <c r="AR132" s="16"/>
      <c r="AS132" s="16"/>
      <c r="AU132" s="246">
        <f t="shared" si="3"/>
        <v>0</v>
      </c>
    </row>
    <row r="133" spans="1:47" x14ac:dyDescent="0.25">
      <c r="A133" s="129" t="s">
        <v>1078</v>
      </c>
      <c r="B133" s="131" t="s">
        <v>1119</v>
      </c>
      <c r="AQ133" s="16"/>
      <c r="AR133" s="16"/>
      <c r="AS133" s="16"/>
      <c r="AU133" s="246">
        <f t="shared" si="3"/>
        <v>0</v>
      </c>
    </row>
    <row r="134" spans="1:47" x14ac:dyDescent="0.25">
      <c r="A134" s="127" t="s">
        <v>1079</v>
      </c>
      <c r="B134" s="131" t="s">
        <v>1119</v>
      </c>
      <c r="AQ134" s="16"/>
      <c r="AR134" s="16"/>
      <c r="AS134" s="16"/>
      <c r="AU134" s="246">
        <f t="shared" si="3"/>
        <v>0</v>
      </c>
    </row>
    <row r="135" spans="1:47" x14ac:dyDescent="0.25">
      <c r="A135" s="127" t="s">
        <v>1080</v>
      </c>
      <c r="B135" s="131" t="s">
        <v>1119</v>
      </c>
      <c r="AQ135" s="16"/>
      <c r="AR135" s="16"/>
      <c r="AS135" s="16"/>
      <c r="AU135" s="246">
        <f t="shared" ref="AU135:AU158" si="6">ROUNDUP(AR135/2,0)</f>
        <v>0</v>
      </c>
    </row>
    <row r="136" spans="1:47" x14ac:dyDescent="0.25">
      <c r="A136" s="127" t="s">
        <v>1081</v>
      </c>
      <c r="B136" s="131" t="s">
        <v>1119</v>
      </c>
      <c r="AQ136" s="16"/>
      <c r="AR136" s="16"/>
      <c r="AS136" s="16"/>
      <c r="AU136" s="246">
        <f t="shared" si="6"/>
        <v>0</v>
      </c>
    </row>
    <row r="137" spans="1:47" x14ac:dyDescent="0.25">
      <c r="A137" s="127" t="s">
        <v>1082</v>
      </c>
      <c r="B137" s="131" t="s">
        <v>1119</v>
      </c>
      <c r="AQ137" s="16"/>
      <c r="AR137" s="16"/>
      <c r="AS137" s="16"/>
      <c r="AU137" s="246">
        <f t="shared" si="6"/>
        <v>0</v>
      </c>
    </row>
    <row r="138" spans="1:47" x14ac:dyDescent="0.25">
      <c r="A138" s="127" t="s">
        <v>1083</v>
      </c>
      <c r="B138" s="131" t="s">
        <v>1119</v>
      </c>
      <c r="AQ138" s="16"/>
      <c r="AR138" s="16"/>
      <c r="AS138" s="16"/>
      <c r="AU138" s="246">
        <f t="shared" si="6"/>
        <v>0</v>
      </c>
    </row>
    <row r="139" spans="1:47" x14ac:dyDescent="0.25">
      <c r="A139" s="127" t="s">
        <v>1084</v>
      </c>
      <c r="B139" s="131" t="s">
        <v>1119</v>
      </c>
      <c r="AQ139" s="16"/>
      <c r="AR139" s="16"/>
      <c r="AS139" s="16"/>
      <c r="AU139" s="246">
        <f t="shared" si="6"/>
        <v>0</v>
      </c>
    </row>
    <row r="140" spans="1:47" x14ac:dyDescent="0.25">
      <c r="A140" s="129" t="s">
        <v>1085</v>
      </c>
      <c r="B140" s="131" t="s">
        <v>1119</v>
      </c>
      <c r="AQ140" s="16"/>
      <c r="AR140" s="16"/>
      <c r="AS140" s="16"/>
      <c r="AU140" s="246">
        <f t="shared" si="6"/>
        <v>0</v>
      </c>
    </row>
    <row r="141" spans="1:47" x14ac:dyDescent="0.25">
      <c r="A141" s="129" t="s">
        <v>1086</v>
      </c>
      <c r="B141" s="131" t="s">
        <v>1119</v>
      </c>
      <c r="AQ141" s="16"/>
      <c r="AR141" s="16"/>
      <c r="AS141" s="16"/>
      <c r="AU141" s="246">
        <f t="shared" si="6"/>
        <v>0</v>
      </c>
    </row>
    <row r="142" spans="1:47" x14ac:dyDescent="0.25">
      <c r="A142" s="129" t="s">
        <v>1087</v>
      </c>
      <c r="B142" s="131" t="s">
        <v>1119</v>
      </c>
      <c r="AQ142" s="16"/>
      <c r="AR142" s="16"/>
      <c r="AS142" s="16"/>
      <c r="AU142" s="246">
        <f t="shared" si="6"/>
        <v>0</v>
      </c>
    </row>
    <row r="143" spans="1:47" x14ac:dyDescent="0.25">
      <c r="A143" s="129" t="s">
        <v>1088</v>
      </c>
      <c r="B143" s="131" t="s">
        <v>1119</v>
      </c>
      <c r="AQ143" s="16"/>
      <c r="AR143" s="16"/>
      <c r="AS143" s="16"/>
      <c r="AU143" s="246">
        <f t="shared" si="6"/>
        <v>0</v>
      </c>
    </row>
    <row r="144" spans="1:47" x14ac:dyDescent="0.25">
      <c r="A144" s="129" t="s">
        <v>1089</v>
      </c>
      <c r="B144" s="131" t="s">
        <v>1119</v>
      </c>
      <c r="AQ144" s="16"/>
      <c r="AR144" s="16"/>
      <c r="AS144" s="16"/>
      <c r="AU144" s="246">
        <f t="shared" si="6"/>
        <v>0</v>
      </c>
    </row>
    <row r="145" spans="1:47" x14ac:dyDescent="0.25">
      <c r="A145" s="129" t="s">
        <v>1090</v>
      </c>
      <c r="B145" s="131" t="s">
        <v>1119</v>
      </c>
      <c r="AQ145" s="16"/>
      <c r="AR145" s="16"/>
      <c r="AS145" s="16"/>
      <c r="AU145" s="246">
        <f t="shared" si="6"/>
        <v>0</v>
      </c>
    </row>
    <row r="146" spans="1:47" x14ac:dyDescent="0.25">
      <c r="A146" s="129" t="s">
        <v>1091</v>
      </c>
      <c r="B146" s="131" t="s">
        <v>1119</v>
      </c>
      <c r="AQ146" s="16"/>
      <c r="AR146" s="16"/>
      <c r="AS146" s="16"/>
      <c r="AU146" s="246">
        <f t="shared" si="6"/>
        <v>0</v>
      </c>
    </row>
    <row r="147" spans="1:47" x14ac:dyDescent="0.25">
      <c r="A147" s="127" t="s">
        <v>1092</v>
      </c>
      <c r="B147" s="131" t="s">
        <v>1119</v>
      </c>
      <c r="AQ147" s="16"/>
      <c r="AR147" s="16"/>
      <c r="AS147" s="16"/>
      <c r="AU147" s="246">
        <f t="shared" si="6"/>
        <v>0</v>
      </c>
    </row>
    <row r="148" spans="1:47" x14ac:dyDescent="0.25">
      <c r="A148" s="127" t="s">
        <v>1093</v>
      </c>
      <c r="B148" s="131" t="s">
        <v>1119</v>
      </c>
      <c r="AQ148" s="16"/>
      <c r="AR148" s="16"/>
      <c r="AS148" s="16"/>
      <c r="AU148" s="246">
        <f t="shared" si="6"/>
        <v>0</v>
      </c>
    </row>
    <row r="149" spans="1:47" x14ac:dyDescent="0.25">
      <c r="A149" s="127" t="s">
        <v>1094</v>
      </c>
      <c r="B149" s="131" t="s">
        <v>1119</v>
      </c>
      <c r="AQ149" s="16"/>
      <c r="AR149" s="16"/>
      <c r="AS149" s="16"/>
      <c r="AU149" s="246">
        <f t="shared" si="6"/>
        <v>0</v>
      </c>
    </row>
    <row r="150" spans="1:47" x14ac:dyDescent="0.25">
      <c r="A150" s="127" t="s">
        <v>1095</v>
      </c>
      <c r="B150" s="131" t="s">
        <v>1119</v>
      </c>
      <c r="AQ150" s="16"/>
      <c r="AR150" s="16"/>
      <c r="AS150" s="16"/>
      <c r="AU150" s="246">
        <f t="shared" si="6"/>
        <v>0</v>
      </c>
    </row>
    <row r="151" spans="1:47" x14ac:dyDescent="0.25">
      <c r="A151" s="127" t="s">
        <v>1096</v>
      </c>
      <c r="B151" s="131" t="s">
        <v>1119</v>
      </c>
      <c r="AQ151" s="16"/>
      <c r="AR151" s="16"/>
      <c r="AS151" s="16"/>
      <c r="AU151" s="246">
        <f t="shared" si="6"/>
        <v>0</v>
      </c>
    </row>
    <row r="152" spans="1:47" x14ac:dyDescent="0.25">
      <c r="A152" s="127" t="s">
        <v>1097</v>
      </c>
      <c r="B152" s="131" t="s">
        <v>1119</v>
      </c>
      <c r="AQ152" s="16"/>
      <c r="AR152" s="16"/>
      <c r="AS152" s="16"/>
      <c r="AU152" s="246">
        <f t="shared" si="6"/>
        <v>0</v>
      </c>
    </row>
    <row r="153" spans="1:47" x14ac:dyDescent="0.25">
      <c r="A153" s="127" t="s">
        <v>1098</v>
      </c>
      <c r="B153" s="131" t="s">
        <v>1119</v>
      </c>
      <c r="AQ153" s="16"/>
      <c r="AR153" s="16"/>
      <c r="AS153" s="16"/>
      <c r="AU153" s="246">
        <f t="shared" si="6"/>
        <v>0</v>
      </c>
    </row>
    <row r="154" spans="1:47" x14ac:dyDescent="0.25">
      <c r="A154" s="127" t="s">
        <v>1099</v>
      </c>
      <c r="B154" s="131" t="s">
        <v>1119</v>
      </c>
      <c r="AQ154" s="16"/>
      <c r="AR154" s="16"/>
      <c r="AS154" s="16"/>
      <c r="AU154" s="246">
        <f t="shared" si="6"/>
        <v>0</v>
      </c>
    </row>
    <row r="155" spans="1:47" x14ac:dyDescent="0.25">
      <c r="A155" s="127" t="s">
        <v>1100</v>
      </c>
      <c r="B155" s="131" t="s">
        <v>1119</v>
      </c>
      <c r="AQ155" s="16"/>
      <c r="AR155" s="16"/>
      <c r="AS155" s="16"/>
      <c r="AU155" s="246">
        <f t="shared" si="6"/>
        <v>0</v>
      </c>
    </row>
    <row r="156" spans="1:47" x14ac:dyDescent="0.25">
      <c r="A156" s="127" t="s">
        <v>1101</v>
      </c>
      <c r="B156" s="131" t="s">
        <v>1119</v>
      </c>
      <c r="AQ156" s="16"/>
      <c r="AR156" s="16"/>
      <c r="AS156" s="16"/>
      <c r="AU156" s="246">
        <f t="shared" si="6"/>
        <v>0</v>
      </c>
    </row>
    <row r="157" spans="1:47" x14ac:dyDescent="0.25">
      <c r="A157" s="127" t="s">
        <v>1102</v>
      </c>
      <c r="B157" s="131" t="s">
        <v>1119</v>
      </c>
      <c r="AQ157" s="16"/>
      <c r="AR157" s="16"/>
      <c r="AS157" s="16"/>
      <c r="AU157" s="246">
        <f t="shared" si="6"/>
        <v>0</v>
      </c>
    </row>
    <row r="158" spans="1:47" x14ac:dyDescent="0.25">
      <c r="A158" s="129" t="s">
        <v>1103</v>
      </c>
      <c r="B158" s="131" t="s">
        <v>1119</v>
      </c>
      <c r="AP158" s="15">
        <f>AO158*Pot_UP_Gold!E85</f>
        <v>0</v>
      </c>
      <c r="AQ158" s="16">
        <f>AP158+Pot_UP_Gold!K85</f>
        <v>0</v>
      </c>
      <c r="AR158" s="16"/>
      <c r="AS158" s="16">
        <f>$AT$1*AQ158</f>
        <v>0</v>
      </c>
      <c r="AU158" s="246">
        <f t="shared" si="6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8" sqref="B8"/>
    </sheetView>
  </sheetViews>
  <sheetFormatPr defaultRowHeight="15" x14ac:dyDescent="0.25"/>
  <cols>
    <col min="1" max="1" width="14" customWidth="1"/>
    <col min="2" max="2" width="83.28515625" customWidth="1"/>
    <col min="255" max="255" width="11.85546875" customWidth="1"/>
    <col min="256" max="256" width="14" customWidth="1"/>
    <col min="257" max="257" width="72.140625" bestFit="1" customWidth="1"/>
    <col min="511" max="511" width="11.85546875" customWidth="1"/>
    <col min="512" max="512" width="14" customWidth="1"/>
    <col min="513" max="513" width="72.140625" bestFit="1" customWidth="1"/>
    <col min="767" max="767" width="11.85546875" customWidth="1"/>
    <col min="768" max="768" width="14" customWidth="1"/>
    <col min="769" max="769" width="72.140625" bestFit="1" customWidth="1"/>
    <col min="1023" max="1023" width="11.85546875" customWidth="1"/>
    <col min="1024" max="1024" width="14" customWidth="1"/>
    <col min="1025" max="1025" width="72.140625" bestFit="1" customWidth="1"/>
    <col min="1279" max="1279" width="11.85546875" customWidth="1"/>
    <col min="1280" max="1280" width="14" customWidth="1"/>
    <col min="1281" max="1281" width="72.140625" bestFit="1" customWidth="1"/>
    <col min="1535" max="1535" width="11.85546875" customWidth="1"/>
    <col min="1536" max="1536" width="14" customWidth="1"/>
    <col min="1537" max="1537" width="72.140625" bestFit="1" customWidth="1"/>
    <col min="1791" max="1791" width="11.85546875" customWidth="1"/>
    <col min="1792" max="1792" width="14" customWidth="1"/>
    <col min="1793" max="1793" width="72.140625" bestFit="1" customWidth="1"/>
    <col min="2047" max="2047" width="11.85546875" customWidth="1"/>
    <col min="2048" max="2048" width="14" customWidth="1"/>
    <col min="2049" max="2049" width="72.140625" bestFit="1" customWidth="1"/>
    <col min="2303" max="2303" width="11.85546875" customWidth="1"/>
    <col min="2304" max="2304" width="14" customWidth="1"/>
    <col min="2305" max="2305" width="72.140625" bestFit="1" customWidth="1"/>
    <col min="2559" max="2559" width="11.85546875" customWidth="1"/>
    <col min="2560" max="2560" width="14" customWidth="1"/>
    <col min="2561" max="2561" width="72.140625" bestFit="1" customWidth="1"/>
    <col min="2815" max="2815" width="11.85546875" customWidth="1"/>
    <col min="2816" max="2816" width="14" customWidth="1"/>
    <col min="2817" max="2817" width="72.140625" bestFit="1" customWidth="1"/>
    <col min="3071" max="3071" width="11.85546875" customWidth="1"/>
    <col min="3072" max="3072" width="14" customWidth="1"/>
    <col min="3073" max="3073" width="72.140625" bestFit="1" customWidth="1"/>
    <col min="3327" max="3327" width="11.85546875" customWidth="1"/>
    <col min="3328" max="3328" width="14" customWidth="1"/>
    <col min="3329" max="3329" width="72.140625" bestFit="1" customWidth="1"/>
    <col min="3583" max="3583" width="11.85546875" customWidth="1"/>
    <col min="3584" max="3584" width="14" customWidth="1"/>
    <col min="3585" max="3585" width="72.140625" bestFit="1" customWidth="1"/>
    <col min="3839" max="3839" width="11.85546875" customWidth="1"/>
    <col min="3840" max="3840" width="14" customWidth="1"/>
    <col min="3841" max="3841" width="72.140625" bestFit="1" customWidth="1"/>
    <col min="4095" max="4095" width="11.85546875" customWidth="1"/>
    <col min="4096" max="4096" width="14" customWidth="1"/>
    <col min="4097" max="4097" width="72.140625" bestFit="1" customWidth="1"/>
    <col min="4351" max="4351" width="11.85546875" customWidth="1"/>
    <col min="4352" max="4352" width="14" customWidth="1"/>
    <col min="4353" max="4353" width="72.140625" bestFit="1" customWidth="1"/>
    <col min="4607" max="4607" width="11.85546875" customWidth="1"/>
    <col min="4608" max="4608" width="14" customWidth="1"/>
    <col min="4609" max="4609" width="72.140625" bestFit="1" customWidth="1"/>
    <col min="4863" max="4863" width="11.85546875" customWidth="1"/>
    <col min="4864" max="4864" width="14" customWidth="1"/>
    <col min="4865" max="4865" width="72.140625" bestFit="1" customWidth="1"/>
    <col min="5119" max="5119" width="11.85546875" customWidth="1"/>
    <col min="5120" max="5120" width="14" customWidth="1"/>
    <col min="5121" max="5121" width="72.140625" bestFit="1" customWidth="1"/>
    <col min="5375" max="5375" width="11.85546875" customWidth="1"/>
    <col min="5376" max="5376" width="14" customWidth="1"/>
    <col min="5377" max="5377" width="72.140625" bestFit="1" customWidth="1"/>
    <col min="5631" max="5631" width="11.85546875" customWidth="1"/>
    <col min="5632" max="5632" width="14" customWidth="1"/>
    <col min="5633" max="5633" width="72.140625" bestFit="1" customWidth="1"/>
    <col min="5887" max="5887" width="11.85546875" customWidth="1"/>
    <col min="5888" max="5888" width="14" customWidth="1"/>
    <col min="5889" max="5889" width="72.140625" bestFit="1" customWidth="1"/>
    <col min="6143" max="6143" width="11.85546875" customWidth="1"/>
    <col min="6144" max="6144" width="14" customWidth="1"/>
    <col min="6145" max="6145" width="72.140625" bestFit="1" customWidth="1"/>
    <col min="6399" max="6399" width="11.85546875" customWidth="1"/>
    <col min="6400" max="6400" width="14" customWidth="1"/>
    <col min="6401" max="6401" width="72.140625" bestFit="1" customWidth="1"/>
    <col min="6655" max="6655" width="11.85546875" customWidth="1"/>
    <col min="6656" max="6656" width="14" customWidth="1"/>
    <col min="6657" max="6657" width="72.140625" bestFit="1" customWidth="1"/>
    <col min="6911" max="6911" width="11.85546875" customWidth="1"/>
    <col min="6912" max="6912" width="14" customWidth="1"/>
    <col min="6913" max="6913" width="72.140625" bestFit="1" customWidth="1"/>
    <col min="7167" max="7167" width="11.85546875" customWidth="1"/>
    <col min="7168" max="7168" width="14" customWidth="1"/>
    <col min="7169" max="7169" width="72.140625" bestFit="1" customWidth="1"/>
    <col min="7423" max="7423" width="11.85546875" customWidth="1"/>
    <col min="7424" max="7424" width="14" customWidth="1"/>
    <col min="7425" max="7425" width="72.140625" bestFit="1" customWidth="1"/>
    <col min="7679" max="7679" width="11.85546875" customWidth="1"/>
    <col min="7680" max="7680" width="14" customWidth="1"/>
    <col min="7681" max="7681" width="72.140625" bestFit="1" customWidth="1"/>
    <col min="7935" max="7935" width="11.85546875" customWidth="1"/>
    <col min="7936" max="7936" width="14" customWidth="1"/>
    <col min="7937" max="7937" width="72.140625" bestFit="1" customWidth="1"/>
    <col min="8191" max="8191" width="11.85546875" customWidth="1"/>
    <col min="8192" max="8192" width="14" customWidth="1"/>
    <col min="8193" max="8193" width="72.140625" bestFit="1" customWidth="1"/>
    <col min="8447" max="8447" width="11.85546875" customWidth="1"/>
    <col min="8448" max="8448" width="14" customWidth="1"/>
    <col min="8449" max="8449" width="72.140625" bestFit="1" customWidth="1"/>
    <col min="8703" max="8703" width="11.85546875" customWidth="1"/>
    <col min="8704" max="8704" width="14" customWidth="1"/>
    <col min="8705" max="8705" width="72.140625" bestFit="1" customWidth="1"/>
    <col min="8959" max="8959" width="11.85546875" customWidth="1"/>
    <col min="8960" max="8960" width="14" customWidth="1"/>
    <col min="8961" max="8961" width="72.140625" bestFit="1" customWidth="1"/>
    <col min="9215" max="9215" width="11.85546875" customWidth="1"/>
    <col min="9216" max="9216" width="14" customWidth="1"/>
    <col min="9217" max="9217" width="72.140625" bestFit="1" customWidth="1"/>
    <col min="9471" max="9471" width="11.85546875" customWidth="1"/>
    <col min="9472" max="9472" width="14" customWidth="1"/>
    <col min="9473" max="9473" width="72.140625" bestFit="1" customWidth="1"/>
    <col min="9727" max="9727" width="11.85546875" customWidth="1"/>
    <col min="9728" max="9728" width="14" customWidth="1"/>
    <col min="9729" max="9729" width="72.140625" bestFit="1" customWidth="1"/>
    <col min="9983" max="9983" width="11.85546875" customWidth="1"/>
    <col min="9984" max="9984" width="14" customWidth="1"/>
    <col min="9985" max="9985" width="72.140625" bestFit="1" customWidth="1"/>
    <col min="10239" max="10239" width="11.85546875" customWidth="1"/>
    <col min="10240" max="10240" width="14" customWidth="1"/>
    <col min="10241" max="10241" width="72.140625" bestFit="1" customWidth="1"/>
    <col min="10495" max="10495" width="11.85546875" customWidth="1"/>
    <col min="10496" max="10496" width="14" customWidth="1"/>
    <col min="10497" max="10497" width="72.140625" bestFit="1" customWidth="1"/>
    <col min="10751" max="10751" width="11.85546875" customWidth="1"/>
    <col min="10752" max="10752" width="14" customWidth="1"/>
    <col min="10753" max="10753" width="72.140625" bestFit="1" customWidth="1"/>
    <col min="11007" max="11007" width="11.85546875" customWidth="1"/>
    <col min="11008" max="11008" width="14" customWidth="1"/>
    <col min="11009" max="11009" width="72.140625" bestFit="1" customWidth="1"/>
    <col min="11263" max="11263" width="11.85546875" customWidth="1"/>
    <col min="11264" max="11264" width="14" customWidth="1"/>
    <col min="11265" max="11265" width="72.140625" bestFit="1" customWidth="1"/>
    <col min="11519" max="11519" width="11.85546875" customWidth="1"/>
    <col min="11520" max="11520" width="14" customWidth="1"/>
    <col min="11521" max="11521" width="72.140625" bestFit="1" customWidth="1"/>
    <col min="11775" max="11775" width="11.85546875" customWidth="1"/>
    <col min="11776" max="11776" width="14" customWidth="1"/>
    <col min="11777" max="11777" width="72.140625" bestFit="1" customWidth="1"/>
    <col min="12031" max="12031" width="11.85546875" customWidth="1"/>
    <col min="12032" max="12032" width="14" customWidth="1"/>
    <col min="12033" max="12033" width="72.140625" bestFit="1" customWidth="1"/>
    <col min="12287" max="12287" width="11.85546875" customWidth="1"/>
    <col min="12288" max="12288" width="14" customWidth="1"/>
    <col min="12289" max="12289" width="72.140625" bestFit="1" customWidth="1"/>
    <col min="12543" max="12543" width="11.85546875" customWidth="1"/>
    <col min="12544" max="12544" width="14" customWidth="1"/>
    <col min="12545" max="12545" width="72.140625" bestFit="1" customWidth="1"/>
    <col min="12799" max="12799" width="11.85546875" customWidth="1"/>
    <col min="12800" max="12800" width="14" customWidth="1"/>
    <col min="12801" max="12801" width="72.140625" bestFit="1" customWidth="1"/>
    <col min="13055" max="13055" width="11.85546875" customWidth="1"/>
    <col min="13056" max="13056" width="14" customWidth="1"/>
    <col min="13057" max="13057" width="72.140625" bestFit="1" customWidth="1"/>
    <col min="13311" max="13311" width="11.85546875" customWidth="1"/>
    <col min="13312" max="13312" width="14" customWidth="1"/>
    <col min="13313" max="13313" width="72.140625" bestFit="1" customWidth="1"/>
    <col min="13567" max="13567" width="11.85546875" customWidth="1"/>
    <col min="13568" max="13568" width="14" customWidth="1"/>
    <col min="13569" max="13569" width="72.140625" bestFit="1" customWidth="1"/>
    <col min="13823" max="13823" width="11.85546875" customWidth="1"/>
    <col min="13824" max="13824" width="14" customWidth="1"/>
    <col min="13825" max="13825" width="72.140625" bestFit="1" customWidth="1"/>
    <col min="14079" max="14079" width="11.85546875" customWidth="1"/>
    <col min="14080" max="14080" width="14" customWidth="1"/>
    <col min="14081" max="14081" width="72.140625" bestFit="1" customWidth="1"/>
    <col min="14335" max="14335" width="11.85546875" customWidth="1"/>
    <col min="14336" max="14336" width="14" customWidth="1"/>
    <col min="14337" max="14337" width="72.140625" bestFit="1" customWidth="1"/>
    <col min="14591" max="14591" width="11.85546875" customWidth="1"/>
    <col min="14592" max="14592" width="14" customWidth="1"/>
    <col min="14593" max="14593" width="72.140625" bestFit="1" customWidth="1"/>
    <col min="14847" max="14847" width="11.85546875" customWidth="1"/>
    <col min="14848" max="14848" width="14" customWidth="1"/>
    <col min="14849" max="14849" width="72.140625" bestFit="1" customWidth="1"/>
    <col min="15103" max="15103" width="11.85546875" customWidth="1"/>
    <col min="15104" max="15104" width="14" customWidth="1"/>
    <col min="15105" max="15105" width="72.140625" bestFit="1" customWidth="1"/>
    <col min="15359" max="15359" width="11.85546875" customWidth="1"/>
    <col min="15360" max="15360" width="14" customWidth="1"/>
    <col min="15361" max="15361" width="72.140625" bestFit="1" customWidth="1"/>
    <col min="15615" max="15615" width="11.85546875" customWidth="1"/>
    <col min="15616" max="15616" width="14" customWidth="1"/>
    <col min="15617" max="15617" width="72.140625" bestFit="1" customWidth="1"/>
    <col min="15871" max="15871" width="11.85546875" customWidth="1"/>
    <col min="15872" max="15872" width="14" customWidth="1"/>
    <col min="15873" max="15873" width="72.140625" bestFit="1" customWidth="1"/>
    <col min="16127" max="16127" width="11.85546875" customWidth="1"/>
    <col min="16128" max="16128" width="14" customWidth="1"/>
    <col min="16129" max="16129" width="72.140625" bestFit="1" customWidth="1"/>
  </cols>
  <sheetData>
    <row r="1" spans="1:2" s="181" customFormat="1" x14ac:dyDescent="0.25">
      <c r="A1" s="323" t="s">
        <v>1485</v>
      </c>
      <c r="B1" s="324" t="s">
        <v>1486</v>
      </c>
    </row>
    <row r="2" spans="1:2" s="11" customFormat="1" x14ac:dyDescent="0.25">
      <c r="A2" s="325">
        <v>30</v>
      </c>
      <c r="B2" s="54" t="s">
        <v>1487</v>
      </c>
    </row>
    <row r="3" spans="1:2" s="11" customFormat="1" x14ac:dyDescent="0.25">
      <c r="A3" s="325">
        <v>60</v>
      </c>
      <c r="B3" s="334" t="s">
        <v>1570</v>
      </c>
    </row>
    <row r="4" spans="1:2" s="11" customFormat="1" x14ac:dyDescent="0.25">
      <c r="A4" s="325">
        <v>120</v>
      </c>
      <c r="B4" s="54" t="s">
        <v>1492</v>
      </c>
    </row>
    <row r="5" spans="1:2" s="11" customFormat="1" x14ac:dyDescent="0.25">
      <c r="A5" s="325">
        <v>180</v>
      </c>
      <c r="B5" s="54" t="s">
        <v>1488</v>
      </c>
    </row>
    <row r="6" spans="1:2" x14ac:dyDescent="0.25">
      <c r="A6" s="326">
        <v>240</v>
      </c>
      <c r="B6" s="334" t="s">
        <v>1493</v>
      </c>
    </row>
    <row r="7" spans="1:2" x14ac:dyDescent="0.25">
      <c r="A7" s="326">
        <v>300</v>
      </c>
      <c r="B7" s="54" t="s">
        <v>1494</v>
      </c>
    </row>
    <row r="8" spans="1:2" x14ac:dyDescent="0.25">
      <c r="A8" s="326">
        <v>360</v>
      </c>
      <c r="B8" s="54" t="s">
        <v>1489</v>
      </c>
    </row>
    <row r="9" spans="1:2" x14ac:dyDescent="0.25">
      <c r="A9" s="326">
        <v>420</v>
      </c>
      <c r="B9" s="334" t="s">
        <v>1571</v>
      </c>
    </row>
    <row r="10" spans="1:2" x14ac:dyDescent="0.25">
      <c r="A10" s="326">
        <v>480</v>
      </c>
      <c r="B10" s="54" t="s">
        <v>1495</v>
      </c>
    </row>
    <row r="11" spans="1:2" x14ac:dyDescent="0.25">
      <c r="A11" s="326">
        <v>540</v>
      </c>
      <c r="B11" s="54" t="s">
        <v>1490</v>
      </c>
    </row>
    <row r="12" spans="1:2" x14ac:dyDescent="0.25">
      <c r="A12" s="326">
        <v>600</v>
      </c>
      <c r="B12" s="334" t="s">
        <v>1572</v>
      </c>
    </row>
    <row r="13" spans="1:2" x14ac:dyDescent="0.25">
      <c r="A13" s="325">
        <v>660</v>
      </c>
      <c r="B13" s="2" t="s">
        <v>1496</v>
      </c>
    </row>
    <row r="14" spans="1:2" x14ac:dyDescent="0.25">
      <c r="A14" s="325">
        <v>720</v>
      </c>
      <c r="B14" s="54" t="s">
        <v>1491</v>
      </c>
    </row>
    <row r="15" spans="1:2" x14ac:dyDescent="0.25">
      <c r="A15" s="325">
        <v>780</v>
      </c>
      <c r="B15" s="334" t="s">
        <v>1573</v>
      </c>
    </row>
    <row r="16" spans="1:2" x14ac:dyDescent="0.25">
      <c r="A16" s="325">
        <v>840</v>
      </c>
      <c r="B16" s="4" t="s">
        <v>1497</v>
      </c>
    </row>
    <row r="17" spans="1:3" x14ac:dyDescent="0.25">
      <c r="A17" s="43">
        <v>900</v>
      </c>
      <c r="B17" s="39"/>
    </row>
    <row r="18" spans="1:3" x14ac:dyDescent="0.25">
      <c r="A18" s="43">
        <v>1100</v>
      </c>
      <c r="B18" s="39"/>
    </row>
    <row r="19" spans="1:3" x14ac:dyDescent="0.25">
      <c r="C19" s="335"/>
    </row>
  </sheetData>
  <conditionalFormatting sqref="B13">
    <cfRule type="duplicateValues" dxfId="1" priority="1" stopIfTrue="1"/>
  </conditionalFormatting>
  <conditionalFormatting sqref="B13">
    <cfRule type="duplicateValues" dxfId="0" priority="2" stopIfTrue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6"/>
  <sheetViews>
    <sheetView topLeftCell="B1" workbookViewId="0">
      <selection activeCell="B13" sqref="B13"/>
    </sheetView>
  </sheetViews>
  <sheetFormatPr defaultRowHeight="15" x14ac:dyDescent="0.25"/>
  <cols>
    <col min="1" max="1" width="42.140625" bestFit="1" customWidth="1"/>
    <col min="2" max="2" width="180.140625" bestFit="1" customWidth="1"/>
    <col min="3" max="3" width="91.28515625" bestFit="1" customWidth="1"/>
  </cols>
  <sheetData>
    <row r="1" spans="1:3" x14ac:dyDescent="0.25">
      <c r="A1" s="350" t="s">
        <v>1619</v>
      </c>
      <c r="B1" s="351" t="s">
        <v>1620</v>
      </c>
      <c r="C1" s="187" t="s">
        <v>1509</v>
      </c>
    </row>
    <row r="2" spans="1:3" x14ac:dyDescent="0.25">
      <c r="A2" s="54" t="s">
        <v>1621</v>
      </c>
      <c r="B2" s="144">
        <v>6</v>
      </c>
      <c r="C2" s="4" t="s">
        <v>1622</v>
      </c>
    </row>
    <row r="3" spans="1:3" x14ac:dyDescent="0.25">
      <c r="A3" s="54" t="s">
        <v>1623</v>
      </c>
      <c r="B3" s="144" t="s">
        <v>1624</v>
      </c>
      <c r="C3" s="4"/>
    </row>
    <row r="4" spans="1:3" x14ac:dyDescent="0.25">
      <c r="A4" s="54" t="s">
        <v>1625</v>
      </c>
      <c r="B4" s="144">
        <v>25</v>
      </c>
      <c r="C4" s="4" t="s">
        <v>1626</v>
      </c>
    </row>
    <row r="5" spans="1:3" x14ac:dyDescent="0.25">
      <c r="A5" s="54" t="s">
        <v>1627</v>
      </c>
      <c r="B5" s="352">
        <v>500</v>
      </c>
      <c r="C5" s="4" t="s">
        <v>1654</v>
      </c>
    </row>
    <row r="6" spans="1:3" x14ac:dyDescent="0.25">
      <c r="A6" s="54" t="s">
        <v>1628</v>
      </c>
      <c r="B6" s="386" t="str">
        <f>OfferInfo!A60</f>
        <v>OFFER_SPECIAL_1:15:OFFER_SPECIAL_2:15:OFFER_SPECIAL_6:15:OFFER_SPECIAL_7:15:OFFER_SPECIAL_8:15:OFFER_SPECIAL_9:15:OFFER_SPECIAL_10:10</v>
      </c>
      <c r="C6" s="4" t="s">
        <v>1656</v>
      </c>
    </row>
    <row r="7" spans="1:3" x14ac:dyDescent="0.25">
      <c r="A7" s="54" t="s">
        <v>1629</v>
      </c>
      <c r="B7" s="386" t="str">
        <f>OfferInfo!A68</f>
        <v>OFFER_SPECIAL_3:25:OFFER_SPECIAL_4:5:OFFER_SPECIAL_11:25:OFFER_SPECIAL_12:25:OFFER_SPECIAL_13:15:OFFER_SPECIAL_15:5</v>
      </c>
      <c r="C7" s="4" t="s">
        <v>1817</v>
      </c>
    </row>
    <row r="8" spans="1:3" x14ac:dyDescent="0.25">
      <c r="A8" s="54" t="s">
        <v>1630</v>
      </c>
      <c r="B8" s="386" t="str">
        <f>OfferInfo!A79</f>
        <v>OFFER_SPECIAL_3:10:OFFER_SPECIAL_4:5:OFFER_SPECIAL_5:5:OFFER_SPECIAL_11:10:OFFER_SPECIAL_12:10:OFFER_SPECIAL_13:20:OFFER_SPECIAL_14:20:OFFER_SPECIAL_15:10:OFFER_SPECIAL_16:10</v>
      </c>
      <c r="C8" s="4" t="s">
        <v>1818</v>
      </c>
    </row>
    <row r="9" spans="1:3" x14ac:dyDescent="0.25">
      <c r="A9" s="54" t="s">
        <v>1631</v>
      </c>
      <c r="B9" s="144">
        <v>30</v>
      </c>
      <c r="C9" s="4" t="s">
        <v>1632</v>
      </c>
    </row>
    <row r="10" spans="1:3" x14ac:dyDescent="0.25">
      <c r="A10" s="54" t="s">
        <v>1633</v>
      </c>
      <c r="B10" s="39">
        <v>7</v>
      </c>
      <c r="C10" s="39" t="s">
        <v>1634</v>
      </c>
    </row>
    <row r="11" spans="1:3" x14ac:dyDescent="0.25">
      <c r="A11" s="54" t="s">
        <v>1635</v>
      </c>
      <c r="B11" s="39">
        <v>1000</v>
      </c>
      <c r="C11" s="4" t="s">
        <v>1636</v>
      </c>
    </row>
    <row r="12" spans="1:3" x14ac:dyDescent="0.25">
      <c r="A12" s="54" t="s">
        <v>1637</v>
      </c>
      <c r="B12" s="386" t="str">
        <f>OfferInfo!A94</f>
        <v>OFFER_SUPER_1:10:OFFER_SUPER_2:10:OFFER_SUPER_3:5:OFFER_SUPER_8:10:OFFER_SUPER_9:10:OFFER_SUPER_10:10:OFFER_SUPER_11:10:OFFER_SUPER_12:5:OFFER_SUPER_17:15:OFFER_SUPER_18:10:OFFER_SUPER_19:5</v>
      </c>
      <c r="C12" s="4" t="s">
        <v>1819</v>
      </c>
    </row>
    <row r="13" spans="1:3" x14ac:dyDescent="0.25">
      <c r="A13" s="54" t="s">
        <v>1638</v>
      </c>
      <c r="B13" s="386" t="str">
        <f>OfferInfo!A112</f>
        <v>OFFER_SUPER_3:10:OFFER_SUPER_4:5:OFFER_SUPER_5:5:OFFER_SUPER_6:5:OFFER_SUPER_7:5:OFFER_SUPER_12:10:OFFER_SUPER_13:10:OFFER_SUPER_14:5:OFFER_SUPER_15:5:OFFER_SUPER_16:5:OFFER_SUPER_19:10:OFFER_SUPER_20:10:OFFER_SUPER_21:5:OFFER_SUPER_22:5:OFFER_SUPER_23:5</v>
      </c>
      <c r="C13" s="4" t="s">
        <v>1820</v>
      </c>
    </row>
    <row r="14" spans="1:3" x14ac:dyDescent="0.25">
      <c r="A14" s="54" t="s">
        <v>1639</v>
      </c>
      <c r="B14" s="386" t="str">
        <f>OfferInfo!A130</f>
        <v>OFFER_SUPER_3:2:OFFER_SUPER_4:6:OFFER_SUPER_5:4:OFFER_SUPER_6:6:OFFER_SUPER_7:10:OFFER_SUPER_12:2:OFFER_SUPER_13:10:OFFER_SUPER_14:10:OFFER_SUPER_15:6:OFFER_SUPER_16:6:OFFER_SUPER_19:6:OFFER_SUPER_20:10:OFFER_SUPER_21:6:OFFER_SUPER_22:10:OFFER_SUPER_23:6</v>
      </c>
      <c r="C14" s="4" t="s">
        <v>1818</v>
      </c>
    </row>
    <row r="15" spans="1:3" x14ac:dyDescent="0.25">
      <c r="A15" s="54" t="s">
        <v>1640</v>
      </c>
      <c r="B15" s="4">
        <f>6*60*60</f>
        <v>21600</v>
      </c>
      <c r="C15" s="39" t="s">
        <v>1641</v>
      </c>
    </row>
    <row r="16" spans="1:3" x14ac:dyDescent="0.25">
      <c r="A16" s="54" t="s">
        <v>1642</v>
      </c>
      <c r="B16" s="4">
        <f>8*60*60</f>
        <v>28800</v>
      </c>
      <c r="C16" s="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30"/>
  <sheetViews>
    <sheetView topLeftCell="A100" zoomScaleNormal="100" workbookViewId="0">
      <selection activeCell="D112" sqref="D112"/>
    </sheetView>
  </sheetViews>
  <sheetFormatPr defaultRowHeight="15" x14ac:dyDescent="0.25"/>
  <cols>
    <col min="1" max="1" width="71.140625" customWidth="1"/>
    <col min="2" max="2" width="16.7109375" customWidth="1"/>
    <col min="3" max="3" width="11" bestFit="1" customWidth="1"/>
    <col min="4" max="4" width="13.28515625" bestFit="1" customWidth="1"/>
    <col min="5" max="5" width="147.7109375" bestFit="1" customWidth="1"/>
    <col min="6" max="6" width="12.28515625" bestFit="1" customWidth="1"/>
    <col min="7" max="7" width="16.7109375" bestFit="1" customWidth="1"/>
    <col min="8" max="8" width="17.28515625" bestFit="1" customWidth="1"/>
    <col min="9" max="9" width="19.42578125" bestFit="1" customWidth="1"/>
    <col min="10" max="10" width="14.42578125" customWidth="1"/>
    <col min="11" max="11" width="28.85546875" bestFit="1" customWidth="1"/>
    <col min="12" max="13" width="32.85546875" bestFit="1" customWidth="1"/>
    <col min="252" max="252" width="11.85546875" customWidth="1"/>
    <col min="253" max="253" width="2.85546875" bestFit="1" customWidth="1"/>
    <col min="254" max="254" width="9.140625" bestFit="1" customWidth="1"/>
    <col min="255" max="255" width="4.7109375" bestFit="1" customWidth="1"/>
    <col min="256" max="256" width="19.42578125" customWidth="1"/>
    <col min="257" max="257" width="16.42578125" bestFit="1" customWidth="1"/>
    <col min="258" max="258" width="16.140625" bestFit="1" customWidth="1"/>
    <col min="259" max="260" width="14.5703125" bestFit="1" customWidth="1"/>
    <col min="261" max="261" width="16.42578125" bestFit="1" customWidth="1"/>
    <col min="262" max="262" width="16.140625" customWidth="1"/>
    <col min="263" max="263" width="15.7109375" bestFit="1" customWidth="1"/>
    <col min="508" max="508" width="11.85546875" customWidth="1"/>
    <col min="509" max="509" width="2.85546875" bestFit="1" customWidth="1"/>
    <col min="510" max="510" width="9.140625" bestFit="1" customWidth="1"/>
    <col min="511" max="511" width="4.7109375" bestFit="1" customWidth="1"/>
    <col min="512" max="512" width="19.42578125" customWidth="1"/>
    <col min="513" max="513" width="16.42578125" bestFit="1" customWidth="1"/>
    <col min="514" max="514" width="16.140625" bestFit="1" customWidth="1"/>
    <col min="515" max="516" width="14.5703125" bestFit="1" customWidth="1"/>
    <col min="517" max="517" width="16.42578125" bestFit="1" customWidth="1"/>
    <col min="518" max="518" width="16.140625" customWidth="1"/>
    <col min="519" max="519" width="15.7109375" bestFit="1" customWidth="1"/>
    <col min="764" max="764" width="11.85546875" customWidth="1"/>
    <col min="765" max="765" width="2.85546875" bestFit="1" customWidth="1"/>
    <col min="766" max="766" width="9.140625" bestFit="1" customWidth="1"/>
    <col min="767" max="767" width="4.7109375" bestFit="1" customWidth="1"/>
    <col min="768" max="768" width="19.42578125" customWidth="1"/>
    <col min="769" max="769" width="16.42578125" bestFit="1" customWidth="1"/>
    <col min="770" max="770" width="16.140625" bestFit="1" customWidth="1"/>
    <col min="771" max="772" width="14.5703125" bestFit="1" customWidth="1"/>
    <col min="773" max="773" width="16.42578125" bestFit="1" customWidth="1"/>
    <col min="774" max="774" width="16.140625" customWidth="1"/>
    <col min="775" max="775" width="15.7109375" bestFit="1" customWidth="1"/>
    <col min="1020" max="1020" width="11.85546875" customWidth="1"/>
    <col min="1021" max="1021" width="2.85546875" bestFit="1" customWidth="1"/>
    <col min="1022" max="1022" width="9.140625" bestFit="1" customWidth="1"/>
    <col min="1023" max="1023" width="4.7109375" bestFit="1" customWidth="1"/>
    <col min="1024" max="1024" width="19.42578125" customWidth="1"/>
    <col min="1025" max="1025" width="16.42578125" bestFit="1" customWidth="1"/>
    <col min="1026" max="1026" width="16.140625" bestFit="1" customWidth="1"/>
    <col min="1027" max="1028" width="14.5703125" bestFit="1" customWidth="1"/>
    <col min="1029" max="1029" width="16.42578125" bestFit="1" customWidth="1"/>
    <col min="1030" max="1030" width="16.140625" customWidth="1"/>
    <col min="1031" max="1031" width="15.7109375" bestFit="1" customWidth="1"/>
    <col min="1276" max="1276" width="11.85546875" customWidth="1"/>
    <col min="1277" max="1277" width="2.85546875" bestFit="1" customWidth="1"/>
    <col min="1278" max="1278" width="9.140625" bestFit="1" customWidth="1"/>
    <col min="1279" max="1279" width="4.7109375" bestFit="1" customWidth="1"/>
    <col min="1280" max="1280" width="19.42578125" customWidth="1"/>
    <col min="1281" max="1281" width="16.42578125" bestFit="1" customWidth="1"/>
    <col min="1282" max="1282" width="16.140625" bestFit="1" customWidth="1"/>
    <col min="1283" max="1284" width="14.5703125" bestFit="1" customWidth="1"/>
    <col min="1285" max="1285" width="16.42578125" bestFit="1" customWidth="1"/>
    <col min="1286" max="1286" width="16.140625" customWidth="1"/>
    <col min="1287" max="1287" width="15.7109375" bestFit="1" customWidth="1"/>
    <col min="1532" max="1532" width="11.85546875" customWidth="1"/>
    <col min="1533" max="1533" width="2.85546875" bestFit="1" customWidth="1"/>
    <col min="1534" max="1534" width="9.140625" bestFit="1" customWidth="1"/>
    <col min="1535" max="1535" width="4.7109375" bestFit="1" customWidth="1"/>
    <col min="1536" max="1536" width="19.42578125" customWidth="1"/>
    <col min="1537" max="1537" width="16.42578125" bestFit="1" customWidth="1"/>
    <col min="1538" max="1538" width="16.140625" bestFit="1" customWidth="1"/>
    <col min="1539" max="1540" width="14.5703125" bestFit="1" customWidth="1"/>
    <col min="1541" max="1541" width="16.42578125" bestFit="1" customWidth="1"/>
    <col min="1542" max="1542" width="16.140625" customWidth="1"/>
    <col min="1543" max="1543" width="15.7109375" bestFit="1" customWidth="1"/>
    <col min="1788" max="1788" width="11.85546875" customWidth="1"/>
    <col min="1789" max="1789" width="2.85546875" bestFit="1" customWidth="1"/>
    <col min="1790" max="1790" width="9.140625" bestFit="1" customWidth="1"/>
    <col min="1791" max="1791" width="4.7109375" bestFit="1" customWidth="1"/>
    <col min="1792" max="1792" width="19.42578125" customWidth="1"/>
    <col min="1793" max="1793" width="16.42578125" bestFit="1" customWidth="1"/>
    <col min="1794" max="1794" width="16.140625" bestFit="1" customWidth="1"/>
    <col min="1795" max="1796" width="14.5703125" bestFit="1" customWidth="1"/>
    <col min="1797" max="1797" width="16.42578125" bestFit="1" customWidth="1"/>
    <col min="1798" max="1798" width="16.140625" customWidth="1"/>
    <col min="1799" max="1799" width="15.7109375" bestFit="1" customWidth="1"/>
    <col min="2044" max="2044" width="11.85546875" customWidth="1"/>
    <col min="2045" max="2045" width="2.85546875" bestFit="1" customWidth="1"/>
    <col min="2046" max="2046" width="9.140625" bestFit="1" customWidth="1"/>
    <col min="2047" max="2047" width="4.7109375" bestFit="1" customWidth="1"/>
    <col min="2048" max="2048" width="19.42578125" customWidth="1"/>
    <col min="2049" max="2049" width="16.42578125" bestFit="1" customWidth="1"/>
    <col min="2050" max="2050" width="16.140625" bestFit="1" customWidth="1"/>
    <col min="2051" max="2052" width="14.5703125" bestFit="1" customWidth="1"/>
    <col min="2053" max="2053" width="16.42578125" bestFit="1" customWidth="1"/>
    <col min="2054" max="2054" width="16.140625" customWidth="1"/>
    <col min="2055" max="2055" width="15.7109375" bestFit="1" customWidth="1"/>
    <col min="2300" max="2300" width="11.85546875" customWidth="1"/>
    <col min="2301" max="2301" width="2.85546875" bestFit="1" customWidth="1"/>
    <col min="2302" max="2302" width="9.140625" bestFit="1" customWidth="1"/>
    <col min="2303" max="2303" width="4.7109375" bestFit="1" customWidth="1"/>
    <col min="2304" max="2304" width="19.42578125" customWidth="1"/>
    <col min="2305" max="2305" width="16.42578125" bestFit="1" customWidth="1"/>
    <col min="2306" max="2306" width="16.140625" bestFit="1" customWidth="1"/>
    <col min="2307" max="2308" width="14.5703125" bestFit="1" customWidth="1"/>
    <col min="2309" max="2309" width="16.42578125" bestFit="1" customWidth="1"/>
    <col min="2310" max="2310" width="16.140625" customWidth="1"/>
    <col min="2311" max="2311" width="15.7109375" bestFit="1" customWidth="1"/>
    <col min="2556" max="2556" width="11.85546875" customWidth="1"/>
    <col min="2557" max="2557" width="2.85546875" bestFit="1" customWidth="1"/>
    <col min="2558" max="2558" width="9.140625" bestFit="1" customWidth="1"/>
    <col min="2559" max="2559" width="4.7109375" bestFit="1" customWidth="1"/>
    <col min="2560" max="2560" width="19.42578125" customWidth="1"/>
    <col min="2561" max="2561" width="16.42578125" bestFit="1" customWidth="1"/>
    <col min="2562" max="2562" width="16.140625" bestFit="1" customWidth="1"/>
    <col min="2563" max="2564" width="14.5703125" bestFit="1" customWidth="1"/>
    <col min="2565" max="2565" width="16.42578125" bestFit="1" customWidth="1"/>
    <col min="2566" max="2566" width="16.140625" customWidth="1"/>
    <col min="2567" max="2567" width="15.7109375" bestFit="1" customWidth="1"/>
    <col min="2812" max="2812" width="11.85546875" customWidth="1"/>
    <col min="2813" max="2813" width="2.85546875" bestFit="1" customWidth="1"/>
    <col min="2814" max="2814" width="9.140625" bestFit="1" customWidth="1"/>
    <col min="2815" max="2815" width="4.7109375" bestFit="1" customWidth="1"/>
    <col min="2816" max="2816" width="19.42578125" customWidth="1"/>
    <col min="2817" max="2817" width="16.42578125" bestFit="1" customWidth="1"/>
    <col min="2818" max="2818" width="16.140625" bestFit="1" customWidth="1"/>
    <col min="2819" max="2820" width="14.5703125" bestFit="1" customWidth="1"/>
    <col min="2821" max="2821" width="16.42578125" bestFit="1" customWidth="1"/>
    <col min="2822" max="2822" width="16.140625" customWidth="1"/>
    <col min="2823" max="2823" width="15.7109375" bestFit="1" customWidth="1"/>
    <col min="3068" max="3068" width="11.85546875" customWidth="1"/>
    <col min="3069" max="3069" width="2.85546875" bestFit="1" customWidth="1"/>
    <col min="3070" max="3070" width="9.140625" bestFit="1" customWidth="1"/>
    <col min="3071" max="3071" width="4.7109375" bestFit="1" customWidth="1"/>
    <col min="3072" max="3072" width="19.42578125" customWidth="1"/>
    <col min="3073" max="3073" width="16.42578125" bestFit="1" customWidth="1"/>
    <col min="3074" max="3074" width="16.140625" bestFit="1" customWidth="1"/>
    <col min="3075" max="3076" width="14.5703125" bestFit="1" customWidth="1"/>
    <col min="3077" max="3077" width="16.42578125" bestFit="1" customWidth="1"/>
    <col min="3078" max="3078" width="16.140625" customWidth="1"/>
    <col min="3079" max="3079" width="15.7109375" bestFit="1" customWidth="1"/>
    <col min="3324" max="3324" width="11.85546875" customWidth="1"/>
    <col min="3325" max="3325" width="2.85546875" bestFit="1" customWidth="1"/>
    <col min="3326" max="3326" width="9.140625" bestFit="1" customWidth="1"/>
    <col min="3327" max="3327" width="4.7109375" bestFit="1" customWidth="1"/>
    <col min="3328" max="3328" width="19.42578125" customWidth="1"/>
    <col min="3329" max="3329" width="16.42578125" bestFit="1" customWidth="1"/>
    <col min="3330" max="3330" width="16.140625" bestFit="1" customWidth="1"/>
    <col min="3331" max="3332" width="14.5703125" bestFit="1" customWidth="1"/>
    <col min="3333" max="3333" width="16.42578125" bestFit="1" customWidth="1"/>
    <col min="3334" max="3334" width="16.140625" customWidth="1"/>
    <col min="3335" max="3335" width="15.7109375" bestFit="1" customWidth="1"/>
    <col min="3580" max="3580" width="11.85546875" customWidth="1"/>
    <col min="3581" max="3581" width="2.85546875" bestFit="1" customWidth="1"/>
    <col min="3582" max="3582" width="9.140625" bestFit="1" customWidth="1"/>
    <col min="3583" max="3583" width="4.7109375" bestFit="1" customWidth="1"/>
    <col min="3584" max="3584" width="19.42578125" customWidth="1"/>
    <col min="3585" max="3585" width="16.42578125" bestFit="1" customWidth="1"/>
    <col min="3586" max="3586" width="16.140625" bestFit="1" customWidth="1"/>
    <col min="3587" max="3588" width="14.5703125" bestFit="1" customWidth="1"/>
    <col min="3589" max="3589" width="16.42578125" bestFit="1" customWidth="1"/>
    <col min="3590" max="3590" width="16.140625" customWidth="1"/>
    <col min="3591" max="3591" width="15.7109375" bestFit="1" customWidth="1"/>
    <col min="3836" max="3836" width="11.85546875" customWidth="1"/>
    <col min="3837" max="3837" width="2.85546875" bestFit="1" customWidth="1"/>
    <col min="3838" max="3838" width="9.140625" bestFit="1" customWidth="1"/>
    <col min="3839" max="3839" width="4.7109375" bestFit="1" customWidth="1"/>
    <col min="3840" max="3840" width="19.42578125" customWidth="1"/>
    <col min="3841" max="3841" width="16.42578125" bestFit="1" customWidth="1"/>
    <col min="3842" max="3842" width="16.140625" bestFit="1" customWidth="1"/>
    <col min="3843" max="3844" width="14.5703125" bestFit="1" customWidth="1"/>
    <col min="3845" max="3845" width="16.42578125" bestFit="1" customWidth="1"/>
    <col min="3846" max="3846" width="16.140625" customWidth="1"/>
    <col min="3847" max="3847" width="15.7109375" bestFit="1" customWidth="1"/>
    <col min="4092" max="4092" width="11.85546875" customWidth="1"/>
    <col min="4093" max="4093" width="2.85546875" bestFit="1" customWidth="1"/>
    <col min="4094" max="4094" width="9.140625" bestFit="1" customWidth="1"/>
    <col min="4095" max="4095" width="4.7109375" bestFit="1" customWidth="1"/>
    <col min="4096" max="4096" width="19.42578125" customWidth="1"/>
    <col min="4097" max="4097" width="16.42578125" bestFit="1" customWidth="1"/>
    <col min="4098" max="4098" width="16.140625" bestFit="1" customWidth="1"/>
    <col min="4099" max="4100" width="14.5703125" bestFit="1" customWidth="1"/>
    <col min="4101" max="4101" width="16.42578125" bestFit="1" customWidth="1"/>
    <col min="4102" max="4102" width="16.140625" customWidth="1"/>
    <col min="4103" max="4103" width="15.7109375" bestFit="1" customWidth="1"/>
    <col min="4348" max="4348" width="11.85546875" customWidth="1"/>
    <col min="4349" max="4349" width="2.85546875" bestFit="1" customWidth="1"/>
    <col min="4350" max="4350" width="9.140625" bestFit="1" customWidth="1"/>
    <col min="4351" max="4351" width="4.7109375" bestFit="1" customWidth="1"/>
    <col min="4352" max="4352" width="19.42578125" customWidth="1"/>
    <col min="4353" max="4353" width="16.42578125" bestFit="1" customWidth="1"/>
    <col min="4354" max="4354" width="16.140625" bestFit="1" customWidth="1"/>
    <col min="4355" max="4356" width="14.5703125" bestFit="1" customWidth="1"/>
    <col min="4357" max="4357" width="16.42578125" bestFit="1" customWidth="1"/>
    <col min="4358" max="4358" width="16.140625" customWidth="1"/>
    <col min="4359" max="4359" width="15.7109375" bestFit="1" customWidth="1"/>
    <col min="4604" max="4604" width="11.85546875" customWidth="1"/>
    <col min="4605" max="4605" width="2.85546875" bestFit="1" customWidth="1"/>
    <col min="4606" max="4606" width="9.140625" bestFit="1" customWidth="1"/>
    <col min="4607" max="4607" width="4.7109375" bestFit="1" customWidth="1"/>
    <col min="4608" max="4608" width="19.42578125" customWidth="1"/>
    <col min="4609" max="4609" width="16.42578125" bestFit="1" customWidth="1"/>
    <col min="4610" max="4610" width="16.140625" bestFit="1" customWidth="1"/>
    <col min="4611" max="4612" width="14.5703125" bestFit="1" customWidth="1"/>
    <col min="4613" max="4613" width="16.42578125" bestFit="1" customWidth="1"/>
    <col min="4614" max="4614" width="16.140625" customWidth="1"/>
    <col min="4615" max="4615" width="15.7109375" bestFit="1" customWidth="1"/>
    <col min="4860" max="4860" width="11.85546875" customWidth="1"/>
    <col min="4861" max="4861" width="2.85546875" bestFit="1" customWidth="1"/>
    <col min="4862" max="4862" width="9.140625" bestFit="1" customWidth="1"/>
    <col min="4863" max="4863" width="4.7109375" bestFit="1" customWidth="1"/>
    <col min="4864" max="4864" width="19.42578125" customWidth="1"/>
    <col min="4865" max="4865" width="16.42578125" bestFit="1" customWidth="1"/>
    <col min="4866" max="4866" width="16.140625" bestFit="1" customWidth="1"/>
    <col min="4867" max="4868" width="14.5703125" bestFit="1" customWidth="1"/>
    <col min="4869" max="4869" width="16.42578125" bestFit="1" customWidth="1"/>
    <col min="4870" max="4870" width="16.140625" customWidth="1"/>
    <col min="4871" max="4871" width="15.7109375" bestFit="1" customWidth="1"/>
    <col min="5116" max="5116" width="11.85546875" customWidth="1"/>
    <col min="5117" max="5117" width="2.85546875" bestFit="1" customWidth="1"/>
    <col min="5118" max="5118" width="9.140625" bestFit="1" customWidth="1"/>
    <col min="5119" max="5119" width="4.7109375" bestFit="1" customWidth="1"/>
    <col min="5120" max="5120" width="19.42578125" customWidth="1"/>
    <col min="5121" max="5121" width="16.42578125" bestFit="1" customWidth="1"/>
    <col min="5122" max="5122" width="16.140625" bestFit="1" customWidth="1"/>
    <col min="5123" max="5124" width="14.5703125" bestFit="1" customWidth="1"/>
    <col min="5125" max="5125" width="16.42578125" bestFit="1" customWidth="1"/>
    <col min="5126" max="5126" width="16.140625" customWidth="1"/>
    <col min="5127" max="5127" width="15.7109375" bestFit="1" customWidth="1"/>
    <col min="5372" max="5372" width="11.85546875" customWidth="1"/>
    <col min="5373" max="5373" width="2.85546875" bestFit="1" customWidth="1"/>
    <col min="5374" max="5374" width="9.140625" bestFit="1" customWidth="1"/>
    <col min="5375" max="5375" width="4.7109375" bestFit="1" customWidth="1"/>
    <col min="5376" max="5376" width="19.42578125" customWidth="1"/>
    <col min="5377" max="5377" width="16.42578125" bestFit="1" customWidth="1"/>
    <col min="5378" max="5378" width="16.140625" bestFit="1" customWidth="1"/>
    <col min="5379" max="5380" width="14.5703125" bestFit="1" customWidth="1"/>
    <col min="5381" max="5381" width="16.42578125" bestFit="1" customWidth="1"/>
    <col min="5382" max="5382" width="16.140625" customWidth="1"/>
    <col min="5383" max="5383" width="15.7109375" bestFit="1" customWidth="1"/>
    <col min="5628" max="5628" width="11.85546875" customWidth="1"/>
    <col min="5629" max="5629" width="2.85546875" bestFit="1" customWidth="1"/>
    <col min="5630" max="5630" width="9.140625" bestFit="1" customWidth="1"/>
    <col min="5631" max="5631" width="4.7109375" bestFit="1" customWidth="1"/>
    <col min="5632" max="5632" width="19.42578125" customWidth="1"/>
    <col min="5633" max="5633" width="16.42578125" bestFit="1" customWidth="1"/>
    <col min="5634" max="5634" width="16.140625" bestFit="1" customWidth="1"/>
    <col min="5635" max="5636" width="14.5703125" bestFit="1" customWidth="1"/>
    <col min="5637" max="5637" width="16.42578125" bestFit="1" customWidth="1"/>
    <col min="5638" max="5638" width="16.140625" customWidth="1"/>
    <col min="5639" max="5639" width="15.7109375" bestFit="1" customWidth="1"/>
    <col min="5884" max="5884" width="11.85546875" customWidth="1"/>
    <col min="5885" max="5885" width="2.85546875" bestFit="1" customWidth="1"/>
    <col min="5886" max="5886" width="9.140625" bestFit="1" customWidth="1"/>
    <col min="5887" max="5887" width="4.7109375" bestFit="1" customWidth="1"/>
    <col min="5888" max="5888" width="19.42578125" customWidth="1"/>
    <col min="5889" max="5889" width="16.42578125" bestFit="1" customWidth="1"/>
    <col min="5890" max="5890" width="16.140625" bestFit="1" customWidth="1"/>
    <col min="5891" max="5892" width="14.5703125" bestFit="1" customWidth="1"/>
    <col min="5893" max="5893" width="16.42578125" bestFit="1" customWidth="1"/>
    <col min="5894" max="5894" width="16.140625" customWidth="1"/>
    <col min="5895" max="5895" width="15.7109375" bestFit="1" customWidth="1"/>
    <col min="6140" max="6140" width="11.85546875" customWidth="1"/>
    <col min="6141" max="6141" width="2.85546875" bestFit="1" customWidth="1"/>
    <col min="6142" max="6142" width="9.140625" bestFit="1" customWidth="1"/>
    <col min="6143" max="6143" width="4.7109375" bestFit="1" customWidth="1"/>
    <col min="6144" max="6144" width="19.42578125" customWidth="1"/>
    <col min="6145" max="6145" width="16.42578125" bestFit="1" customWidth="1"/>
    <col min="6146" max="6146" width="16.140625" bestFit="1" customWidth="1"/>
    <col min="6147" max="6148" width="14.5703125" bestFit="1" customWidth="1"/>
    <col min="6149" max="6149" width="16.42578125" bestFit="1" customWidth="1"/>
    <col min="6150" max="6150" width="16.140625" customWidth="1"/>
    <col min="6151" max="6151" width="15.7109375" bestFit="1" customWidth="1"/>
    <col min="6396" max="6396" width="11.85546875" customWidth="1"/>
    <col min="6397" max="6397" width="2.85546875" bestFit="1" customWidth="1"/>
    <col min="6398" max="6398" width="9.140625" bestFit="1" customWidth="1"/>
    <col min="6399" max="6399" width="4.7109375" bestFit="1" customWidth="1"/>
    <col min="6400" max="6400" width="19.42578125" customWidth="1"/>
    <col min="6401" max="6401" width="16.42578125" bestFit="1" customWidth="1"/>
    <col min="6402" max="6402" width="16.140625" bestFit="1" customWidth="1"/>
    <col min="6403" max="6404" width="14.5703125" bestFit="1" customWidth="1"/>
    <col min="6405" max="6405" width="16.42578125" bestFit="1" customWidth="1"/>
    <col min="6406" max="6406" width="16.140625" customWidth="1"/>
    <col min="6407" max="6407" width="15.7109375" bestFit="1" customWidth="1"/>
    <col min="6652" max="6652" width="11.85546875" customWidth="1"/>
    <col min="6653" max="6653" width="2.85546875" bestFit="1" customWidth="1"/>
    <col min="6654" max="6654" width="9.140625" bestFit="1" customWidth="1"/>
    <col min="6655" max="6655" width="4.7109375" bestFit="1" customWidth="1"/>
    <col min="6656" max="6656" width="19.42578125" customWidth="1"/>
    <col min="6657" max="6657" width="16.42578125" bestFit="1" customWidth="1"/>
    <col min="6658" max="6658" width="16.140625" bestFit="1" customWidth="1"/>
    <col min="6659" max="6660" width="14.5703125" bestFit="1" customWidth="1"/>
    <col min="6661" max="6661" width="16.42578125" bestFit="1" customWidth="1"/>
    <col min="6662" max="6662" width="16.140625" customWidth="1"/>
    <col min="6663" max="6663" width="15.7109375" bestFit="1" customWidth="1"/>
    <col min="6908" max="6908" width="11.85546875" customWidth="1"/>
    <col min="6909" max="6909" width="2.85546875" bestFit="1" customWidth="1"/>
    <col min="6910" max="6910" width="9.140625" bestFit="1" customWidth="1"/>
    <col min="6911" max="6911" width="4.7109375" bestFit="1" customWidth="1"/>
    <col min="6912" max="6912" width="19.42578125" customWidth="1"/>
    <col min="6913" max="6913" width="16.42578125" bestFit="1" customWidth="1"/>
    <col min="6914" max="6914" width="16.140625" bestFit="1" customWidth="1"/>
    <col min="6915" max="6916" width="14.5703125" bestFit="1" customWidth="1"/>
    <col min="6917" max="6917" width="16.42578125" bestFit="1" customWidth="1"/>
    <col min="6918" max="6918" width="16.140625" customWidth="1"/>
    <col min="6919" max="6919" width="15.7109375" bestFit="1" customWidth="1"/>
    <col min="7164" max="7164" width="11.85546875" customWidth="1"/>
    <col min="7165" max="7165" width="2.85546875" bestFit="1" customWidth="1"/>
    <col min="7166" max="7166" width="9.140625" bestFit="1" customWidth="1"/>
    <col min="7167" max="7167" width="4.7109375" bestFit="1" customWidth="1"/>
    <col min="7168" max="7168" width="19.42578125" customWidth="1"/>
    <col min="7169" max="7169" width="16.42578125" bestFit="1" customWidth="1"/>
    <col min="7170" max="7170" width="16.140625" bestFit="1" customWidth="1"/>
    <col min="7171" max="7172" width="14.5703125" bestFit="1" customWidth="1"/>
    <col min="7173" max="7173" width="16.42578125" bestFit="1" customWidth="1"/>
    <col min="7174" max="7174" width="16.140625" customWidth="1"/>
    <col min="7175" max="7175" width="15.7109375" bestFit="1" customWidth="1"/>
    <col min="7420" max="7420" width="11.85546875" customWidth="1"/>
    <col min="7421" max="7421" width="2.85546875" bestFit="1" customWidth="1"/>
    <col min="7422" max="7422" width="9.140625" bestFit="1" customWidth="1"/>
    <col min="7423" max="7423" width="4.7109375" bestFit="1" customWidth="1"/>
    <col min="7424" max="7424" width="19.42578125" customWidth="1"/>
    <col min="7425" max="7425" width="16.42578125" bestFit="1" customWidth="1"/>
    <col min="7426" max="7426" width="16.140625" bestFit="1" customWidth="1"/>
    <col min="7427" max="7428" width="14.5703125" bestFit="1" customWidth="1"/>
    <col min="7429" max="7429" width="16.42578125" bestFit="1" customWidth="1"/>
    <col min="7430" max="7430" width="16.140625" customWidth="1"/>
    <col min="7431" max="7431" width="15.7109375" bestFit="1" customWidth="1"/>
    <col min="7676" max="7676" width="11.85546875" customWidth="1"/>
    <col min="7677" max="7677" width="2.85546875" bestFit="1" customWidth="1"/>
    <col min="7678" max="7678" width="9.140625" bestFit="1" customWidth="1"/>
    <col min="7679" max="7679" width="4.7109375" bestFit="1" customWidth="1"/>
    <col min="7680" max="7680" width="19.42578125" customWidth="1"/>
    <col min="7681" max="7681" width="16.42578125" bestFit="1" customWidth="1"/>
    <col min="7682" max="7682" width="16.140625" bestFit="1" customWidth="1"/>
    <col min="7683" max="7684" width="14.5703125" bestFit="1" customWidth="1"/>
    <col min="7685" max="7685" width="16.42578125" bestFit="1" customWidth="1"/>
    <col min="7686" max="7686" width="16.140625" customWidth="1"/>
    <col min="7687" max="7687" width="15.7109375" bestFit="1" customWidth="1"/>
    <col min="7932" max="7932" width="11.85546875" customWidth="1"/>
    <col min="7933" max="7933" width="2.85546875" bestFit="1" customWidth="1"/>
    <col min="7934" max="7934" width="9.140625" bestFit="1" customWidth="1"/>
    <col min="7935" max="7935" width="4.7109375" bestFit="1" customWidth="1"/>
    <col min="7936" max="7936" width="19.42578125" customWidth="1"/>
    <col min="7937" max="7937" width="16.42578125" bestFit="1" customWidth="1"/>
    <col min="7938" max="7938" width="16.140625" bestFit="1" customWidth="1"/>
    <col min="7939" max="7940" width="14.5703125" bestFit="1" customWidth="1"/>
    <col min="7941" max="7941" width="16.42578125" bestFit="1" customWidth="1"/>
    <col min="7942" max="7942" width="16.140625" customWidth="1"/>
    <col min="7943" max="7943" width="15.7109375" bestFit="1" customWidth="1"/>
    <col min="8188" max="8188" width="11.85546875" customWidth="1"/>
    <col min="8189" max="8189" width="2.85546875" bestFit="1" customWidth="1"/>
    <col min="8190" max="8190" width="9.140625" bestFit="1" customWidth="1"/>
    <col min="8191" max="8191" width="4.7109375" bestFit="1" customWidth="1"/>
    <col min="8192" max="8192" width="19.42578125" customWidth="1"/>
    <col min="8193" max="8193" width="16.42578125" bestFit="1" customWidth="1"/>
    <col min="8194" max="8194" width="16.140625" bestFit="1" customWidth="1"/>
    <col min="8195" max="8196" width="14.5703125" bestFit="1" customWidth="1"/>
    <col min="8197" max="8197" width="16.42578125" bestFit="1" customWidth="1"/>
    <col min="8198" max="8198" width="16.140625" customWidth="1"/>
    <col min="8199" max="8199" width="15.7109375" bestFit="1" customWidth="1"/>
    <col min="8444" max="8444" width="11.85546875" customWidth="1"/>
    <col min="8445" max="8445" width="2.85546875" bestFit="1" customWidth="1"/>
    <col min="8446" max="8446" width="9.140625" bestFit="1" customWidth="1"/>
    <col min="8447" max="8447" width="4.7109375" bestFit="1" customWidth="1"/>
    <col min="8448" max="8448" width="19.42578125" customWidth="1"/>
    <col min="8449" max="8449" width="16.42578125" bestFit="1" customWidth="1"/>
    <col min="8450" max="8450" width="16.140625" bestFit="1" customWidth="1"/>
    <col min="8451" max="8452" width="14.5703125" bestFit="1" customWidth="1"/>
    <col min="8453" max="8453" width="16.42578125" bestFit="1" customWidth="1"/>
    <col min="8454" max="8454" width="16.140625" customWidth="1"/>
    <col min="8455" max="8455" width="15.7109375" bestFit="1" customWidth="1"/>
    <col min="8700" max="8700" width="11.85546875" customWidth="1"/>
    <col min="8701" max="8701" width="2.85546875" bestFit="1" customWidth="1"/>
    <col min="8702" max="8702" width="9.140625" bestFit="1" customWidth="1"/>
    <col min="8703" max="8703" width="4.7109375" bestFit="1" customWidth="1"/>
    <col min="8704" max="8704" width="19.42578125" customWidth="1"/>
    <col min="8705" max="8705" width="16.42578125" bestFit="1" customWidth="1"/>
    <col min="8706" max="8706" width="16.140625" bestFit="1" customWidth="1"/>
    <col min="8707" max="8708" width="14.5703125" bestFit="1" customWidth="1"/>
    <col min="8709" max="8709" width="16.42578125" bestFit="1" customWidth="1"/>
    <col min="8710" max="8710" width="16.140625" customWidth="1"/>
    <col min="8711" max="8711" width="15.7109375" bestFit="1" customWidth="1"/>
    <col min="8956" max="8956" width="11.85546875" customWidth="1"/>
    <col min="8957" max="8957" width="2.85546875" bestFit="1" customWidth="1"/>
    <col min="8958" max="8958" width="9.140625" bestFit="1" customWidth="1"/>
    <col min="8959" max="8959" width="4.7109375" bestFit="1" customWidth="1"/>
    <col min="8960" max="8960" width="19.42578125" customWidth="1"/>
    <col min="8961" max="8961" width="16.42578125" bestFit="1" customWidth="1"/>
    <col min="8962" max="8962" width="16.140625" bestFit="1" customWidth="1"/>
    <col min="8963" max="8964" width="14.5703125" bestFit="1" customWidth="1"/>
    <col min="8965" max="8965" width="16.42578125" bestFit="1" customWidth="1"/>
    <col min="8966" max="8966" width="16.140625" customWidth="1"/>
    <col min="8967" max="8967" width="15.7109375" bestFit="1" customWidth="1"/>
    <col min="9212" max="9212" width="11.85546875" customWidth="1"/>
    <col min="9213" max="9213" width="2.85546875" bestFit="1" customWidth="1"/>
    <col min="9214" max="9214" width="9.140625" bestFit="1" customWidth="1"/>
    <col min="9215" max="9215" width="4.7109375" bestFit="1" customWidth="1"/>
    <col min="9216" max="9216" width="19.42578125" customWidth="1"/>
    <col min="9217" max="9217" width="16.42578125" bestFit="1" customWidth="1"/>
    <col min="9218" max="9218" width="16.140625" bestFit="1" customWidth="1"/>
    <col min="9219" max="9220" width="14.5703125" bestFit="1" customWidth="1"/>
    <col min="9221" max="9221" width="16.42578125" bestFit="1" customWidth="1"/>
    <col min="9222" max="9222" width="16.140625" customWidth="1"/>
    <col min="9223" max="9223" width="15.7109375" bestFit="1" customWidth="1"/>
    <col min="9468" max="9468" width="11.85546875" customWidth="1"/>
    <col min="9469" max="9469" width="2.85546875" bestFit="1" customWidth="1"/>
    <col min="9470" max="9470" width="9.140625" bestFit="1" customWidth="1"/>
    <col min="9471" max="9471" width="4.7109375" bestFit="1" customWidth="1"/>
    <col min="9472" max="9472" width="19.42578125" customWidth="1"/>
    <col min="9473" max="9473" width="16.42578125" bestFit="1" customWidth="1"/>
    <col min="9474" max="9474" width="16.140625" bestFit="1" customWidth="1"/>
    <col min="9475" max="9476" width="14.5703125" bestFit="1" customWidth="1"/>
    <col min="9477" max="9477" width="16.42578125" bestFit="1" customWidth="1"/>
    <col min="9478" max="9478" width="16.140625" customWidth="1"/>
    <col min="9479" max="9479" width="15.7109375" bestFit="1" customWidth="1"/>
    <col min="9724" max="9724" width="11.85546875" customWidth="1"/>
    <col min="9725" max="9725" width="2.85546875" bestFit="1" customWidth="1"/>
    <col min="9726" max="9726" width="9.140625" bestFit="1" customWidth="1"/>
    <col min="9727" max="9727" width="4.7109375" bestFit="1" customWidth="1"/>
    <col min="9728" max="9728" width="19.42578125" customWidth="1"/>
    <col min="9729" max="9729" width="16.42578125" bestFit="1" customWidth="1"/>
    <col min="9730" max="9730" width="16.140625" bestFit="1" customWidth="1"/>
    <col min="9731" max="9732" width="14.5703125" bestFit="1" customWidth="1"/>
    <col min="9733" max="9733" width="16.42578125" bestFit="1" customWidth="1"/>
    <col min="9734" max="9734" width="16.140625" customWidth="1"/>
    <col min="9735" max="9735" width="15.7109375" bestFit="1" customWidth="1"/>
    <col min="9980" max="9980" width="11.85546875" customWidth="1"/>
    <col min="9981" max="9981" width="2.85546875" bestFit="1" customWidth="1"/>
    <col min="9982" max="9982" width="9.140625" bestFit="1" customWidth="1"/>
    <col min="9983" max="9983" width="4.7109375" bestFit="1" customWidth="1"/>
    <col min="9984" max="9984" width="19.42578125" customWidth="1"/>
    <col min="9985" max="9985" width="16.42578125" bestFit="1" customWidth="1"/>
    <col min="9986" max="9986" width="16.140625" bestFit="1" customWidth="1"/>
    <col min="9987" max="9988" width="14.5703125" bestFit="1" customWidth="1"/>
    <col min="9989" max="9989" width="16.42578125" bestFit="1" customWidth="1"/>
    <col min="9990" max="9990" width="16.140625" customWidth="1"/>
    <col min="9991" max="9991" width="15.7109375" bestFit="1" customWidth="1"/>
    <col min="10236" max="10236" width="11.85546875" customWidth="1"/>
    <col min="10237" max="10237" width="2.85546875" bestFit="1" customWidth="1"/>
    <col min="10238" max="10238" width="9.140625" bestFit="1" customWidth="1"/>
    <col min="10239" max="10239" width="4.7109375" bestFit="1" customWidth="1"/>
    <col min="10240" max="10240" width="19.42578125" customWidth="1"/>
    <col min="10241" max="10241" width="16.42578125" bestFit="1" customWidth="1"/>
    <col min="10242" max="10242" width="16.140625" bestFit="1" customWidth="1"/>
    <col min="10243" max="10244" width="14.5703125" bestFit="1" customWidth="1"/>
    <col min="10245" max="10245" width="16.42578125" bestFit="1" customWidth="1"/>
    <col min="10246" max="10246" width="16.140625" customWidth="1"/>
    <col min="10247" max="10247" width="15.7109375" bestFit="1" customWidth="1"/>
    <col min="10492" max="10492" width="11.85546875" customWidth="1"/>
    <col min="10493" max="10493" width="2.85546875" bestFit="1" customWidth="1"/>
    <col min="10494" max="10494" width="9.140625" bestFit="1" customWidth="1"/>
    <col min="10495" max="10495" width="4.7109375" bestFit="1" customWidth="1"/>
    <col min="10496" max="10496" width="19.42578125" customWidth="1"/>
    <col min="10497" max="10497" width="16.42578125" bestFit="1" customWidth="1"/>
    <col min="10498" max="10498" width="16.140625" bestFit="1" customWidth="1"/>
    <col min="10499" max="10500" width="14.5703125" bestFit="1" customWidth="1"/>
    <col min="10501" max="10501" width="16.42578125" bestFit="1" customWidth="1"/>
    <col min="10502" max="10502" width="16.140625" customWidth="1"/>
    <col min="10503" max="10503" width="15.7109375" bestFit="1" customWidth="1"/>
    <col min="10748" max="10748" width="11.85546875" customWidth="1"/>
    <col min="10749" max="10749" width="2.85546875" bestFit="1" customWidth="1"/>
    <col min="10750" max="10750" width="9.140625" bestFit="1" customWidth="1"/>
    <col min="10751" max="10751" width="4.7109375" bestFit="1" customWidth="1"/>
    <col min="10752" max="10752" width="19.42578125" customWidth="1"/>
    <col min="10753" max="10753" width="16.42578125" bestFit="1" customWidth="1"/>
    <col min="10754" max="10754" width="16.140625" bestFit="1" customWidth="1"/>
    <col min="10755" max="10756" width="14.5703125" bestFit="1" customWidth="1"/>
    <col min="10757" max="10757" width="16.42578125" bestFit="1" customWidth="1"/>
    <col min="10758" max="10758" width="16.140625" customWidth="1"/>
    <col min="10759" max="10759" width="15.7109375" bestFit="1" customWidth="1"/>
    <col min="11004" max="11004" width="11.85546875" customWidth="1"/>
    <col min="11005" max="11005" width="2.85546875" bestFit="1" customWidth="1"/>
    <col min="11006" max="11006" width="9.140625" bestFit="1" customWidth="1"/>
    <col min="11007" max="11007" width="4.7109375" bestFit="1" customWidth="1"/>
    <col min="11008" max="11008" width="19.42578125" customWidth="1"/>
    <col min="11009" max="11009" width="16.42578125" bestFit="1" customWidth="1"/>
    <col min="11010" max="11010" width="16.140625" bestFit="1" customWidth="1"/>
    <col min="11011" max="11012" width="14.5703125" bestFit="1" customWidth="1"/>
    <col min="11013" max="11013" width="16.42578125" bestFit="1" customWidth="1"/>
    <col min="11014" max="11014" width="16.140625" customWidth="1"/>
    <col min="11015" max="11015" width="15.7109375" bestFit="1" customWidth="1"/>
    <col min="11260" max="11260" width="11.85546875" customWidth="1"/>
    <col min="11261" max="11261" width="2.85546875" bestFit="1" customWidth="1"/>
    <col min="11262" max="11262" width="9.140625" bestFit="1" customWidth="1"/>
    <col min="11263" max="11263" width="4.7109375" bestFit="1" customWidth="1"/>
    <col min="11264" max="11264" width="19.42578125" customWidth="1"/>
    <col min="11265" max="11265" width="16.42578125" bestFit="1" customWidth="1"/>
    <col min="11266" max="11266" width="16.140625" bestFit="1" customWidth="1"/>
    <col min="11267" max="11268" width="14.5703125" bestFit="1" customWidth="1"/>
    <col min="11269" max="11269" width="16.42578125" bestFit="1" customWidth="1"/>
    <col min="11270" max="11270" width="16.140625" customWidth="1"/>
    <col min="11271" max="11271" width="15.7109375" bestFit="1" customWidth="1"/>
    <col min="11516" max="11516" width="11.85546875" customWidth="1"/>
    <col min="11517" max="11517" width="2.85546875" bestFit="1" customWidth="1"/>
    <col min="11518" max="11518" width="9.140625" bestFit="1" customWidth="1"/>
    <col min="11519" max="11519" width="4.7109375" bestFit="1" customWidth="1"/>
    <col min="11520" max="11520" width="19.42578125" customWidth="1"/>
    <col min="11521" max="11521" width="16.42578125" bestFit="1" customWidth="1"/>
    <col min="11522" max="11522" width="16.140625" bestFit="1" customWidth="1"/>
    <col min="11523" max="11524" width="14.5703125" bestFit="1" customWidth="1"/>
    <col min="11525" max="11525" width="16.42578125" bestFit="1" customWidth="1"/>
    <col min="11526" max="11526" width="16.140625" customWidth="1"/>
    <col min="11527" max="11527" width="15.7109375" bestFit="1" customWidth="1"/>
    <col min="11772" max="11772" width="11.85546875" customWidth="1"/>
    <col min="11773" max="11773" width="2.85546875" bestFit="1" customWidth="1"/>
    <col min="11774" max="11774" width="9.140625" bestFit="1" customWidth="1"/>
    <col min="11775" max="11775" width="4.7109375" bestFit="1" customWidth="1"/>
    <col min="11776" max="11776" width="19.42578125" customWidth="1"/>
    <col min="11777" max="11777" width="16.42578125" bestFit="1" customWidth="1"/>
    <col min="11778" max="11778" width="16.140625" bestFit="1" customWidth="1"/>
    <col min="11779" max="11780" width="14.5703125" bestFit="1" customWidth="1"/>
    <col min="11781" max="11781" width="16.42578125" bestFit="1" customWidth="1"/>
    <col min="11782" max="11782" width="16.140625" customWidth="1"/>
    <col min="11783" max="11783" width="15.7109375" bestFit="1" customWidth="1"/>
    <col min="12028" max="12028" width="11.85546875" customWidth="1"/>
    <col min="12029" max="12029" width="2.85546875" bestFit="1" customWidth="1"/>
    <col min="12030" max="12030" width="9.140625" bestFit="1" customWidth="1"/>
    <col min="12031" max="12031" width="4.7109375" bestFit="1" customWidth="1"/>
    <col min="12032" max="12032" width="19.42578125" customWidth="1"/>
    <col min="12033" max="12033" width="16.42578125" bestFit="1" customWidth="1"/>
    <col min="12034" max="12034" width="16.140625" bestFit="1" customWidth="1"/>
    <col min="12035" max="12036" width="14.5703125" bestFit="1" customWidth="1"/>
    <col min="12037" max="12037" width="16.42578125" bestFit="1" customWidth="1"/>
    <col min="12038" max="12038" width="16.140625" customWidth="1"/>
    <col min="12039" max="12039" width="15.7109375" bestFit="1" customWidth="1"/>
    <col min="12284" max="12284" width="11.85546875" customWidth="1"/>
    <col min="12285" max="12285" width="2.85546875" bestFit="1" customWidth="1"/>
    <col min="12286" max="12286" width="9.140625" bestFit="1" customWidth="1"/>
    <col min="12287" max="12287" width="4.7109375" bestFit="1" customWidth="1"/>
    <col min="12288" max="12288" width="19.42578125" customWidth="1"/>
    <col min="12289" max="12289" width="16.42578125" bestFit="1" customWidth="1"/>
    <col min="12290" max="12290" width="16.140625" bestFit="1" customWidth="1"/>
    <col min="12291" max="12292" width="14.5703125" bestFit="1" customWidth="1"/>
    <col min="12293" max="12293" width="16.42578125" bestFit="1" customWidth="1"/>
    <col min="12294" max="12294" width="16.140625" customWidth="1"/>
    <col min="12295" max="12295" width="15.7109375" bestFit="1" customWidth="1"/>
    <col min="12540" max="12540" width="11.85546875" customWidth="1"/>
    <col min="12541" max="12541" width="2.85546875" bestFit="1" customWidth="1"/>
    <col min="12542" max="12542" width="9.140625" bestFit="1" customWidth="1"/>
    <col min="12543" max="12543" width="4.7109375" bestFit="1" customWidth="1"/>
    <col min="12544" max="12544" width="19.42578125" customWidth="1"/>
    <col min="12545" max="12545" width="16.42578125" bestFit="1" customWidth="1"/>
    <col min="12546" max="12546" width="16.140625" bestFit="1" customWidth="1"/>
    <col min="12547" max="12548" width="14.5703125" bestFit="1" customWidth="1"/>
    <col min="12549" max="12549" width="16.42578125" bestFit="1" customWidth="1"/>
    <col min="12550" max="12550" width="16.140625" customWidth="1"/>
    <col min="12551" max="12551" width="15.7109375" bestFit="1" customWidth="1"/>
    <col min="12796" max="12796" width="11.85546875" customWidth="1"/>
    <col min="12797" max="12797" width="2.85546875" bestFit="1" customWidth="1"/>
    <col min="12798" max="12798" width="9.140625" bestFit="1" customWidth="1"/>
    <col min="12799" max="12799" width="4.7109375" bestFit="1" customWidth="1"/>
    <col min="12800" max="12800" width="19.42578125" customWidth="1"/>
    <col min="12801" max="12801" width="16.42578125" bestFit="1" customWidth="1"/>
    <col min="12802" max="12802" width="16.140625" bestFit="1" customWidth="1"/>
    <col min="12803" max="12804" width="14.5703125" bestFit="1" customWidth="1"/>
    <col min="12805" max="12805" width="16.42578125" bestFit="1" customWidth="1"/>
    <col min="12806" max="12806" width="16.140625" customWidth="1"/>
    <col min="12807" max="12807" width="15.7109375" bestFit="1" customWidth="1"/>
    <col min="13052" max="13052" width="11.85546875" customWidth="1"/>
    <col min="13053" max="13053" width="2.85546875" bestFit="1" customWidth="1"/>
    <col min="13054" max="13054" width="9.140625" bestFit="1" customWidth="1"/>
    <col min="13055" max="13055" width="4.7109375" bestFit="1" customWidth="1"/>
    <col min="13056" max="13056" width="19.42578125" customWidth="1"/>
    <col min="13057" max="13057" width="16.42578125" bestFit="1" customWidth="1"/>
    <col min="13058" max="13058" width="16.140625" bestFit="1" customWidth="1"/>
    <col min="13059" max="13060" width="14.5703125" bestFit="1" customWidth="1"/>
    <col min="13061" max="13061" width="16.42578125" bestFit="1" customWidth="1"/>
    <col min="13062" max="13062" width="16.140625" customWidth="1"/>
    <col min="13063" max="13063" width="15.7109375" bestFit="1" customWidth="1"/>
    <col min="13308" max="13308" width="11.85546875" customWidth="1"/>
    <col min="13309" max="13309" width="2.85546875" bestFit="1" customWidth="1"/>
    <col min="13310" max="13310" width="9.140625" bestFit="1" customWidth="1"/>
    <col min="13311" max="13311" width="4.7109375" bestFit="1" customWidth="1"/>
    <col min="13312" max="13312" width="19.42578125" customWidth="1"/>
    <col min="13313" max="13313" width="16.42578125" bestFit="1" customWidth="1"/>
    <col min="13314" max="13314" width="16.140625" bestFit="1" customWidth="1"/>
    <col min="13315" max="13316" width="14.5703125" bestFit="1" customWidth="1"/>
    <col min="13317" max="13317" width="16.42578125" bestFit="1" customWidth="1"/>
    <col min="13318" max="13318" width="16.140625" customWidth="1"/>
    <col min="13319" max="13319" width="15.7109375" bestFit="1" customWidth="1"/>
    <col min="13564" max="13564" width="11.85546875" customWidth="1"/>
    <col min="13565" max="13565" width="2.85546875" bestFit="1" customWidth="1"/>
    <col min="13566" max="13566" width="9.140625" bestFit="1" customWidth="1"/>
    <col min="13567" max="13567" width="4.7109375" bestFit="1" customWidth="1"/>
    <col min="13568" max="13568" width="19.42578125" customWidth="1"/>
    <col min="13569" max="13569" width="16.42578125" bestFit="1" customWidth="1"/>
    <col min="13570" max="13570" width="16.140625" bestFit="1" customWidth="1"/>
    <col min="13571" max="13572" width="14.5703125" bestFit="1" customWidth="1"/>
    <col min="13573" max="13573" width="16.42578125" bestFit="1" customWidth="1"/>
    <col min="13574" max="13574" width="16.140625" customWidth="1"/>
    <col min="13575" max="13575" width="15.7109375" bestFit="1" customWidth="1"/>
    <col min="13820" max="13820" width="11.85546875" customWidth="1"/>
    <col min="13821" max="13821" width="2.85546875" bestFit="1" customWidth="1"/>
    <col min="13822" max="13822" width="9.140625" bestFit="1" customWidth="1"/>
    <col min="13823" max="13823" width="4.7109375" bestFit="1" customWidth="1"/>
    <col min="13824" max="13824" width="19.42578125" customWidth="1"/>
    <col min="13825" max="13825" width="16.42578125" bestFit="1" customWidth="1"/>
    <col min="13826" max="13826" width="16.140625" bestFit="1" customWidth="1"/>
    <col min="13827" max="13828" width="14.5703125" bestFit="1" customWidth="1"/>
    <col min="13829" max="13829" width="16.42578125" bestFit="1" customWidth="1"/>
    <col min="13830" max="13830" width="16.140625" customWidth="1"/>
    <col min="13831" max="13831" width="15.7109375" bestFit="1" customWidth="1"/>
    <col min="14076" max="14076" width="11.85546875" customWidth="1"/>
    <col min="14077" max="14077" width="2.85546875" bestFit="1" customWidth="1"/>
    <col min="14078" max="14078" width="9.140625" bestFit="1" customWidth="1"/>
    <col min="14079" max="14079" width="4.7109375" bestFit="1" customWidth="1"/>
    <col min="14080" max="14080" width="19.42578125" customWidth="1"/>
    <col min="14081" max="14081" width="16.42578125" bestFit="1" customWidth="1"/>
    <col min="14082" max="14082" width="16.140625" bestFit="1" customWidth="1"/>
    <col min="14083" max="14084" width="14.5703125" bestFit="1" customWidth="1"/>
    <col min="14085" max="14085" width="16.42578125" bestFit="1" customWidth="1"/>
    <col min="14086" max="14086" width="16.140625" customWidth="1"/>
    <col min="14087" max="14087" width="15.7109375" bestFit="1" customWidth="1"/>
    <col min="14332" max="14332" width="11.85546875" customWidth="1"/>
    <col min="14333" max="14333" width="2.85546875" bestFit="1" customWidth="1"/>
    <col min="14334" max="14334" width="9.140625" bestFit="1" customWidth="1"/>
    <col min="14335" max="14335" width="4.7109375" bestFit="1" customWidth="1"/>
    <col min="14336" max="14336" width="19.42578125" customWidth="1"/>
    <col min="14337" max="14337" width="16.42578125" bestFit="1" customWidth="1"/>
    <col min="14338" max="14338" width="16.140625" bestFit="1" customWidth="1"/>
    <col min="14339" max="14340" width="14.5703125" bestFit="1" customWidth="1"/>
    <col min="14341" max="14341" width="16.42578125" bestFit="1" customWidth="1"/>
    <col min="14342" max="14342" width="16.140625" customWidth="1"/>
    <col min="14343" max="14343" width="15.7109375" bestFit="1" customWidth="1"/>
    <col min="14588" max="14588" width="11.85546875" customWidth="1"/>
    <col min="14589" max="14589" width="2.85546875" bestFit="1" customWidth="1"/>
    <col min="14590" max="14590" width="9.140625" bestFit="1" customWidth="1"/>
    <col min="14591" max="14591" width="4.7109375" bestFit="1" customWidth="1"/>
    <col min="14592" max="14592" width="19.42578125" customWidth="1"/>
    <col min="14593" max="14593" width="16.42578125" bestFit="1" customWidth="1"/>
    <col min="14594" max="14594" width="16.140625" bestFit="1" customWidth="1"/>
    <col min="14595" max="14596" width="14.5703125" bestFit="1" customWidth="1"/>
    <col min="14597" max="14597" width="16.42578125" bestFit="1" customWidth="1"/>
    <col min="14598" max="14598" width="16.140625" customWidth="1"/>
    <col min="14599" max="14599" width="15.7109375" bestFit="1" customWidth="1"/>
    <col min="14844" max="14844" width="11.85546875" customWidth="1"/>
    <col min="14845" max="14845" width="2.85546875" bestFit="1" customWidth="1"/>
    <col min="14846" max="14846" width="9.140625" bestFit="1" customWidth="1"/>
    <col min="14847" max="14847" width="4.7109375" bestFit="1" customWidth="1"/>
    <col min="14848" max="14848" width="19.42578125" customWidth="1"/>
    <col min="14849" max="14849" width="16.42578125" bestFit="1" customWidth="1"/>
    <col min="14850" max="14850" width="16.140625" bestFit="1" customWidth="1"/>
    <col min="14851" max="14852" width="14.5703125" bestFit="1" customWidth="1"/>
    <col min="14853" max="14853" width="16.42578125" bestFit="1" customWidth="1"/>
    <col min="14854" max="14854" width="16.140625" customWidth="1"/>
    <col min="14855" max="14855" width="15.7109375" bestFit="1" customWidth="1"/>
    <col min="15100" max="15100" width="11.85546875" customWidth="1"/>
    <col min="15101" max="15101" width="2.85546875" bestFit="1" customWidth="1"/>
    <col min="15102" max="15102" width="9.140625" bestFit="1" customWidth="1"/>
    <col min="15103" max="15103" width="4.7109375" bestFit="1" customWidth="1"/>
    <col min="15104" max="15104" width="19.42578125" customWidth="1"/>
    <col min="15105" max="15105" width="16.42578125" bestFit="1" customWidth="1"/>
    <col min="15106" max="15106" width="16.140625" bestFit="1" customWidth="1"/>
    <col min="15107" max="15108" width="14.5703125" bestFit="1" customWidth="1"/>
    <col min="15109" max="15109" width="16.42578125" bestFit="1" customWidth="1"/>
    <col min="15110" max="15110" width="16.140625" customWidth="1"/>
    <col min="15111" max="15111" width="15.7109375" bestFit="1" customWidth="1"/>
    <col min="15356" max="15356" width="11.85546875" customWidth="1"/>
    <col min="15357" max="15357" width="2.85546875" bestFit="1" customWidth="1"/>
    <col min="15358" max="15358" width="9.140625" bestFit="1" customWidth="1"/>
    <col min="15359" max="15359" width="4.7109375" bestFit="1" customWidth="1"/>
    <col min="15360" max="15360" width="19.42578125" customWidth="1"/>
    <col min="15361" max="15361" width="16.42578125" bestFit="1" customWidth="1"/>
    <col min="15362" max="15362" width="16.140625" bestFit="1" customWidth="1"/>
    <col min="15363" max="15364" width="14.5703125" bestFit="1" customWidth="1"/>
    <col min="15365" max="15365" width="16.42578125" bestFit="1" customWidth="1"/>
    <col min="15366" max="15366" width="16.140625" customWidth="1"/>
    <col min="15367" max="15367" width="15.7109375" bestFit="1" customWidth="1"/>
    <col min="15612" max="15612" width="11.85546875" customWidth="1"/>
    <col min="15613" max="15613" width="2.85546875" bestFit="1" customWidth="1"/>
    <col min="15614" max="15614" width="9.140625" bestFit="1" customWidth="1"/>
    <col min="15615" max="15615" width="4.7109375" bestFit="1" customWidth="1"/>
    <col min="15616" max="15616" width="19.42578125" customWidth="1"/>
    <col min="15617" max="15617" width="16.42578125" bestFit="1" customWidth="1"/>
    <col min="15618" max="15618" width="16.140625" bestFit="1" customWidth="1"/>
    <col min="15619" max="15620" width="14.5703125" bestFit="1" customWidth="1"/>
    <col min="15621" max="15621" width="16.42578125" bestFit="1" customWidth="1"/>
    <col min="15622" max="15622" width="16.140625" customWidth="1"/>
    <col min="15623" max="15623" width="15.7109375" bestFit="1" customWidth="1"/>
    <col min="15868" max="15868" width="11.85546875" customWidth="1"/>
    <col min="15869" max="15869" width="2.85546875" bestFit="1" customWidth="1"/>
    <col min="15870" max="15870" width="9.140625" bestFit="1" customWidth="1"/>
    <col min="15871" max="15871" width="4.7109375" bestFit="1" customWidth="1"/>
    <col min="15872" max="15872" width="19.42578125" customWidth="1"/>
    <col min="15873" max="15873" width="16.42578125" bestFit="1" customWidth="1"/>
    <col min="15874" max="15874" width="16.140625" bestFit="1" customWidth="1"/>
    <col min="15875" max="15876" width="14.5703125" bestFit="1" customWidth="1"/>
    <col min="15877" max="15877" width="16.42578125" bestFit="1" customWidth="1"/>
    <col min="15878" max="15878" width="16.140625" customWidth="1"/>
    <col min="15879" max="15879" width="15.7109375" bestFit="1" customWidth="1"/>
    <col min="16124" max="16124" width="11.85546875" customWidth="1"/>
    <col min="16125" max="16125" width="2.85546875" bestFit="1" customWidth="1"/>
    <col min="16126" max="16126" width="9.140625" bestFit="1" customWidth="1"/>
    <col min="16127" max="16127" width="4.7109375" bestFit="1" customWidth="1"/>
    <col min="16128" max="16128" width="19.42578125" customWidth="1"/>
    <col min="16129" max="16129" width="16.42578125" bestFit="1" customWidth="1"/>
    <col min="16130" max="16130" width="16.140625" bestFit="1" customWidth="1"/>
    <col min="16131" max="16132" width="14.5703125" bestFit="1" customWidth="1"/>
    <col min="16133" max="16133" width="16.42578125" bestFit="1" customWidth="1"/>
    <col min="16134" max="16134" width="16.140625" customWidth="1"/>
    <col min="16135" max="16135" width="15.7109375" bestFit="1" customWidth="1"/>
  </cols>
  <sheetData>
    <row r="1" spans="1:13" s="181" customFormat="1" x14ac:dyDescent="0.25">
      <c r="A1" s="343" t="s">
        <v>88</v>
      </c>
      <c r="B1" s="343" t="s">
        <v>2478</v>
      </c>
      <c r="C1" s="141" t="s">
        <v>1580</v>
      </c>
      <c r="D1" s="141" t="s">
        <v>1581</v>
      </c>
      <c r="E1" s="141" t="s">
        <v>1582</v>
      </c>
      <c r="F1" s="141" t="s">
        <v>1583</v>
      </c>
      <c r="G1" s="344" t="s">
        <v>1584</v>
      </c>
      <c r="H1" s="344" t="s">
        <v>1585</v>
      </c>
      <c r="I1" s="345" t="s">
        <v>1586</v>
      </c>
      <c r="J1" s="346" t="s">
        <v>1124</v>
      </c>
      <c r="K1" s="346" t="s">
        <v>1587</v>
      </c>
      <c r="L1" s="346" t="s">
        <v>1588</v>
      </c>
      <c r="M1" s="346" t="s">
        <v>1507</v>
      </c>
    </row>
    <row r="2" spans="1:13" x14ac:dyDescent="0.25">
      <c r="A2" s="54" t="s">
        <v>1589</v>
      </c>
      <c r="B2" s="54" t="b">
        <v>1</v>
      </c>
      <c r="C2" s="476">
        <v>10000</v>
      </c>
      <c r="D2" s="476">
        <v>10000</v>
      </c>
      <c r="E2" s="54" t="s">
        <v>2439</v>
      </c>
      <c r="F2" s="347"/>
      <c r="G2" s="321">
        <f>2*60*60</f>
        <v>7200</v>
      </c>
      <c r="H2" s="321">
        <f>3*60*60</f>
        <v>10800</v>
      </c>
      <c r="I2" s="321" t="s">
        <v>1590</v>
      </c>
      <c r="J2" s="321">
        <f>8*60*60</f>
        <v>28800</v>
      </c>
      <c r="K2" s="321" t="s">
        <v>1591</v>
      </c>
      <c r="L2" s="321" t="s">
        <v>1591</v>
      </c>
      <c r="M2" s="321" t="s">
        <v>1592</v>
      </c>
    </row>
    <row r="3" spans="1:13" x14ac:dyDescent="0.25">
      <c r="A3" s="54" t="s">
        <v>1591</v>
      </c>
      <c r="B3" s="54" t="b">
        <v>1</v>
      </c>
      <c r="C3" s="476">
        <v>10000</v>
      </c>
      <c r="D3" s="476">
        <v>10000</v>
      </c>
      <c r="E3" s="54" t="s">
        <v>2440</v>
      </c>
      <c r="F3" s="347"/>
      <c r="G3" s="321">
        <f>2*60*60</f>
        <v>7200</v>
      </c>
      <c r="H3" s="321">
        <f t="shared" ref="H3:H10" si="0">3*60*60</f>
        <v>10800</v>
      </c>
      <c r="I3" s="321" t="s">
        <v>1590</v>
      </c>
      <c r="J3" s="321">
        <f t="shared" ref="J3:J10" si="1">8*60*60</f>
        <v>28800</v>
      </c>
      <c r="K3" s="321" t="s">
        <v>1590</v>
      </c>
      <c r="L3" s="321" t="s">
        <v>1590</v>
      </c>
      <c r="M3" s="321" t="s">
        <v>1592</v>
      </c>
    </row>
    <row r="4" spans="1:13" x14ac:dyDescent="0.25">
      <c r="A4" s="54" t="s">
        <v>1590</v>
      </c>
      <c r="B4" s="54" t="b">
        <v>1</v>
      </c>
      <c r="C4" s="476">
        <v>20000</v>
      </c>
      <c r="D4" s="476">
        <v>20000</v>
      </c>
      <c r="E4" s="4" t="s">
        <v>1822</v>
      </c>
      <c r="F4" s="347"/>
      <c r="G4" s="321">
        <f t="shared" ref="G4:G9" si="2">2*60*60</f>
        <v>7200</v>
      </c>
      <c r="H4" s="321">
        <f t="shared" si="0"/>
        <v>10800</v>
      </c>
      <c r="I4" s="321" t="s">
        <v>1593</v>
      </c>
      <c r="J4" s="321">
        <f t="shared" si="1"/>
        <v>28800</v>
      </c>
      <c r="K4" s="321" t="s">
        <v>1594</v>
      </c>
      <c r="L4" s="321" t="s">
        <v>1594</v>
      </c>
      <c r="M4" s="321" t="s">
        <v>1592</v>
      </c>
    </row>
    <row r="5" spans="1:13" x14ac:dyDescent="0.25">
      <c r="A5" s="54" t="s">
        <v>1594</v>
      </c>
      <c r="B5" s="54" t="b">
        <v>1</v>
      </c>
      <c r="C5" s="476">
        <v>20000</v>
      </c>
      <c r="D5" s="476">
        <v>20000</v>
      </c>
      <c r="E5" s="4" t="s">
        <v>2441</v>
      </c>
      <c r="F5" s="347"/>
      <c r="G5" s="321">
        <f t="shared" si="2"/>
        <v>7200</v>
      </c>
      <c r="H5" s="321">
        <f t="shared" si="0"/>
        <v>10800</v>
      </c>
      <c r="I5" s="321" t="s">
        <v>1593</v>
      </c>
      <c r="J5" s="321">
        <f t="shared" si="1"/>
        <v>28800</v>
      </c>
      <c r="K5" s="321" t="s">
        <v>1593</v>
      </c>
      <c r="L5" s="348" t="s">
        <v>1589</v>
      </c>
      <c r="M5" s="321" t="s">
        <v>1592</v>
      </c>
    </row>
    <row r="6" spans="1:13" x14ac:dyDescent="0.25">
      <c r="A6" s="54" t="s">
        <v>1593</v>
      </c>
      <c r="B6" s="54" t="b">
        <v>1</v>
      </c>
      <c r="C6" s="389">
        <v>50000</v>
      </c>
      <c r="D6" s="389">
        <v>50000</v>
      </c>
      <c r="E6" s="4" t="s">
        <v>2442</v>
      </c>
      <c r="F6" s="347"/>
      <c r="G6" s="321">
        <f t="shared" si="2"/>
        <v>7200</v>
      </c>
      <c r="H6" s="321">
        <f t="shared" si="0"/>
        <v>10800</v>
      </c>
      <c r="I6" s="321" t="s">
        <v>1595</v>
      </c>
      <c r="J6" s="321">
        <f t="shared" si="1"/>
        <v>28800</v>
      </c>
      <c r="K6" s="321" t="s">
        <v>1596</v>
      </c>
      <c r="L6" s="321" t="s">
        <v>1596</v>
      </c>
      <c r="M6" s="321" t="s">
        <v>1592</v>
      </c>
    </row>
    <row r="7" spans="1:13" x14ac:dyDescent="0.25">
      <c r="A7" s="54" t="s">
        <v>1596</v>
      </c>
      <c r="B7" s="54" t="b">
        <v>1</v>
      </c>
      <c r="C7" s="389">
        <v>50000</v>
      </c>
      <c r="D7" s="389">
        <v>50000</v>
      </c>
      <c r="E7" s="4" t="s">
        <v>2443</v>
      </c>
      <c r="F7" s="347"/>
      <c r="G7" s="321">
        <f t="shared" si="2"/>
        <v>7200</v>
      </c>
      <c r="H7" s="321">
        <f t="shared" si="0"/>
        <v>10800</v>
      </c>
      <c r="I7" s="321" t="s">
        <v>1595</v>
      </c>
      <c r="J7" s="321">
        <f t="shared" si="1"/>
        <v>28800</v>
      </c>
      <c r="K7" s="321" t="s">
        <v>1595</v>
      </c>
      <c r="L7" s="321" t="s">
        <v>1595</v>
      </c>
      <c r="M7" s="321" t="s">
        <v>1592</v>
      </c>
    </row>
    <row r="8" spans="1:13" x14ac:dyDescent="0.25">
      <c r="A8" s="54" t="s">
        <v>1595</v>
      </c>
      <c r="B8" s="54" t="b">
        <v>1</v>
      </c>
      <c r="C8" s="389">
        <v>100000</v>
      </c>
      <c r="D8" s="389">
        <v>100000</v>
      </c>
      <c r="E8" s="4" t="s">
        <v>2444</v>
      </c>
      <c r="F8" s="347"/>
      <c r="G8" s="321">
        <f t="shared" si="2"/>
        <v>7200</v>
      </c>
      <c r="H8" s="321">
        <f t="shared" si="0"/>
        <v>10800</v>
      </c>
      <c r="I8" s="321" t="s">
        <v>1597</v>
      </c>
      <c r="J8" s="321">
        <f t="shared" si="1"/>
        <v>28800</v>
      </c>
      <c r="K8" s="321" t="s">
        <v>1598</v>
      </c>
      <c r="L8" s="321" t="s">
        <v>1598</v>
      </c>
      <c r="M8" s="321" t="s">
        <v>1592</v>
      </c>
    </row>
    <row r="9" spans="1:13" x14ac:dyDescent="0.25">
      <c r="A9" s="54" t="s">
        <v>1598</v>
      </c>
      <c r="B9" s="54" t="b">
        <v>1</v>
      </c>
      <c r="C9" s="389">
        <v>100000</v>
      </c>
      <c r="D9" s="389">
        <v>100000</v>
      </c>
      <c r="E9" s="4" t="s">
        <v>2445</v>
      </c>
      <c r="F9" s="347"/>
      <c r="G9" s="321">
        <f t="shared" si="2"/>
        <v>7200</v>
      </c>
      <c r="H9" s="321">
        <f t="shared" si="0"/>
        <v>10800</v>
      </c>
      <c r="I9" s="321" t="s">
        <v>1597</v>
      </c>
      <c r="J9" s="321">
        <f t="shared" si="1"/>
        <v>28800</v>
      </c>
      <c r="K9" s="321" t="s">
        <v>1597</v>
      </c>
      <c r="L9" s="321" t="s">
        <v>1597</v>
      </c>
      <c r="M9" s="321" t="s">
        <v>1592</v>
      </c>
    </row>
    <row r="10" spans="1:13" x14ac:dyDescent="0.25">
      <c r="A10" s="54" t="s">
        <v>1597</v>
      </c>
      <c r="B10" s="54" t="b">
        <v>1</v>
      </c>
      <c r="C10" s="389">
        <v>200000</v>
      </c>
      <c r="D10" s="389">
        <v>200000</v>
      </c>
      <c r="E10" s="4" t="s">
        <v>2446</v>
      </c>
      <c r="F10" s="347"/>
      <c r="G10" s="347"/>
      <c r="H10" s="321">
        <f t="shared" si="0"/>
        <v>10800</v>
      </c>
      <c r="I10" s="321" t="s">
        <v>1599</v>
      </c>
      <c r="J10" s="321">
        <f t="shared" si="1"/>
        <v>28800</v>
      </c>
      <c r="K10" s="321" t="s">
        <v>1599</v>
      </c>
      <c r="L10" s="321" t="s">
        <v>1599</v>
      </c>
      <c r="M10" s="321" t="s">
        <v>1592</v>
      </c>
    </row>
    <row r="11" spans="1:13" x14ac:dyDescent="0.25">
      <c r="A11" s="349" t="s">
        <v>1600</v>
      </c>
      <c r="B11" s="349" t="b">
        <v>1</v>
      </c>
      <c r="C11" s="242">
        <v>10000</v>
      </c>
      <c r="D11" s="242">
        <v>10000</v>
      </c>
      <c r="E11" s="54" t="s">
        <v>2473</v>
      </c>
      <c r="F11" s="347"/>
      <c r="G11" s="321"/>
      <c r="H11" s="321"/>
      <c r="I11" s="321"/>
      <c r="J11" s="321">
        <f>6*60*60</f>
        <v>21600</v>
      </c>
      <c r="K11" s="321"/>
      <c r="L11" s="321"/>
      <c r="M11" s="321" t="s">
        <v>1592</v>
      </c>
    </row>
    <row r="12" spans="1:13" x14ac:dyDescent="0.25">
      <c r="A12" s="349" t="s">
        <v>1601</v>
      </c>
      <c r="B12" s="349" t="b">
        <v>1</v>
      </c>
      <c r="C12" s="242">
        <v>20000</v>
      </c>
      <c r="D12" s="242">
        <v>20000</v>
      </c>
      <c r="E12" s="54" t="s">
        <v>1602</v>
      </c>
      <c r="F12" s="347"/>
      <c r="G12" s="321"/>
      <c r="H12" s="321"/>
      <c r="I12" s="321"/>
      <c r="J12" s="321">
        <f t="shared" ref="J12:J49" si="3">6*60*60</f>
        <v>21600</v>
      </c>
      <c r="K12" s="321"/>
      <c r="L12" s="321"/>
      <c r="M12" s="321" t="s">
        <v>1592</v>
      </c>
    </row>
    <row r="13" spans="1:13" x14ac:dyDescent="0.25">
      <c r="A13" s="349" t="s">
        <v>1603</v>
      </c>
      <c r="B13" s="349" t="b">
        <v>1</v>
      </c>
      <c r="C13" s="242">
        <v>50000</v>
      </c>
      <c r="D13" s="242">
        <v>50000</v>
      </c>
      <c r="E13" s="54" t="s">
        <v>1604</v>
      </c>
      <c r="F13" s="347"/>
      <c r="G13" s="321"/>
      <c r="H13" s="321"/>
      <c r="I13" s="321"/>
      <c r="J13" s="321">
        <f t="shared" si="3"/>
        <v>21600</v>
      </c>
      <c r="K13" s="321"/>
      <c r="L13" s="321"/>
      <c r="M13" s="321" t="s">
        <v>1592</v>
      </c>
    </row>
    <row r="14" spans="1:13" x14ac:dyDescent="0.25">
      <c r="A14" s="349" t="s">
        <v>1605</v>
      </c>
      <c r="B14" s="349" t="b">
        <v>1</v>
      </c>
      <c r="C14" s="242">
        <v>100000</v>
      </c>
      <c r="D14" s="242">
        <v>100000</v>
      </c>
      <c r="E14" s="4" t="s">
        <v>2471</v>
      </c>
      <c r="F14" s="347">
        <v>3</v>
      </c>
      <c r="G14" s="321">
        <f>900*3</f>
        <v>2700</v>
      </c>
      <c r="H14" s="321"/>
      <c r="I14" s="321"/>
      <c r="J14" s="321">
        <f t="shared" si="3"/>
        <v>21600</v>
      </c>
      <c r="K14" s="321"/>
      <c r="L14" s="321"/>
      <c r="M14" s="321" t="s">
        <v>1592</v>
      </c>
    </row>
    <row r="15" spans="1:13" x14ac:dyDescent="0.25">
      <c r="A15" s="349" t="s">
        <v>1606</v>
      </c>
      <c r="B15" s="349" t="b">
        <v>1</v>
      </c>
      <c r="C15" s="242">
        <v>200000</v>
      </c>
      <c r="D15" s="242">
        <v>200000</v>
      </c>
      <c r="E15" s="4" t="s">
        <v>2472</v>
      </c>
      <c r="F15" s="347">
        <v>7</v>
      </c>
      <c r="G15" s="321">
        <f>700*7</f>
        <v>4900</v>
      </c>
      <c r="H15" s="321"/>
      <c r="I15" s="321"/>
      <c r="J15" s="321">
        <f t="shared" si="3"/>
        <v>21600</v>
      </c>
      <c r="K15" s="321"/>
      <c r="L15" s="321"/>
      <c r="M15" s="321" t="s">
        <v>1592</v>
      </c>
    </row>
    <row r="16" spans="1:13" x14ac:dyDescent="0.25">
      <c r="A16" s="349" t="s">
        <v>1614</v>
      </c>
      <c r="B16" s="349" t="b">
        <v>1</v>
      </c>
      <c r="C16" s="242">
        <v>10000</v>
      </c>
      <c r="D16" s="242">
        <v>10000</v>
      </c>
      <c r="E16" s="54" t="s">
        <v>2474</v>
      </c>
      <c r="F16" s="347"/>
      <c r="G16" s="321"/>
      <c r="H16" s="321"/>
      <c r="I16" s="321"/>
      <c r="J16" s="321">
        <f t="shared" si="3"/>
        <v>21600</v>
      </c>
      <c r="K16" s="321"/>
      <c r="L16" s="321"/>
      <c r="M16" s="321" t="s">
        <v>1592</v>
      </c>
    </row>
    <row r="17" spans="1:13" x14ac:dyDescent="0.25">
      <c r="A17" s="349" t="s">
        <v>1615</v>
      </c>
      <c r="B17" s="349" t="b">
        <v>1</v>
      </c>
      <c r="C17" s="242">
        <v>10000</v>
      </c>
      <c r="D17" s="242">
        <v>10000</v>
      </c>
      <c r="E17" s="54" t="s">
        <v>2475</v>
      </c>
      <c r="F17" s="347"/>
      <c r="G17" s="321"/>
      <c r="H17" s="321"/>
      <c r="I17" s="321"/>
      <c r="J17" s="321">
        <f t="shared" si="3"/>
        <v>21600</v>
      </c>
      <c r="K17" s="321"/>
      <c r="L17" s="321"/>
      <c r="M17" s="321" t="s">
        <v>1592</v>
      </c>
    </row>
    <row r="18" spans="1:13" x14ac:dyDescent="0.25">
      <c r="A18" s="349" t="s">
        <v>1616</v>
      </c>
      <c r="B18" s="349" t="b">
        <v>1</v>
      </c>
      <c r="C18" s="242">
        <v>10000</v>
      </c>
      <c r="D18" s="242">
        <v>10000</v>
      </c>
      <c r="E18" s="54" t="s">
        <v>2476</v>
      </c>
      <c r="F18" s="347"/>
      <c r="G18" s="321"/>
      <c r="H18" s="321"/>
      <c r="I18" s="321"/>
      <c r="J18" s="321">
        <f t="shared" si="3"/>
        <v>21600</v>
      </c>
      <c r="K18" s="321"/>
      <c r="L18" s="321"/>
      <c r="M18" s="321" t="s">
        <v>1592</v>
      </c>
    </row>
    <row r="19" spans="1:13" x14ac:dyDescent="0.25">
      <c r="A19" s="349" t="s">
        <v>1617</v>
      </c>
      <c r="B19" s="349" t="b">
        <v>1</v>
      </c>
      <c r="C19" s="242">
        <v>20000</v>
      </c>
      <c r="D19" s="242">
        <v>20000</v>
      </c>
      <c r="E19" s="54" t="s">
        <v>2458</v>
      </c>
      <c r="F19" s="347"/>
      <c r="G19" s="321"/>
      <c r="H19" s="321"/>
      <c r="I19" s="321"/>
      <c r="J19" s="321">
        <f t="shared" si="3"/>
        <v>21600</v>
      </c>
      <c r="K19" s="321"/>
      <c r="L19" s="321"/>
      <c r="M19" s="321" t="s">
        <v>1592</v>
      </c>
    </row>
    <row r="20" spans="1:13" x14ac:dyDescent="0.25">
      <c r="A20" s="349" t="s">
        <v>1618</v>
      </c>
      <c r="B20" s="349" t="b">
        <v>1</v>
      </c>
      <c r="C20" s="242">
        <v>20000</v>
      </c>
      <c r="D20" s="242">
        <v>20000</v>
      </c>
      <c r="E20" s="54" t="s">
        <v>1655</v>
      </c>
      <c r="F20" s="347"/>
      <c r="G20" s="321"/>
      <c r="H20" s="321"/>
      <c r="I20" s="321"/>
      <c r="J20" s="321">
        <f t="shared" si="3"/>
        <v>21600</v>
      </c>
      <c r="K20" s="321"/>
      <c r="L20" s="321"/>
      <c r="M20" s="321" t="s">
        <v>1592</v>
      </c>
    </row>
    <row r="21" spans="1:13" x14ac:dyDescent="0.25">
      <c r="A21" s="349" t="s">
        <v>1643</v>
      </c>
      <c r="B21" s="349" t="b">
        <v>1</v>
      </c>
      <c r="C21" s="242">
        <v>50000</v>
      </c>
      <c r="D21" s="242">
        <v>50000</v>
      </c>
      <c r="E21" s="54" t="s">
        <v>1832</v>
      </c>
      <c r="F21" s="347"/>
      <c r="G21" s="321"/>
      <c r="H21" s="321"/>
      <c r="I21" s="321"/>
      <c r="J21" s="321">
        <f t="shared" si="3"/>
        <v>21600</v>
      </c>
      <c r="K21" s="321"/>
      <c r="L21" s="321"/>
      <c r="M21" s="321" t="s">
        <v>1592</v>
      </c>
    </row>
    <row r="22" spans="1:13" x14ac:dyDescent="0.25">
      <c r="A22" s="349" t="s">
        <v>1644</v>
      </c>
      <c r="B22" s="349" t="b">
        <v>1</v>
      </c>
      <c r="C22" s="242">
        <v>50000</v>
      </c>
      <c r="D22" s="242">
        <v>50000</v>
      </c>
      <c r="E22" s="54" t="s">
        <v>2398</v>
      </c>
      <c r="F22" s="347"/>
      <c r="G22" s="321"/>
      <c r="H22" s="321"/>
      <c r="I22" s="321"/>
      <c r="J22" s="321">
        <f t="shared" si="3"/>
        <v>21600</v>
      </c>
      <c r="K22" s="321"/>
      <c r="L22" s="321"/>
      <c r="M22" s="321" t="s">
        <v>1592</v>
      </c>
    </row>
    <row r="23" spans="1:13" x14ac:dyDescent="0.25">
      <c r="A23" s="349" t="s">
        <v>1645</v>
      </c>
      <c r="B23" s="349" t="b">
        <v>1</v>
      </c>
      <c r="C23" s="242">
        <v>100000</v>
      </c>
      <c r="D23" s="242">
        <v>100000</v>
      </c>
      <c r="E23" s="4" t="s">
        <v>2460</v>
      </c>
      <c r="F23" s="347"/>
      <c r="G23" s="321"/>
      <c r="H23" s="321"/>
      <c r="I23" s="321"/>
      <c r="J23" s="321">
        <f t="shared" si="3"/>
        <v>21600</v>
      </c>
      <c r="K23" s="321"/>
      <c r="L23" s="321"/>
      <c r="M23" s="321" t="s">
        <v>1592</v>
      </c>
    </row>
    <row r="24" spans="1:13" x14ac:dyDescent="0.25">
      <c r="A24" s="349" t="s">
        <v>1651</v>
      </c>
      <c r="B24" s="349" t="b">
        <v>1</v>
      </c>
      <c r="C24" s="242">
        <v>200000</v>
      </c>
      <c r="D24" s="242">
        <v>200000</v>
      </c>
      <c r="E24" s="4" t="s">
        <v>2464</v>
      </c>
      <c r="F24" s="347"/>
      <c r="G24" s="321"/>
      <c r="H24" s="321"/>
      <c r="I24" s="321"/>
      <c r="J24" s="321">
        <f t="shared" si="3"/>
        <v>21600</v>
      </c>
      <c r="K24" s="321"/>
      <c r="L24" s="321"/>
      <c r="M24" s="321" t="s">
        <v>1592</v>
      </c>
    </row>
    <row r="25" spans="1:13" x14ac:dyDescent="0.25">
      <c r="A25" s="349" t="s">
        <v>1851</v>
      </c>
      <c r="B25" s="349" t="b">
        <v>1</v>
      </c>
      <c r="C25" s="242">
        <v>100000</v>
      </c>
      <c r="D25" s="242">
        <v>100000</v>
      </c>
      <c r="E25" s="4" t="s">
        <v>2470</v>
      </c>
      <c r="F25" s="347">
        <v>2</v>
      </c>
      <c r="G25" s="321">
        <f>1250*2</f>
        <v>2500</v>
      </c>
      <c r="H25" s="321"/>
      <c r="I25" s="321"/>
      <c r="J25" s="321">
        <f t="shared" si="3"/>
        <v>21600</v>
      </c>
      <c r="K25" s="321"/>
      <c r="L25" s="321"/>
      <c r="M25" s="321" t="s">
        <v>1592</v>
      </c>
    </row>
    <row r="26" spans="1:13" x14ac:dyDescent="0.25">
      <c r="A26" s="349" t="s">
        <v>1852</v>
      </c>
      <c r="B26" s="349" t="b">
        <v>1</v>
      </c>
      <c r="C26" s="242">
        <v>200000</v>
      </c>
      <c r="D26" s="242">
        <v>200000</v>
      </c>
      <c r="E26" s="4" t="s">
        <v>2477</v>
      </c>
      <c r="F26" s="347">
        <v>3</v>
      </c>
      <c r="G26" s="321">
        <f>1665*3</f>
        <v>4995</v>
      </c>
      <c r="H26" s="321"/>
      <c r="I26" s="321"/>
      <c r="J26" s="321">
        <f t="shared" si="3"/>
        <v>21600</v>
      </c>
      <c r="K26" s="321"/>
      <c r="L26" s="321"/>
      <c r="M26" s="321" t="s">
        <v>1592</v>
      </c>
    </row>
    <row r="27" spans="1:13" x14ac:dyDescent="0.25">
      <c r="A27" s="356" t="s">
        <v>1607</v>
      </c>
      <c r="B27" s="356" t="b">
        <v>1</v>
      </c>
      <c r="C27" s="242">
        <v>10000</v>
      </c>
      <c r="D27" s="242">
        <v>10000</v>
      </c>
      <c r="E27" s="54" t="s">
        <v>2461</v>
      </c>
      <c r="F27" s="357"/>
      <c r="G27" s="347"/>
      <c r="H27" s="347"/>
      <c r="I27" s="321"/>
      <c r="J27" s="321">
        <f t="shared" si="3"/>
        <v>21600</v>
      </c>
      <c r="K27" s="321"/>
      <c r="L27" s="321"/>
      <c r="M27" s="321" t="s">
        <v>1592</v>
      </c>
    </row>
    <row r="28" spans="1:13" x14ac:dyDescent="0.25">
      <c r="A28" s="356" t="s">
        <v>1608</v>
      </c>
      <c r="B28" s="356" t="b">
        <v>1</v>
      </c>
      <c r="C28" s="242">
        <v>20000</v>
      </c>
      <c r="D28" s="242">
        <v>20000</v>
      </c>
      <c r="E28" s="54" t="s">
        <v>2462</v>
      </c>
      <c r="F28" s="357"/>
      <c r="G28" s="347"/>
      <c r="H28" s="347"/>
      <c r="I28" s="321"/>
      <c r="J28" s="321">
        <f t="shared" si="3"/>
        <v>21600</v>
      </c>
      <c r="K28" s="321"/>
      <c r="L28" s="321"/>
      <c r="M28" s="321" t="s">
        <v>1592</v>
      </c>
    </row>
    <row r="29" spans="1:13" x14ac:dyDescent="0.25">
      <c r="A29" s="356" t="s">
        <v>1609</v>
      </c>
      <c r="B29" s="356" t="b">
        <v>1</v>
      </c>
      <c r="C29" s="242">
        <v>50000</v>
      </c>
      <c r="D29" s="242">
        <v>50000</v>
      </c>
      <c r="E29" s="334" t="s">
        <v>2650</v>
      </c>
      <c r="F29" s="357"/>
      <c r="G29" s="347"/>
      <c r="H29" s="347"/>
      <c r="I29" s="321"/>
      <c r="J29" s="321">
        <f t="shared" si="3"/>
        <v>21600</v>
      </c>
      <c r="K29" s="321"/>
      <c r="L29" s="321"/>
      <c r="M29" s="321" t="s">
        <v>1592</v>
      </c>
    </row>
    <row r="30" spans="1:13" x14ac:dyDescent="0.25">
      <c r="A30" s="356" t="s">
        <v>1610</v>
      </c>
      <c r="B30" s="356" t="b">
        <v>1</v>
      </c>
      <c r="C30" s="242">
        <v>100000</v>
      </c>
      <c r="D30" s="242">
        <v>100000</v>
      </c>
      <c r="E30" s="4" t="s">
        <v>2471</v>
      </c>
      <c r="F30" s="357">
        <v>3</v>
      </c>
      <c r="G30" s="347"/>
      <c r="H30" s="347"/>
      <c r="I30" s="321"/>
      <c r="J30" s="321">
        <f t="shared" si="3"/>
        <v>21600</v>
      </c>
      <c r="K30" s="321"/>
      <c r="L30" s="321"/>
      <c r="M30" s="321" t="s">
        <v>1592</v>
      </c>
    </row>
    <row r="31" spans="1:13" x14ac:dyDescent="0.25">
      <c r="A31" s="356" t="s">
        <v>1611</v>
      </c>
      <c r="B31" s="356" t="b">
        <v>1</v>
      </c>
      <c r="C31" s="242">
        <v>100000</v>
      </c>
      <c r="D31" s="242">
        <v>100000</v>
      </c>
      <c r="E31" s="4" t="s">
        <v>2469</v>
      </c>
      <c r="F31" s="357"/>
      <c r="G31" s="347"/>
      <c r="H31" s="347"/>
      <c r="I31" s="321"/>
      <c r="J31" s="321">
        <f t="shared" si="3"/>
        <v>21600</v>
      </c>
      <c r="K31" s="321"/>
      <c r="L31" s="321"/>
      <c r="M31" s="321" t="s">
        <v>1592</v>
      </c>
    </row>
    <row r="32" spans="1:13" x14ac:dyDescent="0.25">
      <c r="A32" s="356" t="s">
        <v>1612</v>
      </c>
      <c r="B32" s="356" t="b">
        <v>1</v>
      </c>
      <c r="C32" s="242">
        <v>200000</v>
      </c>
      <c r="D32" s="242">
        <v>200000</v>
      </c>
      <c r="E32" s="4" t="s">
        <v>2472</v>
      </c>
      <c r="F32" s="357">
        <v>7</v>
      </c>
      <c r="G32" s="347"/>
      <c r="H32" s="347"/>
      <c r="I32" s="321"/>
      <c r="J32" s="321">
        <f t="shared" si="3"/>
        <v>21600</v>
      </c>
      <c r="K32" s="321"/>
      <c r="L32" s="321"/>
      <c r="M32" s="321" t="s">
        <v>1592</v>
      </c>
    </row>
    <row r="33" spans="1:13" x14ac:dyDescent="0.25">
      <c r="A33" s="356" t="s">
        <v>1613</v>
      </c>
      <c r="B33" s="356" t="b">
        <v>1</v>
      </c>
      <c r="C33" s="242">
        <v>200000</v>
      </c>
      <c r="D33" s="242">
        <v>200000</v>
      </c>
      <c r="E33" s="4" t="s">
        <v>2527</v>
      </c>
      <c r="F33" s="357"/>
      <c r="G33" s="347"/>
      <c r="H33" s="347"/>
      <c r="I33" s="321"/>
      <c r="J33" s="321">
        <f t="shared" si="3"/>
        <v>21600</v>
      </c>
      <c r="K33" s="321"/>
      <c r="L33" s="321"/>
      <c r="M33" s="321" t="s">
        <v>1592</v>
      </c>
    </row>
    <row r="34" spans="1:13" x14ac:dyDescent="0.25">
      <c r="A34" s="356" t="s">
        <v>1646</v>
      </c>
      <c r="B34" s="356" t="b">
        <v>1</v>
      </c>
      <c r="C34" s="242">
        <v>10000</v>
      </c>
      <c r="D34" s="242">
        <v>10000</v>
      </c>
      <c r="E34" s="54" t="s">
        <v>2465</v>
      </c>
      <c r="F34" s="39"/>
      <c r="G34" s="39"/>
      <c r="H34" s="39"/>
      <c r="I34" s="39"/>
      <c r="J34" s="321">
        <f t="shared" si="3"/>
        <v>21600</v>
      </c>
      <c r="K34" s="39"/>
      <c r="L34" s="39"/>
      <c r="M34" s="321" t="s">
        <v>1592</v>
      </c>
    </row>
    <row r="35" spans="1:13" x14ac:dyDescent="0.25">
      <c r="A35" s="356" t="s">
        <v>1647</v>
      </c>
      <c r="B35" s="356" t="b">
        <v>1</v>
      </c>
      <c r="C35" s="242">
        <v>10000</v>
      </c>
      <c r="D35" s="242">
        <v>10000</v>
      </c>
      <c r="E35" s="54" t="s">
        <v>2466</v>
      </c>
      <c r="F35" s="39"/>
      <c r="G35" s="39"/>
      <c r="H35" s="39"/>
      <c r="I35" s="39"/>
      <c r="J35" s="321">
        <f t="shared" si="3"/>
        <v>21600</v>
      </c>
      <c r="K35" s="39"/>
      <c r="L35" s="39"/>
      <c r="M35" s="321" t="s">
        <v>1592</v>
      </c>
    </row>
    <row r="36" spans="1:13" x14ac:dyDescent="0.25">
      <c r="A36" s="356" t="s">
        <v>1648</v>
      </c>
      <c r="B36" s="356" t="b">
        <v>1</v>
      </c>
      <c r="C36" s="242">
        <v>20000</v>
      </c>
      <c r="D36" s="242">
        <v>20000</v>
      </c>
      <c r="E36" s="54" t="s">
        <v>2467</v>
      </c>
      <c r="F36" s="39"/>
      <c r="G36" s="39"/>
      <c r="H36" s="39"/>
      <c r="I36" s="39"/>
      <c r="J36" s="321">
        <f t="shared" si="3"/>
        <v>21600</v>
      </c>
      <c r="K36" s="39"/>
      <c r="L36" s="39"/>
      <c r="M36" s="321" t="s">
        <v>1592</v>
      </c>
    </row>
    <row r="37" spans="1:13" x14ac:dyDescent="0.25">
      <c r="A37" s="356" t="s">
        <v>1649</v>
      </c>
      <c r="B37" s="356" t="b">
        <v>1</v>
      </c>
      <c r="C37" s="242">
        <v>20000</v>
      </c>
      <c r="D37" s="242">
        <v>20000</v>
      </c>
      <c r="E37" s="54" t="s">
        <v>2459</v>
      </c>
      <c r="F37" s="39"/>
      <c r="G37" s="39"/>
      <c r="H37" s="39"/>
      <c r="I37" s="39"/>
      <c r="J37" s="321">
        <f t="shared" si="3"/>
        <v>21600</v>
      </c>
      <c r="K37" s="39"/>
      <c r="L37" s="39"/>
      <c r="M37" s="321" t="s">
        <v>1592</v>
      </c>
    </row>
    <row r="38" spans="1:13" x14ac:dyDescent="0.25">
      <c r="A38" s="356" t="s">
        <v>1650</v>
      </c>
      <c r="B38" s="356" t="b">
        <v>1</v>
      </c>
      <c r="C38" s="242">
        <v>50000</v>
      </c>
      <c r="D38" s="242">
        <v>50000</v>
      </c>
      <c r="E38" s="54" t="s">
        <v>1833</v>
      </c>
      <c r="F38" s="39"/>
      <c r="G38" s="39"/>
      <c r="H38" s="39"/>
      <c r="I38" s="39"/>
      <c r="J38" s="321">
        <f t="shared" si="3"/>
        <v>21600</v>
      </c>
      <c r="K38" s="39"/>
      <c r="L38" s="39"/>
      <c r="M38" s="321" t="s">
        <v>1592</v>
      </c>
    </row>
    <row r="39" spans="1:13" x14ac:dyDescent="0.25">
      <c r="A39" s="356" t="s">
        <v>1652</v>
      </c>
      <c r="B39" s="356" t="b">
        <v>1</v>
      </c>
      <c r="C39" s="242">
        <v>100000</v>
      </c>
      <c r="D39" s="242">
        <v>100000</v>
      </c>
      <c r="E39" s="4" t="s">
        <v>2468</v>
      </c>
      <c r="F39" s="39"/>
      <c r="G39" s="39"/>
      <c r="H39" s="39"/>
      <c r="I39" s="39"/>
      <c r="J39" s="321">
        <f t="shared" si="3"/>
        <v>21600</v>
      </c>
      <c r="K39" s="39"/>
      <c r="L39" s="39"/>
      <c r="M39" s="321" t="s">
        <v>1592</v>
      </c>
    </row>
    <row r="40" spans="1:13" x14ac:dyDescent="0.25">
      <c r="A40" s="356" t="s">
        <v>1653</v>
      </c>
      <c r="B40" s="356" t="b">
        <v>1</v>
      </c>
      <c r="C40" s="242">
        <v>200000</v>
      </c>
      <c r="D40" s="242">
        <v>200000</v>
      </c>
      <c r="E40" s="4" t="s">
        <v>2528</v>
      </c>
      <c r="F40" s="39"/>
      <c r="G40" s="39"/>
      <c r="H40" s="39"/>
      <c r="I40" s="39"/>
      <c r="J40" s="321">
        <f t="shared" si="3"/>
        <v>21600</v>
      </c>
      <c r="K40" s="39"/>
      <c r="L40" s="39"/>
      <c r="M40" s="321" t="s">
        <v>1592</v>
      </c>
    </row>
    <row r="41" spans="1:13" x14ac:dyDescent="0.25">
      <c r="A41" s="356" t="s">
        <v>1853</v>
      </c>
      <c r="B41" s="356" t="b">
        <v>1</v>
      </c>
      <c r="C41" s="242">
        <v>100000</v>
      </c>
      <c r="D41" s="242">
        <v>100000</v>
      </c>
      <c r="E41" s="4" t="s">
        <v>2470</v>
      </c>
      <c r="F41" s="39">
        <v>2</v>
      </c>
      <c r="G41" s="39">
        <f>1250*2</f>
        <v>2500</v>
      </c>
      <c r="H41" s="39"/>
      <c r="I41" s="39"/>
      <c r="J41" s="321">
        <f t="shared" si="3"/>
        <v>21600</v>
      </c>
      <c r="K41" s="39"/>
      <c r="L41" s="39"/>
      <c r="M41" s="321" t="s">
        <v>1592</v>
      </c>
    </row>
    <row r="42" spans="1:13" x14ac:dyDescent="0.25">
      <c r="A42" s="356" t="s">
        <v>1854</v>
      </c>
      <c r="B42" s="356" t="b">
        <v>1</v>
      </c>
      <c r="C42" s="242">
        <v>200000</v>
      </c>
      <c r="D42" s="242">
        <v>200000</v>
      </c>
      <c r="E42" s="4" t="s">
        <v>2477</v>
      </c>
      <c r="F42" s="39">
        <v>3</v>
      </c>
      <c r="G42" s="39">
        <f>1665*3</f>
        <v>4995</v>
      </c>
      <c r="H42" s="39"/>
      <c r="I42" s="39"/>
      <c r="J42" s="321">
        <f t="shared" si="3"/>
        <v>21600</v>
      </c>
      <c r="K42" s="39"/>
      <c r="L42" s="39"/>
      <c r="M42" s="321" t="s">
        <v>1592</v>
      </c>
    </row>
    <row r="43" spans="1:13" x14ac:dyDescent="0.25">
      <c r="A43" s="356" t="s">
        <v>2317</v>
      </c>
      <c r="B43" s="356" t="b">
        <v>1</v>
      </c>
      <c r="C43" s="242">
        <v>10000</v>
      </c>
      <c r="D43" s="242">
        <v>10000</v>
      </c>
      <c r="E43" s="4" t="s">
        <v>2435</v>
      </c>
      <c r="F43" s="39"/>
      <c r="G43" s="39"/>
      <c r="H43" s="39"/>
      <c r="I43" s="39"/>
      <c r="J43" s="321">
        <f t="shared" si="3"/>
        <v>21600</v>
      </c>
      <c r="K43" s="39"/>
      <c r="L43" s="39"/>
      <c r="M43" s="321" t="s">
        <v>1592</v>
      </c>
    </row>
    <row r="44" spans="1:13" x14ac:dyDescent="0.25">
      <c r="A44" s="356" t="s">
        <v>2318</v>
      </c>
      <c r="B44" s="356" t="b">
        <v>1</v>
      </c>
      <c r="C44" s="242">
        <v>20000</v>
      </c>
      <c r="D44" s="242">
        <v>20000</v>
      </c>
      <c r="E44" s="4" t="s">
        <v>2436</v>
      </c>
      <c r="F44" s="39"/>
      <c r="G44" s="39"/>
      <c r="H44" s="39"/>
      <c r="I44" s="39"/>
      <c r="J44" s="321">
        <f t="shared" si="3"/>
        <v>21600</v>
      </c>
      <c r="K44" s="39"/>
      <c r="L44" s="39"/>
      <c r="M44" s="321" t="s">
        <v>1592</v>
      </c>
    </row>
    <row r="45" spans="1:13" x14ac:dyDescent="0.25">
      <c r="A45" s="356" t="s">
        <v>2319</v>
      </c>
      <c r="B45" s="356" t="b">
        <v>1</v>
      </c>
      <c r="C45" s="242">
        <v>50000</v>
      </c>
      <c r="D45" s="242">
        <v>50000</v>
      </c>
      <c r="E45" s="4" t="s">
        <v>2437</v>
      </c>
      <c r="F45" s="39"/>
      <c r="G45" s="39"/>
      <c r="H45" s="39"/>
      <c r="I45" s="39"/>
      <c r="J45" s="321">
        <f t="shared" si="3"/>
        <v>21600</v>
      </c>
      <c r="K45" s="39"/>
      <c r="L45" s="39"/>
      <c r="M45" s="321" t="s">
        <v>1592</v>
      </c>
    </row>
    <row r="46" spans="1:13" x14ac:dyDescent="0.25">
      <c r="A46" s="356" t="s">
        <v>2320</v>
      </c>
      <c r="B46" s="356" t="b">
        <v>1</v>
      </c>
      <c r="C46" s="242">
        <v>100000</v>
      </c>
      <c r="D46" s="242">
        <v>100000</v>
      </c>
      <c r="E46" s="4" t="s">
        <v>2454</v>
      </c>
      <c r="F46" s="39"/>
      <c r="G46" s="39"/>
      <c r="H46" s="39"/>
      <c r="I46" s="39"/>
      <c r="J46" s="321">
        <f t="shared" si="3"/>
        <v>21600</v>
      </c>
      <c r="K46" s="39"/>
      <c r="L46" s="39"/>
      <c r="M46" s="321" t="s">
        <v>1592</v>
      </c>
    </row>
    <row r="47" spans="1:13" x14ac:dyDescent="0.25">
      <c r="A47" s="356" t="s">
        <v>2321</v>
      </c>
      <c r="B47" s="356" t="b">
        <v>1</v>
      </c>
      <c r="C47" s="242">
        <v>200000</v>
      </c>
      <c r="D47" s="242">
        <v>200000</v>
      </c>
      <c r="E47" s="4" t="s">
        <v>2438</v>
      </c>
      <c r="F47" s="39"/>
      <c r="G47" s="39"/>
      <c r="H47" s="39"/>
      <c r="I47" s="39"/>
      <c r="J47" s="321">
        <f t="shared" si="3"/>
        <v>21600</v>
      </c>
      <c r="K47" s="39"/>
      <c r="L47" s="39"/>
      <c r="M47" s="321" t="s">
        <v>1592</v>
      </c>
    </row>
    <row r="48" spans="1:13" s="586" customFormat="1" x14ac:dyDescent="0.25">
      <c r="A48" s="334" t="s">
        <v>2646</v>
      </c>
      <c r="B48" s="334" t="b">
        <v>1</v>
      </c>
      <c r="C48" s="584">
        <v>100000</v>
      </c>
      <c r="D48" s="584">
        <v>100000</v>
      </c>
      <c r="E48" s="585" t="s">
        <v>2648</v>
      </c>
      <c r="F48" s="585"/>
      <c r="G48" s="585"/>
      <c r="H48" s="585"/>
      <c r="I48" s="585"/>
      <c r="J48" s="321">
        <f t="shared" si="3"/>
        <v>21600</v>
      </c>
      <c r="K48" s="585"/>
      <c r="L48" s="585"/>
      <c r="M48" s="321" t="s">
        <v>1592</v>
      </c>
    </row>
    <row r="49" spans="1:13" s="586" customFormat="1" x14ac:dyDescent="0.25">
      <c r="A49" s="334" t="s">
        <v>2647</v>
      </c>
      <c r="B49" s="334" t="b">
        <v>1</v>
      </c>
      <c r="C49" s="584">
        <v>200000</v>
      </c>
      <c r="D49" s="584">
        <v>200000</v>
      </c>
      <c r="E49" s="585" t="s">
        <v>2649</v>
      </c>
      <c r="F49" s="585"/>
      <c r="G49" s="585"/>
      <c r="H49" s="585"/>
      <c r="I49" s="585"/>
      <c r="J49" s="321">
        <f t="shared" si="3"/>
        <v>21600</v>
      </c>
      <c r="K49" s="585"/>
      <c r="L49" s="585"/>
      <c r="M49" s="321" t="s">
        <v>1592</v>
      </c>
    </row>
    <row r="51" spans="1:13" x14ac:dyDescent="0.25">
      <c r="A51" s="233" t="s">
        <v>1834</v>
      </c>
    </row>
    <row r="52" spans="1:13" x14ac:dyDescent="0.25">
      <c r="A52" s="217" t="s">
        <v>1656</v>
      </c>
      <c r="B52" s="141" t="s">
        <v>1580</v>
      </c>
      <c r="C52" s="43" t="s">
        <v>1821</v>
      </c>
      <c r="D52" s="256"/>
    </row>
    <row r="53" spans="1:13" x14ac:dyDescent="0.25">
      <c r="A53" s="4" t="s">
        <v>1600</v>
      </c>
      <c r="B53" s="242">
        <v>10000</v>
      </c>
      <c r="C53" s="39">
        <v>15</v>
      </c>
      <c r="D53" s="16"/>
    </row>
    <row r="54" spans="1:13" x14ac:dyDescent="0.25">
      <c r="A54" s="4" t="s">
        <v>1601</v>
      </c>
      <c r="B54" s="242">
        <v>20000</v>
      </c>
      <c r="C54" s="39">
        <v>15</v>
      </c>
      <c r="D54" s="16"/>
    </row>
    <row r="55" spans="1:13" x14ac:dyDescent="0.25">
      <c r="A55" s="4" t="s">
        <v>1614</v>
      </c>
      <c r="B55" s="242">
        <v>10000</v>
      </c>
      <c r="C55" s="39">
        <v>15</v>
      </c>
      <c r="D55" s="16"/>
    </row>
    <row r="56" spans="1:13" x14ac:dyDescent="0.25">
      <c r="A56" s="4" t="s">
        <v>1615</v>
      </c>
      <c r="B56" s="242">
        <v>10000</v>
      </c>
      <c r="C56" s="39">
        <v>15</v>
      </c>
      <c r="D56" s="16"/>
    </row>
    <row r="57" spans="1:13" x14ac:dyDescent="0.25">
      <c r="A57" s="4" t="s">
        <v>1616</v>
      </c>
      <c r="B57" s="242">
        <v>10000</v>
      </c>
      <c r="C57" s="39">
        <v>15</v>
      </c>
    </row>
    <row r="58" spans="1:13" x14ac:dyDescent="0.25">
      <c r="A58" s="4" t="s">
        <v>1617</v>
      </c>
      <c r="B58" s="242">
        <v>20000</v>
      </c>
      <c r="C58" s="39">
        <v>15</v>
      </c>
    </row>
    <row r="59" spans="1:13" x14ac:dyDescent="0.25">
      <c r="A59" s="4" t="s">
        <v>1618</v>
      </c>
      <c r="B59" s="242">
        <v>20000</v>
      </c>
      <c r="C59" s="39">
        <v>10</v>
      </c>
    </row>
    <row r="60" spans="1:13" ht="30" x14ac:dyDescent="0.25">
      <c r="A60" s="387" t="str">
        <f>CONCATENATE(A53&amp;":"&amp;C53&amp;":"&amp;A54&amp;":"&amp;C54&amp;":"&amp;A55&amp;":"&amp;C55&amp;":"&amp;A56&amp;":"&amp;C56&amp;":"&amp;A57&amp;":"&amp;C57&amp;":"&amp;A58&amp;":"&amp;C58&amp;":"&amp;A59&amp;":"&amp;C59)</f>
        <v>OFFER_SPECIAL_1:15:OFFER_SPECIAL_2:15:OFFER_SPECIAL_6:15:OFFER_SPECIAL_7:15:OFFER_SPECIAL_8:15:OFFER_SPECIAL_9:15:OFFER_SPECIAL_10:10</v>
      </c>
      <c r="C60" s="39">
        <f>SUM(C53:C59)</f>
        <v>100</v>
      </c>
    </row>
    <row r="61" spans="1:13" x14ac:dyDescent="0.25">
      <c r="A61" s="217" t="s">
        <v>1817</v>
      </c>
    </row>
    <row r="62" spans="1:13" x14ac:dyDescent="0.25">
      <c r="A62" s="54" t="s">
        <v>1603</v>
      </c>
      <c r="B62" s="242">
        <v>50000</v>
      </c>
      <c r="C62">
        <v>25</v>
      </c>
    </row>
    <row r="63" spans="1:13" x14ac:dyDescent="0.25">
      <c r="A63" s="54" t="s">
        <v>1605</v>
      </c>
      <c r="B63" s="242">
        <v>100000</v>
      </c>
      <c r="C63">
        <v>5</v>
      </c>
    </row>
    <row r="64" spans="1:13" x14ac:dyDescent="0.25">
      <c r="A64" s="4" t="s">
        <v>1643</v>
      </c>
      <c r="B64" s="242">
        <v>50000</v>
      </c>
      <c r="C64">
        <v>25</v>
      </c>
    </row>
    <row r="65" spans="1:3" x14ac:dyDescent="0.25">
      <c r="A65" s="4" t="s">
        <v>1644</v>
      </c>
      <c r="B65" s="242">
        <v>50000</v>
      </c>
      <c r="C65">
        <v>25</v>
      </c>
    </row>
    <row r="66" spans="1:3" x14ac:dyDescent="0.25">
      <c r="A66" s="4" t="s">
        <v>1645</v>
      </c>
      <c r="B66" s="242">
        <v>100000</v>
      </c>
      <c r="C66">
        <v>15</v>
      </c>
    </row>
    <row r="67" spans="1:3" x14ac:dyDescent="0.25">
      <c r="A67" s="54" t="s">
        <v>1851</v>
      </c>
      <c r="B67" s="242">
        <v>100000</v>
      </c>
      <c r="C67">
        <v>5</v>
      </c>
    </row>
    <row r="68" spans="1:3" ht="30" x14ac:dyDescent="0.25">
      <c r="A68" s="387" t="str">
        <f>CONCATENATE(A62&amp;":"&amp;C62&amp;":"&amp;A63&amp;":"&amp;C63&amp;":"&amp;A64&amp;":"&amp;C64&amp;":"&amp;A65&amp;":"&amp;C65&amp;":"&amp;A66&amp;":"&amp;C66&amp;":"&amp;A67&amp;":"&amp;C67)</f>
        <v>OFFER_SPECIAL_3:25:OFFER_SPECIAL_4:5:OFFER_SPECIAL_11:25:OFFER_SPECIAL_12:25:OFFER_SPECIAL_13:15:OFFER_SPECIAL_15:5</v>
      </c>
      <c r="C68" s="39">
        <f>SUM(C62:C67)</f>
        <v>100</v>
      </c>
    </row>
    <row r="69" spans="1:3" x14ac:dyDescent="0.25">
      <c r="A69" s="217" t="s">
        <v>1818</v>
      </c>
    </row>
    <row r="70" spans="1:3" x14ac:dyDescent="0.25">
      <c r="A70" s="39" t="s">
        <v>1603</v>
      </c>
      <c r="B70" s="242">
        <v>50000</v>
      </c>
      <c r="C70">
        <v>10</v>
      </c>
    </row>
    <row r="71" spans="1:3" x14ac:dyDescent="0.25">
      <c r="A71" s="307" t="s">
        <v>1605</v>
      </c>
      <c r="B71" s="242">
        <v>100000</v>
      </c>
      <c r="C71">
        <v>5</v>
      </c>
    </row>
    <row r="72" spans="1:3" x14ac:dyDescent="0.25">
      <c r="A72" s="307" t="s">
        <v>1606</v>
      </c>
      <c r="B72" s="242">
        <v>200000</v>
      </c>
      <c r="C72">
        <v>5</v>
      </c>
    </row>
    <row r="73" spans="1:3" x14ac:dyDescent="0.25">
      <c r="A73" s="39" t="s">
        <v>1643</v>
      </c>
      <c r="B73" s="242">
        <v>50000</v>
      </c>
      <c r="C73">
        <v>10</v>
      </c>
    </row>
    <row r="74" spans="1:3" x14ac:dyDescent="0.25">
      <c r="A74" s="39" t="s">
        <v>1644</v>
      </c>
      <c r="B74" s="242">
        <v>50000</v>
      </c>
      <c r="C74">
        <v>10</v>
      </c>
    </row>
    <row r="75" spans="1:3" x14ac:dyDescent="0.25">
      <c r="A75" s="39" t="s">
        <v>1645</v>
      </c>
      <c r="B75" s="242">
        <v>100000</v>
      </c>
      <c r="C75">
        <v>20</v>
      </c>
    </row>
    <row r="76" spans="1:3" x14ac:dyDescent="0.25">
      <c r="A76" s="39" t="s">
        <v>1651</v>
      </c>
      <c r="B76" s="242">
        <v>200000</v>
      </c>
      <c r="C76">
        <v>20</v>
      </c>
    </row>
    <row r="77" spans="1:3" x14ac:dyDescent="0.25">
      <c r="A77" s="54" t="s">
        <v>1851</v>
      </c>
      <c r="B77" s="242">
        <v>100000</v>
      </c>
      <c r="C77">
        <v>10</v>
      </c>
    </row>
    <row r="78" spans="1:3" x14ac:dyDescent="0.25">
      <c r="A78" s="54" t="s">
        <v>1852</v>
      </c>
      <c r="B78" s="242">
        <v>200000</v>
      </c>
      <c r="C78">
        <v>10</v>
      </c>
    </row>
    <row r="79" spans="1:3" ht="45" x14ac:dyDescent="0.25">
      <c r="A79" s="387" t="str">
        <f>CONCATENATE(A70&amp;":"&amp;C70&amp;":"&amp;A71&amp;":"&amp;C71&amp;":"&amp;A72&amp;":"&amp;C72&amp;":"&amp;A73&amp;":"&amp;C73&amp;":"&amp;A74&amp;":"&amp;C74&amp;":"&amp;A75&amp;":"&amp;C75&amp;":"&amp;A76&amp;":"&amp;C76&amp;":"&amp;A77&amp;":"&amp;C77&amp;":"&amp;A78&amp;":"&amp;C78)</f>
        <v>OFFER_SPECIAL_3:10:OFFER_SPECIAL_4:5:OFFER_SPECIAL_5:5:OFFER_SPECIAL_11:10:OFFER_SPECIAL_12:10:OFFER_SPECIAL_13:20:OFFER_SPECIAL_14:20:OFFER_SPECIAL_15:10:OFFER_SPECIAL_16:10</v>
      </c>
      <c r="C79" s="388">
        <f>SUM(C70:C78)</f>
        <v>100</v>
      </c>
    </row>
    <row r="81" spans="1:3" x14ac:dyDescent="0.25">
      <c r="A81" s="382" t="s">
        <v>1823</v>
      </c>
    </row>
    <row r="82" spans="1:3" x14ac:dyDescent="0.25">
      <c r="A82" s="217" t="s">
        <v>1819</v>
      </c>
      <c r="C82" s="43" t="s">
        <v>1821</v>
      </c>
    </row>
    <row r="83" spans="1:3" x14ac:dyDescent="0.25">
      <c r="A83" s="4" t="s">
        <v>1607</v>
      </c>
      <c r="B83" s="242">
        <v>10000</v>
      </c>
      <c r="C83">
        <v>10</v>
      </c>
    </row>
    <row r="84" spans="1:3" x14ac:dyDescent="0.25">
      <c r="A84" s="4" t="s">
        <v>1608</v>
      </c>
      <c r="B84" s="242">
        <v>20000</v>
      </c>
      <c r="C84">
        <v>10</v>
      </c>
    </row>
    <row r="85" spans="1:3" x14ac:dyDescent="0.25">
      <c r="A85" s="4" t="s">
        <v>1609</v>
      </c>
      <c r="B85" s="242">
        <v>50000</v>
      </c>
      <c r="C85">
        <v>5</v>
      </c>
    </row>
    <row r="86" spans="1:3" x14ac:dyDescent="0.25">
      <c r="A86" s="4" t="s">
        <v>1646</v>
      </c>
      <c r="B86" s="242">
        <v>10000</v>
      </c>
      <c r="C86">
        <v>10</v>
      </c>
    </row>
    <row r="87" spans="1:3" x14ac:dyDescent="0.25">
      <c r="A87" s="4" t="s">
        <v>1647</v>
      </c>
      <c r="B87" s="242">
        <v>10000</v>
      </c>
      <c r="C87">
        <v>10</v>
      </c>
    </row>
    <row r="88" spans="1:3" x14ac:dyDescent="0.25">
      <c r="A88" s="4" t="s">
        <v>1648</v>
      </c>
      <c r="B88" s="242">
        <v>20000</v>
      </c>
      <c r="C88">
        <v>10</v>
      </c>
    </row>
    <row r="89" spans="1:3" x14ac:dyDescent="0.25">
      <c r="A89" s="4" t="s">
        <v>1649</v>
      </c>
      <c r="B89" s="242">
        <v>20000</v>
      </c>
      <c r="C89">
        <v>10</v>
      </c>
    </row>
    <row r="90" spans="1:3" x14ac:dyDescent="0.25">
      <c r="A90" s="4" t="s">
        <v>1650</v>
      </c>
      <c r="B90" s="242">
        <v>50000</v>
      </c>
      <c r="C90">
        <v>5</v>
      </c>
    </row>
    <row r="91" spans="1:3" x14ac:dyDescent="0.25">
      <c r="A91" s="207" t="s">
        <v>2317</v>
      </c>
      <c r="B91" s="242">
        <v>10000</v>
      </c>
      <c r="C91">
        <v>15</v>
      </c>
    </row>
    <row r="92" spans="1:3" x14ac:dyDescent="0.25">
      <c r="A92" s="207" t="s">
        <v>2318</v>
      </c>
      <c r="B92" s="242">
        <v>20000</v>
      </c>
      <c r="C92">
        <v>10</v>
      </c>
    </row>
    <row r="93" spans="1:3" x14ac:dyDescent="0.25">
      <c r="A93" s="334" t="s">
        <v>2319</v>
      </c>
      <c r="B93" s="242">
        <v>50000</v>
      </c>
      <c r="C93">
        <v>5</v>
      </c>
    </row>
    <row r="94" spans="1:3" ht="45" x14ac:dyDescent="0.25">
      <c r="A94" s="587" t="str">
        <f>CONCATENATE(A83&amp;":"&amp;C83&amp;":"&amp;A84&amp;":"&amp;C84&amp;":"&amp;A85&amp;":"&amp;C85&amp;":"&amp;A86&amp;":"&amp;C86&amp;":"&amp;A87&amp;":"&amp;C87&amp;":"&amp;A88&amp;":"&amp;C88&amp;":"&amp;A89&amp;":"&amp;C89&amp;":"&amp;A90&amp;":"&amp;C90&amp;":"&amp;A91&amp;":"&amp;C91&amp;":"&amp;A92&amp;":"&amp;C92&amp;":"&amp;A93&amp;":"&amp;C93)</f>
        <v>OFFER_SUPER_1:10:OFFER_SUPER_2:10:OFFER_SUPER_3:5:OFFER_SUPER_8:10:OFFER_SUPER_9:10:OFFER_SUPER_10:10:OFFER_SUPER_11:10:OFFER_SUPER_12:5:OFFER_SUPER_17:15:OFFER_SUPER_18:10:OFFER_SUPER_19:5</v>
      </c>
      <c r="C94">
        <f>SUM(C83:C93)</f>
        <v>100</v>
      </c>
    </row>
    <row r="95" spans="1:3" x14ac:dyDescent="0.25">
      <c r="A95" s="4"/>
    </row>
    <row r="96" spans="1:3" x14ac:dyDescent="0.25">
      <c r="A96" s="217" t="s">
        <v>1820</v>
      </c>
    </row>
    <row r="97" spans="1:3" x14ac:dyDescent="0.25">
      <c r="A97" s="4" t="s">
        <v>1609</v>
      </c>
      <c r="B97" s="242">
        <v>50000</v>
      </c>
      <c r="C97">
        <v>10</v>
      </c>
    </row>
    <row r="98" spans="1:3" x14ac:dyDescent="0.25">
      <c r="A98" s="307" t="s">
        <v>1610</v>
      </c>
      <c r="B98" s="242">
        <v>100000</v>
      </c>
      <c r="C98">
        <v>5</v>
      </c>
    </row>
    <row r="99" spans="1:3" x14ac:dyDescent="0.25">
      <c r="A99" s="4" t="s">
        <v>1611</v>
      </c>
      <c r="B99" s="242">
        <v>100000</v>
      </c>
      <c r="C99">
        <v>5</v>
      </c>
    </row>
    <row r="100" spans="1:3" x14ac:dyDescent="0.25">
      <c r="A100" s="307" t="s">
        <v>1612</v>
      </c>
      <c r="B100" s="242">
        <v>200000</v>
      </c>
      <c r="C100">
        <v>5</v>
      </c>
    </row>
    <row r="101" spans="1:3" x14ac:dyDescent="0.25">
      <c r="A101" s="4" t="s">
        <v>1613</v>
      </c>
      <c r="B101" s="242">
        <v>200000</v>
      </c>
      <c r="C101">
        <v>5</v>
      </c>
    </row>
    <row r="102" spans="1:3" x14ac:dyDescent="0.25">
      <c r="A102" s="4" t="s">
        <v>1650</v>
      </c>
      <c r="B102" s="242">
        <v>50000</v>
      </c>
      <c r="C102">
        <v>10</v>
      </c>
    </row>
    <row r="103" spans="1:3" x14ac:dyDescent="0.25">
      <c r="A103" s="4" t="s">
        <v>1652</v>
      </c>
      <c r="B103" s="242">
        <v>100000</v>
      </c>
      <c r="C103">
        <v>10</v>
      </c>
    </row>
    <row r="104" spans="1:3" x14ac:dyDescent="0.25">
      <c r="A104" s="4" t="s">
        <v>1653</v>
      </c>
      <c r="B104" s="242">
        <v>200000</v>
      </c>
      <c r="C104">
        <v>5</v>
      </c>
    </row>
    <row r="105" spans="1:3" x14ac:dyDescent="0.25">
      <c r="A105" s="54" t="s">
        <v>1853</v>
      </c>
      <c r="B105" s="242">
        <v>100000</v>
      </c>
      <c r="C105">
        <v>5</v>
      </c>
    </row>
    <row r="106" spans="1:3" x14ac:dyDescent="0.25">
      <c r="A106" s="54" t="s">
        <v>1854</v>
      </c>
      <c r="B106" s="242">
        <v>200000</v>
      </c>
      <c r="C106">
        <v>5</v>
      </c>
    </row>
    <row r="107" spans="1:3" x14ac:dyDescent="0.25">
      <c r="A107" s="334" t="s">
        <v>2319</v>
      </c>
      <c r="B107" s="242">
        <v>50000</v>
      </c>
      <c r="C107">
        <v>10</v>
      </c>
    </row>
    <row r="108" spans="1:3" x14ac:dyDescent="0.25">
      <c r="A108" s="334" t="s">
        <v>2320</v>
      </c>
      <c r="B108" s="242">
        <v>100000</v>
      </c>
      <c r="C108">
        <v>10</v>
      </c>
    </row>
    <row r="109" spans="1:3" x14ac:dyDescent="0.25">
      <c r="A109" s="334" t="s">
        <v>2321</v>
      </c>
      <c r="B109" s="242">
        <v>200000</v>
      </c>
      <c r="C109">
        <v>5</v>
      </c>
    </row>
    <row r="110" spans="1:3" x14ac:dyDescent="0.25">
      <c r="A110" s="334" t="s">
        <v>2646</v>
      </c>
      <c r="B110" s="242">
        <v>100000</v>
      </c>
      <c r="C110">
        <v>5</v>
      </c>
    </row>
    <row r="111" spans="1:3" x14ac:dyDescent="0.25">
      <c r="A111" s="334" t="s">
        <v>2647</v>
      </c>
      <c r="B111" s="242">
        <v>200000</v>
      </c>
      <c r="C111">
        <v>5</v>
      </c>
    </row>
    <row r="112" spans="1:3" ht="60" x14ac:dyDescent="0.25">
      <c r="A112" s="587" t="str">
        <f>CONCATENATE(A97&amp;":"&amp;C97&amp;":"&amp;A98&amp;":"&amp;C98&amp;":"&amp;A99&amp;":"&amp;C99&amp;":"&amp;A100&amp;":"&amp;C100&amp;":"&amp;A101&amp;":"&amp;C101&amp;":"&amp;A102&amp;":"&amp;C102&amp;":"&amp;A103&amp;":"&amp;C103&amp;":"&amp;A104&amp;":"&amp;C104&amp;":"&amp;A105&amp;":"&amp;C105&amp;":"&amp;A106&amp;":"&amp;C106&amp;":"&amp;A107&amp;":"&amp;C107&amp;":"&amp;A108&amp;":"&amp;C108&amp;":"&amp;A109&amp;":"&amp;C109&amp;":"&amp;A110&amp;":"&amp;C110&amp;":"&amp;A111&amp;":"&amp;C111)</f>
        <v>OFFER_SUPER_3:10:OFFER_SUPER_4:5:OFFER_SUPER_5:5:OFFER_SUPER_6:5:OFFER_SUPER_7:5:OFFER_SUPER_12:10:OFFER_SUPER_13:10:OFFER_SUPER_14:5:OFFER_SUPER_15:5:OFFER_SUPER_16:5:OFFER_SUPER_19:10:OFFER_SUPER_20:10:OFFER_SUPER_21:5:OFFER_SUPER_22:5:OFFER_SUPER_23:5</v>
      </c>
      <c r="C112" s="388">
        <f>SUM(C97:C111)</f>
        <v>100</v>
      </c>
    </row>
    <row r="113" spans="1:3" x14ac:dyDescent="0.25">
      <c r="A113" s="4"/>
    </row>
    <row r="114" spans="1:3" x14ac:dyDescent="0.25">
      <c r="A114" s="217" t="s">
        <v>1818</v>
      </c>
    </row>
    <row r="115" spans="1:3" x14ac:dyDescent="0.25">
      <c r="A115" s="4" t="s">
        <v>1609</v>
      </c>
      <c r="B115" s="242">
        <v>50000</v>
      </c>
      <c r="C115">
        <v>2</v>
      </c>
    </row>
    <row r="116" spans="1:3" x14ac:dyDescent="0.25">
      <c r="A116" s="307" t="s">
        <v>1610</v>
      </c>
      <c r="B116" s="242">
        <v>100000</v>
      </c>
      <c r="C116">
        <v>6</v>
      </c>
    </row>
    <row r="117" spans="1:3" x14ac:dyDescent="0.25">
      <c r="A117" s="4" t="s">
        <v>1611</v>
      </c>
      <c r="B117" s="242">
        <v>100000</v>
      </c>
      <c r="C117">
        <v>4</v>
      </c>
    </row>
    <row r="118" spans="1:3" x14ac:dyDescent="0.25">
      <c r="A118" s="307" t="s">
        <v>1612</v>
      </c>
      <c r="B118" s="242">
        <v>200000</v>
      </c>
      <c r="C118">
        <v>6</v>
      </c>
    </row>
    <row r="119" spans="1:3" x14ac:dyDescent="0.25">
      <c r="A119" s="4" t="s">
        <v>1613</v>
      </c>
      <c r="B119" s="242">
        <v>200000</v>
      </c>
      <c r="C119">
        <v>10</v>
      </c>
    </row>
    <row r="120" spans="1:3" x14ac:dyDescent="0.25">
      <c r="A120" s="4" t="s">
        <v>1650</v>
      </c>
      <c r="B120" s="242">
        <v>50000</v>
      </c>
      <c r="C120">
        <v>2</v>
      </c>
    </row>
    <row r="121" spans="1:3" x14ac:dyDescent="0.25">
      <c r="A121" s="4" t="s">
        <v>1652</v>
      </c>
      <c r="B121" s="242">
        <v>100000</v>
      </c>
      <c r="C121">
        <v>10</v>
      </c>
    </row>
    <row r="122" spans="1:3" x14ac:dyDescent="0.25">
      <c r="A122" s="4" t="s">
        <v>1653</v>
      </c>
      <c r="B122" s="242">
        <v>200000</v>
      </c>
      <c r="C122">
        <v>10</v>
      </c>
    </row>
    <row r="123" spans="1:3" x14ac:dyDescent="0.25">
      <c r="A123" s="54" t="s">
        <v>1853</v>
      </c>
      <c r="B123" s="242">
        <v>100000</v>
      </c>
      <c r="C123">
        <v>6</v>
      </c>
    </row>
    <row r="124" spans="1:3" x14ac:dyDescent="0.25">
      <c r="A124" s="54" t="s">
        <v>1854</v>
      </c>
      <c r="B124" s="242">
        <v>200000</v>
      </c>
      <c r="C124">
        <v>6</v>
      </c>
    </row>
    <row r="125" spans="1:3" x14ac:dyDescent="0.25">
      <c r="A125" s="334" t="s">
        <v>2319</v>
      </c>
      <c r="B125" s="242">
        <v>50000</v>
      </c>
      <c r="C125">
        <v>6</v>
      </c>
    </row>
    <row r="126" spans="1:3" x14ac:dyDescent="0.25">
      <c r="A126" s="334" t="s">
        <v>2320</v>
      </c>
      <c r="B126" s="242">
        <v>100000</v>
      </c>
      <c r="C126">
        <v>10</v>
      </c>
    </row>
    <row r="127" spans="1:3" x14ac:dyDescent="0.25">
      <c r="A127" s="334" t="s">
        <v>2321</v>
      </c>
      <c r="B127" s="242">
        <v>200000</v>
      </c>
      <c r="C127">
        <v>6</v>
      </c>
    </row>
    <row r="128" spans="1:3" x14ac:dyDescent="0.25">
      <c r="A128" s="334" t="s">
        <v>2646</v>
      </c>
      <c r="B128" s="389">
        <v>100000</v>
      </c>
      <c r="C128">
        <v>10</v>
      </c>
    </row>
    <row r="129" spans="1:3" x14ac:dyDescent="0.25">
      <c r="A129" s="334" t="s">
        <v>2647</v>
      </c>
      <c r="B129" s="389">
        <v>200000</v>
      </c>
      <c r="C129">
        <v>6</v>
      </c>
    </row>
    <row r="130" spans="1:3" ht="60" x14ac:dyDescent="0.25">
      <c r="A130" s="587" t="str">
        <f>CONCATENATE(A115&amp;":"&amp;C115&amp;":"&amp;A116&amp;":"&amp;C116&amp;":"&amp;A117&amp;":"&amp;C117&amp;":"&amp;A118&amp;":"&amp;C118&amp;":"&amp;A119&amp;":"&amp;C119&amp;":"&amp;A120&amp;":"&amp;C120&amp;":"&amp;A121&amp;":"&amp;C121&amp;":"&amp;A122&amp;":"&amp;C122&amp;":"&amp;A123&amp;":"&amp;C123&amp;":"&amp;A124&amp;":"&amp;C124&amp;":"&amp;A125&amp;":"&amp;C125&amp;":"&amp;A126&amp;":"&amp;C126&amp;":"&amp;A127&amp;":"&amp;C127&amp;":"&amp;A128&amp;":"&amp;C128&amp;":"&amp;A129&amp;":"&amp;C129)</f>
        <v>OFFER_SUPER_3:2:OFFER_SUPER_4:6:OFFER_SUPER_5:4:OFFER_SUPER_6:6:OFFER_SUPER_7:10:OFFER_SUPER_12:2:OFFER_SUPER_13:10:OFFER_SUPER_14:10:OFFER_SUPER_15:6:OFFER_SUPER_16:6:OFFER_SUPER_19:6:OFFER_SUPER_20:10:OFFER_SUPER_21:6:OFFER_SUPER_22:10:OFFER_SUPER_23:6</v>
      </c>
      <c r="C130" s="388">
        <f>SUM(C115:C129)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4" sqref="B34"/>
    </sheetView>
  </sheetViews>
  <sheetFormatPr defaultRowHeight="15" x14ac:dyDescent="0.25"/>
  <cols>
    <col min="1" max="1" width="43.140625" customWidth="1"/>
    <col min="2" max="2" width="106" customWidth="1"/>
    <col min="3" max="3" width="103.42578125" customWidth="1"/>
  </cols>
  <sheetData>
    <row r="1" spans="1:3" x14ac:dyDescent="0.25">
      <c r="A1" s="350" t="s">
        <v>1619</v>
      </c>
      <c r="B1" s="351" t="s">
        <v>1620</v>
      </c>
      <c r="C1" s="187" t="s">
        <v>1509</v>
      </c>
    </row>
    <row r="2" spans="1:3" hidden="1" x14ac:dyDescent="0.25">
      <c r="A2" s="54" t="s">
        <v>1621</v>
      </c>
      <c r="B2" s="144">
        <v>6</v>
      </c>
      <c r="C2" s="4" t="s">
        <v>1622</v>
      </c>
    </row>
    <row r="3" spans="1:3" hidden="1" x14ac:dyDescent="0.25">
      <c r="A3" s="54" t="s">
        <v>1623</v>
      </c>
      <c r="B3" s="144" t="s">
        <v>1624</v>
      </c>
      <c r="C3" s="4"/>
    </row>
    <row r="4" spans="1:3" hidden="1" x14ac:dyDescent="0.25">
      <c r="A4" s="54" t="s">
        <v>1625</v>
      </c>
      <c r="B4" s="144">
        <v>25</v>
      </c>
      <c r="C4" s="4" t="s">
        <v>1626</v>
      </c>
    </row>
    <row r="5" spans="1:3" hidden="1" x14ac:dyDescent="0.25">
      <c r="A5" s="54" t="s">
        <v>1627</v>
      </c>
      <c r="B5" s="352">
        <v>500</v>
      </c>
      <c r="C5" s="4" t="s">
        <v>2544</v>
      </c>
    </row>
    <row r="6" spans="1:3" hidden="1" x14ac:dyDescent="0.25">
      <c r="A6" s="54" t="s">
        <v>1628</v>
      </c>
      <c r="B6" s="144" t="s">
        <v>2545</v>
      </c>
      <c r="C6" s="4"/>
    </row>
    <row r="7" spans="1:3" hidden="1" x14ac:dyDescent="0.25">
      <c r="A7" s="54" t="s">
        <v>1629</v>
      </c>
      <c r="B7" s="144" t="s">
        <v>2546</v>
      </c>
      <c r="C7" s="4"/>
    </row>
    <row r="8" spans="1:3" hidden="1" x14ac:dyDescent="0.25">
      <c r="A8" s="54" t="s">
        <v>1630</v>
      </c>
      <c r="B8" s="144" t="s">
        <v>1855</v>
      </c>
      <c r="C8" s="4"/>
    </row>
    <row r="9" spans="1:3" hidden="1" x14ac:dyDescent="0.25">
      <c r="A9" s="54" t="s">
        <v>1631</v>
      </c>
      <c r="B9" s="144">
        <v>27</v>
      </c>
      <c r="C9" s="4" t="s">
        <v>1632</v>
      </c>
    </row>
    <row r="10" spans="1:3" hidden="1" x14ac:dyDescent="0.25">
      <c r="A10" s="54" t="s">
        <v>1633</v>
      </c>
      <c r="B10" s="4">
        <v>7</v>
      </c>
      <c r="C10" s="39" t="s">
        <v>1634</v>
      </c>
    </row>
    <row r="11" spans="1:3" hidden="1" x14ac:dyDescent="0.25">
      <c r="A11" s="54" t="s">
        <v>1635</v>
      </c>
      <c r="B11" s="4">
        <v>1000</v>
      </c>
      <c r="C11" s="4" t="s">
        <v>1636</v>
      </c>
    </row>
    <row r="12" spans="1:3" hidden="1" x14ac:dyDescent="0.25">
      <c r="A12" s="54" t="s">
        <v>1637</v>
      </c>
      <c r="B12" s="144" t="s">
        <v>2547</v>
      </c>
      <c r="C12" s="4"/>
    </row>
    <row r="13" spans="1:3" hidden="1" x14ac:dyDescent="0.25">
      <c r="A13" s="54" t="s">
        <v>1638</v>
      </c>
      <c r="B13" s="144" t="s">
        <v>2548</v>
      </c>
      <c r="C13" s="4"/>
    </row>
    <row r="14" spans="1:3" hidden="1" x14ac:dyDescent="0.25">
      <c r="A14" s="54" t="s">
        <v>1639</v>
      </c>
      <c r="B14" s="144" t="s">
        <v>2549</v>
      </c>
      <c r="C14" s="4"/>
    </row>
    <row r="15" spans="1:3" hidden="1" x14ac:dyDescent="0.25">
      <c r="A15" s="54" t="s">
        <v>1640</v>
      </c>
      <c r="B15" s="207">
        <f>6*60*60</f>
        <v>21600</v>
      </c>
      <c r="C15" s="39" t="s">
        <v>1641</v>
      </c>
    </row>
    <row r="16" spans="1:3" hidden="1" x14ac:dyDescent="0.25">
      <c r="A16" s="54" t="s">
        <v>1642</v>
      </c>
      <c r="B16" s="207">
        <f>8*60*60</f>
        <v>28800</v>
      </c>
      <c r="C16" s="4"/>
    </row>
    <row r="17" spans="1:3" x14ac:dyDescent="0.25">
      <c r="A17" s="571" t="s">
        <v>2550</v>
      </c>
      <c r="B17" s="6">
        <f>6*60*60</f>
        <v>21600</v>
      </c>
      <c r="C17" s="6" t="s">
        <v>2578</v>
      </c>
    </row>
    <row r="18" spans="1:3" x14ac:dyDescent="0.25">
      <c r="A18" s="571" t="s">
        <v>2551</v>
      </c>
      <c r="B18" s="6">
        <f>8*60*60</f>
        <v>28800</v>
      </c>
      <c r="C18" s="6"/>
    </row>
    <row r="19" spans="1:3" s="564" customFormat="1" x14ac:dyDescent="0.25">
      <c r="A19" s="572" t="s">
        <v>2552</v>
      </c>
      <c r="B19" s="56">
        <v>30</v>
      </c>
      <c r="C19" s="56" t="s">
        <v>2579</v>
      </c>
    </row>
    <row r="20" spans="1:3" s="564" customFormat="1" x14ac:dyDescent="0.25">
      <c r="A20" s="572" t="s">
        <v>2553</v>
      </c>
      <c r="B20" s="56">
        <v>60</v>
      </c>
      <c r="C20" s="56" t="s">
        <v>2580</v>
      </c>
    </row>
    <row r="21" spans="1:3" s="567" customFormat="1" x14ac:dyDescent="0.25">
      <c r="A21" s="349" t="s">
        <v>2554</v>
      </c>
      <c r="B21" s="310">
        <v>500</v>
      </c>
      <c r="C21" s="310" t="s">
        <v>2577</v>
      </c>
    </row>
    <row r="22" spans="1:3" s="567" customFormat="1" x14ac:dyDescent="0.25">
      <c r="A22" s="349" t="s">
        <v>2555</v>
      </c>
      <c r="B22" s="575" t="s">
        <v>1624</v>
      </c>
      <c r="C22" s="310" t="s">
        <v>2572</v>
      </c>
    </row>
    <row r="23" spans="1:3" s="567" customFormat="1" x14ac:dyDescent="0.25">
      <c r="A23" s="349" t="s">
        <v>2556</v>
      </c>
      <c r="B23" s="575" t="str">
        <f>'OfferInfo RARE'!A78</f>
        <v>OFFER_RARE_NEWBIE_1:40:OFFER_RARE_NEWBIE_2:40:OFFER_RARE_NEWBIE_3:20</v>
      </c>
      <c r="C23" s="310" t="s">
        <v>2603</v>
      </c>
    </row>
    <row r="24" spans="1:3" s="567" customFormat="1" x14ac:dyDescent="0.25">
      <c r="A24" s="349" t="s">
        <v>2557</v>
      </c>
      <c r="B24" s="575" t="str">
        <f>'OfferInfo RARE'!A83</f>
        <v>OFFER_RARE_NEWBIE_3:50:OFFER_RARE_NEWBIE_4:25:OFFER_RARE_NEWBIE_5:25</v>
      </c>
      <c r="C24" s="310" t="s">
        <v>2573</v>
      </c>
    </row>
    <row r="25" spans="1:3" s="567" customFormat="1" x14ac:dyDescent="0.25">
      <c r="A25" s="349" t="s">
        <v>2558</v>
      </c>
      <c r="B25" s="310">
        <f>6*60*60</f>
        <v>21600</v>
      </c>
      <c r="C25" s="310" t="s">
        <v>1641</v>
      </c>
    </row>
    <row r="26" spans="1:3" s="567" customFormat="1" x14ac:dyDescent="0.25">
      <c r="A26" s="349" t="s">
        <v>2559</v>
      </c>
      <c r="B26" s="310">
        <f>8*60*60</f>
        <v>28800</v>
      </c>
      <c r="C26" s="310"/>
    </row>
    <row r="27" spans="1:3" s="576" customFormat="1" x14ac:dyDescent="0.25">
      <c r="A27" s="501" t="s">
        <v>2560</v>
      </c>
      <c r="B27" s="573">
        <v>1000</v>
      </c>
      <c r="C27" s="573" t="s">
        <v>2577</v>
      </c>
    </row>
    <row r="28" spans="1:3" s="576" customFormat="1" x14ac:dyDescent="0.25">
      <c r="A28" s="501" t="s">
        <v>2561</v>
      </c>
      <c r="B28" s="502" t="str">
        <f>'OfferInfo RARE'!A90</f>
        <v>OFFER_RARE_SPECIAL_1:50:OFFER_RARE_SPECIAL_2:50</v>
      </c>
      <c r="C28" s="573" t="s">
        <v>2574</v>
      </c>
    </row>
    <row r="29" spans="1:3" s="576" customFormat="1" x14ac:dyDescent="0.25">
      <c r="A29" s="501" t="s">
        <v>2562</v>
      </c>
      <c r="B29" s="502" t="str">
        <f>'OfferInfo RARE'!A96</f>
        <v>OFFER_RARE_SPECIAL_1:30:OFFER_RARE_SPECIAL_2:30:OFFER_RARE_SPECIAL_3:25:OFFER_RARE_SPECIAL_4:15</v>
      </c>
      <c r="C29" s="573" t="s">
        <v>2575</v>
      </c>
    </row>
    <row r="30" spans="1:3" s="576" customFormat="1" x14ac:dyDescent="0.25">
      <c r="A30" s="501" t="s">
        <v>2563</v>
      </c>
      <c r="B30" s="502" t="str">
        <f>'OfferInfo RARE'!A101</f>
        <v>OFFER_RARE_SPECIAL_3:50:OFFER_RARE_SPECIAL_4:30:OFFER_RARE_SPECIAL_5:20</v>
      </c>
      <c r="C30" s="573" t="s">
        <v>2576</v>
      </c>
    </row>
    <row r="31" spans="1:3" s="576" customFormat="1" x14ac:dyDescent="0.25">
      <c r="A31" s="501" t="s">
        <v>2564</v>
      </c>
      <c r="B31" s="573">
        <f>6*60*60</f>
        <v>21600</v>
      </c>
      <c r="C31" s="573" t="s">
        <v>1641</v>
      </c>
    </row>
    <row r="32" spans="1:3" s="576" customFormat="1" x14ac:dyDescent="0.25">
      <c r="A32" s="501" t="s">
        <v>2565</v>
      </c>
      <c r="B32" s="573">
        <f>8*60*60</f>
        <v>28800</v>
      </c>
      <c r="C32" s="573"/>
    </row>
    <row r="33" spans="1:3" s="570" customFormat="1" x14ac:dyDescent="0.25">
      <c r="A33" s="571" t="s">
        <v>2566</v>
      </c>
      <c r="B33" s="6">
        <v>2000</v>
      </c>
      <c r="C33" s="6" t="s">
        <v>2577</v>
      </c>
    </row>
    <row r="34" spans="1:3" s="570" customFormat="1" x14ac:dyDescent="0.25">
      <c r="A34" s="571" t="s">
        <v>2567</v>
      </c>
      <c r="B34" s="574" t="str">
        <f>'OfferInfo RARE'!A109</f>
        <v>OFFER_RARE_SUPER_1:50:OFFER_RARE_SUPER_2:30:OFFER_RARE_SUPER_3:20</v>
      </c>
      <c r="C34" s="6" t="s">
        <v>2574</v>
      </c>
    </row>
    <row r="35" spans="1:3" s="570" customFormat="1" x14ac:dyDescent="0.25">
      <c r="A35" s="571" t="s">
        <v>2568</v>
      </c>
      <c r="B35" s="574" t="str">
        <f>'OfferInfo RARE'!A116</f>
        <v>OFFER_RARE_SUPER_1:30:OFFER_RARE_SUPER_2:30:OFFER_RARE_SUPER_3:25:OFFER_RARE_SUPER_4:15</v>
      </c>
      <c r="C35" s="6" t="s">
        <v>2575</v>
      </c>
    </row>
    <row r="36" spans="1:3" s="570" customFormat="1" x14ac:dyDescent="0.25">
      <c r="A36" s="571" t="s">
        <v>2569</v>
      </c>
      <c r="B36" s="574" t="str">
        <f>'OfferInfo RARE'!A122</f>
        <v>OFFER_RARE_SUPER_3:50:OFFER_RARE_SUPER_4:30:OFFER_RARE_SUPER_5:20</v>
      </c>
      <c r="C36" s="6" t="s">
        <v>2576</v>
      </c>
    </row>
    <row r="37" spans="1:3" s="570" customFormat="1" x14ac:dyDescent="0.25">
      <c r="A37" s="571" t="s">
        <v>2570</v>
      </c>
      <c r="B37" s="6">
        <f>6*60*60</f>
        <v>21600</v>
      </c>
      <c r="C37" s="6" t="s">
        <v>1641</v>
      </c>
    </row>
    <row r="38" spans="1:3" s="570" customFormat="1" x14ac:dyDescent="0.25">
      <c r="A38" s="571" t="s">
        <v>2571</v>
      </c>
      <c r="B38" s="6">
        <f>8*60*60</f>
        <v>28800</v>
      </c>
      <c r="C38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>
      <pane xSplit="4" ySplit="1" topLeftCell="E61" activePane="bottomRight" state="frozen"/>
      <selection pane="topRight" activeCell="E1" sqref="E1"/>
      <selection pane="bottomLeft" activeCell="A2" sqref="A2"/>
      <selection pane="bottomRight" activeCell="E75" sqref="E75"/>
    </sheetView>
  </sheetViews>
  <sheetFormatPr defaultRowHeight="15" x14ac:dyDescent="0.25"/>
  <cols>
    <col min="1" max="1" width="52" bestFit="1" customWidth="1"/>
    <col min="2" max="2" width="16.7109375" customWidth="1"/>
    <col min="3" max="3" width="11" bestFit="1" customWidth="1"/>
    <col min="4" max="4" width="12.5703125" bestFit="1" customWidth="1"/>
    <col min="5" max="5" width="148.7109375" bestFit="1" customWidth="1"/>
    <col min="6" max="6" width="12.28515625" bestFit="1" customWidth="1"/>
    <col min="7" max="7" width="16.7109375" bestFit="1" customWidth="1"/>
    <col min="8" max="8" width="17.28515625" bestFit="1" customWidth="1"/>
    <col min="9" max="9" width="19.42578125" bestFit="1" customWidth="1"/>
    <col min="10" max="10" width="14.42578125" customWidth="1"/>
    <col min="11" max="11" width="28.85546875" bestFit="1" customWidth="1"/>
    <col min="12" max="13" width="32.85546875" bestFit="1" customWidth="1"/>
    <col min="252" max="252" width="11.85546875" customWidth="1"/>
    <col min="253" max="253" width="2.85546875" bestFit="1" customWidth="1"/>
    <col min="254" max="254" width="9.140625" bestFit="1" customWidth="1"/>
    <col min="255" max="255" width="4.7109375" bestFit="1" customWidth="1"/>
    <col min="256" max="256" width="19.42578125" customWidth="1"/>
    <col min="257" max="257" width="16.42578125" bestFit="1" customWidth="1"/>
    <col min="258" max="258" width="16.140625" bestFit="1" customWidth="1"/>
    <col min="259" max="260" width="14.5703125" bestFit="1" customWidth="1"/>
    <col min="261" max="261" width="16.42578125" bestFit="1" customWidth="1"/>
    <col min="262" max="262" width="16.140625" customWidth="1"/>
    <col min="263" max="263" width="15.7109375" bestFit="1" customWidth="1"/>
    <col min="508" max="508" width="11.85546875" customWidth="1"/>
    <col min="509" max="509" width="2.85546875" bestFit="1" customWidth="1"/>
    <col min="510" max="510" width="9.140625" bestFit="1" customWidth="1"/>
    <col min="511" max="511" width="4.7109375" bestFit="1" customWidth="1"/>
    <col min="512" max="512" width="19.42578125" customWidth="1"/>
    <col min="513" max="513" width="16.42578125" bestFit="1" customWidth="1"/>
    <col min="514" max="514" width="16.140625" bestFit="1" customWidth="1"/>
    <col min="515" max="516" width="14.5703125" bestFit="1" customWidth="1"/>
    <col min="517" max="517" width="16.42578125" bestFit="1" customWidth="1"/>
    <col min="518" max="518" width="16.140625" customWidth="1"/>
    <col min="519" max="519" width="15.7109375" bestFit="1" customWidth="1"/>
    <col min="764" max="764" width="11.85546875" customWidth="1"/>
    <col min="765" max="765" width="2.85546875" bestFit="1" customWidth="1"/>
    <col min="766" max="766" width="9.140625" bestFit="1" customWidth="1"/>
    <col min="767" max="767" width="4.7109375" bestFit="1" customWidth="1"/>
    <col min="768" max="768" width="19.42578125" customWidth="1"/>
    <col min="769" max="769" width="16.42578125" bestFit="1" customWidth="1"/>
    <col min="770" max="770" width="16.140625" bestFit="1" customWidth="1"/>
    <col min="771" max="772" width="14.5703125" bestFit="1" customWidth="1"/>
    <col min="773" max="773" width="16.42578125" bestFit="1" customWidth="1"/>
    <col min="774" max="774" width="16.140625" customWidth="1"/>
    <col min="775" max="775" width="15.7109375" bestFit="1" customWidth="1"/>
    <col min="1020" max="1020" width="11.85546875" customWidth="1"/>
    <col min="1021" max="1021" width="2.85546875" bestFit="1" customWidth="1"/>
    <col min="1022" max="1022" width="9.140625" bestFit="1" customWidth="1"/>
    <col min="1023" max="1023" width="4.7109375" bestFit="1" customWidth="1"/>
    <col min="1024" max="1024" width="19.42578125" customWidth="1"/>
    <col min="1025" max="1025" width="16.42578125" bestFit="1" customWidth="1"/>
    <col min="1026" max="1026" width="16.140625" bestFit="1" customWidth="1"/>
    <col min="1027" max="1028" width="14.5703125" bestFit="1" customWidth="1"/>
    <col min="1029" max="1029" width="16.42578125" bestFit="1" customWidth="1"/>
    <col min="1030" max="1030" width="16.140625" customWidth="1"/>
    <col min="1031" max="1031" width="15.7109375" bestFit="1" customWidth="1"/>
    <col min="1276" max="1276" width="11.85546875" customWidth="1"/>
    <col min="1277" max="1277" width="2.85546875" bestFit="1" customWidth="1"/>
    <col min="1278" max="1278" width="9.140625" bestFit="1" customWidth="1"/>
    <col min="1279" max="1279" width="4.7109375" bestFit="1" customWidth="1"/>
    <col min="1280" max="1280" width="19.42578125" customWidth="1"/>
    <col min="1281" max="1281" width="16.42578125" bestFit="1" customWidth="1"/>
    <col min="1282" max="1282" width="16.140625" bestFit="1" customWidth="1"/>
    <col min="1283" max="1284" width="14.5703125" bestFit="1" customWidth="1"/>
    <col min="1285" max="1285" width="16.42578125" bestFit="1" customWidth="1"/>
    <col min="1286" max="1286" width="16.140625" customWidth="1"/>
    <col min="1287" max="1287" width="15.7109375" bestFit="1" customWidth="1"/>
    <col min="1532" max="1532" width="11.85546875" customWidth="1"/>
    <col min="1533" max="1533" width="2.85546875" bestFit="1" customWidth="1"/>
    <col min="1534" max="1534" width="9.140625" bestFit="1" customWidth="1"/>
    <col min="1535" max="1535" width="4.7109375" bestFit="1" customWidth="1"/>
    <col min="1536" max="1536" width="19.42578125" customWidth="1"/>
    <col min="1537" max="1537" width="16.42578125" bestFit="1" customWidth="1"/>
    <col min="1538" max="1538" width="16.140625" bestFit="1" customWidth="1"/>
    <col min="1539" max="1540" width="14.5703125" bestFit="1" customWidth="1"/>
    <col min="1541" max="1541" width="16.42578125" bestFit="1" customWidth="1"/>
    <col min="1542" max="1542" width="16.140625" customWidth="1"/>
    <col min="1543" max="1543" width="15.7109375" bestFit="1" customWidth="1"/>
    <col min="1788" max="1788" width="11.85546875" customWidth="1"/>
    <col min="1789" max="1789" width="2.85546875" bestFit="1" customWidth="1"/>
    <col min="1790" max="1790" width="9.140625" bestFit="1" customWidth="1"/>
    <col min="1791" max="1791" width="4.7109375" bestFit="1" customWidth="1"/>
    <col min="1792" max="1792" width="19.42578125" customWidth="1"/>
    <col min="1793" max="1793" width="16.42578125" bestFit="1" customWidth="1"/>
    <col min="1794" max="1794" width="16.140625" bestFit="1" customWidth="1"/>
    <col min="1795" max="1796" width="14.5703125" bestFit="1" customWidth="1"/>
    <col min="1797" max="1797" width="16.42578125" bestFit="1" customWidth="1"/>
    <col min="1798" max="1798" width="16.140625" customWidth="1"/>
    <col min="1799" max="1799" width="15.7109375" bestFit="1" customWidth="1"/>
    <col min="2044" max="2044" width="11.85546875" customWidth="1"/>
    <col min="2045" max="2045" width="2.85546875" bestFit="1" customWidth="1"/>
    <col min="2046" max="2046" width="9.140625" bestFit="1" customWidth="1"/>
    <col min="2047" max="2047" width="4.7109375" bestFit="1" customWidth="1"/>
    <col min="2048" max="2048" width="19.42578125" customWidth="1"/>
    <col min="2049" max="2049" width="16.42578125" bestFit="1" customWidth="1"/>
    <col min="2050" max="2050" width="16.140625" bestFit="1" customWidth="1"/>
    <col min="2051" max="2052" width="14.5703125" bestFit="1" customWidth="1"/>
    <col min="2053" max="2053" width="16.42578125" bestFit="1" customWidth="1"/>
    <col min="2054" max="2054" width="16.140625" customWidth="1"/>
    <col min="2055" max="2055" width="15.7109375" bestFit="1" customWidth="1"/>
    <col min="2300" max="2300" width="11.85546875" customWidth="1"/>
    <col min="2301" max="2301" width="2.85546875" bestFit="1" customWidth="1"/>
    <col min="2302" max="2302" width="9.140625" bestFit="1" customWidth="1"/>
    <col min="2303" max="2303" width="4.7109375" bestFit="1" customWidth="1"/>
    <col min="2304" max="2304" width="19.42578125" customWidth="1"/>
    <col min="2305" max="2305" width="16.42578125" bestFit="1" customWidth="1"/>
    <col min="2306" max="2306" width="16.140625" bestFit="1" customWidth="1"/>
    <col min="2307" max="2308" width="14.5703125" bestFit="1" customWidth="1"/>
    <col min="2309" max="2309" width="16.42578125" bestFit="1" customWidth="1"/>
    <col min="2310" max="2310" width="16.140625" customWidth="1"/>
    <col min="2311" max="2311" width="15.7109375" bestFit="1" customWidth="1"/>
    <col min="2556" max="2556" width="11.85546875" customWidth="1"/>
    <col min="2557" max="2557" width="2.85546875" bestFit="1" customWidth="1"/>
    <col min="2558" max="2558" width="9.140625" bestFit="1" customWidth="1"/>
    <col min="2559" max="2559" width="4.7109375" bestFit="1" customWidth="1"/>
    <col min="2560" max="2560" width="19.42578125" customWidth="1"/>
    <col min="2561" max="2561" width="16.42578125" bestFit="1" customWidth="1"/>
    <col min="2562" max="2562" width="16.140625" bestFit="1" customWidth="1"/>
    <col min="2563" max="2564" width="14.5703125" bestFit="1" customWidth="1"/>
    <col min="2565" max="2565" width="16.42578125" bestFit="1" customWidth="1"/>
    <col min="2566" max="2566" width="16.140625" customWidth="1"/>
    <col min="2567" max="2567" width="15.7109375" bestFit="1" customWidth="1"/>
    <col min="2812" max="2812" width="11.85546875" customWidth="1"/>
    <col min="2813" max="2813" width="2.85546875" bestFit="1" customWidth="1"/>
    <col min="2814" max="2814" width="9.140625" bestFit="1" customWidth="1"/>
    <col min="2815" max="2815" width="4.7109375" bestFit="1" customWidth="1"/>
    <col min="2816" max="2816" width="19.42578125" customWidth="1"/>
    <col min="2817" max="2817" width="16.42578125" bestFit="1" customWidth="1"/>
    <col min="2818" max="2818" width="16.140625" bestFit="1" customWidth="1"/>
    <col min="2819" max="2820" width="14.5703125" bestFit="1" customWidth="1"/>
    <col min="2821" max="2821" width="16.42578125" bestFit="1" customWidth="1"/>
    <col min="2822" max="2822" width="16.140625" customWidth="1"/>
    <col min="2823" max="2823" width="15.7109375" bestFit="1" customWidth="1"/>
    <col min="3068" max="3068" width="11.85546875" customWidth="1"/>
    <col min="3069" max="3069" width="2.85546875" bestFit="1" customWidth="1"/>
    <col min="3070" max="3070" width="9.140625" bestFit="1" customWidth="1"/>
    <col min="3071" max="3071" width="4.7109375" bestFit="1" customWidth="1"/>
    <col min="3072" max="3072" width="19.42578125" customWidth="1"/>
    <col min="3073" max="3073" width="16.42578125" bestFit="1" customWidth="1"/>
    <col min="3074" max="3074" width="16.140625" bestFit="1" customWidth="1"/>
    <col min="3075" max="3076" width="14.5703125" bestFit="1" customWidth="1"/>
    <col min="3077" max="3077" width="16.42578125" bestFit="1" customWidth="1"/>
    <col min="3078" max="3078" width="16.140625" customWidth="1"/>
    <col min="3079" max="3079" width="15.7109375" bestFit="1" customWidth="1"/>
    <col min="3324" max="3324" width="11.85546875" customWidth="1"/>
    <col min="3325" max="3325" width="2.85546875" bestFit="1" customWidth="1"/>
    <col min="3326" max="3326" width="9.140625" bestFit="1" customWidth="1"/>
    <col min="3327" max="3327" width="4.7109375" bestFit="1" customWidth="1"/>
    <col min="3328" max="3328" width="19.42578125" customWidth="1"/>
    <col min="3329" max="3329" width="16.42578125" bestFit="1" customWidth="1"/>
    <col min="3330" max="3330" width="16.140625" bestFit="1" customWidth="1"/>
    <col min="3331" max="3332" width="14.5703125" bestFit="1" customWidth="1"/>
    <col min="3333" max="3333" width="16.42578125" bestFit="1" customWidth="1"/>
    <col min="3334" max="3334" width="16.140625" customWidth="1"/>
    <col min="3335" max="3335" width="15.7109375" bestFit="1" customWidth="1"/>
    <col min="3580" max="3580" width="11.85546875" customWidth="1"/>
    <col min="3581" max="3581" width="2.85546875" bestFit="1" customWidth="1"/>
    <col min="3582" max="3582" width="9.140625" bestFit="1" customWidth="1"/>
    <col min="3583" max="3583" width="4.7109375" bestFit="1" customWidth="1"/>
    <col min="3584" max="3584" width="19.42578125" customWidth="1"/>
    <col min="3585" max="3585" width="16.42578125" bestFit="1" customWidth="1"/>
    <col min="3586" max="3586" width="16.140625" bestFit="1" customWidth="1"/>
    <col min="3587" max="3588" width="14.5703125" bestFit="1" customWidth="1"/>
    <col min="3589" max="3589" width="16.42578125" bestFit="1" customWidth="1"/>
    <col min="3590" max="3590" width="16.140625" customWidth="1"/>
    <col min="3591" max="3591" width="15.7109375" bestFit="1" customWidth="1"/>
    <col min="3836" max="3836" width="11.85546875" customWidth="1"/>
    <col min="3837" max="3837" width="2.85546875" bestFit="1" customWidth="1"/>
    <col min="3838" max="3838" width="9.140625" bestFit="1" customWidth="1"/>
    <col min="3839" max="3839" width="4.7109375" bestFit="1" customWidth="1"/>
    <col min="3840" max="3840" width="19.42578125" customWidth="1"/>
    <col min="3841" max="3841" width="16.42578125" bestFit="1" customWidth="1"/>
    <col min="3842" max="3842" width="16.140625" bestFit="1" customWidth="1"/>
    <col min="3843" max="3844" width="14.5703125" bestFit="1" customWidth="1"/>
    <col min="3845" max="3845" width="16.42578125" bestFit="1" customWidth="1"/>
    <col min="3846" max="3846" width="16.140625" customWidth="1"/>
    <col min="3847" max="3847" width="15.7109375" bestFit="1" customWidth="1"/>
    <col min="4092" max="4092" width="11.85546875" customWidth="1"/>
    <col min="4093" max="4093" width="2.85546875" bestFit="1" customWidth="1"/>
    <col min="4094" max="4094" width="9.140625" bestFit="1" customWidth="1"/>
    <col min="4095" max="4095" width="4.7109375" bestFit="1" customWidth="1"/>
    <col min="4096" max="4096" width="19.42578125" customWidth="1"/>
    <col min="4097" max="4097" width="16.42578125" bestFit="1" customWidth="1"/>
    <col min="4098" max="4098" width="16.140625" bestFit="1" customWidth="1"/>
    <col min="4099" max="4100" width="14.5703125" bestFit="1" customWidth="1"/>
    <col min="4101" max="4101" width="16.42578125" bestFit="1" customWidth="1"/>
    <col min="4102" max="4102" width="16.140625" customWidth="1"/>
    <col min="4103" max="4103" width="15.7109375" bestFit="1" customWidth="1"/>
    <col min="4348" max="4348" width="11.85546875" customWidth="1"/>
    <col min="4349" max="4349" width="2.85546875" bestFit="1" customWidth="1"/>
    <col min="4350" max="4350" width="9.140625" bestFit="1" customWidth="1"/>
    <col min="4351" max="4351" width="4.7109375" bestFit="1" customWidth="1"/>
    <col min="4352" max="4352" width="19.42578125" customWidth="1"/>
    <col min="4353" max="4353" width="16.42578125" bestFit="1" customWidth="1"/>
    <col min="4354" max="4354" width="16.140625" bestFit="1" customWidth="1"/>
    <col min="4355" max="4356" width="14.5703125" bestFit="1" customWidth="1"/>
    <col min="4357" max="4357" width="16.42578125" bestFit="1" customWidth="1"/>
    <col min="4358" max="4358" width="16.140625" customWidth="1"/>
    <col min="4359" max="4359" width="15.7109375" bestFit="1" customWidth="1"/>
    <col min="4604" max="4604" width="11.85546875" customWidth="1"/>
    <col min="4605" max="4605" width="2.85546875" bestFit="1" customWidth="1"/>
    <col min="4606" max="4606" width="9.140625" bestFit="1" customWidth="1"/>
    <col min="4607" max="4607" width="4.7109375" bestFit="1" customWidth="1"/>
    <col min="4608" max="4608" width="19.42578125" customWidth="1"/>
    <col min="4609" max="4609" width="16.42578125" bestFit="1" customWidth="1"/>
    <col min="4610" max="4610" width="16.140625" bestFit="1" customWidth="1"/>
    <col min="4611" max="4612" width="14.5703125" bestFit="1" customWidth="1"/>
    <col min="4613" max="4613" width="16.42578125" bestFit="1" customWidth="1"/>
    <col min="4614" max="4614" width="16.140625" customWidth="1"/>
    <col min="4615" max="4615" width="15.7109375" bestFit="1" customWidth="1"/>
    <col min="4860" max="4860" width="11.85546875" customWidth="1"/>
    <col min="4861" max="4861" width="2.85546875" bestFit="1" customWidth="1"/>
    <col min="4862" max="4862" width="9.140625" bestFit="1" customWidth="1"/>
    <col min="4863" max="4863" width="4.7109375" bestFit="1" customWidth="1"/>
    <col min="4864" max="4864" width="19.42578125" customWidth="1"/>
    <col min="4865" max="4865" width="16.42578125" bestFit="1" customWidth="1"/>
    <col min="4866" max="4866" width="16.140625" bestFit="1" customWidth="1"/>
    <col min="4867" max="4868" width="14.5703125" bestFit="1" customWidth="1"/>
    <col min="4869" max="4869" width="16.42578125" bestFit="1" customWidth="1"/>
    <col min="4870" max="4870" width="16.140625" customWidth="1"/>
    <col min="4871" max="4871" width="15.7109375" bestFit="1" customWidth="1"/>
    <col min="5116" max="5116" width="11.85546875" customWidth="1"/>
    <col min="5117" max="5117" width="2.85546875" bestFit="1" customWidth="1"/>
    <col min="5118" max="5118" width="9.140625" bestFit="1" customWidth="1"/>
    <col min="5119" max="5119" width="4.7109375" bestFit="1" customWidth="1"/>
    <col min="5120" max="5120" width="19.42578125" customWidth="1"/>
    <col min="5121" max="5121" width="16.42578125" bestFit="1" customWidth="1"/>
    <col min="5122" max="5122" width="16.140625" bestFit="1" customWidth="1"/>
    <col min="5123" max="5124" width="14.5703125" bestFit="1" customWidth="1"/>
    <col min="5125" max="5125" width="16.42578125" bestFit="1" customWidth="1"/>
    <col min="5126" max="5126" width="16.140625" customWidth="1"/>
    <col min="5127" max="5127" width="15.7109375" bestFit="1" customWidth="1"/>
    <col min="5372" max="5372" width="11.85546875" customWidth="1"/>
    <col min="5373" max="5373" width="2.85546875" bestFit="1" customWidth="1"/>
    <col min="5374" max="5374" width="9.140625" bestFit="1" customWidth="1"/>
    <col min="5375" max="5375" width="4.7109375" bestFit="1" customWidth="1"/>
    <col min="5376" max="5376" width="19.42578125" customWidth="1"/>
    <col min="5377" max="5377" width="16.42578125" bestFit="1" customWidth="1"/>
    <col min="5378" max="5378" width="16.140625" bestFit="1" customWidth="1"/>
    <col min="5379" max="5380" width="14.5703125" bestFit="1" customWidth="1"/>
    <col min="5381" max="5381" width="16.42578125" bestFit="1" customWidth="1"/>
    <col min="5382" max="5382" width="16.140625" customWidth="1"/>
    <col min="5383" max="5383" width="15.7109375" bestFit="1" customWidth="1"/>
    <col min="5628" max="5628" width="11.85546875" customWidth="1"/>
    <col min="5629" max="5629" width="2.85546875" bestFit="1" customWidth="1"/>
    <col min="5630" max="5630" width="9.140625" bestFit="1" customWidth="1"/>
    <col min="5631" max="5631" width="4.7109375" bestFit="1" customWidth="1"/>
    <col min="5632" max="5632" width="19.42578125" customWidth="1"/>
    <col min="5633" max="5633" width="16.42578125" bestFit="1" customWidth="1"/>
    <col min="5634" max="5634" width="16.140625" bestFit="1" customWidth="1"/>
    <col min="5635" max="5636" width="14.5703125" bestFit="1" customWidth="1"/>
    <col min="5637" max="5637" width="16.42578125" bestFit="1" customWidth="1"/>
    <col min="5638" max="5638" width="16.140625" customWidth="1"/>
    <col min="5639" max="5639" width="15.7109375" bestFit="1" customWidth="1"/>
    <col min="5884" max="5884" width="11.85546875" customWidth="1"/>
    <col min="5885" max="5885" width="2.85546875" bestFit="1" customWidth="1"/>
    <col min="5886" max="5886" width="9.140625" bestFit="1" customWidth="1"/>
    <col min="5887" max="5887" width="4.7109375" bestFit="1" customWidth="1"/>
    <col min="5888" max="5888" width="19.42578125" customWidth="1"/>
    <col min="5889" max="5889" width="16.42578125" bestFit="1" customWidth="1"/>
    <col min="5890" max="5890" width="16.140625" bestFit="1" customWidth="1"/>
    <col min="5891" max="5892" width="14.5703125" bestFit="1" customWidth="1"/>
    <col min="5893" max="5893" width="16.42578125" bestFit="1" customWidth="1"/>
    <col min="5894" max="5894" width="16.140625" customWidth="1"/>
    <col min="5895" max="5895" width="15.7109375" bestFit="1" customWidth="1"/>
    <col min="6140" max="6140" width="11.85546875" customWidth="1"/>
    <col min="6141" max="6141" width="2.85546875" bestFit="1" customWidth="1"/>
    <col min="6142" max="6142" width="9.140625" bestFit="1" customWidth="1"/>
    <col min="6143" max="6143" width="4.7109375" bestFit="1" customWidth="1"/>
    <col min="6144" max="6144" width="19.42578125" customWidth="1"/>
    <col min="6145" max="6145" width="16.42578125" bestFit="1" customWidth="1"/>
    <col min="6146" max="6146" width="16.140625" bestFit="1" customWidth="1"/>
    <col min="6147" max="6148" width="14.5703125" bestFit="1" customWidth="1"/>
    <col min="6149" max="6149" width="16.42578125" bestFit="1" customWidth="1"/>
    <col min="6150" max="6150" width="16.140625" customWidth="1"/>
    <col min="6151" max="6151" width="15.7109375" bestFit="1" customWidth="1"/>
    <col min="6396" max="6396" width="11.85546875" customWidth="1"/>
    <col min="6397" max="6397" width="2.85546875" bestFit="1" customWidth="1"/>
    <col min="6398" max="6398" width="9.140625" bestFit="1" customWidth="1"/>
    <col min="6399" max="6399" width="4.7109375" bestFit="1" customWidth="1"/>
    <col min="6400" max="6400" width="19.42578125" customWidth="1"/>
    <col min="6401" max="6401" width="16.42578125" bestFit="1" customWidth="1"/>
    <col min="6402" max="6402" width="16.140625" bestFit="1" customWidth="1"/>
    <col min="6403" max="6404" width="14.5703125" bestFit="1" customWidth="1"/>
    <col min="6405" max="6405" width="16.42578125" bestFit="1" customWidth="1"/>
    <col min="6406" max="6406" width="16.140625" customWidth="1"/>
    <col min="6407" max="6407" width="15.7109375" bestFit="1" customWidth="1"/>
    <col min="6652" max="6652" width="11.85546875" customWidth="1"/>
    <col min="6653" max="6653" width="2.85546875" bestFit="1" customWidth="1"/>
    <col min="6654" max="6654" width="9.140625" bestFit="1" customWidth="1"/>
    <col min="6655" max="6655" width="4.7109375" bestFit="1" customWidth="1"/>
    <col min="6656" max="6656" width="19.42578125" customWidth="1"/>
    <col min="6657" max="6657" width="16.42578125" bestFit="1" customWidth="1"/>
    <col min="6658" max="6658" width="16.140625" bestFit="1" customWidth="1"/>
    <col min="6659" max="6660" width="14.5703125" bestFit="1" customWidth="1"/>
    <col min="6661" max="6661" width="16.42578125" bestFit="1" customWidth="1"/>
    <col min="6662" max="6662" width="16.140625" customWidth="1"/>
    <col min="6663" max="6663" width="15.7109375" bestFit="1" customWidth="1"/>
    <col min="6908" max="6908" width="11.85546875" customWidth="1"/>
    <col min="6909" max="6909" width="2.85546875" bestFit="1" customWidth="1"/>
    <col min="6910" max="6910" width="9.140625" bestFit="1" customWidth="1"/>
    <col min="6911" max="6911" width="4.7109375" bestFit="1" customWidth="1"/>
    <col min="6912" max="6912" width="19.42578125" customWidth="1"/>
    <col min="6913" max="6913" width="16.42578125" bestFit="1" customWidth="1"/>
    <col min="6914" max="6914" width="16.140625" bestFit="1" customWidth="1"/>
    <col min="6915" max="6916" width="14.5703125" bestFit="1" customWidth="1"/>
    <col min="6917" max="6917" width="16.42578125" bestFit="1" customWidth="1"/>
    <col min="6918" max="6918" width="16.140625" customWidth="1"/>
    <col min="6919" max="6919" width="15.7109375" bestFit="1" customWidth="1"/>
    <col min="7164" max="7164" width="11.85546875" customWidth="1"/>
    <col min="7165" max="7165" width="2.85546875" bestFit="1" customWidth="1"/>
    <col min="7166" max="7166" width="9.140625" bestFit="1" customWidth="1"/>
    <col min="7167" max="7167" width="4.7109375" bestFit="1" customWidth="1"/>
    <col min="7168" max="7168" width="19.42578125" customWidth="1"/>
    <col min="7169" max="7169" width="16.42578125" bestFit="1" customWidth="1"/>
    <col min="7170" max="7170" width="16.140625" bestFit="1" customWidth="1"/>
    <col min="7171" max="7172" width="14.5703125" bestFit="1" customWidth="1"/>
    <col min="7173" max="7173" width="16.42578125" bestFit="1" customWidth="1"/>
    <col min="7174" max="7174" width="16.140625" customWidth="1"/>
    <col min="7175" max="7175" width="15.7109375" bestFit="1" customWidth="1"/>
    <col min="7420" max="7420" width="11.85546875" customWidth="1"/>
    <col min="7421" max="7421" width="2.85546875" bestFit="1" customWidth="1"/>
    <col min="7422" max="7422" width="9.140625" bestFit="1" customWidth="1"/>
    <col min="7423" max="7423" width="4.7109375" bestFit="1" customWidth="1"/>
    <col min="7424" max="7424" width="19.42578125" customWidth="1"/>
    <col min="7425" max="7425" width="16.42578125" bestFit="1" customWidth="1"/>
    <col min="7426" max="7426" width="16.140625" bestFit="1" customWidth="1"/>
    <col min="7427" max="7428" width="14.5703125" bestFit="1" customWidth="1"/>
    <col min="7429" max="7429" width="16.42578125" bestFit="1" customWidth="1"/>
    <col min="7430" max="7430" width="16.140625" customWidth="1"/>
    <col min="7431" max="7431" width="15.7109375" bestFit="1" customWidth="1"/>
    <col min="7676" max="7676" width="11.85546875" customWidth="1"/>
    <col min="7677" max="7677" width="2.85546875" bestFit="1" customWidth="1"/>
    <col min="7678" max="7678" width="9.140625" bestFit="1" customWidth="1"/>
    <col min="7679" max="7679" width="4.7109375" bestFit="1" customWidth="1"/>
    <col min="7680" max="7680" width="19.42578125" customWidth="1"/>
    <col min="7681" max="7681" width="16.42578125" bestFit="1" customWidth="1"/>
    <col min="7682" max="7682" width="16.140625" bestFit="1" customWidth="1"/>
    <col min="7683" max="7684" width="14.5703125" bestFit="1" customWidth="1"/>
    <col min="7685" max="7685" width="16.42578125" bestFit="1" customWidth="1"/>
    <col min="7686" max="7686" width="16.140625" customWidth="1"/>
    <col min="7687" max="7687" width="15.7109375" bestFit="1" customWidth="1"/>
    <col min="7932" max="7932" width="11.85546875" customWidth="1"/>
    <col min="7933" max="7933" width="2.85546875" bestFit="1" customWidth="1"/>
    <col min="7934" max="7934" width="9.140625" bestFit="1" customWidth="1"/>
    <col min="7935" max="7935" width="4.7109375" bestFit="1" customWidth="1"/>
    <col min="7936" max="7936" width="19.42578125" customWidth="1"/>
    <col min="7937" max="7937" width="16.42578125" bestFit="1" customWidth="1"/>
    <col min="7938" max="7938" width="16.140625" bestFit="1" customWidth="1"/>
    <col min="7939" max="7940" width="14.5703125" bestFit="1" customWidth="1"/>
    <col min="7941" max="7941" width="16.42578125" bestFit="1" customWidth="1"/>
    <col min="7942" max="7942" width="16.140625" customWidth="1"/>
    <col min="7943" max="7943" width="15.7109375" bestFit="1" customWidth="1"/>
    <col min="8188" max="8188" width="11.85546875" customWidth="1"/>
    <col min="8189" max="8189" width="2.85546875" bestFit="1" customWidth="1"/>
    <col min="8190" max="8190" width="9.140625" bestFit="1" customWidth="1"/>
    <col min="8191" max="8191" width="4.7109375" bestFit="1" customWidth="1"/>
    <col min="8192" max="8192" width="19.42578125" customWidth="1"/>
    <col min="8193" max="8193" width="16.42578125" bestFit="1" customWidth="1"/>
    <col min="8194" max="8194" width="16.140625" bestFit="1" customWidth="1"/>
    <col min="8195" max="8196" width="14.5703125" bestFit="1" customWidth="1"/>
    <col min="8197" max="8197" width="16.42578125" bestFit="1" customWidth="1"/>
    <col min="8198" max="8198" width="16.140625" customWidth="1"/>
    <col min="8199" max="8199" width="15.7109375" bestFit="1" customWidth="1"/>
    <col min="8444" max="8444" width="11.85546875" customWidth="1"/>
    <col min="8445" max="8445" width="2.85546875" bestFit="1" customWidth="1"/>
    <col min="8446" max="8446" width="9.140625" bestFit="1" customWidth="1"/>
    <col min="8447" max="8447" width="4.7109375" bestFit="1" customWidth="1"/>
    <col min="8448" max="8448" width="19.42578125" customWidth="1"/>
    <col min="8449" max="8449" width="16.42578125" bestFit="1" customWidth="1"/>
    <col min="8450" max="8450" width="16.140625" bestFit="1" customWidth="1"/>
    <col min="8451" max="8452" width="14.5703125" bestFit="1" customWidth="1"/>
    <col min="8453" max="8453" width="16.42578125" bestFit="1" customWidth="1"/>
    <col min="8454" max="8454" width="16.140625" customWidth="1"/>
    <col min="8455" max="8455" width="15.7109375" bestFit="1" customWidth="1"/>
    <col min="8700" max="8700" width="11.85546875" customWidth="1"/>
    <col min="8701" max="8701" width="2.85546875" bestFit="1" customWidth="1"/>
    <col min="8702" max="8702" width="9.140625" bestFit="1" customWidth="1"/>
    <col min="8703" max="8703" width="4.7109375" bestFit="1" customWidth="1"/>
    <col min="8704" max="8704" width="19.42578125" customWidth="1"/>
    <col min="8705" max="8705" width="16.42578125" bestFit="1" customWidth="1"/>
    <col min="8706" max="8706" width="16.140625" bestFit="1" customWidth="1"/>
    <col min="8707" max="8708" width="14.5703125" bestFit="1" customWidth="1"/>
    <col min="8709" max="8709" width="16.42578125" bestFit="1" customWidth="1"/>
    <col min="8710" max="8710" width="16.140625" customWidth="1"/>
    <col min="8711" max="8711" width="15.7109375" bestFit="1" customWidth="1"/>
    <col min="8956" max="8956" width="11.85546875" customWidth="1"/>
    <col min="8957" max="8957" width="2.85546875" bestFit="1" customWidth="1"/>
    <col min="8958" max="8958" width="9.140625" bestFit="1" customWidth="1"/>
    <col min="8959" max="8959" width="4.7109375" bestFit="1" customWidth="1"/>
    <col min="8960" max="8960" width="19.42578125" customWidth="1"/>
    <col min="8961" max="8961" width="16.42578125" bestFit="1" customWidth="1"/>
    <col min="8962" max="8962" width="16.140625" bestFit="1" customWidth="1"/>
    <col min="8963" max="8964" width="14.5703125" bestFit="1" customWidth="1"/>
    <col min="8965" max="8965" width="16.42578125" bestFit="1" customWidth="1"/>
    <col min="8966" max="8966" width="16.140625" customWidth="1"/>
    <col min="8967" max="8967" width="15.7109375" bestFit="1" customWidth="1"/>
    <col min="9212" max="9212" width="11.85546875" customWidth="1"/>
    <col min="9213" max="9213" width="2.85546875" bestFit="1" customWidth="1"/>
    <col min="9214" max="9214" width="9.140625" bestFit="1" customWidth="1"/>
    <col min="9215" max="9215" width="4.7109375" bestFit="1" customWidth="1"/>
    <col min="9216" max="9216" width="19.42578125" customWidth="1"/>
    <col min="9217" max="9217" width="16.42578125" bestFit="1" customWidth="1"/>
    <col min="9218" max="9218" width="16.140625" bestFit="1" customWidth="1"/>
    <col min="9219" max="9220" width="14.5703125" bestFit="1" customWidth="1"/>
    <col min="9221" max="9221" width="16.42578125" bestFit="1" customWidth="1"/>
    <col min="9222" max="9222" width="16.140625" customWidth="1"/>
    <col min="9223" max="9223" width="15.7109375" bestFit="1" customWidth="1"/>
    <col min="9468" max="9468" width="11.85546875" customWidth="1"/>
    <col min="9469" max="9469" width="2.85546875" bestFit="1" customWidth="1"/>
    <col min="9470" max="9470" width="9.140625" bestFit="1" customWidth="1"/>
    <col min="9471" max="9471" width="4.7109375" bestFit="1" customWidth="1"/>
    <col min="9472" max="9472" width="19.42578125" customWidth="1"/>
    <col min="9473" max="9473" width="16.42578125" bestFit="1" customWidth="1"/>
    <col min="9474" max="9474" width="16.140625" bestFit="1" customWidth="1"/>
    <col min="9475" max="9476" width="14.5703125" bestFit="1" customWidth="1"/>
    <col min="9477" max="9477" width="16.42578125" bestFit="1" customWidth="1"/>
    <col min="9478" max="9478" width="16.140625" customWidth="1"/>
    <col min="9479" max="9479" width="15.7109375" bestFit="1" customWidth="1"/>
    <col min="9724" max="9724" width="11.85546875" customWidth="1"/>
    <col min="9725" max="9725" width="2.85546875" bestFit="1" customWidth="1"/>
    <col min="9726" max="9726" width="9.140625" bestFit="1" customWidth="1"/>
    <col min="9727" max="9727" width="4.7109375" bestFit="1" customWidth="1"/>
    <col min="9728" max="9728" width="19.42578125" customWidth="1"/>
    <col min="9729" max="9729" width="16.42578125" bestFit="1" customWidth="1"/>
    <col min="9730" max="9730" width="16.140625" bestFit="1" customWidth="1"/>
    <col min="9731" max="9732" width="14.5703125" bestFit="1" customWidth="1"/>
    <col min="9733" max="9733" width="16.42578125" bestFit="1" customWidth="1"/>
    <col min="9734" max="9734" width="16.140625" customWidth="1"/>
    <col min="9735" max="9735" width="15.7109375" bestFit="1" customWidth="1"/>
    <col min="9980" max="9980" width="11.85546875" customWidth="1"/>
    <col min="9981" max="9981" width="2.85546875" bestFit="1" customWidth="1"/>
    <col min="9982" max="9982" width="9.140625" bestFit="1" customWidth="1"/>
    <col min="9983" max="9983" width="4.7109375" bestFit="1" customWidth="1"/>
    <col min="9984" max="9984" width="19.42578125" customWidth="1"/>
    <col min="9985" max="9985" width="16.42578125" bestFit="1" customWidth="1"/>
    <col min="9986" max="9986" width="16.140625" bestFit="1" customWidth="1"/>
    <col min="9987" max="9988" width="14.5703125" bestFit="1" customWidth="1"/>
    <col min="9989" max="9989" width="16.42578125" bestFit="1" customWidth="1"/>
    <col min="9990" max="9990" width="16.140625" customWidth="1"/>
    <col min="9991" max="9991" width="15.7109375" bestFit="1" customWidth="1"/>
    <col min="10236" max="10236" width="11.85546875" customWidth="1"/>
    <col min="10237" max="10237" width="2.85546875" bestFit="1" customWidth="1"/>
    <col min="10238" max="10238" width="9.140625" bestFit="1" customWidth="1"/>
    <col min="10239" max="10239" width="4.7109375" bestFit="1" customWidth="1"/>
    <col min="10240" max="10240" width="19.42578125" customWidth="1"/>
    <col min="10241" max="10241" width="16.42578125" bestFit="1" customWidth="1"/>
    <col min="10242" max="10242" width="16.140625" bestFit="1" customWidth="1"/>
    <col min="10243" max="10244" width="14.5703125" bestFit="1" customWidth="1"/>
    <col min="10245" max="10245" width="16.42578125" bestFit="1" customWidth="1"/>
    <col min="10246" max="10246" width="16.140625" customWidth="1"/>
    <col min="10247" max="10247" width="15.7109375" bestFit="1" customWidth="1"/>
    <col min="10492" max="10492" width="11.85546875" customWidth="1"/>
    <col min="10493" max="10493" width="2.85546875" bestFit="1" customWidth="1"/>
    <col min="10494" max="10494" width="9.140625" bestFit="1" customWidth="1"/>
    <col min="10495" max="10495" width="4.7109375" bestFit="1" customWidth="1"/>
    <col min="10496" max="10496" width="19.42578125" customWidth="1"/>
    <col min="10497" max="10497" width="16.42578125" bestFit="1" customWidth="1"/>
    <col min="10498" max="10498" width="16.140625" bestFit="1" customWidth="1"/>
    <col min="10499" max="10500" width="14.5703125" bestFit="1" customWidth="1"/>
    <col min="10501" max="10501" width="16.42578125" bestFit="1" customWidth="1"/>
    <col min="10502" max="10502" width="16.140625" customWidth="1"/>
    <col min="10503" max="10503" width="15.7109375" bestFit="1" customWidth="1"/>
    <col min="10748" max="10748" width="11.85546875" customWidth="1"/>
    <col min="10749" max="10749" width="2.85546875" bestFit="1" customWidth="1"/>
    <col min="10750" max="10750" width="9.140625" bestFit="1" customWidth="1"/>
    <col min="10751" max="10751" width="4.7109375" bestFit="1" customWidth="1"/>
    <col min="10752" max="10752" width="19.42578125" customWidth="1"/>
    <col min="10753" max="10753" width="16.42578125" bestFit="1" customWidth="1"/>
    <col min="10754" max="10754" width="16.140625" bestFit="1" customWidth="1"/>
    <col min="10755" max="10756" width="14.5703125" bestFit="1" customWidth="1"/>
    <col min="10757" max="10757" width="16.42578125" bestFit="1" customWidth="1"/>
    <col min="10758" max="10758" width="16.140625" customWidth="1"/>
    <col min="10759" max="10759" width="15.7109375" bestFit="1" customWidth="1"/>
    <col min="11004" max="11004" width="11.85546875" customWidth="1"/>
    <col min="11005" max="11005" width="2.85546875" bestFit="1" customWidth="1"/>
    <col min="11006" max="11006" width="9.140625" bestFit="1" customWidth="1"/>
    <col min="11007" max="11007" width="4.7109375" bestFit="1" customWidth="1"/>
    <col min="11008" max="11008" width="19.42578125" customWidth="1"/>
    <col min="11009" max="11009" width="16.42578125" bestFit="1" customWidth="1"/>
    <col min="11010" max="11010" width="16.140625" bestFit="1" customWidth="1"/>
    <col min="11011" max="11012" width="14.5703125" bestFit="1" customWidth="1"/>
    <col min="11013" max="11013" width="16.42578125" bestFit="1" customWidth="1"/>
    <col min="11014" max="11014" width="16.140625" customWidth="1"/>
    <col min="11015" max="11015" width="15.7109375" bestFit="1" customWidth="1"/>
    <col min="11260" max="11260" width="11.85546875" customWidth="1"/>
    <col min="11261" max="11261" width="2.85546875" bestFit="1" customWidth="1"/>
    <col min="11262" max="11262" width="9.140625" bestFit="1" customWidth="1"/>
    <col min="11263" max="11263" width="4.7109375" bestFit="1" customWidth="1"/>
    <col min="11264" max="11264" width="19.42578125" customWidth="1"/>
    <col min="11265" max="11265" width="16.42578125" bestFit="1" customWidth="1"/>
    <col min="11266" max="11266" width="16.140625" bestFit="1" customWidth="1"/>
    <col min="11267" max="11268" width="14.5703125" bestFit="1" customWidth="1"/>
    <col min="11269" max="11269" width="16.42578125" bestFit="1" customWidth="1"/>
    <col min="11270" max="11270" width="16.140625" customWidth="1"/>
    <col min="11271" max="11271" width="15.7109375" bestFit="1" customWidth="1"/>
    <col min="11516" max="11516" width="11.85546875" customWidth="1"/>
    <col min="11517" max="11517" width="2.85546875" bestFit="1" customWidth="1"/>
    <col min="11518" max="11518" width="9.140625" bestFit="1" customWidth="1"/>
    <col min="11519" max="11519" width="4.7109375" bestFit="1" customWidth="1"/>
    <col min="11520" max="11520" width="19.42578125" customWidth="1"/>
    <col min="11521" max="11521" width="16.42578125" bestFit="1" customWidth="1"/>
    <col min="11522" max="11522" width="16.140625" bestFit="1" customWidth="1"/>
    <col min="11523" max="11524" width="14.5703125" bestFit="1" customWidth="1"/>
    <col min="11525" max="11525" width="16.42578125" bestFit="1" customWidth="1"/>
    <col min="11526" max="11526" width="16.140625" customWidth="1"/>
    <col min="11527" max="11527" width="15.7109375" bestFit="1" customWidth="1"/>
    <col min="11772" max="11772" width="11.85546875" customWidth="1"/>
    <col min="11773" max="11773" width="2.85546875" bestFit="1" customWidth="1"/>
    <col min="11774" max="11774" width="9.140625" bestFit="1" customWidth="1"/>
    <col min="11775" max="11775" width="4.7109375" bestFit="1" customWidth="1"/>
    <col min="11776" max="11776" width="19.42578125" customWidth="1"/>
    <col min="11777" max="11777" width="16.42578125" bestFit="1" customWidth="1"/>
    <col min="11778" max="11778" width="16.140625" bestFit="1" customWidth="1"/>
    <col min="11779" max="11780" width="14.5703125" bestFit="1" customWidth="1"/>
    <col min="11781" max="11781" width="16.42578125" bestFit="1" customWidth="1"/>
    <col min="11782" max="11782" width="16.140625" customWidth="1"/>
    <col min="11783" max="11783" width="15.7109375" bestFit="1" customWidth="1"/>
    <col min="12028" max="12028" width="11.85546875" customWidth="1"/>
    <col min="12029" max="12029" width="2.85546875" bestFit="1" customWidth="1"/>
    <col min="12030" max="12030" width="9.140625" bestFit="1" customWidth="1"/>
    <col min="12031" max="12031" width="4.7109375" bestFit="1" customWidth="1"/>
    <col min="12032" max="12032" width="19.42578125" customWidth="1"/>
    <col min="12033" max="12033" width="16.42578125" bestFit="1" customWidth="1"/>
    <col min="12034" max="12034" width="16.140625" bestFit="1" customWidth="1"/>
    <col min="12035" max="12036" width="14.5703125" bestFit="1" customWidth="1"/>
    <col min="12037" max="12037" width="16.42578125" bestFit="1" customWidth="1"/>
    <col min="12038" max="12038" width="16.140625" customWidth="1"/>
    <col min="12039" max="12039" width="15.7109375" bestFit="1" customWidth="1"/>
    <col min="12284" max="12284" width="11.85546875" customWidth="1"/>
    <col min="12285" max="12285" width="2.85546875" bestFit="1" customWidth="1"/>
    <col min="12286" max="12286" width="9.140625" bestFit="1" customWidth="1"/>
    <col min="12287" max="12287" width="4.7109375" bestFit="1" customWidth="1"/>
    <col min="12288" max="12288" width="19.42578125" customWidth="1"/>
    <col min="12289" max="12289" width="16.42578125" bestFit="1" customWidth="1"/>
    <col min="12290" max="12290" width="16.140625" bestFit="1" customWidth="1"/>
    <col min="12291" max="12292" width="14.5703125" bestFit="1" customWidth="1"/>
    <col min="12293" max="12293" width="16.42578125" bestFit="1" customWidth="1"/>
    <col min="12294" max="12294" width="16.140625" customWidth="1"/>
    <col min="12295" max="12295" width="15.7109375" bestFit="1" customWidth="1"/>
    <col min="12540" max="12540" width="11.85546875" customWidth="1"/>
    <col min="12541" max="12541" width="2.85546875" bestFit="1" customWidth="1"/>
    <col min="12542" max="12542" width="9.140625" bestFit="1" customWidth="1"/>
    <col min="12543" max="12543" width="4.7109375" bestFit="1" customWidth="1"/>
    <col min="12544" max="12544" width="19.42578125" customWidth="1"/>
    <col min="12545" max="12545" width="16.42578125" bestFit="1" customWidth="1"/>
    <col min="12546" max="12546" width="16.140625" bestFit="1" customWidth="1"/>
    <col min="12547" max="12548" width="14.5703125" bestFit="1" customWidth="1"/>
    <col min="12549" max="12549" width="16.42578125" bestFit="1" customWidth="1"/>
    <col min="12550" max="12550" width="16.140625" customWidth="1"/>
    <col min="12551" max="12551" width="15.7109375" bestFit="1" customWidth="1"/>
    <col min="12796" max="12796" width="11.85546875" customWidth="1"/>
    <col min="12797" max="12797" width="2.85546875" bestFit="1" customWidth="1"/>
    <col min="12798" max="12798" width="9.140625" bestFit="1" customWidth="1"/>
    <col min="12799" max="12799" width="4.7109375" bestFit="1" customWidth="1"/>
    <col min="12800" max="12800" width="19.42578125" customWidth="1"/>
    <col min="12801" max="12801" width="16.42578125" bestFit="1" customWidth="1"/>
    <col min="12802" max="12802" width="16.140625" bestFit="1" customWidth="1"/>
    <col min="12803" max="12804" width="14.5703125" bestFit="1" customWidth="1"/>
    <col min="12805" max="12805" width="16.42578125" bestFit="1" customWidth="1"/>
    <col min="12806" max="12806" width="16.140625" customWidth="1"/>
    <col min="12807" max="12807" width="15.7109375" bestFit="1" customWidth="1"/>
    <col min="13052" max="13052" width="11.85546875" customWidth="1"/>
    <col min="13053" max="13053" width="2.85546875" bestFit="1" customWidth="1"/>
    <col min="13054" max="13054" width="9.140625" bestFit="1" customWidth="1"/>
    <col min="13055" max="13055" width="4.7109375" bestFit="1" customWidth="1"/>
    <col min="13056" max="13056" width="19.42578125" customWidth="1"/>
    <col min="13057" max="13057" width="16.42578125" bestFit="1" customWidth="1"/>
    <col min="13058" max="13058" width="16.140625" bestFit="1" customWidth="1"/>
    <col min="13059" max="13060" width="14.5703125" bestFit="1" customWidth="1"/>
    <col min="13061" max="13061" width="16.42578125" bestFit="1" customWidth="1"/>
    <col min="13062" max="13062" width="16.140625" customWidth="1"/>
    <col min="13063" max="13063" width="15.7109375" bestFit="1" customWidth="1"/>
    <col min="13308" max="13308" width="11.85546875" customWidth="1"/>
    <col min="13309" max="13309" width="2.85546875" bestFit="1" customWidth="1"/>
    <col min="13310" max="13310" width="9.140625" bestFit="1" customWidth="1"/>
    <col min="13311" max="13311" width="4.7109375" bestFit="1" customWidth="1"/>
    <col min="13312" max="13312" width="19.42578125" customWidth="1"/>
    <col min="13313" max="13313" width="16.42578125" bestFit="1" customWidth="1"/>
    <col min="13314" max="13314" width="16.140625" bestFit="1" customWidth="1"/>
    <col min="13315" max="13316" width="14.5703125" bestFit="1" customWidth="1"/>
    <col min="13317" max="13317" width="16.42578125" bestFit="1" customWidth="1"/>
    <col min="13318" max="13318" width="16.140625" customWidth="1"/>
    <col min="13319" max="13319" width="15.7109375" bestFit="1" customWidth="1"/>
    <col min="13564" max="13564" width="11.85546875" customWidth="1"/>
    <col min="13565" max="13565" width="2.85546875" bestFit="1" customWidth="1"/>
    <col min="13566" max="13566" width="9.140625" bestFit="1" customWidth="1"/>
    <col min="13567" max="13567" width="4.7109375" bestFit="1" customWidth="1"/>
    <col min="13568" max="13568" width="19.42578125" customWidth="1"/>
    <col min="13569" max="13569" width="16.42578125" bestFit="1" customWidth="1"/>
    <col min="13570" max="13570" width="16.140625" bestFit="1" customWidth="1"/>
    <col min="13571" max="13572" width="14.5703125" bestFit="1" customWidth="1"/>
    <col min="13573" max="13573" width="16.42578125" bestFit="1" customWidth="1"/>
    <col min="13574" max="13574" width="16.140625" customWidth="1"/>
    <col min="13575" max="13575" width="15.7109375" bestFit="1" customWidth="1"/>
    <col min="13820" max="13820" width="11.85546875" customWidth="1"/>
    <col min="13821" max="13821" width="2.85546875" bestFit="1" customWidth="1"/>
    <col min="13822" max="13822" width="9.140625" bestFit="1" customWidth="1"/>
    <col min="13823" max="13823" width="4.7109375" bestFit="1" customWidth="1"/>
    <col min="13824" max="13824" width="19.42578125" customWidth="1"/>
    <col min="13825" max="13825" width="16.42578125" bestFit="1" customWidth="1"/>
    <col min="13826" max="13826" width="16.140625" bestFit="1" customWidth="1"/>
    <col min="13827" max="13828" width="14.5703125" bestFit="1" customWidth="1"/>
    <col min="13829" max="13829" width="16.42578125" bestFit="1" customWidth="1"/>
    <col min="13830" max="13830" width="16.140625" customWidth="1"/>
    <col min="13831" max="13831" width="15.7109375" bestFit="1" customWidth="1"/>
    <col min="14076" max="14076" width="11.85546875" customWidth="1"/>
    <col min="14077" max="14077" width="2.85546875" bestFit="1" customWidth="1"/>
    <col min="14078" max="14078" width="9.140625" bestFit="1" customWidth="1"/>
    <col min="14079" max="14079" width="4.7109375" bestFit="1" customWidth="1"/>
    <col min="14080" max="14080" width="19.42578125" customWidth="1"/>
    <col min="14081" max="14081" width="16.42578125" bestFit="1" customWidth="1"/>
    <col min="14082" max="14082" width="16.140625" bestFit="1" customWidth="1"/>
    <col min="14083" max="14084" width="14.5703125" bestFit="1" customWidth="1"/>
    <col min="14085" max="14085" width="16.42578125" bestFit="1" customWidth="1"/>
    <col min="14086" max="14086" width="16.140625" customWidth="1"/>
    <col min="14087" max="14087" width="15.7109375" bestFit="1" customWidth="1"/>
    <col min="14332" max="14332" width="11.85546875" customWidth="1"/>
    <col min="14333" max="14333" width="2.85546875" bestFit="1" customWidth="1"/>
    <col min="14334" max="14334" width="9.140625" bestFit="1" customWidth="1"/>
    <col min="14335" max="14335" width="4.7109375" bestFit="1" customWidth="1"/>
    <col min="14336" max="14336" width="19.42578125" customWidth="1"/>
    <col min="14337" max="14337" width="16.42578125" bestFit="1" customWidth="1"/>
    <col min="14338" max="14338" width="16.140625" bestFit="1" customWidth="1"/>
    <col min="14339" max="14340" width="14.5703125" bestFit="1" customWidth="1"/>
    <col min="14341" max="14341" width="16.42578125" bestFit="1" customWidth="1"/>
    <col min="14342" max="14342" width="16.140625" customWidth="1"/>
    <col min="14343" max="14343" width="15.7109375" bestFit="1" customWidth="1"/>
    <col min="14588" max="14588" width="11.85546875" customWidth="1"/>
    <col min="14589" max="14589" width="2.85546875" bestFit="1" customWidth="1"/>
    <col min="14590" max="14590" width="9.140625" bestFit="1" customWidth="1"/>
    <col min="14591" max="14591" width="4.7109375" bestFit="1" customWidth="1"/>
    <col min="14592" max="14592" width="19.42578125" customWidth="1"/>
    <col min="14593" max="14593" width="16.42578125" bestFit="1" customWidth="1"/>
    <col min="14594" max="14594" width="16.140625" bestFit="1" customWidth="1"/>
    <col min="14595" max="14596" width="14.5703125" bestFit="1" customWidth="1"/>
    <col min="14597" max="14597" width="16.42578125" bestFit="1" customWidth="1"/>
    <col min="14598" max="14598" width="16.140625" customWidth="1"/>
    <col min="14599" max="14599" width="15.7109375" bestFit="1" customWidth="1"/>
    <col min="14844" max="14844" width="11.85546875" customWidth="1"/>
    <col min="14845" max="14845" width="2.85546875" bestFit="1" customWidth="1"/>
    <col min="14846" max="14846" width="9.140625" bestFit="1" customWidth="1"/>
    <col min="14847" max="14847" width="4.7109375" bestFit="1" customWidth="1"/>
    <col min="14848" max="14848" width="19.42578125" customWidth="1"/>
    <col min="14849" max="14849" width="16.42578125" bestFit="1" customWidth="1"/>
    <col min="14850" max="14850" width="16.140625" bestFit="1" customWidth="1"/>
    <col min="14851" max="14852" width="14.5703125" bestFit="1" customWidth="1"/>
    <col min="14853" max="14853" width="16.42578125" bestFit="1" customWidth="1"/>
    <col min="14854" max="14854" width="16.140625" customWidth="1"/>
    <col min="14855" max="14855" width="15.7109375" bestFit="1" customWidth="1"/>
    <col min="15100" max="15100" width="11.85546875" customWidth="1"/>
    <col min="15101" max="15101" width="2.85546875" bestFit="1" customWidth="1"/>
    <col min="15102" max="15102" width="9.140625" bestFit="1" customWidth="1"/>
    <col min="15103" max="15103" width="4.7109375" bestFit="1" customWidth="1"/>
    <col min="15104" max="15104" width="19.42578125" customWidth="1"/>
    <col min="15105" max="15105" width="16.42578125" bestFit="1" customWidth="1"/>
    <col min="15106" max="15106" width="16.140625" bestFit="1" customWidth="1"/>
    <col min="15107" max="15108" width="14.5703125" bestFit="1" customWidth="1"/>
    <col min="15109" max="15109" width="16.42578125" bestFit="1" customWidth="1"/>
    <col min="15110" max="15110" width="16.140625" customWidth="1"/>
    <col min="15111" max="15111" width="15.7109375" bestFit="1" customWidth="1"/>
    <col min="15356" max="15356" width="11.85546875" customWidth="1"/>
    <col min="15357" max="15357" width="2.85546875" bestFit="1" customWidth="1"/>
    <col min="15358" max="15358" width="9.140625" bestFit="1" customWidth="1"/>
    <col min="15359" max="15359" width="4.7109375" bestFit="1" customWidth="1"/>
    <col min="15360" max="15360" width="19.42578125" customWidth="1"/>
    <col min="15361" max="15361" width="16.42578125" bestFit="1" customWidth="1"/>
    <col min="15362" max="15362" width="16.140625" bestFit="1" customWidth="1"/>
    <col min="15363" max="15364" width="14.5703125" bestFit="1" customWidth="1"/>
    <col min="15365" max="15365" width="16.42578125" bestFit="1" customWidth="1"/>
    <col min="15366" max="15366" width="16.140625" customWidth="1"/>
    <col min="15367" max="15367" width="15.7109375" bestFit="1" customWidth="1"/>
    <col min="15612" max="15612" width="11.85546875" customWidth="1"/>
    <col min="15613" max="15613" width="2.85546875" bestFit="1" customWidth="1"/>
    <col min="15614" max="15614" width="9.140625" bestFit="1" customWidth="1"/>
    <col min="15615" max="15615" width="4.7109375" bestFit="1" customWidth="1"/>
    <col min="15616" max="15616" width="19.42578125" customWidth="1"/>
    <col min="15617" max="15617" width="16.42578125" bestFit="1" customWidth="1"/>
    <col min="15618" max="15618" width="16.140625" bestFit="1" customWidth="1"/>
    <col min="15619" max="15620" width="14.5703125" bestFit="1" customWidth="1"/>
    <col min="15621" max="15621" width="16.42578125" bestFit="1" customWidth="1"/>
    <col min="15622" max="15622" width="16.140625" customWidth="1"/>
    <col min="15623" max="15623" width="15.7109375" bestFit="1" customWidth="1"/>
    <col min="15868" max="15868" width="11.85546875" customWidth="1"/>
    <col min="15869" max="15869" width="2.85546875" bestFit="1" customWidth="1"/>
    <col min="15870" max="15870" width="9.140625" bestFit="1" customWidth="1"/>
    <col min="15871" max="15871" width="4.7109375" bestFit="1" customWidth="1"/>
    <col min="15872" max="15872" width="19.42578125" customWidth="1"/>
    <col min="15873" max="15873" width="16.42578125" bestFit="1" customWidth="1"/>
    <col min="15874" max="15874" width="16.140625" bestFit="1" customWidth="1"/>
    <col min="15875" max="15876" width="14.5703125" bestFit="1" customWidth="1"/>
    <col min="15877" max="15877" width="16.42578125" bestFit="1" customWidth="1"/>
    <col min="15878" max="15878" width="16.140625" customWidth="1"/>
    <col min="15879" max="15879" width="15.7109375" bestFit="1" customWidth="1"/>
    <col min="16124" max="16124" width="11.85546875" customWidth="1"/>
    <col min="16125" max="16125" width="2.85546875" bestFit="1" customWidth="1"/>
    <col min="16126" max="16126" width="9.140625" bestFit="1" customWidth="1"/>
    <col min="16127" max="16127" width="4.7109375" bestFit="1" customWidth="1"/>
    <col min="16128" max="16128" width="19.42578125" customWidth="1"/>
    <col min="16129" max="16129" width="16.42578125" bestFit="1" customWidth="1"/>
    <col min="16130" max="16130" width="16.140625" bestFit="1" customWidth="1"/>
    <col min="16131" max="16132" width="14.5703125" bestFit="1" customWidth="1"/>
    <col min="16133" max="16133" width="16.42578125" bestFit="1" customWidth="1"/>
    <col min="16134" max="16134" width="16.140625" customWidth="1"/>
    <col min="16135" max="16135" width="15.7109375" bestFit="1" customWidth="1"/>
  </cols>
  <sheetData>
    <row r="1" spans="1:13" s="181" customFormat="1" x14ac:dyDescent="0.25">
      <c r="A1" s="343" t="s">
        <v>88</v>
      </c>
      <c r="B1" s="343" t="s">
        <v>2478</v>
      </c>
      <c r="C1" s="141" t="s">
        <v>1580</v>
      </c>
      <c r="D1" s="141" t="s">
        <v>1581</v>
      </c>
      <c r="E1" s="141" t="s">
        <v>1582</v>
      </c>
      <c r="F1" s="141" t="s">
        <v>1583</v>
      </c>
      <c r="G1" s="344" t="s">
        <v>1584</v>
      </c>
      <c r="H1" s="344" t="s">
        <v>1585</v>
      </c>
      <c r="I1" s="345" t="s">
        <v>1586</v>
      </c>
      <c r="J1" s="346" t="s">
        <v>1124</v>
      </c>
      <c r="K1" s="346" t="s">
        <v>1587</v>
      </c>
      <c r="L1" s="346" t="s">
        <v>1588</v>
      </c>
      <c r="M1" s="346" t="s">
        <v>1507</v>
      </c>
    </row>
    <row r="2" spans="1:13" hidden="1" x14ac:dyDescent="0.25">
      <c r="A2" s="501" t="s">
        <v>1589</v>
      </c>
      <c r="B2" s="553" t="b">
        <v>1</v>
      </c>
      <c r="C2" s="493">
        <v>10000</v>
      </c>
      <c r="D2" s="493">
        <v>10000</v>
      </c>
      <c r="E2" s="54" t="s">
        <v>2439</v>
      </c>
      <c r="F2" s="347"/>
      <c r="G2" s="321">
        <f>2*60*60</f>
        <v>7200</v>
      </c>
      <c r="H2" s="321">
        <f>3*60*60</f>
        <v>10800</v>
      </c>
      <c r="I2" s="321" t="s">
        <v>1590</v>
      </c>
      <c r="J2" s="559">
        <v>28800</v>
      </c>
      <c r="K2" s="321" t="s">
        <v>1591</v>
      </c>
      <c r="L2" s="321" t="s">
        <v>1591</v>
      </c>
      <c r="M2" s="321" t="s">
        <v>1592</v>
      </c>
    </row>
    <row r="3" spans="1:13" hidden="1" x14ac:dyDescent="0.25">
      <c r="A3" s="501" t="s">
        <v>1591</v>
      </c>
      <c r="B3" s="553" t="b">
        <v>1</v>
      </c>
      <c r="C3" s="493">
        <v>10000</v>
      </c>
      <c r="D3" s="493">
        <v>10000</v>
      </c>
      <c r="E3" s="54" t="s">
        <v>2440</v>
      </c>
      <c r="F3" s="347"/>
      <c r="G3" s="321">
        <f t="shared" ref="G3:G9" si="0">2*60*60</f>
        <v>7200</v>
      </c>
      <c r="H3" s="321">
        <f t="shared" ref="H3:H10" si="1">3*60*60</f>
        <v>10800</v>
      </c>
      <c r="I3" s="321" t="s">
        <v>1590</v>
      </c>
      <c r="J3" s="559">
        <v>28800</v>
      </c>
      <c r="K3" s="321" t="s">
        <v>1590</v>
      </c>
      <c r="L3" s="321" t="s">
        <v>1590</v>
      </c>
      <c r="M3" s="321" t="s">
        <v>1592</v>
      </c>
    </row>
    <row r="4" spans="1:13" hidden="1" x14ac:dyDescent="0.25">
      <c r="A4" s="54" t="s">
        <v>1590</v>
      </c>
      <c r="B4" s="553" t="b">
        <v>1</v>
      </c>
      <c r="C4" s="493">
        <v>20000</v>
      </c>
      <c r="D4" s="493">
        <v>20000</v>
      </c>
      <c r="E4" s="4" t="s">
        <v>1822</v>
      </c>
      <c r="F4" s="347"/>
      <c r="G4" s="321">
        <f t="shared" si="0"/>
        <v>7200</v>
      </c>
      <c r="H4" s="321">
        <f t="shared" si="1"/>
        <v>10800</v>
      </c>
      <c r="I4" s="321" t="s">
        <v>1593</v>
      </c>
      <c r="J4" s="559">
        <v>28800</v>
      </c>
      <c r="K4" s="321" t="s">
        <v>1594</v>
      </c>
      <c r="L4" s="321" t="s">
        <v>1594</v>
      </c>
      <c r="M4" s="321" t="s">
        <v>1592</v>
      </c>
    </row>
    <row r="5" spans="1:13" hidden="1" x14ac:dyDescent="0.25">
      <c r="A5" s="54" t="s">
        <v>1594</v>
      </c>
      <c r="B5" s="553" t="b">
        <v>1</v>
      </c>
      <c r="C5" s="493">
        <v>20000</v>
      </c>
      <c r="D5" s="493">
        <v>20000</v>
      </c>
      <c r="E5" s="4" t="s">
        <v>2441</v>
      </c>
      <c r="F5" s="347"/>
      <c r="G5" s="321">
        <f t="shared" si="0"/>
        <v>7200</v>
      </c>
      <c r="H5" s="321">
        <f t="shared" si="1"/>
        <v>10800</v>
      </c>
      <c r="I5" s="321" t="s">
        <v>1593</v>
      </c>
      <c r="J5" s="559">
        <v>28800</v>
      </c>
      <c r="K5" s="321" t="s">
        <v>1593</v>
      </c>
      <c r="L5" s="348" t="s">
        <v>1589</v>
      </c>
      <c r="M5" s="321" t="s">
        <v>1592</v>
      </c>
    </row>
    <row r="6" spans="1:13" hidden="1" x14ac:dyDescent="0.25">
      <c r="A6" s="501" t="s">
        <v>1593</v>
      </c>
      <c r="B6" s="553" t="b">
        <v>1</v>
      </c>
      <c r="C6" s="242">
        <v>50000</v>
      </c>
      <c r="D6" s="242">
        <v>50000</v>
      </c>
      <c r="E6" s="4" t="s">
        <v>2442</v>
      </c>
      <c r="F6" s="347"/>
      <c r="G6" s="321">
        <f t="shared" si="0"/>
        <v>7200</v>
      </c>
      <c r="H6" s="321">
        <f t="shared" si="1"/>
        <v>10800</v>
      </c>
      <c r="I6" s="321" t="s">
        <v>1595</v>
      </c>
      <c r="J6" s="559">
        <v>28800</v>
      </c>
      <c r="K6" s="321" t="s">
        <v>1596</v>
      </c>
      <c r="L6" s="321" t="s">
        <v>1596</v>
      </c>
      <c r="M6" s="321" t="s">
        <v>1592</v>
      </c>
    </row>
    <row r="7" spans="1:13" hidden="1" x14ac:dyDescent="0.25">
      <c r="A7" s="501" t="s">
        <v>1596</v>
      </c>
      <c r="B7" s="553" t="b">
        <v>1</v>
      </c>
      <c r="C7" s="242">
        <v>50000</v>
      </c>
      <c r="D7" s="242">
        <v>50000</v>
      </c>
      <c r="E7" s="4" t="s">
        <v>2443</v>
      </c>
      <c r="F7" s="347"/>
      <c r="G7" s="321">
        <f t="shared" si="0"/>
        <v>7200</v>
      </c>
      <c r="H7" s="321">
        <f t="shared" si="1"/>
        <v>10800</v>
      </c>
      <c r="I7" s="321" t="s">
        <v>1595</v>
      </c>
      <c r="J7" s="559">
        <v>28800</v>
      </c>
      <c r="K7" s="321" t="s">
        <v>1595</v>
      </c>
      <c r="L7" s="321" t="s">
        <v>1595</v>
      </c>
      <c r="M7" s="321" t="s">
        <v>1592</v>
      </c>
    </row>
    <row r="8" spans="1:13" hidden="1" x14ac:dyDescent="0.25">
      <c r="A8" s="501" t="s">
        <v>1595</v>
      </c>
      <c r="B8" s="553" t="b">
        <v>1</v>
      </c>
      <c r="C8" s="242">
        <v>100000</v>
      </c>
      <c r="D8" s="242">
        <v>100000</v>
      </c>
      <c r="E8" s="4" t="s">
        <v>2444</v>
      </c>
      <c r="F8" s="347"/>
      <c r="G8" s="321">
        <f t="shared" si="0"/>
        <v>7200</v>
      </c>
      <c r="H8" s="321">
        <f t="shared" si="1"/>
        <v>10800</v>
      </c>
      <c r="I8" s="321" t="s">
        <v>1597</v>
      </c>
      <c r="J8" s="559">
        <v>28800</v>
      </c>
      <c r="K8" s="321" t="s">
        <v>1598</v>
      </c>
      <c r="L8" s="321" t="s">
        <v>1598</v>
      </c>
      <c r="M8" s="321" t="s">
        <v>1592</v>
      </c>
    </row>
    <row r="9" spans="1:13" hidden="1" x14ac:dyDescent="0.25">
      <c r="A9" s="501" t="s">
        <v>1598</v>
      </c>
      <c r="B9" s="553" t="b">
        <v>1</v>
      </c>
      <c r="C9" s="242">
        <v>100000</v>
      </c>
      <c r="D9" s="242">
        <v>100000</v>
      </c>
      <c r="E9" s="4" t="s">
        <v>2445</v>
      </c>
      <c r="F9" s="347"/>
      <c r="G9" s="321">
        <f t="shared" si="0"/>
        <v>7200</v>
      </c>
      <c r="H9" s="321">
        <f t="shared" si="1"/>
        <v>10800</v>
      </c>
      <c r="I9" s="321" t="s">
        <v>1597</v>
      </c>
      <c r="J9" s="559">
        <v>28800</v>
      </c>
      <c r="K9" s="321" t="s">
        <v>1597</v>
      </c>
      <c r="L9" s="321" t="s">
        <v>1597</v>
      </c>
      <c r="M9" s="321" t="s">
        <v>1592</v>
      </c>
    </row>
    <row r="10" spans="1:13" hidden="1" x14ac:dyDescent="0.25">
      <c r="A10" s="501" t="s">
        <v>1597</v>
      </c>
      <c r="B10" s="553" t="b">
        <v>1</v>
      </c>
      <c r="C10" s="242">
        <v>200000</v>
      </c>
      <c r="D10" s="242">
        <v>200000</v>
      </c>
      <c r="E10" s="4" t="s">
        <v>2446</v>
      </c>
      <c r="F10" s="347"/>
      <c r="G10" s="347"/>
      <c r="H10" s="321">
        <f t="shared" si="1"/>
        <v>10800</v>
      </c>
      <c r="I10" s="321" t="s">
        <v>1599</v>
      </c>
      <c r="J10" s="559">
        <v>28800</v>
      </c>
      <c r="K10" s="321" t="s">
        <v>1599</v>
      </c>
      <c r="L10" s="321" t="s">
        <v>1599</v>
      </c>
      <c r="M10" s="321" t="s">
        <v>1592</v>
      </c>
    </row>
    <row r="11" spans="1:13" hidden="1" x14ac:dyDescent="0.25">
      <c r="A11" s="349" t="s">
        <v>1600</v>
      </c>
      <c r="B11" s="553" t="b">
        <v>1</v>
      </c>
      <c r="C11" s="242">
        <v>10000</v>
      </c>
      <c r="D11" s="242">
        <v>10000</v>
      </c>
      <c r="E11" s="552" t="s">
        <v>2473</v>
      </c>
      <c r="F11" s="347"/>
      <c r="G11" s="321"/>
      <c r="H11" s="321"/>
      <c r="I11" s="321"/>
      <c r="J11" s="559">
        <v>21600</v>
      </c>
      <c r="K11" s="321"/>
      <c r="L11" s="321"/>
      <c r="M11" s="321" t="s">
        <v>1592</v>
      </c>
    </row>
    <row r="12" spans="1:13" hidden="1" x14ac:dyDescent="0.25">
      <c r="A12" s="349" t="s">
        <v>1601</v>
      </c>
      <c r="B12" s="553" t="b">
        <v>1</v>
      </c>
      <c r="C12" s="242">
        <v>20000</v>
      </c>
      <c r="D12" s="242">
        <v>20000</v>
      </c>
      <c r="E12" s="54" t="s">
        <v>1602</v>
      </c>
      <c r="F12" s="347"/>
      <c r="G12" s="321"/>
      <c r="H12" s="321"/>
      <c r="I12" s="321"/>
      <c r="J12" s="559">
        <v>21600</v>
      </c>
      <c r="K12" s="321"/>
      <c r="L12" s="321"/>
      <c r="M12" s="321" t="s">
        <v>1592</v>
      </c>
    </row>
    <row r="13" spans="1:13" hidden="1" x14ac:dyDescent="0.25">
      <c r="A13" s="349" t="s">
        <v>1603</v>
      </c>
      <c r="B13" s="553" t="b">
        <v>1</v>
      </c>
      <c r="C13" s="242">
        <v>50000</v>
      </c>
      <c r="D13" s="242">
        <v>50000</v>
      </c>
      <c r="E13" s="54" t="s">
        <v>1604</v>
      </c>
      <c r="F13" s="347"/>
      <c r="G13" s="321"/>
      <c r="H13" s="321"/>
      <c r="I13" s="321"/>
      <c r="J13" s="559">
        <v>21600</v>
      </c>
      <c r="K13" s="321"/>
      <c r="L13" s="321"/>
      <c r="M13" s="321" t="s">
        <v>1592</v>
      </c>
    </row>
    <row r="14" spans="1:13" hidden="1" x14ac:dyDescent="0.25">
      <c r="A14" s="349" t="s">
        <v>1605</v>
      </c>
      <c r="B14" s="553" t="b">
        <v>1</v>
      </c>
      <c r="C14" s="242">
        <v>100000</v>
      </c>
      <c r="D14" s="242">
        <v>100000</v>
      </c>
      <c r="E14" s="551" t="s">
        <v>2471</v>
      </c>
      <c r="F14" s="347">
        <v>3</v>
      </c>
      <c r="G14" s="321"/>
      <c r="H14" s="321"/>
      <c r="I14" s="321"/>
      <c r="J14" s="559">
        <v>21600</v>
      </c>
      <c r="K14" s="321"/>
      <c r="L14" s="321"/>
      <c r="M14" s="321" t="s">
        <v>1592</v>
      </c>
    </row>
    <row r="15" spans="1:13" hidden="1" x14ac:dyDescent="0.25">
      <c r="A15" s="349" t="s">
        <v>1606</v>
      </c>
      <c r="B15" s="553" t="b">
        <v>1</v>
      </c>
      <c r="C15" s="242">
        <v>200000</v>
      </c>
      <c r="D15" s="242">
        <v>200000</v>
      </c>
      <c r="E15" s="551" t="s">
        <v>2472</v>
      </c>
      <c r="F15" s="347">
        <v>7</v>
      </c>
      <c r="G15" s="321"/>
      <c r="H15" s="321"/>
      <c r="I15" s="321"/>
      <c r="J15" s="559">
        <v>21600</v>
      </c>
      <c r="K15" s="321"/>
      <c r="L15" s="321"/>
      <c r="M15" s="321" t="s">
        <v>1592</v>
      </c>
    </row>
    <row r="16" spans="1:13" hidden="1" x14ac:dyDescent="0.25">
      <c r="A16" s="349" t="s">
        <v>1614</v>
      </c>
      <c r="B16" s="553" t="b">
        <v>1</v>
      </c>
      <c r="C16" s="242">
        <v>10000</v>
      </c>
      <c r="D16" s="242">
        <v>10000</v>
      </c>
      <c r="E16" s="552" t="s">
        <v>2474</v>
      </c>
      <c r="F16" s="347"/>
      <c r="G16" s="321"/>
      <c r="H16" s="321"/>
      <c r="I16" s="321"/>
      <c r="J16" s="559">
        <v>21600</v>
      </c>
      <c r="K16" s="321"/>
      <c r="L16" s="321"/>
      <c r="M16" s="321" t="s">
        <v>1592</v>
      </c>
    </row>
    <row r="17" spans="1:13" hidden="1" x14ac:dyDescent="0.25">
      <c r="A17" s="349" t="s">
        <v>1615</v>
      </c>
      <c r="B17" s="553" t="b">
        <v>1</v>
      </c>
      <c r="C17" s="242">
        <v>10000</v>
      </c>
      <c r="D17" s="242">
        <v>10000</v>
      </c>
      <c r="E17" s="552" t="s">
        <v>2475</v>
      </c>
      <c r="F17" s="347"/>
      <c r="G17" s="321"/>
      <c r="H17" s="321"/>
      <c r="I17" s="321"/>
      <c r="J17" s="559">
        <v>21600</v>
      </c>
      <c r="K17" s="321"/>
      <c r="L17" s="321"/>
      <c r="M17" s="321" t="s">
        <v>1592</v>
      </c>
    </row>
    <row r="18" spans="1:13" hidden="1" x14ac:dyDescent="0.25">
      <c r="A18" s="349" t="s">
        <v>1616</v>
      </c>
      <c r="B18" s="553" t="b">
        <v>1</v>
      </c>
      <c r="C18" s="242">
        <v>10000</v>
      </c>
      <c r="D18" s="242">
        <v>10000</v>
      </c>
      <c r="E18" s="552" t="s">
        <v>2476</v>
      </c>
      <c r="F18" s="347"/>
      <c r="G18" s="321"/>
      <c r="H18" s="321"/>
      <c r="I18" s="321"/>
      <c r="J18" s="559">
        <v>21600</v>
      </c>
      <c r="K18" s="321"/>
      <c r="L18" s="321"/>
      <c r="M18" s="321" t="s">
        <v>1592</v>
      </c>
    </row>
    <row r="19" spans="1:13" hidden="1" x14ac:dyDescent="0.25">
      <c r="A19" s="349" t="s">
        <v>1617</v>
      </c>
      <c r="B19" s="553" t="b">
        <v>1</v>
      </c>
      <c r="C19" s="242">
        <v>20000</v>
      </c>
      <c r="D19" s="242">
        <v>20000</v>
      </c>
      <c r="E19" s="54" t="s">
        <v>2458</v>
      </c>
      <c r="F19" s="347"/>
      <c r="G19" s="321"/>
      <c r="H19" s="321"/>
      <c r="I19" s="321"/>
      <c r="J19" s="559">
        <v>21600</v>
      </c>
      <c r="K19" s="321"/>
      <c r="L19" s="321"/>
      <c r="M19" s="321" t="s">
        <v>1592</v>
      </c>
    </row>
    <row r="20" spans="1:13" hidden="1" x14ac:dyDescent="0.25">
      <c r="A20" s="349" t="s">
        <v>1618</v>
      </c>
      <c r="B20" s="553" t="b">
        <v>1</v>
      </c>
      <c r="C20" s="242">
        <v>20000</v>
      </c>
      <c r="D20" s="242">
        <v>20000</v>
      </c>
      <c r="E20" s="54" t="s">
        <v>1655</v>
      </c>
      <c r="F20" s="347"/>
      <c r="G20" s="321"/>
      <c r="H20" s="321"/>
      <c r="I20" s="321"/>
      <c r="J20" s="559">
        <v>21600</v>
      </c>
      <c r="K20" s="321"/>
      <c r="L20" s="321"/>
      <c r="M20" s="321" t="s">
        <v>1592</v>
      </c>
    </row>
    <row r="21" spans="1:13" hidden="1" x14ac:dyDescent="0.25">
      <c r="A21" s="349" t="s">
        <v>1643</v>
      </c>
      <c r="B21" s="553" t="b">
        <v>1</v>
      </c>
      <c r="C21" s="242">
        <v>50000</v>
      </c>
      <c r="D21" s="242">
        <v>50000</v>
      </c>
      <c r="E21" s="54" t="s">
        <v>1832</v>
      </c>
      <c r="F21" s="347"/>
      <c r="G21" s="321"/>
      <c r="H21" s="321"/>
      <c r="I21" s="321"/>
      <c r="J21" s="559">
        <v>21600</v>
      </c>
      <c r="K21" s="321"/>
      <c r="L21" s="321"/>
      <c r="M21" s="321" t="s">
        <v>1592</v>
      </c>
    </row>
    <row r="22" spans="1:13" hidden="1" x14ac:dyDescent="0.25">
      <c r="A22" s="349" t="s">
        <v>1644</v>
      </c>
      <c r="B22" s="553" t="b">
        <v>1</v>
      </c>
      <c r="C22" s="242">
        <v>50000</v>
      </c>
      <c r="D22" s="242">
        <v>50000</v>
      </c>
      <c r="E22" s="54" t="s">
        <v>2398</v>
      </c>
      <c r="F22" s="347"/>
      <c r="G22" s="321"/>
      <c r="H22" s="321"/>
      <c r="I22" s="321"/>
      <c r="J22" s="559">
        <v>21600</v>
      </c>
      <c r="K22" s="321"/>
      <c r="L22" s="321"/>
      <c r="M22" s="321" t="s">
        <v>1592</v>
      </c>
    </row>
    <row r="23" spans="1:13" hidden="1" x14ac:dyDescent="0.25">
      <c r="A23" s="349" t="s">
        <v>1645</v>
      </c>
      <c r="B23" s="553" t="b">
        <v>1</v>
      </c>
      <c r="C23" s="242">
        <v>100000</v>
      </c>
      <c r="D23" s="242">
        <v>100000</v>
      </c>
      <c r="E23" s="551" t="s">
        <v>2460</v>
      </c>
      <c r="F23" s="347"/>
      <c r="G23" s="321"/>
      <c r="H23" s="321"/>
      <c r="I23" s="321"/>
      <c r="J23" s="559">
        <v>21600</v>
      </c>
      <c r="K23" s="321"/>
      <c r="L23" s="321"/>
      <c r="M23" s="321" t="s">
        <v>1592</v>
      </c>
    </row>
    <row r="24" spans="1:13" hidden="1" x14ac:dyDescent="0.25">
      <c r="A24" s="349" t="s">
        <v>1651</v>
      </c>
      <c r="B24" s="553" t="b">
        <v>1</v>
      </c>
      <c r="C24" s="242">
        <v>200000</v>
      </c>
      <c r="D24" s="242">
        <v>200000</v>
      </c>
      <c r="E24" s="551" t="s">
        <v>2464</v>
      </c>
      <c r="F24" s="347"/>
      <c r="G24" s="321"/>
      <c r="H24" s="321"/>
      <c r="I24" s="321"/>
      <c r="J24" s="559">
        <v>21600</v>
      </c>
      <c r="K24" s="321"/>
      <c r="L24" s="321"/>
      <c r="M24" s="321" t="s">
        <v>1592</v>
      </c>
    </row>
    <row r="25" spans="1:13" hidden="1" x14ac:dyDescent="0.25">
      <c r="A25" s="54" t="s">
        <v>1851</v>
      </c>
      <c r="B25" s="553" t="b">
        <v>1</v>
      </c>
      <c r="C25" s="242">
        <v>100000</v>
      </c>
      <c r="D25" s="242">
        <v>100000</v>
      </c>
      <c r="E25" s="551" t="s">
        <v>2470</v>
      </c>
      <c r="F25" s="347">
        <v>2</v>
      </c>
      <c r="G25" s="321"/>
      <c r="H25" s="321"/>
      <c r="I25" s="321"/>
      <c r="J25" s="559">
        <v>21600</v>
      </c>
      <c r="K25" s="321"/>
      <c r="L25" s="321"/>
      <c r="M25" s="321" t="s">
        <v>1592</v>
      </c>
    </row>
    <row r="26" spans="1:13" hidden="1" x14ac:dyDescent="0.25">
      <c r="A26" s="54" t="s">
        <v>1852</v>
      </c>
      <c r="B26" s="553" t="b">
        <v>1</v>
      </c>
      <c r="C26" s="242">
        <v>200000</v>
      </c>
      <c r="D26" s="242">
        <v>200000</v>
      </c>
      <c r="E26" s="551" t="s">
        <v>2477</v>
      </c>
      <c r="F26" s="347">
        <v>3</v>
      </c>
      <c r="G26" s="321"/>
      <c r="H26" s="321"/>
      <c r="I26" s="321"/>
      <c r="J26" s="559">
        <v>21600</v>
      </c>
      <c r="K26" s="321"/>
      <c r="L26" s="321"/>
      <c r="M26" s="321" t="s">
        <v>1592</v>
      </c>
    </row>
    <row r="27" spans="1:13" hidden="1" x14ac:dyDescent="0.25">
      <c r="A27" s="356" t="s">
        <v>1607</v>
      </c>
      <c r="B27" s="553" t="b">
        <v>1</v>
      </c>
      <c r="C27" s="242">
        <v>10000</v>
      </c>
      <c r="D27" s="242">
        <v>10000</v>
      </c>
      <c r="E27" s="552" t="s">
        <v>2461</v>
      </c>
      <c r="F27" s="357"/>
      <c r="G27" s="347"/>
      <c r="H27" s="347"/>
      <c r="I27" s="321"/>
      <c r="J27" s="559">
        <v>21600</v>
      </c>
      <c r="K27" s="321"/>
      <c r="L27" s="321"/>
      <c r="M27" s="321" t="s">
        <v>1592</v>
      </c>
    </row>
    <row r="28" spans="1:13" hidden="1" x14ac:dyDescent="0.25">
      <c r="A28" s="356" t="s">
        <v>1608</v>
      </c>
      <c r="B28" s="553" t="b">
        <v>1</v>
      </c>
      <c r="C28" s="242">
        <v>20000</v>
      </c>
      <c r="D28" s="242">
        <v>20000</v>
      </c>
      <c r="E28" s="552" t="s">
        <v>2462</v>
      </c>
      <c r="F28" s="357"/>
      <c r="G28" s="347"/>
      <c r="H28" s="347"/>
      <c r="I28" s="321"/>
      <c r="J28" s="559">
        <v>21600</v>
      </c>
      <c r="K28" s="321"/>
      <c r="L28" s="321"/>
      <c r="M28" s="321" t="s">
        <v>1592</v>
      </c>
    </row>
    <row r="29" spans="1:13" hidden="1" x14ac:dyDescent="0.25">
      <c r="A29" s="356" t="s">
        <v>1609</v>
      </c>
      <c r="B29" s="553" t="b">
        <v>1</v>
      </c>
      <c r="C29" s="242">
        <v>50000</v>
      </c>
      <c r="D29" s="242">
        <v>50000</v>
      </c>
      <c r="E29" s="552" t="s">
        <v>2463</v>
      </c>
      <c r="F29" s="357"/>
      <c r="G29" s="347"/>
      <c r="H29" s="347"/>
      <c r="I29" s="321"/>
      <c r="J29" s="559">
        <v>21600</v>
      </c>
      <c r="K29" s="321"/>
      <c r="L29" s="321"/>
      <c r="M29" s="321" t="s">
        <v>1592</v>
      </c>
    </row>
    <row r="30" spans="1:13" hidden="1" x14ac:dyDescent="0.25">
      <c r="A30" s="356" t="s">
        <v>1610</v>
      </c>
      <c r="B30" s="553" t="b">
        <v>1</v>
      </c>
      <c r="C30" s="242">
        <v>100000</v>
      </c>
      <c r="D30" s="242">
        <v>100000</v>
      </c>
      <c r="E30" s="551" t="s">
        <v>2471</v>
      </c>
      <c r="F30" s="357">
        <v>3</v>
      </c>
      <c r="G30" s="347"/>
      <c r="H30" s="347"/>
      <c r="I30" s="321"/>
      <c r="J30" s="559">
        <v>21600</v>
      </c>
      <c r="K30" s="321"/>
      <c r="L30" s="321"/>
      <c r="M30" s="321" t="s">
        <v>1592</v>
      </c>
    </row>
    <row r="31" spans="1:13" hidden="1" x14ac:dyDescent="0.25">
      <c r="A31" s="356" t="s">
        <v>1611</v>
      </c>
      <c r="B31" s="553" t="b">
        <v>1</v>
      </c>
      <c r="C31" s="242">
        <v>100000</v>
      </c>
      <c r="D31" s="242">
        <v>100000</v>
      </c>
      <c r="E31" s="551" t="s">
        <v>2469</v>
      </c>
      <c r="F31" s="357"/>
      <c r="G31" s="347"/>
      <c r="H31" s="347"/>
      <c r="I31" s="321"/>
      <c r="J31" s="559">
        <v>21600</v>
      </c>
      <c r="K31" s="321"/>
      <c r="L31" s="321"/>
      <c r="M31" s="321" t="s">
        <v>1592</v>
      </c>
    </row>
    <row r="32" spans="1:13" hidden="1" x14ac:dyDescent="0.25">
      <c r="A32" s="356" t="s">
        <v>1612</v>
      </c>
      <c r="B32" s="553" t="b">
        <v>1</v>
      </c>
      <c r="C32" s="242">
        <v>200000</v>
      </c>
      <c r="D32" s="242">
        <v>200000</v>
      </c>
      <c r="E32" s="551" t="s">
        <v>2472</v>
      </c>
      <c r="F32" s="357">
        <v>7</v>
      </c>
      <c r="G32" s="347"/>
      <c r="H32" s="347"/>
      <c r="I32" s="321"/>
      <c r="J32" s="559">
        <v>21600</v>
      </c>
      <c r="K32" s="321"/>
      <c r="L32" s="321"/>
      <c r="M32" s="321" t="s">
        <v>1592</v>
      </c>
    </row>
    <row r="33" spans="1:13" hidden="1" x14ac:dyDescent="0.25">
      <c r="A33" s="356" t="s">
        <v>1613</v>
      </c>
      <c r="B33" s="553" t="b">
        <v>1</v>
      </c>
      <c r="C33" s="242">
        <v>200000</v>
      </c>
      <c r="D33" s="242">
        <v>200000</v>
      </c>
      <c r="E33" s="551" t="s">
        <v>2527</v>
      </c>
      <c r="F33" s="357"/>
      <c r="G33" s="347"/>
      <c r="H33" s="347"/>
      <c r="I33" s="321"/>
      <c r="J33" s="559">
        <v>21600</v>
      </c>
      <c r="K33" s="321"/>
      <c r="L33" s="321"/>
      <c r="M33" s="321" t="s">
        <v>1592</v>
      </c>
    </row>
    <row r="34" spans="1:13" hidden="1" x14ac:dyDescent="0.25">
      <c r="A34" s="356" t="s">
        <v>1646</v>
      </c>
      <c r="B34" s="553" t="b">
        <v>1</v>
      </c>
      <c r="C34" s="242">
        <v>10000</v>
      </c>
      <c r="D34" s="242">
        <v>10000</v>
      </c>
      <c r="E34" s="552" t="s">
        <v>2465</v>
      </c>
      <c r="F34" s="39"/>
      <c r="G34" s="39"/>
      <c r="H34" s="39"/>
      <c r="I34" s="39"/>
      <c r="J34" s="559">
        <v>21600</v>
      </c>
      <c r="K34" s="39"/>
      <c r="L34" s="39"/>
      <c r="M34" s="321" t="s">
        <v>1592</v>
      </c>
    </row>
    <row r="35" spans="1:13" hidden="1" x14ac:dyDescent="0.25">
      <c r="A35" s="356" t="s">
        <v>1647</v>
      </c>
      <c r="B35" s="553" t="b">
        <v>1</v>
      </c>
      <c r="C35" s="242">
        <v>10000</v>
      </c>
      <c r="D35" s="242">
        <v>10000</v>
      </c>
      <c r="E35" s="552" t="s">
        <v>2466</v>
      </c>
      <c r="F35" s="39"/>
      <c r="G35" s="39"/>
      <c r="H35" s="39"/>
      <c r="I35" s="39"/>
      <c r="J35" s="559">
        <v>21600</v>
      </c>
      <c r="K35" s="39"/>
      <c r="L35" s="39"/>
      <c r="M35" s="321" t="s">
        <v>1592</v>
      </c>
    </row>
    <row r="36" spans="1:13" hidden="1" x14ac:dyDescent="0.25">
      <c r="A36" s="356" t="s">
        <v>1648</v>
      </c>
      <c r="B36" s="553" t="b">
        <v>1</v>
      </c>
      <c r="C36" s="242">
        <v>20000</v>
      </c>
      <c r="D36" s="242">
        <v>20000</v>
      </c>
      <c r="E36" s="552" t="s">
        <v>2467</v>
      </c>
      <c r="F36" s="39"/>
      <c r="G36" s="39"/>
      <c r="H36" s="39"/>
      <c r="I36" s="39"/>
      <c r="J36" s="559">
        <v>21600</v>
      </c>
      <c r="K36" s="39"/>
      <c r="L36" s="39"/>
      <c r="M36" s="321" t="s">
        <v>1592</v>
      </c>
    </row>
    <row r="37" spans="1:13" hidden="1" x14ac:dyDescent="0.25">
      <c r="A37" s="356" t="s">
        <v>1649</v>
      </c>
      <c r="B37" s="553" t="b">
        <v>1</v>
      </c>
      <c r="C37" s="242">
        <v>20000</v>
      </c>
      <c r="D37" s="242">
        <v>20000</v>
      </c>
      <c r="E37" s="552" t="s">
        <v>2459</v>
      </c>
      <c r="F37" s="39"/>
      <c r="G37" s="39"/>
      <c r="H37" s="39"/>
      <c r="I37" s="39"/>
      <c r="J37" s="559">
        <v>21600</v>
      </c>
      <c r="K37" s="39"/>
      <c r="L37" s="39"/>
      <c r="M37" s="321" t="s">
        <v>1592</v>
      </c>
    </row>
    <row r="38" spans="1:13" hidden="1" x14ac:dyDescent="0.25">
      <c r="A38" s="356" t="s">
        <v>1650</v>
      </c>
      <c r="B38" s="553" t="b">
        <v>1</v>
      </c>
      <c r="C38" s="242">
        <v>50000</v>
      </c>
      <c r="D38" s="242">
        <v>50000</v>
      </c>
      <c r="E38" s="54" t="s">
        <v>1833</v>
      </c>
      <c r="F38" s="39"/>
      <c r="G38" s="39"/>
      <c r="H38" s="39"/>
      <c r="I38" s="39"/>
      <c r="J38" s="559">
        <v>21600</v>
      </c>
      <c r="K38" s="39"/>
      <c r="L38" s="39"/>
      <c r="M38" s="321" t="s">
        <v>1592</v>
      </c>
    </row>
    <row r="39" spans="1:13" hidden="1" x14ac:dyDescent="0.25">
      <c r="A39" s="356" t="s">
        <v>1652</v>
      </c>
      <c r="B39" s="553" t="b">
        <v>1</v>
      </c>
      <c r="C39" s="242">
        <v>100000</v>
      </c>
      <c r="D39" s="242">
        <v>100000</v>
      </c>
      <c r="E39" s="551" t="s">
        <v>2468</v>
      </c>
      <c r="F39" s="39"/>
      <c r="G39" s="39"/>
      <c r="H39" s="39"/>
      <c r="I39" s="39"/>
      <c r="J39" s="559">
        <v>21600</v>
      </c>
      <c r="K39" s="39"/>
      <c r="L39" s="39"/>
      <c r="M39" s="321" t="s">
        <v>1592</v>
      </c>
    </row>
    <row r="40" spans="1:13" hidden="1" x14ac:dyDescent="0.25">
      <c r="A40" s="356" t="s">
        <v>1653</v>
      </c>
      <c r="B40" s="553" t="b">
        <v>1</v>
      </c>
      <c r="C40" s="242">
        <v>200000</v>
      </c>
      <c r="D40" s="242">
        <v>200000</v>
      </c>
      <c r="E40" s="551" t="s">
        <v>2528</v>
      </c>
      <c r="F40" s="39"/>
      <c r="G40" s="39"/>
      <c r="H40" s="39"/>
      <c r="I40" s="39"/>
      <c r="J40" s="559">
        <v>21600</v>
      </c>
      <c r="K40" s="39"/>
      <c r="L40" s="39"/>
      <c r="M40" s="321" t="s">
        <v>1592</v>
      </c>
    </row>
    <row r="41" spans="1:13" hidden="1" x14ac:dyDescent="0.25">
      <c r="A41" s="54" t="s">
        <v>1853</v>
      </c>
      <c r="B41" s="553" t="b">
        <v>1</v>
      </c>
      <c r="C41" s="242">
        <v>100000</v>
      </c>
      <c r="D41" s="242">
        <v>100000</v>
      </c>
      <c r="E41" s="551" t="s">
        <v>2470</v>
      </c>
      <c r="F41" s="39">
        <v>2</v>
      </c>
      <c r="G41" s="39"/>
      <c r="H41" s="39"/>
      <c r="I41" s="39"/>
      <c r="J41" s="559">
        <v>21600</v>
      </c>
      <c r="K41" s="39"/>
      <c r="L41" s="39"/>
      <c r="M41" s="321" t="s">
        <v>1592</v>
      </c>
    </row>
    <row r="42" spans="1:13" hidden="1" x14ac:dyDescent="0.25">
      <c r="A42" s="54" t="s">
        <v>1854</v>
      </c>
      <c r="B42" s="553" t="b">
        <v>1</v>
      </c>
      <c r="C42" s="242">
        <v>200000</v>
      </c>
      <c r="D42" s="242">
        <v>200000</v>
      </c>
      <c r="E42" s="551" t="s">
        <v>2477</v>
      </c>
      <c r="F42" s="39">
        <v>3</v>
      </c>
      <c r="G42" s="39"/>
      <c r="H42" s="39"/>
      <c r="I42" s="39"/>
      <c r="J42" s="559">
        <v>21600</v>
      </c>
      <c r="K42" s="39"/>
      <c r="L42" s="39"/>
      <c r="M42" s="321" t="s">
        <v>1592</v>
      </c>
    </row>
    <row r="43" spans="1:13" hidden="1" x14ac:dyDescent="0.25">
      <c r="A43" s="54" t="s">
        <v>2317</v>
      </c>
      <c r="B43" s="553" t="b">
        <v>1</v>
      </c>
      <c r="C43" s="242">
        <v>10000</v>
      </c>
      <c r="D43" s="242">
        <v>10000</v>
      </c>
      <c r="E43" s="4" t="s">
        <v>2435</v>
      </c>
      <c r="F43" s="39"/>
      <c r="G43" s="39"/>
      <c r="H43" s="39"/>
      <c r="I43" s="39"/>
      <c r="J43" s="559">
        <v>21600</v>
      </c>
      <c r="K43" s="39"/>
      <c r="L43" s="39"/>
      <c r="M43" s="321" t="s">
        <v>1592</v>
      </c>
    </row>
    <row r="44" spans="1:13" hidden="1" x14ac:dyDescent="0.25">
      <c r="A44" s="54" t="s">
        <v>2318</v>
      </c>
      <c r="B44" s="553" t="b">
        <v>1</v>
      </c>
      <c r="C44" s="242">
        <v>20000</v>
      </c>
      <c r="D44" s="242">
        <v>20000</v>
      </c>
      <c r="E44" s="4" t="s">
        <v>2436</v>
      </c>
      <c r="F44" s="39"/>
      <c r="G44" s="39"/>
      <c r="H44" s="39"/>
      <c r="I44" s="39"/>
      <c r="J44" s="559">
        <v>21600</v>
      </c>
      <c r="K44" s="39"/>
      <c r="L44" s="39"/>
      <c r="M44" s="321" t="s">
        <v>1592</v>
      </c>
    </row>
    <row r="45" spans="1:13" hidden="1" x14ac:dyDescent="0.25">
      <c r="A45" s="54" t="s">
        <v>2319</v>
      </c>
      <c r="B45" s="553" t="b">
        <v>1</v>
      </c>
      <c r="C45" s="242">
        <v>50000</v>
      </c>
      <c r="D45" s="242">
        <v>50000</v>
      </c>
      <c r="E45" s="4" t="s">
        <v>2437</v>
      </c>
      <c r="F45" s="39"/>
      <c r="G45" s="39"/>
      <c r="H45" s="39"/>
      <c r="I45" s="39"/>
      <c r="J45" s="559">
        <v>21600</v>
      </c>
      <c r="K45" s="39"/>
      <c r="L45" s="39"/>
      <c r="M45" s="321" t="s">
        <v>1592</v>
      </c>
    </row>
    <row r="46" spans="1:13" hidden="1" x14ac:dyDescent="0.25">
      <c r="A46" s="54" t="s">
        <v>2320</v>
      </c>
      <c r="B46" s="553" t="b">
        <v>1</v>
      </c>
      <c r="C46" s="242">
        <v>100000</v>
      </c>
      <c r="D46" s="242">
        <v>100000</v>
      </c>
      <c r="E46" s="4" t="s">
        <v>2454</v>
      </c>
      <c r="F46" s="39"/>
      <c r="G46" s="39"/>
      <c r="H46" s="39"/>
      <c r="I46" s="39"/>
      <c r="J46" s="559">
        <v>21600</v>
      </c>
      <c r="K46" s="39"/>
      <c r="L46" s="39"/>
      <c r="M46" s="321" t="s">
        <v>1592</v>
      </c>
    </row>
    <row r="47" spans="1:13" hidden="1" x14ac:dyDescent="0.25">
      <c r="A47" s="54" t="s">
        <v>2321</v>
      </c>
      <c r="B47" s="553" t="b">
        <v>1</v>
      </c>
      <c r="C47" s="242">
        <v>200000</v>
      </c>
      <c r="D47" s="242">
        <v>200000</v>
      </c>
      <c r="E47" s="4" t="s">
        <v>2438</v>
      </c>
      <c r="F47" s="39"/>
      <c r="G47" s="39"/>
      <c r="H47" s="39"/>
      <c r="I47" s="39"/>
      <c r="J47" s="559">
        <v>21600</v>
      </c>
      <c r="K47" s="39"/>
      <c r="L47" s="39"/>
      <c r="M47" s="321" t="s">
        <v>1592</v>
      </c>
    </row>
    <row r="48" spans="1:13" s="382" customFormat="1" ht="17.25" hidden="1" customHeight="1" x14ac:dyDescent="0.25">
      <c r="A48" s="354" t="s">
        <v>2501</v>
      </c>
      <c r="B48" s="560" t="b">
        <v>0</v>
      </c>
      <c r="C48" s="561">
        <v>20000</v>
      </c>
      <c r="D48" s="561">
        <v>20000</v>
      </c>
      <c r="E48" s="560"/>
      <c r="F48" s="560"/>
      <c r="G48" s="560"/>
      <c r="H48" s="560"/>
      <c r="I48" s="560"/>
      <c r="J48" s="560"/>
      <c r="K48" s="560"/>
      <c r="L48" s="560"/>
      <c r="M48" s="560"/>
    </row>
    <row r="49" spans="1:13" s="557" customFormat="1" hidden="1" x14ac:dyDescent="0.25">
      <c r="A49" s="554" t="s">
        <v>2416</v>
      </c>
      <c r="B49" s="555" t="b">
        <v>0</v>
      </c>
      <c r="C49" s="556">
        <v>50000</v>
      </c>
      <c r="D49" s="556">
        <v>50000</v>
      </c>
      <c r="E49" s="555" t="s">
        <v>2502</v>
      </c>
      <c r="F49" s="555"/>
      <c r="G49" s="555"/>
      <c r="H49" s="555"/>
      <c r="I49" s="555"/>
      <c r="J49" s="555"/>
      <c r="K49" s="555"/>
      <c r="L49" s="555"/>
      <c r="M49" s="555"/>
    </row>
    <row r="50" spans="1:13" s="557" customFormat="1" hidden="1" x14ac:dyDescent="0.25">
      <c r="A50" s="554" t="s">
        <v>2417</v>
      </c>
      <c r="B50" s="555" t="b">
        <v>0</v>
      </c>
      <c r="C50" s="556">
        <v>100000</v>
      </c>
      <c r="D50" s="556">
        <v>100000</v>
      </c>
      <c r="E50" s="555" t="s">
        <v>2503</v>
      </c>
      <c r="F50" s="555"/>
      <c r="G50" s="555"/>
      <c r="H50" s="555"/>
      <c r="I50" s="555"/>
      <c r="J50" s="555"/>
      <c r="K50" s="555"/>
      <c r="L50" s="555"/>
      <c r="M50" s="555"/>
    </row>
    <row r="51" spans="1:13" s="557" customFormat="1" hidden="1" x14ac:dyDescent="0.25">
      <c r="A51" s="554" t="s">
        <v>2419</v>
      </c>
      <c r="B51" s="555" t="b">
        <v>0</v>
      </c>
      <c r="C51" s="556">
        <v>200000</v>
      </c>
      <c r="D51" s="556">
        <v>200000</v>
      </c>
      <c r="E51" s="555" t="s">
        <v>2504</v>
      </c>
      <c r="F51" s="555"/>
      <c r="G51" s="555"/>
      <c r="H51" s="555"/>
      <c r="I51" s="555"/>
      <c r="J51" s="555"/>
      <c r="K51" s="555"/>
      <c r="L51" s="555"/>
      <c r="M51" s="555"/>
    </row>
    <row r="52" spans="1:13" s="233" customFormat="1" hidden="1" x14ac:dyDescent="0.25">
      <c r="A52" s="207" t="s">
        <v>2428</v>
      </c>
      <c r="B52" s="207" t="b">
        <v>0</v>
      </c>
      <c r="C52" s="558">
        <v>10000</v>
      </c>
      <c r="D52" s="558">
        <v>10000</v>
      </c>
      <c r="E52" s="207" t="s">
        <v>2431</v>
      </c>
      <c r="F52" s="207"/>
      <c r="G52" s="207"/>
      <c r="H52" s="207"/>
      <c r="I52" s="207"/>
      <c r="J52" s="207"/>
      <c r="K52" s="207"/>
      <c r="L52" s="207"/>
      <c r="M52" s="207"/>
    </row>
    <row r="53" spans="1:13" s="233" customFormat="1" ht="13.5" hidden="1" customHeight="1" x14ac:dyDescent="0.25">
      <c r="A53" s="207" t="s">
        <v>2429</v>
      </c>
      <c r="B53" s="207" t="b">
        <v>0</v>
      </c>
      <c r="C53" s="558">
        <v>20000</v>
      </c>
      <c r="D53" s="558">
        <v>20000</v>
      </c>
      <c r="E53" s="207" t="s">
        <v>2432</v>
      </c>
      <c r="F53" s="207"/>
      <c r="G53" s="207"/>
      <c r="H53" s="207"/>
      <c r="I53" s="207"/>
      <c r="J53" s="207"/>
      <c r="K53" s="207"/>
      <c r="L53" s="207"/>
      <c r="M53" s="207"/>
    </row>
    <row r="54" spans="1:13" s="233" customFormat="1" hidden="1" x14ac:dyDescent="0.25">
      <c r="A54" s="207" t="s">
        <v>2430</v>
      </c>
      <c r="B54" s="207" t="b">
        <v>0</v>
      </c>
      <c r="C54" s="558">
        <v>50000</v>
      </c>
      <c r="D54" s="558">
        <v>50000</v>
      </c>
      <c r="E54" s="207" t="s">
        <v>2433</v>
      </c>
      <c r="F54" s="207"/>
      <c r="G54" s="207"/>
      <c r="H54" s="207"/>
      <c r="I54" s="207"/>
      <c r="J54" s="207"/>
      <c r="K54" s="207"/>
      <c r="L54" s="207"/>
      <c r="M54" s="207"/>
    </row>
    <row r="55" spans="1:13" s="564" customFormat="1" x14ac:dyDescent="0.25">
      <c r="A55" s="56" t="s">
        <v>2529</v>
      </c>
      <c r="B55" s="56" t="b">
        <v>1</v>
      </c>
      <c r="C55" s="562">
        <v>10000</v>
      </c>
      <c r="D55" s="562">
        <v>10000</v>
      </c>
      <c r="E55" s="56" t="s">
        <v>2593</v>
      </c>
      <c r="F55" s="56"/>
      <c r="G55" s="563">
        <f t="shared" ref="G55:G69" si="2">2*60*60</f>
        <v>7200</v>
      </c>
      <c r="H55" s="563">
        <f t="shared" ref="H55:H69" si="3">3*60*60</f>
        <v>10800</v>
      </c>
      <c r="I55" s="563"/>
      <c r="J55" s="563">
        <v>21600</v>
      </c>
      <c r="K55" s="563"/>
      <c r="L55" s="563"/>
      <c r="M55" s="563" t="s">
        <v>1592</v>
      </c>
    </row>
    <row r="56" spans="1:13" s="564" customFormat="1" x14ac:dyDescent="0.25">
      <c r="A56" s="56" t="s">
        <v>2530</v>
      </c>
      <c r="B56" s="56" t="b">
        <v>1</v>
      </c>
      <c r="C56" s="562">
        <v>20000</v>
      </c>
      <c r="D56" s="562">
        <v>20000</v>
      </c>
      <c r="E56" s="56" t="s">
        <v>2594</v>
      </c>
      <c r="F56" s="56"/>
      <c r="G56" s="563">
        <f t="shared" si="2"/>
        <v>7200</v>
      </c>
      <c r="H56" s="563">
        <f t="shared" si="3"/>
        <v>10800</v>
      </c>
      <c r="I56" s="563"/>
      <c r="J56" s="563">
        <v>21600</v>
      </c>
      <c r="K56" s="563"/>
      <c r="L56" s="563"/>
      <c r="M56" s="563" t="s">
        <v>1592</v>
      </c>
    </row>
    <row r="57" spans="1:13" s="564" customFormat="1" x14ac:dyDescent="0.25">
      <c r="A57" s="56" t="s">
        <v>2531</v>
      </c>
      <c r="B57" s="56" t="b">
        <v>1</v>
      </c>
      <c r="C57" s="562">
        <v>50000</v>
      </c>
      <c r="D57" s="562">
        <v>50000</v>
      </c>
      <c r="E57" s="56" t="s">
        <v>2595</v>
      </c>
      <c r="F57" s="56"/>
      <c r="G57" s="563">
        <f t="shared" si="2"/>
        <v>7200</v>
      </c>
      <c r="H57" s="563">
        <f t="shared" si="3"/>
        <v>10800</v>
      </c>
      <c r="I57" s="563"/>
      <c r="J57" s="563">
        <v>21600</v>
      </c>
      <c r="K57" s="563"/>
      <c r="L57" s="563"/>
      <c r="M57" s="563" t="s">
        <v>1592</v>
      </c>
    </row>
    <row r="58" spans="1:13" s="564" customFormat="1" x14ac:dyDescent="0.25">
      <c r="A58" s="56" t="s">
        <v>2532</v>
      </c>
      <c r="B58" s="56" t="b">
        <v>1</v>
      </c>
      <c r="C58" s="562">
        <v>100000</v>
      </c>
      <c r="D58" s="562">
        <v>100000</v>
      </c>
      <c r="E58" s="56" t="s">
        <v>2596</v>
      </c>
      <c r="F58" s="56"/>
      <c r="G58" s="563">
        <f t="shared" si="2"/>
        <v>7200</v>
      </c>
      <c r="H58" s="563">
        <f t="shared" si="3"/>
        <v>10800</v>
      </c>
      <c r="I58" s="563"/>
      <c r="J58" s="563">
        <v>21600</v>
      </c>
      <c r="K58" s="563"/>
      <c r="L58" s="563"/>
      <c r="M58" s="563" t="s">
        <v>1592</v>
      </c>
    </row>
    <row r="59" spans="1:13" s="564" customFormat="1" x14ac:dyDescent="0.25">
      <c r="A59" s="56" t="s">
        <v>2533</v>
      </c>
      <c r="B59" s="56" t="b">
        <v>1</v>
      </c>
      <c r="C59" s="562">
        <v>200000</v>
      </c>
      <c r="D59" s="562">
        <v>200000</v>
      </c>
      <c r="E59" s="56" t="s">
        <v>2597</v>
      </c>
      <c r="F59" s="56"/>
      <c r="G59" s="563">
        <f t="shared" si="2"/>
        <v>7200</v>
      </c>
      <c r="H59" s="563">
        <f t="shared" si="3"/>
        <v>10800</v>
      </c>
      <c r="I59" s="563"/>
      <c r="J59" s="563">
        <v>21600</v>
      </c>
      <c r="K59" s="563"/>
      <c r="L59" s="563"/>
      <c r="M59" s="563" t="s">
        <v>1592</v>
      </c>
    </row>
    <row r="60" spans="1:13" s="567" customFormat="1" x14ac:dyDescent="0.25">
      <c r="A60" s="310" t="s">
        <v>2534</v>
      </c>
      <c r="B60" s="310" t="b">
        <v>1</v>
      </c>
      <c r="C60" s="565">
        <v>10000</v>
      </c>
      <c r="D60" s="565">
        <v>10000</v>
      </c>
      <c r="E60" s="310" t="s">
        <v>2588</v>
      </c>
      <c r="F60" s="310"/>
      <c r="G60" s="566">
        <f t="shared" si="2"/>
        <v>7200</v>
      </c>
      <c r="H60" s="566">
        <f t="shared" si="3"/>
        <v>10800</v>
      </c>
      <c r="I60" s="566"/>
      <c r="J60" s="566">
        <v>21600</v>
      </c>
      <c r="K60" s="566"/>
      <c r="L60" s="566"/>
      <c r="M60" s="566" t="s">
        <v>1592</v>
      </c>
    </row>
    <row r="61" spans="1:13" s="567" customFormat="1" x14ac:dyDescent="0.25">
      <c r="A61" s="310" t="s">
        <v>2535</v>
      </c>
      <c r="B61" s="310" t="b">
        <v>1</v>
      </c>
      <c r="C61" s="565">
        <v>20000</v>
      </c>
      <c r="D61" s="565">
        <v>20000</v>
      </c>
      <c r="E61" s="310" t="s">
        <v>2589</v>
      </c>
      <c r="F61" s="310"/>
      <c r="G61" s="566">
        <f t="shared" si="2"/>
        <v>7200</v>
      </c>
      <c r="H61" s="566">
        <f t="shared" si="3"/>
        <v>10800</v>
      </c>
      <c r="I61" s="566"/>
      <c r="J61" s="566">
        <v>21600</v>
      </c>
      <c r="K61" s="566"/>
      <c r="L61" s="566"/>
      <c r="M61" s="566" t="s">
        <v>1592</v>
      </c>
    </row>
    <row r="62" spans="1:13" s="567" customFormat="1" x14ac:dyDescent="0.25">
      <c r="A62" s="310" t="s">
        <v>2536</v>
      </c>
      <c r="B62" s="310" t="b">
        <v>1</v>
      </c>
      <c r="C62" s="565">
        <v>50000</v>
      </c>
      <c r="D62" s="565">
        <v>50000</v>
      </c>
      <c r="E62" s="310" t="s">
        <v>2590</v>
      </c>
      <c r="F62" s="310"/>
      <c r="G62" s="566">
        <f t="shared" si="2"/>
        <v>7200</v>
      </c>
      <c r="H62" s="566">
        <f t="shared" si="3"/>
        <v>10800</v>
      </c>
      <c r="I62" s="566"/>
      <c r="J62" s="566">
        <v>21600</v>
      </c>
      <c r="K62" s="566"/>
      <c r="L62" s="566"/>
      <c r="M62" s="566" t="s">
        <v>1592</v>
      </c>
    </row>
    <row r="63" spans="1:13" s="567" customFormat="1" x14ac:dyDescent="0.25">
      <c r="A63" s="310" t="s">
        <v>2537</v>
      </c>
      <c r="B63" s="310" t="b">
        <v>1</v>
      </c>
      <c r="C63" s="565">
        <v>100000</v>
      </c>
      <c r="D63" s="565">
        <v>100000</v>
      </c>
      <c r="E63" s="310" t="s">
        <v>2591</v>
      </c>
      <c r="F63" s="310"/>
      <c r="G63" s="566">
        <f t="shared" si="2"/>
        <v>7200</v>
      </c>
      <c r="H63" s="566">
        <f t="shared" si="3"/>
        <v>10800</v>
      </c>
      <c r="I63" s="566"/>
      <c r="J63" s="566">
        <v>21600</v>
      </c>
      <c r="K63" s="566"/>
      <c r="L63" s="566"/>
      <c r="M63" s="566" t="s">
        <v>1592</v>
      </c>
    </row>
    <row r="64" spans="1:13" s="567" customFormat="1" x14ac:dyDescent="0.25">
      <c r="A64" s="310" t="s">
        <v>2538</v>
      </c>
      <c r="B64" s="310" t="b">
        <v>1</v>
      </c>
      <c r="C64" s="565">
        <v>200000</v>
      </c>
      <c r="D64" s="565">
        <v>200000</v>
      </c>
      <c r="E64" s="310" t="s">
        <v>2592</v>
      </c>
      <c r="F64" s="310"/>
      <c r="G64" s="566">
        <f t="shared" si="2"/>
        <v>7200</v>
      </c>
      <c r="H64" s="566">
        <f t="shared" si="3"/>
        <v>10800</v>
      </c>
      <c r="I64" s="566"/>
      <c r="J64" s="566">
        <v>21600</v>
      </c>
      <c r="K64" s="566"/>
      <c r="L64" s="566"/>
      <c r="M64" s="566" t="s">
        <v>1592</v>
      </c>
    </row>
    <row r="65" spans="1:13" s="570" customFormat="1" x14ac:dyDescent="0.25">
      <c r="A65" s="6" t="s">
        <v>2539</v>
      </c>
      <c r="B65" s="6" t="b">
        <v>1</v>
      </c>
      <c r="C65" s="568">
        <v>10000</v>
      </c>
      <c r="D65" s="568">
        <v>10000</v>
      </c>
      <c r="E65" s="6" t="s">
        <v>2598</v>
      </c>
      <c r="F65" s="6"/>
      <c r="G65" s="569">
        <f t="shared" si="2"/>
        <v>7200</v>
      </c>
      <c r="H65" s="569">
        <f t="shared" si="3"/>
        <v>10800</v>
      </c>
      <c r="I65" s="569"/>
      <c r="J65" s="569">
        <v>21600</v>
      </c>
      <c r="K65" s="569"/>
      <c r="L65" s="569"/>
      <c r="M65" s="569" t="s">
        <v>1592</v>
      </c>
    </row>
    <row r="66" spans="1:13" s="570" customFormat="1" x14ac:dyDescent="0.25">
      <c r="A66" s="6" t="s">
        <v>2540</v>
      </c>
      <c r="B66" s="6" t="b">
        <v>1</v>
      </c>
      <c r="C66" s="568">
        <v>20000</v>
      </c>
      <c r="D66" s="568">
        <v>20000</v>
      </c>
      <c r="E66" s="6" t="s">
        <v>2599</v>
      </c>
      <c r="F66" s="6"/>
      <c r="G66" s="569">
        <f t="shared" si="2"/>
        <v>7200</v>
      </c>
      <c r="H66" s="569">
        <f t="shared" si="3"/>
        <v>10800</v>
      </c>
      <c r="I66" s="569"/>
      <c r="J66" s="569">
        <v>21600</v>
      </c>
      <c r="K66" s="569"/>
      <c r="L66" s="569"/>
      <c r="M66" s="569" t="s">
        <v>1592</v>
      </c>
    </row>
    <row r="67" spans="1:13" s="570" customFormat="1" x14ac:dyDescent="0.25">
      <c r="A67" s="6" t="s">
        <v>2541</v>
      </c>
      <c r="B67" s="6" t="b">
        <v>1</v>
      </c>
      <c r="C67" s="568">
        <v>50000</v>
      </c>
      <c r="D67" s="568">
        <v>50000</v>
      </c>
      <c r="E67" s="6" t="s">
        <v>2600</v>
      </c>
      <c r="F67" s="6"/>
      <c r="G67" s="569">
        <f t="shared" si="2"/>
        <v>7200</v>
      </c>
      <c r="H67" s="569">
        <f t="shared" si="3"/>
        <v>10800</v>
      </c>
      <c r="I67" s="569"/>
      <c r="J67" s="569">
        <v>21600</v>
      </c>
      <c r="K67" s="569"/>
      <c r="L67" s="569"/>
      <c r="M67" s="569" t="s">
        <v>1592</v>
      </c>
    </row>
    <row r="68" spans="1:13" s="570" customFormat="1" x14ac:dyDescent="0.25">
      <c r="A68" s="6" t="s">
        <v>2542</v>
      </c>
      <c r="B68" s="6" t="b">
        <v>1</v>
      </c>
      <c r="C68" s="568">
        <v>100000</v>
      </c>
      <c r="D68" s="568">
        <v>100000</v>
      </c>
      <c r="E68" s="6" t="s">
        <v>2601</v>
      </c>
      <c r="F68" s="6"/>
      <c r="G68" s="569">
        <f t="shared" si="2"/>
        <v>7200</v>
      </c>
      <c r="H68" s="569">
        <f t="shared" si="3"/>
        <v>10800</v>
      </c>
      <c r="I68" s="569"/>
      <c r="J68" s="569">
        <v>21600</v>
      </c>
      <c r="K68" s="569"/>
      <c r="L68" s="569"/>
      <c r="M68" s="569" t="s">
        <v>1592</v>
      </c>
    </row>
    <row r="69" spans="1:13" s="570" customFormat="1" x14ac:dyDescent="0.25">
      <c r="A69" s="6" t="s">
        <v>2543</v>
      </c>
      <c r="B69" s="6" t="b">
        <v>1</v>
      </c>
      <c r="C69" s="568">
        <v>200000</v>
      </c>
      <c r="D69" s="568">
        <v>200000</v>
      </c>
      <c r="E69" s="6" t="s">
        <v>2602</v>
      </c>
      <c r="F69" s="6"/>
      <c r="G69" s="569">
        <f t="shared" si="2"/>
        <v>7200</v>
      </c>
      <c r="H69" s="569">
        <f t="shared" si="3"/>
        <v>10800</v>
      </c>
      <c r="I69" s="569"/>
      <c r="J69" s="569">
        <v>21600</v>
      </c>
      <c r="K69" s="569"/>
      <c r="L69" s="569"/>
      <c r="M69" s="569" t="s">
        <v>1592</v>
      </c>
    </row>
    <row r="72" spans="1:13" ht="19.5" x14ac:dyDescent="0.3">
      <c r="A72" s="588" t="s">
        <v>2586</v>
      </c>
      <c r="B72" s="588"/>
      <c r="C72" s="588"/>
      <c r="D72" s="588"/>
      <c r="E72" s="588"/>
    </row>
    <row r="73" spans="1:13" x14ac:dyDescent="0.25">
      <c r="A73" s="11" t="s">
        <v>2581</v>
      </c>
    </row>
    <row r="74" spans="1:13" x14ac:dyDescent="0.25">
      <c r="A74" s="217" t="s">
        <v>2584</v>
      </c>
    </row>
    <row r="75" spans="1:13" x14ac:dyDescent="0.25">
      <c r="A75" s="54" t="s">
        <v>2529</v>
      </c>
      <c r="B75">
        <v>10000</v>
      </c>
      <c r="C75">
        <v>40</v>
      </c>
    </row>
    <row r="76" spans="1:13" x14ac:dyDescent="0.25">
      <c r="A76" s="54" t="s">
        <v>2530</v>
      </c>
      <c r="B76">
        <v>20000</v>
      </c>
      <c r="C76">
        <v>40</v>
      </c>
    </row>
    <row r="77" spans="1:13" x14ac:dyDescent="0.25">
      <c r="A77" s="54" t="s">
        <v>2531</v>
      </c>
      <c r="B77">
        <v>50000</v>
      </c>
      <c r="C77">
        <v>20</v>
      </c>
    </row>
    <row r="78" spans="1:13" ht="45" x14ac:dyDescent="0.25">
      <c r="A78" s="387" t="str">
        <f>CONCATENATE(A75&amp;":"&amp;C75&amp;":"&amp;A76&amp;":"&amp;C76&amp;":"&amp;A77&amp;":"&amp;C77)</f>
        <v>OFFER_RARE_NEWBIE_1:40:OFFER_RARE_NEWBIE_2:40:OFFER_RARE_NEWBIE_3:20</v>
      </c>
      <c r="B78" s="388"/>
      <c r="C78" s="388">
        <f>SUM(C75:C77)</f>
        <v>100</v>
      </c>
    </row>
    <row r="79" spans="1:13" x14ac:dyDescent="0.25">
      <c r="A79" s="217" t="s">
        <v>2582</v>
      </c>
    </row>
    <row r="80" spans="1:13" x14ac:dyDescent="0.25">
      <c r="A80" s="54" t="s">
        <v>2531</v>
      </c>
      <c r="B80">
        <v>50000</v>
      </c>
      <c r="C80">
        <v>50</v>
      </c>
    </row>
    <row r="81" spans="1:4" x14ac:dyDescent="0.25">
      <c r="A81" s="54" t="s">
        <v>2532</v>
      </c>
      <c r="B81">
        <v>100000</v>
      </c>
      <c r="C81">
        <v>25</v>
      </c>
    </row>
    <row r="82" spans="1:4" x14ac:dyDescent="0.25">
      <c r="A82" s="54" t="s">
        <v>2533</v>
      </c>
      <c r="B82">
        <v>200000</v>
      </c>
      <c r="C82">
        <v>25</v>
      </c>
    </row>
    <row r="83" spans="1:4" ht="30" x14ac:dyDescent="0.25">
      <c r="A83" s="577" t="str">
        <f>CONCATENATE(A80&amp;":"&amp;C80&amp;":"&amp;A81&amp;":"&amp;C81&amp;":"&amp;A82&amp;":"&amp;C82)</f>
        <v>OFFER_RARE_NEWBIE_3:50:OFFER_RARE_NEWBIE_4:25:OFFER_RARE_NEWBIE_5:25</v>
      </c>
      <c r="B83" s="388"/>
      <c r="C83" s="388">
        <f>SUM(C80:C82)</f>
        <v>100</v>
      </c>
    </row>
    <row r="84" spans="1:4" s="35" customFormat="1" x14ac:dyDescent="0.25">
      <c r="A84" s="176"/>
    </row>
    <row r="86" spans="1:4" x14ac:dyDescent="0.25">
      <c r="A86" s="11" t="s">
        <v>2583</v>
      </c>
    </row>
    <row r="87" spans="1:4" x14ac:dyDescent="0.25">
      <c r="A87" s="217" t="s">
        <v>1656</v>
      </c>
      <c r="B87" s="141" t="s">
        <v>1580</v>
      </c>
      <c r="C87" s="43" t="s">
        <v>1821</v>
      </c>
      <c r="D87" s="256"/>
    </row>
    <row r="88" spans="1:4" x14ac:dyDescent="0.25">
      <c r="A88" s="4" t="s">
        <v>2534</v>
      </c>
      <c r="B88" s="39">
        <v>10000</v>
      </c>
      <c r="C88" s="39">
        <v>50</v>
      </c>
      <c r="D88" s="16"/>
    </row>
    <row r="89" spans="1:4" x14ac:dyDescent="0.25">
      <c r="A89" s="4" t="s">
        <v>2535</v>
      </c>
      <c r="B89" s="39">
        <v>20000</v>
      </c>
      <c r="C89" s="39">
        <v>50</v>
      </c>
      <c r="D89" s="16"/>
    </row>
    <row r="90" spans="1:4" x14ac:dyDescent="0.25">
      <c r="A90" s="577" t="str">
        <f>CONCATENATE(A88&amp;":"&amp;C88&amp;":"&amp;A89&amp;":"&amp;C89)</f>
        <v>OFFER_RARE_SPECIAL_1:50:OFFER_RARE_SPECIAL_2:50</v>
      </c>
      <c r="B90" s="388"/>
      <c r="C90" s="388">
        <f>SUM(C88:C89)</f>
        <v>100</v>
      </c>
    </row>
    <row r="91" spans="1:4" x14ac:dyDescent="0.25">
      <c r="A91" s="217" t="s">
        <v>2587</v>
      </c>
    </row>
    <row r="92" spans="1:4" x14ac:dyDescent="0.25">
      <c r="A92" s="4" t="s">
        <v>2534</v>
      </c>
      <c r="B92" s="39">
        <v>10000</v>
      </c>
      <c r="C92" s="39">
        <v>30</v>
      </c>
      <c r="D92" s="16"/>
    </row>
    <row r="93" spans="1:4" x14ac:dyDescent="0.25">
      <c r="A93" s="4" t="s">
        <v>2535</v>
      </c>
      <c r="B93" s="39">
        <v>20000</v>
      </c>
      <c r="C93" s="39">
        <v>30</v>
      </c>
      <c r="D93" s="16"/>
    </row>
    <row r="94" spans="1:4" x14ac:dyDescent="0.25">
      <c r="A94" s="54" t="s">
        <v>2536</v>
      </c>
      <c r="B94" s="39">
        <v>50000</v>
      </c>
      <c r="C94" s="39">
        <v>25</v>
      </c>
    </row>
    <row r="95" spans="1:4" x14ac:dyDescent="0.25">
      <c r="A95" s="54" t="s">
        <v>2537</v>
      </c>
      <c r="B95" s="39">
        <v>100000</v>
      </c>
      <c r="C95" s="39">
        <v>15</v>
      </c>
    </row>
    <row r="96" spans="1:4" ht="30" x14ac:dyDescent="0.25">
      <c r="A96" s="387" t="str">
        <f>CONCATENATE(A92&amp;":"&amp;C92&amp;":"&amp;A93&amp;":"&amp;C93&amp;":"&amp;A94&amp;":"&amp;C94&amp;":"&amp;A95&amp;":"&amp;C95)</f>
        <v>OFFER_RARE_SPECIAL_1:30:OFFER_RARE_SPECIAL_2:30:OFFER_RARE_SPECIAL_3:25:OFFER_RARE_SPECIAL_4:15</v>
      </c>
      <c r="B96" s="388"/>
      <c r="C96" s="388">
        <f>SUM(C92:C95)</f>
        <v>100</v>
      </c>
    </row>
    <row r="97" spans="1:3" x14ac:dyDescent="0.25">
      <c r="A97" s="217" t="s">
        <v>1818</v>
      </c>
    </row>
    <row r="98" spans="1:3" x14ac:dyDescent="0.25">
      <c r="A98" s="54" t="s">
        <v>2536</v>
      </c>
      <c r="B98">
        <v>50000</v>
      </c>
      <c r="C98">
        <v>50</v>
      </c>
    </row>
    <row r="99" spans="1:3" x14ac:dyDescent="0.25">
      <c r="A99" s="54" t="s">
        <v>2537</v>
      </c>
      <c r="B99">
        <v>100000</v>
      </c>
      <c r="C99">
        <v>30</v>
      </c>
    </row>
    <row r="100" spans="1:3" x14ac:dyDescent="0.25">
      <c r="A100" s="54" t="s">
        <v>2538</v>
      </c>
      <c r="B100">
        <v>200000</v>
      </c>
      <c r="C100">
        <v>20</v>
      </c>
    </row>
    <row r="101" spans="1:3" ht="30" x14ac:dyDescent="0.25">
      <c r="A101" s="387" t="str">
        <f>CONCATENATE(A98&amp;":"&amp;C98&amp;":"&amp;A99&amp;":"&amp;C99&amp;":"&amp;A100&amp;":"&amp;C100)</f>
        <v>OFFER_RARE_SPECIAL_3:50:OFFER_RARE_SPECIAL_4:30:OFFER_RARE_SPECIAL_5:20</v>
      </c>
      <c r="B101" s="388"/>
      <c r="C101" s="388">
        <f>SUM(C98:C100)</f>
        <v>100</v>
      </c>
    </row>
    <row r="102" spans="1:3" s="11" customFormat="1" x14ac:dyDescent="0.25">
      <c r="A102" s="578"/>
    </row>
    <row r="104" spans="1:3" x14ac:dyDescent="0.25">
      <c r="A104" s="11" t="s">
        <v>2585</v>
      </c>
    </row>
    <row r="105" spans="1:3" x14ac:dyDescent="0.25">
      <c r="A105" s="217" t="s">
        <v>1819</v>
      </c>
      <c r="B105" s="141" t="s">
        <v>1580</v>
      </c>
      <c r="C105" s="43" t="s">
        <v>1821</v>
      </c>
    </row>
    <row r="106" spans="1:3" x14ac:dyDescent="0.25">
      <c r="A106" s="4" t="s">
        <v>2539</v>
      </c>
      <c r="B106" s="39">
        <v>10000</v>
      </c>
      <c r="C106" s="39">
        <v>50</v>
      </c>
    </row>
    <row r="107" spans="1:3" x14ac:dyDescent="0.25">
      <c r="A107" s="4" t="s">
        <v>2540</v>
      </c>
      <c r="B107" s="39">
        <v>20000</v>
      </c>
      <c r="C107" s="39">
        <v>30</v>
      </c>
    </row>
    <row r="108" spans="1:3" x14ac:dyDescent="0.25">
      <c r="A108" s="4" t="s">
        <v>2541</v>
      </c>
      <c r="B108" s="39">
        <v>50000</v>
      </c>
      <c r="C108" s="39">
        <v>20</v>
      </c>
    </row>
    <row r="109" spans="1:3" ht="30" x14ac:dyDescent="0.25">
      <c r="A109" s="387" t="str">
        <f>CONCATENATE(A106&amp;":"&amp;C106&amp;":"&amp;A107&amp;":"&amp;C107&amp;":"&amp;A108&amp;":"&amp;C108)</f>
        <v>OFFER_RARE_SUPER_1:50:OFFER_RARE_SUPER_2:30:OFFER_RARE_SUPER_3:20</v>
      </c>
      <c r="B109" s="388"/>
      <c r="C109" s="388">
        <f>SUM(C106:C108)</f>
        <v>100</v>
      </c>
    </row>
    <row r="110" spans="1:3" x14ac:dyDescent="0.25">
      <c r="A110" s="4"/>
    </row>
    <row r="111" spans="1:3" x14ac:dyDescent="0.25">
      <c r="A111" s="217" t="s">
        <v>1820</v>
      </c>
    </row>
    <row r="112" spans="1:3" x14ac:dyDescent="0.25">
      <c r="A112" s="4" t="s">
        <v>2539</v>
      </c>
      <c r="B112">
        <v>10000</v>
      </c>
      <c r="C112">
        <v>30</v>
      </c>
    </row>
    <row r="113" spans="1:3" x14ac:dyDescent="0.25">
      <c r="A113" s="4" t="s">
        <v>2540</v>
      </c>
      <c r="B113">
        <v>20000</v>
      </c>
      <c r="C113">
        <v>30</v>
      </c>
    </row>
    <row r="114" spans="1:3" x14ac:dyDescent="0.25">
      <c r="A114" s="4" t="s">
        <v>2541</v>
      </c>
      <c r="B114" s="11">
        <v>50000</v>
      </c>
      <c r="C114">
        <v>25</v>
      </c>
    </row>
    <row r="115" spans="1:3" x14ac:dyDescent="0.25">
      <c r="A115" s="4" t="s">
        <v>2542</v>
      </c>
      <c r="B115">
        <v>100000</v>
      </c>
      <c r="C115">
        <v>15</v>
      </c>
    </row>
    <row r="116" spans="1:3" ht="30" x14ac:dyDescent="0.25">
      <c r="A116" s="387" t="str">
        <f>CONCATENATE(A112&amp;":"&amp;C112&amp;":"&amp;A113&amp;":"&amp;C113&amp;":"&amp;A114&amp;":"&amp;C114&amp;":"&amp;A115&amp;":"&amp;C115)</f>
        <v>OFFER_RARE_SUPER_1:30:OFFER_RARE_SUPER_2:30:OFFER_RARE_SUPER_3:25:OFFER_RARE_SUPER_4:15</v>
      </c>
      <c r="B116" s="388"/>
      <c r="C116" s="388">
        <f>SUM(C112:C115)</f>
        <v>100</v>
      </c>
    </row>
    <row r="117" spans="1:3" x14ac:dyDescent="0.25">
      <c r="A117" s="4"/>
    </row>
    <row r="118" spans="1:3" x14ac:dyDescent="0.25">
      <c r="A118" s="217" t="s">
        <v>1818</v>
      </c>
    </row>
    <row r="119" spans="1:3" x14ac:dyDescent="0.25">
      <c r="A119" s="4" t="s">
        <v>2541</v>
      </c>
      <c r="B119" s="11">
        <v>50000</v>
      </c>
      <c r="C119">
        <v>50</v>
      </c>
    </row>
    <row r="120" spans="1:3" x14ac:dyDescent="0.25">
      <c r="A120" s="4" t="s">
        <v>2542</v>
      </c>
      <c r="B120">
        <v>100000</v>
      </c>
      <c r="C120">
        <v>30</v>
      </c>
    </row>
    <row r="121" spans="1:3" x14ac:dyDescent="0.25">
      <c r="A121" s="4" t="s">
        <v>2543</v>
      </c>
      <c r="B121">
        <v>200000</v>
      </c>
      <c r="C121">
        <v>20</v>
      </c>
    </row>
    <row r="122" spans="1:3" ht="30" x14ac:dyDescent="0.25">
      <c r="A122" s="387" t="str">
        <f>CONCATENATE(A119&amp;":"&amp;C119&amp;":"&amp;A120&amp;":"&amp;C120&amp;":"&amp;A121&amp;":"&amp;C121)</f>
        <v>OFFER_RARE_SUPER_3:50:OFFER_RARE_SUPER_4:30:OFFER_RARE_SUPER_5:20</v>
      </c>
      <c r="B122" s="388"/>
      <c r="C122" s="388">
        <f>SUM(C119:C121)</f>
        <v>100</v>
      </c>
    </row>
  </sheetData>
  <mergeCells count="1">
    <mergeCell ref="A72:E7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A29" sqref="A29"/>
    </sheetView>
  </sheetViews>
  <sheetFormatPr defaultRowHeight="15" x14ac:dyDescent="0.25"/>
  <cols>
    <col min="1" max="1" width="17.85546875" bestFit="1" customWidth="1"/>
    <col min="2" max="2" width="16.7109375" customWidth="1"/>
    <col min="3" max="3" width="11" bestFit="1" customWidth="1"/>
    <col min="4" max="4" width="12.5703125" bestFit="1" customWidth="1"/>
    <col min="5" max="5" width="147.7109375" bestFit="1" customWidth="1"/>
    <col min="6" max="6" width="12.28515625" bestFit="1" customWidth="1"/>
    <col min="7" max="7" width="16.7109375" bestFit="1" customWidth="1"/>
    <col min="8" max="8" width="17.28515625" bestFit="1" customWidth="1"/>
    <col min="9" max="9" width="19.42578125" bestFit="1" customWidth="1"/>
    <col min="10" max="10" width="14.42578125" customWidth="1"/>
    <col min="11" max="11" width="28.85546875" bestFit="1" customWidth="1"/>
    <col min="12" max="13" width="32.85546875" bestFit="1" customWidth="1"/>
    <col min="252" max="252" width="11.85546875" customWidth="1"/>
    <col min="253" max="253" width="2.85546875" bestFit="1" customWidth="1"/>
    <col min="254" max="254" width="9.140625" bestFit="1" customWidth="1"/>
    <col min="255" max="255" width="4.7109375" bestFit="1" customWidth="1"/>
    <col min="256" max="256" width="19.42578125" customWidth="1"/>
    <col min="257" max="257" width="16.42578125" bestFit="1" customWidth="1"/>
    <col min="258" max="258" width="16.140625" bestFit="1" customWidth="1"/>
    <col min="259" max="260" width="14.5703125" bestFit="1" customWidth="1"/>
    <col min="261" max="261" width="16.42578125" bestFit="1" customWidth="1"/>
    <col min="262" max="262" width="16.140625" customWidth="1"/>
    <col min="263" max="263" width="15.7109375" bestFit="1" customWidth="1"/>
    <col min="508" max="508" width="11.85546875" customWidth="1"/>
    <col min="509" max="509" width="2.85546875" bestFit="1" customWidth="1"/>
    <col min="510" max="510" width="9.140625" bestFit="1" customWidth="1"/>
    <col min="511" max="511" width="4.7109375" bestFit="1" customWidth="1"/>
    <col min="512" max="512" width="19.42578125" customWidth="1"/>
    <col min="513" max="513" width="16.42578125" bestFit="1" customWidth="1"/>
    <col min="514" max="514" width="16.140625" bestFit="1" customWidth="1"/>
    <col min="515" max="516" width="14.5703125" bestFit="1" customWidth="1"/>
    <col min="517" max="517" width="16.42578125" bestFit="1" customWidth="1"/>
    <col min="518" max="518" width="16.140625" customWidth="1"/>
    <col min="519" max="519" width="15.7109375" bestFit="1" customWidth="1"/>
    <col min="764" max="764" width="11.85546875" customWidth="1"/>
    <col min="765" max="765" width="2.85546875" bestFit="1" customWidth="1"/>
    <col min="766" max="766" width="9.140625" bestFit="1" customWidth="1"/>
    <col min="767" max="767" width="4.7109375" bestFit="1" customWidth="1"/>
    <col min="768" max="768" width="19.42578125" customWidth="1"/>
    <col min="769" max="769" width="16.42578125" bestFit="1" customWidth="1"/>
    <col min="770" max="770" width="16.140625" bestFit="1" customWidth="1"/>
    <col min="771" max="772" width="14.5703125" bestFit="1" customWidth="1"/>
    <col min="773" max="773" width="16.42578125" bestFit="1" customWidth="1"/>
    <col min="774" max="774" width="16.140625" customWidth="1"/>
    <col min="775" max="775" width="15.7109375" bestFit="1" customWidth="1"/>
    <col min="1020" max="1020" width="11.85546875" customWidth="1"/>
    <col min="1021" max="1021" width="2.85546875" bestFit="1" customWidth="1"/>
    <col min="1022" max="1022" width="9.140625" bestFit="1" customWidth="1"/>
    <col min="1023" max="1023" width="4.7109375" bestFit="1" customWidth="1"/>
    <col min="1024" max="1024" width="19.42578125" customWidth="1"/>
    <col min="1025" max="1025" width="16.42578125" bestFit="1" customWidth="1"/>
    <col min="1026" max="1026" width="16.140625" bestFit="1" customWidth="1"/>
    <col min="1027" max="1028" width="14.5703125" bestFit="1" customWidth="1"/>
    <col min="1029" max="1029" width="16.42578125" bestFit="1" customWidth="1"/>
    <col min="1030" max="1030" width="16.140625" customWidth="1"/>
    <col min="1031" max="1031" width="15.7109375" bestFit="1" customWidth="1"/>
    <col min="1276" max="1276" width="11.85546875" customWidth="1"/>
    <col min="1277" max="1277" width="2.85546875" bestFit="1" customWidth="1"/>
    <col min="1278" max="1278" width="9.140625" bestFit="1" customWidth="1"/>
    <col min="1279" max="1279" width="4.7109375" bestFit="1" customWidth="1"/>
    <col min="1280" max="1280" width="19.42578125" customWidth="1"/>
    <col min="1281" max="1281" width="16.42578125" bestFit="1" customWidth="1"/>
    <col min="1282" max="1282" width="16.140625" bestFit="1" customWidth="1"/>
    <col min="1283" max="1284" width="14.5703125" bestFit="1" customWidth="1"/>
    <col min="1285" max="1285" width="16.42578125" bestFit="1" customWidth="1"/>
    <col min="1286" max="1286" width="16.140625" customWidth="1"/>
    <col min="1287" max="1287" width="15.7109375" bestFit="1" customWidth="1"/>
    <col min="1532" max="1532" width="11.85546875" customWidth="1"/>
    <col min="1533" max="1533" width="2.85546875" bestFit="1" customWidth="1"/>
    <col min="1534" max="1534" width="9.140625" bestFit="1" customWidth="1"/>
    <col min="1535" max="1535" width="4.7109375" bestFit="1" customWidth="1"/>
    <col min="1536" max="1536" width="19.42578125" customWidth="1"/>
    <col min="1537" max="1537" width="16.42578125" bestFit="1" customWidth="1"/>
    <col min="1538" max="1538" width="16.140625" bestFit="1" customWidth="1"/>
    <col min="1539" max="1540" width="14.5703125" bestFit="1" customWidth="1"/>
    <col min="1541" max="1541" width="16.42578125" bestFit="1" customWidth="1"/>
    <col min="1542" max="1542" width="16.140625" customWidth="1"/>
    <col min="1543" max="1543" width="15.7109375" bestFit="1" customWidth="1"/>
    <col min="1788" max="1788" width="11.85546875" customWidth="1"/>
    <col min="1789" max="1789" width="2.85546875" bestFit="1" customWidth="1"/>
    <col min="1790" max="1790" width="9.140625" bestFit="1" customWidth="1"/>
    <col min="1791" max="1791" width="4.7109375" bestFit="1" customWidth="1"/>
    <col min="1792" max="1792" width="19.42578125" customWidth="1"/>
    <col min="1793" max="1793" width="16.42578125" bestFit="1" customWidth="1"/>
    <col min="1794" max="1794" width="16.140625" bestFit="1" customWidth="1"/>
    <col min="1795" max="1796" width="14.5703125" bestFit="1" customWidth="1"/>
    <col min="1797" max="1797" width="16.42578125" bestFit="1" customWidth="1"/>
    <col min="1798" max="1798" width="16.140625" customWidth="1"/>
    <col min="1799" max="1799" width="15.7109375" bestFit="1" customWidth="1"/>
    <col min="2044" max="2044" width="11.85546875" customWidth="1"/>
    <col min="2045" max="2045" width="2.85546875" bestFit="1" customWidth="1"/>
    <col min="2046" max="2046" width="9.140625" bestFit="1" customWidth="1"/>
    <col min="2047" max="2047" width="4.7109375" bestFit="1" customWidth="1"/>
    <col min="2048" max="2048" width="19.42578125" customWidth="1"/>
    <col min="2049" max="2049" width="16.42578125" bestFit="1" customWidth="1"/>
    <col min="2050" max="2050" width="16.140625" bestFit="1" customWidth="1"/>
    <col min="2051" max="2052" width="14.5703125" bestFit="1" customWidth="1"/>
    <col min="2053" max="2053" width="16.42578125" bestFit="1" customWidth="1"/>
    <col min="2054" max="2054" width="16.140625" customWidth="1"/>
    <col min="2055" max="2055" width="15.7109375" bestFit="1" customWidth="1"/>
    <col min="2300" max="2300" width="11.85546875" customWidth="1"/>
    <col min="2301" max="2301" width="2.85546875" bestFit="1" customWidth="1"/>
    <col min="2302" max="2302" width="9.140625" bestFit="1" customWidth="1"/>
    <col min="2303" max="2303" width="4.7109375" bestFit="1" customWidth="1"/>
    <col min="2304" max="2304" width="19.42578125" customWidth="1"/>
    <col min="2305" max="2305" width="16.42578125" bestFit="1" customWidth="1"/>
    <col min="2306" max="2306" width="16.140625" bestFit="1" customWidth="1"/>
    <col min="2307" max="2308" width="14.5703125" bestFit="1" customWidth="1"/>
    <col min="2309" max="2309" width="16.42578125" bestFit="1" customWidth="1"/>
    <col min="2310" max="2310" width="16.140625" customWidth="1"/>
    <col min="2311" max="2311" width="15.7109375" bestFit="1" customWidth="1"/>
    <col min="2556" max="2556" width="11.85546875" customWidth="1"/>
    <col min="2557" max="2557" width="2.85546875" bestFit="1" customWidth="1"/>
    <col min="2558" max="2558" width="9.140625" bestFit="1" customWidth="1"/>
    <col min="2559" max="2559" width="4.7109375" bestFit="1" customWidth="1"/>
    <col min="2560" max="2560" width="19.42578125" customWidth="1"/>
    <col min="2561" max="2561" width="16.42578125" bestFit="1" customWidth="1"/>
    <col min="2562" max="2562" width="16.140625" bestFit="1" customWidth="1"/>
    <col min="2563" max="2564" width="14.5703125" bestFit="1" customWidth="1"/>
    <col min="2565" max="2565" width="16.42578125" bestFit="1" customWidth="1"/>
    <col min="2566" max="2566" width="16.140625" customWidth="1"/>
    <col min="2567" max="2567" width="15.7109375" bestFit="1" customWidth="1"/>
    <col min="2812" max="2812" width="11.85546875" customWidth="1"/>
    <col min="2813" max="2813" width="2.85546875" bestFit="1" customWidth="1"/>
    <col min="2814" max="2814" width="9.140625" bestFit="1" customWidth="1"/>
    <col min="2815" max="2815" width="4.7109375" bestFit="1" customWidth="1"/>
    <col min="2816" max="2816" width="19.42578125" customWidth="1"/>
    <col min="2817" max="2817" width="16.42578125" bestFit="1" customWidth="1"/>
    <col min="2818" max="2818" width="16.140625" bestFit="1" customWidth="1"/>
    <col min="2819" max="2820" width="14.5703125" bestFit="1" customWidth="1"/>
    <col min="2821" max="2821" width="16.42578125" bestFit="1" customWidth="1"/>
    <col min="2822" max="2822" width="16.140625" customWidth="1"/>
    <col min="2823" max="2823" width="15.7109375" bestFit="1" customWidth="1"/>
    <col min="3068" max="3068" width="11.85546875" customWidth="1"/>
    <col min="3069" max="3069" width="2.85546875" bestFit="1" customWidth="1"/>
    <col min="3070" max="3070" width="9.140625" bestFit="1" customWidth="1"/>
    <col min="3071" max="3071" width="4.7109375" bestFit="1" customWidth="1"/>
    <col min="3072" max="3072" width="19.42578125" customWidth="1"/>
    <col min="3073" max="3073" width="16.42578125" bestFit="1" customWidth="1"/>
    <col min="3074" max="3074" width="16.140625" bestFit="1" customWidth="1"/>
    <col min="3075" max="3076" width="14.5703125" bestFit="1" customWidth="1"/>
    <col min="3077" max="3077" width="16.42578125" bestFit="1" customWidth="1"/>
    <col min="3078" max="3078" width="16.140625" customWidth="1"/>
    <col min="3079" max="3079" width="15.7109375" bestFit="1" customWidth="1"/>
    <col min="3324" max="3324" width="11.85546875" customWidth="1"/>
    <col min="3325" max="3325" width="2.85546875" bestFit="1" customWidth="1"/>
    <col min="3326" max="3326" width="9.140625" bestFit="1" customWidth="1"/>
    <col min="3327" max="3327" width="4.7109375" bestFit="1" customWidth="1"/>
    <col min="3328" max="3328" width="19.42578125" customWidth="1"/>
    <col min="3329" max="3329" width="16.42578125" bestFit="1" customWidth="1"/>
    <col min="3330" max="3330" width="16.140625" bestFit="1" customWidth="1"/>
    <col min="3331" max="3332" width="14.5703125" bestFit="1" customWidth="1"/>
    <col min="3333" max="3333" width="16.42578125" bestFit="1" customWidth="1"/>
    <col min="3334" max="3334" width="16.140625" customWidth="1"/>
    <col min="3335" max="3335" width="15.7109375" bestFit="1" customWidth="1"/>
    <col min="3580" max="3580" width="11.85546875" customWidth="1"/>
    <col min="3581" max="3581" width="2.85546875" bestFit="1" customWidth="1"/>
    <col min="3582" max="3582" width="9.140625" bestFit="1" customWidth="1"/>
    <col min="3583" max="3583" width="4.7109375" bestFit="1" customWidth="1"/>
    <col min="3584" max="3584" width="19.42578125" customWidth="1"/>
    <col min="3585" max="3585" width="16.42578125" bestFit="1" customWidth="1"/>
    <col min="3586" max="3586" width="16.140625" bestFit="1" customWidth="1"/>
    <col min="3587" max="3588" width="14.5703125" bestFit="1" customWidth="1"/>
    <col min="3589" max="3589" width="16.42578125" bestFit="1" customWidth="1"/>
    <col min="3590" max="3590" width="16.140625" customWidth="1"/>
    <col min="3591" max="3591" width="15.7109375" bestFit="1" customWidth="1"/>
    <col min="3836" max="3836" width="11.85546875" customWidth="1"/>
    <col min="3837" max="3837" width="2.85546875" bestFit="1" customWidth="1"/>
    <col min="3838" max="3838" width="9.140625" bestFit="1" customWidth="1"/>
    <col min="3839" max="3839" width="4.7109375" bestFit="1" customWidth="1"/>
    <col min="3840" max="3840" width="19.42578125" customWidth="1"/>
    <col min="3841" max="3841" width="16.42578125" bestFit="1" customWidth="1"/>
    <col min="3842" max="3842" width="16.140625" bestFit="1" customWidth="1"/>
    <col min="3843" max="3844" width="14.5703125" bestFit="1" customWidth="1"/>
    <col min="3845" max="3845" width="16.42578125" bestFit="1" customWidth="1"/>
    <col min="3846" max="3846" width="16.140625" customWidth="1"/>
    <col min="3847" max="3847" width="15.7109375" bestFit="1" customWidth="1"/>
    <col min="4092" max="4092" width="11.85546875" customWidth="1"/>
    <col min="4093" max="4093" width="2.85546875" bestFit="1" customWidth="1"/>
    <col min="4094" max="4094" width="9.140625" bestFit="1" customWidth="1"/>
    <col min="4095" max="4095" width="4.7109375" bestFit="1" customWidth="1"/>
    <col min="4096" max="4096" width="19.42578125" customWidth="1"/>
    <col min="4097" max="4097" width="16.42578125" bestFit="1" customWidth="1"/>
    <col min="4098" max="4098" width="16.140625" bestFit="1" customWidth="1"/>
    <col min="4099" max="4100" width="14.5703125" bestFit="1" customWidth="1"/>
    <col min="4101" max="4101" width="16.42578125" bestFit="1" customWidth="1"/>
    <col min="4102" max="4102" width="16.140625" customWidth="1"/>
    <col min="4103" max="4103" width="15.7109375" bestFit="1" customWidth="1"/>
    <col min="4348" max="4348" width="11.85546875" customWidth="1"/>
    <col min="4349" max="4349" width="2.85546875" bestFit="1" customWidth="1"/>
    <col min="4350" max="4350" width="9.140625" bestFit="1" customWidth="1"/>
    <col min="4351" max="4351" width="4.7109375" bestFit="1" customWidth="1"/>
    <col min="4352" max="4352" width="19.42578125" customWidth="1"/>
    <col min="4353" max="4353" width="16.42578125" bestFit="1" customWidth="1"/>
    <col min="4354" max="4354" width="16.140625" bestFit="1" customWidth="1"/>
    <col min="4355" max="4356" width="14.5703125" bestFit="1" customWidth="1"/>
    <col min="4357" max="4357" width="16.42578125" bestFit="1" customWidth="1"/>
    <col min="4358" max="4358" width="16.140625" customWidth="1"/>
    <col min="4359" max="4359" width="15.7109375" bestFit="1" customWidth="1"/>
    <col min="4604" max="4604" width="11.85546875" customWidth="1"/>
    <col min="4605" max="4605" width="2.85546875" bestFit="1" customWidth="1"/>
    <col min="4606" max="4606" width="9.140625" bestFit="1" customWidth="1"/>
    <col min="4607" max="4607" width="4.7109375" bestFit="1" customWidth="1"/>
    <col min="4608" max="4608" width="19.42578125" customWidth="1"/>
    <col min="4609" max="4609" width="16.42578125" bestFit="1" customWidth="1"/>
    <col min="4610" max="4610" width="16.140625" bestFit="1" customWidth="1"/>
    <col min="4611" max="4612" width="14.5703125" bestFit="1" customWidth="1"/>
    <col min="4613" max="4613" width="16.42578125" bestFit="1" customWidth="1"/>
    <col min="4614" max="4614" width="16.140625" customWidth="1"/>
    <col min="4615" max="4615" width="15.7109375" bestFit="1" customWidth="1"/>
    <col min="4860" max="4860" width="11.85546875" customWidth="1"/>
    <col min="4861" max="4861" width="2.85546875" bestFit="1" customWidth="1"/>
    <col min="4862" max="4862" width="9.140625" bestFit="1" customWidth="1"/>
    <col min="4863" max="4863" width="4.7109375" bestFit="1" customWidth="1"/>
    <col min="4864" max="4864" width="19.42578125" customWidth="1"/>
    <col min="4865" max="4865" width="16.42578125" bestFit="1" customWidth="1"/>
    <col min="4866" max="4866" width="16.140625" bestFit="1" customWidth="1"/>
    <col min="4867" max="4868" width="14.5703125" bestFit="1" customWidth="1"/>
    <col min="4869" max="4869" width="16.42578125" bestFit="1" customWidth="1"/>
    <col min="4870" max="4870" width="16.140625" customWidth="1"/>
    <col min="4871" max="4871" width="15.7109375" bestFit="1" customWidth="1"/>
    <col min="5116" max="5116" width="11.85546875" customWidth="1"/>
    <col min="5117" max="5117" width="2.85546875" bestFit="1" customWidth="1"/>
    <col min="5118" max="5118" width="9.140625" bestFit="1" customWidth="1"/>
    <col min="5119" max="5119" width="4.7109375" bestFit="1" customWidth="1"/>
    <col min="5120" max="5120" width="19.42578125" customWidth="1"/>
    <col min="5121" max="5121" width="16.42578125" bestFit="1" customWidth="1"/>
    <col min="5122" max="5122" width="16.140625" bestFit="1" customWidth="1"/>
    <col min="5123" max="5124" width="14.5703125" bestFit="1" customWidth="1"/>
    <col min="5125" max="5125" width="16.42578125" bestFit="1" customWidth="1"/>
    <col min="5126" max="5126" width="16.140625" customWidth="1"/>
    <col min="5127" max="5127" width="15.7109375" bestFit="1" customWidth="1"/>
    <col min="5372" max="5372" width="11.85546875" customWidth="1"/>
    <col min="5373" max="5373" width="2.85546875" bestFit="1" customWidth="1"/>
    <col min="5374" max="5374" width="9.140625" bestFit="1" customWidth="1"/>
    <col min="5375" max="5375" width="4.7109375" bestFit="1" customWidth="1"/>
    <col min="5376" max="5376" width="19.42578125" customWidth="1"/>
    <col min="5377" max="5377" width="16.42578125" bestFit="1" customWidth="1"/>
    <col min="5378" max="5378" width="16.140625" bestFit="1" customWidth="1"/>
    <col min="5379" max="5380" width="14.5703125" bestFit="1" customWidth="1"/>
    <col min="5381" max="5381" width="16.42578125" bestFit="1" customWidth="1"/>
    <col min="5382" max="5382" width="16.140625" customWidth="1"/>
    <col min="5383" max="5383" width="15.7109375" bestFit="1" customWidth="1"/>
    <col min="5628" max="5628" width="11.85546875" customWidth="1"/>
    <col min="5629" max="5629" width="2.85546875" bestFit="1" customWidth="1"/>
    <col min="5630" max="5630" width="9.140625" bestFit="1" customWidth="1"/>
    <col min="5631" max="5631" width="4.7109375" bestFit="1" customWidth="1"/>
    <col min="5632" max="5632" width="19.42578125" customWidth="1"/>
    <col min="5633" max="5633" width="16.42578125" bestFit="1" customWidth="1"/>
    <col min="5634" max="5634" width="16.140625" bestFit="1" customWidth="1"/>
    <col min="5635" max="5636" width="14.5703125" bestFit="1" customWidth="1"/>
    <col min="5637" max="5637" width="16.42578125" bestFit="1" customWidth="1"/>
    <col min="5638" max="5638" width="16.140625" customWidth="1"/>
    <col min="5639" max="5639" width="15.7109375" bestFit="1" customWidth="1"/>
    <col min="5884" max="5884" width="11.85546875" customWidth="1"/>
    <col min="5885" max="5885" width="2.85546875" bestFit="1" customWidth="1"/>
    <col min="5886" max="5886" width="9.140625" bestFit="1" customWidth="1"/>
    <col min="5887" max="5887" width="4.7109375" bestFit="1" customWidth="1"/>
    <col min="5888" max="5888" width="19.42578125" customWidth="1"/>
    <col min="5889" max="5889" width="16.42578125" bestFit="1" customWidth="1"/>
    <col min="5890" max="5890" width="16.140625" bestFit="1" customWidth="1"/>
    <col min="5891" max="5892" width="14.5703125" bestFit="1" customWidth="1"/>
    <col min="5893" max="5893" width="16.42578125" bestFit="1" customWidth="1"/>
    <col min="5894" max="5894" width="16.140625" customWidth="1"/>
    <col min="5895" max="5895" width="15.7109375" bestFit="1" customWidth="1"/>
    <col min="6140" max="6140" width="11.85546875" customWidth="1"/>
    <col min="6141" max="6141" width="2.85546875" bestFit="1" customWidth="1"/>
    <col min="6142" max="6142" width="9.140625" bestFit="1" customWidth="1"/>
    <col min="6143" max="6143" width="4.7109375" bestFit="1" customWidth="1"/>
    <col min="6144" max="6144" width="19.42578125" customWidth="1"/>
    <col min="6145" max="6145" width="16.42578125" bestFit="1" customWidth="1"/>
    <col min="6146" max="6146" width="16.140625" bestFit="1" customWidth="1"/>
    <col min="6147" max="6148" width="14.5703125" bestFit="1" customWidth="1"/>
    <col min="6149" max="6149" width="16.42578125" bestFit="1" customWidth="1"/>
    <col min="6150" max="6150" width="16.140625" customWidth="1"/>
    <col min="6151" max="6151" width="15.7109375" bestFit="1" customWidth="1"/>
    <col min="6396" max="6396" width="11.85546875" customWidth="1"/>
    <col min="6397" max="6397" width="2.85546875" bestFit="1" customWidth="1"/>
    <col min="6398" max="6398" width="9.140625" bestFit="1" customWidth="1"/>
    <col min="6399" max="6399" width="4.7109375" bestFit="1" customWidth="1"/>
    <col min="6400" max="6400" width="19.42578125" customWidth="1"/>
    <col min="6401" max="6401" width="16.42578125" bestFit="1" customWidth="1"/>
    <col min="6402" max="6402" width="16.140625" bestFit="1" customWidth="1"/>
    <col min="6403" max="6404" width="14.5703125" bestFit="1" customWidth="1"/>
    <col min="6405" max="6405" width="16.42578125" bestFit="1" customWidth="1"/>
    <col min="6406" max="6406" width="16.140625" customWidth="1"/>
    <col min="6407" max="6407" width="15.7109375" bestFit="1" customWidth="1"/>
    <col min="6652" max="6652" width="11.85546875" customWidth="1"/>
    <col min="6653" max="6653" width="2.85546875" bestFit="1" customWidth="1"/>
    <col min="6654" max="6654" width="9.140625" bestFit="1" customWidth="1"/>
    <col min="6655" max="6655" width="4.7109375" bestFit="1" customWidth="1"/>
    <col min="6656" max="6656" width="19.42578125" customWidth="1"/>
    <col min="6657" max="6657" width="16.42578125" bestFit="1" customWidth="1"/>
    <col min="6658" max="6658" width="16.140625" bestFit="1" customWidth="1"/>
    <col min="6659" max="6660" width="14.5703125" bestFit="1" customWidth="1"/>
    <col min="6661" max="6661" width="16.42578125" bestFit="1" customWidth="1"/>
    <col min="6662" max="6662" width="16.140625" customWidth="1"/>
    <col min="6663" max="6663" width="15.7109375" bestFit="1" customWidth="1"/>
    <col min="6908" max="6908" width="11.85546875" customWidth="1"/>
    <col min="6909" max="6909" width="2.85546875" bestFit="1" customWidth="1"/>
    <col min="6910" max="6910" width="9.140625" bestFit="1" customWidth="1"/>
    <col min="6911" max="6911" width="4.7109375" bestFit="1" customWidth="1"/>
    <col min="6912" max="6912" width="19.42578125" customWidth="1"/>
    <col min="6913" max="6913" width="16.42578125" bestFit="1" customWidth="1"/>
    <col min="6914" max="6914" width="16.140625" bestFit="1" customWidth="1"/>
    <col min="6915" max="6916" width="14.5703125" bestFit="1" customWidth="1"/>
    <col min="6917" max="6917" width="16.42578125" bestFit="1" customWidth="1"/>
    <col min="6918" max="6918" width="16.140625" customWidth="1"/>
    <col min="6919" max="6919" width="15.7109375" bestFit="1" customWidth="1"/>
    <col min="7164" max="7164" width="11.85546875" customWidth="1"/>
    <col min="7165" max="7165" width="2.85546875" bestFit="1" customWidth="1"/>
    <col min="7166" max="7166" width="9.140625" bestFit="1" customWidth="1"/>
    <col min="7167" max="7167" width="4.7109375" bestFit="1" customWidth="1"/>
    <col min="7168" max="7168" width="19.42578125" customWidth="1"/>
    <col min="7169" max="7169" width="16.42578125" bestFit="1" customWidth="1"/>
    <col min="7170" max="7170" width="16.140625" bestFit="1" customWidth="1"/>
    <col min="7171" max="7172" width="14.5703125" bestFit="1" customWidth="1"/>
    <col min="7173" max="7173" width="16.42578125" bestFit="1" customWidth="1"/>
    <col min="7174" max="7174" width="16.140625" customWidth="1"/>
    <col min="7175" max="7175" width="15.7109375" bestFit="1" customWidth="1"/>
    <col min="7420" max="7420" width="11.85546875" customWidth="1"/>
    <col min="7421" max="7421" width="2.85546875" bestFit="1" customWidth="1"/>
    <col min="7422" max="7422" width="9.140625" bestFit="1" customWidth="1"/>
    <col min="7423" max="7423" width="4.7109375" bestFit="1" customWidth="1"/>
    <col min="7424" max="7424" width="19.42578125" customWidth="1"/>
    <col min="7425" max="7425" width="16.42578125" bestFit="1" customWidth="1"/>
    <col min="7426" max="7426" width="16.140625" bestFit="1" customWidth="1"/>
    <col min="7427" max="7428" width="14.5703125" bestFit="1" customWidth="1"/>
    <col min="7429" max="7429" width="16.42578125" bestFit="1" customWidth="1"/>
    <col min="7430" max="7430" width="16.140625" customWidth="1"/>
    <col min="7431" max="7431" width="15.7109375" bestFit="1" customWidth="1"/>
    <col min="7676" max="7676" width="11.85546875" customWidth="1"/>
    <col min="7677" max="7677" width="2.85546875" bestFit="1" customWidth="1"/>
    <col min="7678" max="7678" width="9.140625" bestFit="1" customWidth="1"/>
    <col min="7679" max="7679" width="4.7109375" bestFit="1" customWidth="1"/>
    <col min="7680" max="7680" width="19.42578125" customWidth="1"/>
    <col min="7681" max="7681" width="16.42578125" bestFit="1" customWidth="1"/>
    <col min="7682" max="7682" width="16.140625" bestFit="1" customWidth="1"/>
    <col min="7683" max="7684" width="14.5703125" bestFit="1" customWidth="1"/>
    <col min="7685" max="7685" width="16.42578125" bestFit="1" customWidth="1"/>
    <col min="7686" max="7686" width="16.140625" customWidth="1"/>
    <col min="7687" max="7687" width="15.7109375" bestFit="1" customWidth="1"/>
    <col min="7932" max="7932" width="11.85546875" customWidth="1"/>
    <col min="7933" max="7933" width="2.85546875" bestFit="1" customWidth="1"/>
    <col min="7934" max="7934" width="9.140625" bestFit="1" customWidth="1"/>
    <col min="7935" max="7935" width="4.7109375" bestFit="1" customWidth="1"/>
    <col min="7936" max="7936" width="19.42578125" customWidth="1"/>
    <col min="7937" max="7937" width="16.42578125" bestFit="1" customWidth="1"/>
    <col min="7938" max="7938" width="16.140625" bestFit="1" customWidth="1"/>
    <col min="7939" max="7940" width="14.5703125" bestFit="1" customWidth="1"/>
    <col min="7941" max="7941" width="16.42578125" bestFit="1" customWidth="1"/>
    <col min="7942" max="7942" width="16.140625" customWidth="1"/>
    <col min="7943" max="7943" width="15.7109375" bestFit="1" customWidth="1"/>
    <col min="8188" max="8188" width="11.85546875" customWidth="1"/>
    <col min="8189" max="8189" width="2.85546875" bestFit="1" customWidth="1"/>
    <col min="8190" max="8190" width="9.140625" bestFit="1" customWidth="1"/>
    <col min="8191" max="8191" width="4.7109375" bestFit="1" customWidth="1"/>
    <col min="8192" max="8192" width="19.42578125" customWidth="1"/>
    <col min="8193" max="8193" width="16.42578125" bestFit="1" customWidth="1"/>
    <col min="8194" max="8194" width="16.140625" bestFit="1" customWidth="1"/>
    <col min="8195" max="8196" width="14.5703125" bestFit="1" customWidth="1"/>
    <col min="8197" max="8197" width="16.42578125" bestFit="1" customWidth="1"/>
    <col min="8198" max="8198" width="16.140625" customWidth="1"/>
    <col min="8199" max="8199" width="15.7109375" bestFit="1" customWidth="1"/>
    <col min="8444" max="8444" width="11.85546875" customWidth="1"/>
    <col min="8445" max="8445" width="2.85546875" bestFit="1" customWidth="1"/>
    <col min="8446" max="8446" width="9.140625" bestFit="1" customWidth="1"/>
    <col min="8447" max="8447" width="4.7109375" bestFit="1" customWidth="1"/>
    <col min="8448" max="8448" width="19.42578125" customWidth="1"/>
    <col min="8449" max="8449" width="16.42578125" bestFit="1" customWidth="1"/>
    <col min="8450" max="8450" width="16.140625" bestFit="1" customWidth="1"/>
    <col min="8451" max="8452" width="14.5703125" bestFit="1" customWidth="1"/>
    <col min="8453" max="8453" width="16.42578125" bestFit="1" customWidth="1"/>
    <col min="8454" max="8454" width="16.140625" customWidth="1"/>
    <col min="8455" max="8455" width="15.7109375" bestFit="1" customWidth="1"/>
    <col min="8700" max="8700" width="11.85546875" customWidth="1"/>
    <col min="8701" max="8701" width="2.85546875" bestFit="1" customWidth="1"/>
    <col min="8702" max="8702" width="9.140625" bestFit="1" customWidth="1"/>
    <col min="8703" max="8703" width="4.7109375" bestFit="1" customWidth="1"/>
    <col min="8704" max="8704" width="19.42578125" customWidth="1"/>
    <col min="8705" max="8705" width="16.42578125" bestFit="1" customWidth="1"/>
    <col min="8706" max="8706" width="16.140625" bestFit="1" customWidth="1"/>
    <col min="8707" max="8708" width="14.5703125" bestFit="1" customWidth="1"/>
    <col min="8709" max="8709" width="16.42578125" bestFit="1" customWidth="1"/>
    <col min="8710" max="8710" width="16.140625" customWidth="1"/>
    <col min="8711" max="8711" width="15.7109375" bestFit="1" customWidth="1"/>
    <col min="8956" max="8956" width="11.85546875" customWidth="1"/>
    <col min="8957" max="8957" width="2.85546875" bestFit="1" customWidth="1"/>
    <col min="8958" max="8958" width="9.140625" bestFit="1" customWidth="1"/>
    <col min="8959" max="8959" width="4.7109375" bestFit="1" customWidth="1"/>
    <col min="8960" max="8960" width="19.42578125" customWidth="1"/>
    <col min="8961" max="8961" width="16.42578125" bestFit="1" customWidth="1"/>
    <col min="8962" max="8962" width="16.140625" bestFit="1" customWidth="1"/>
    <col min="8963" max="8964" width="14.5703125" bestFit="1" customWidth="1"/>
    <col min="8965" max="8965" width="16.42578125" bestFit="1" customWidth="1"/>
    <col min="8966" max="8966" width="16.140625" customWidth="1"/>
    <col min="8967" max="8967" width="15.7109375" bestFit="1" customWidth="1"/>
    <col min="9212" max="9212" width="11.85546875" customWidth="1"/>
    <col min="9213" max="9213" width="2.85546875" bestFit="1" customWidth="1"/>
    <col min="9214" max="9214" width="9.140625" bestFit="1" customWidth="1"/>
    <col min="9215" max="9215" width="4.7109375" bestFit="1" customWidth="1"/>
    <col min="9216" max="9216" width="19.42578125" customWidth="1"/>
    <col min="9217" max="9217" width="16.42578125" bestFit="1" customWidth="1"/>
    <col min="9218" max="9218" width="16.140625" bestFit="1" customWidth="1"/>
    <col min="9219" max="9220" width="14.5703125" bestFit="1" customWidth="1"/>
    <col min="9221" max="9221" width="16.42578125" bestFit="1" customWidth="1"/>
    <col min="9222" max="9222" width="16.140625" customWidth="1"/>
    <col min="9223" max="9223" width="15.7109375" bestFit="1" customWidth="1"/>
    <col min="9468" max="9468" width="11.85546875" customWidth="1"/>
    <col min="9469" max="9469" width="2.85546875" bestFit="1" customWidth="1"/>
    <col min="9470" max="9470" width="9.140625" bestFit="1" customWidth="1"/>
    <col min="9471" max="9471" width="4.7109375" bestFit="1" customWidth="1"/>
    <col min="9472" max="9472" width="19.42578125" customWidth="1"/>
    <col min="9473" max="9473" width="16.42578125" bestFit="1" customWidth="1"/>
    <col min="9474" max="9474" width="16.140625" bestFit="1" customWidth="1"/>
    <col min="9475" max="9476" width="14.5703125" bestFit="1" customWidth="1"/>
    <col min="9477" max="9477" width="16.42578125" bestFit="1" customWidth="1"/>
    <col min="9478" max="9478" width="16.140625" customWidth="1"/>
    <col min="9479" max="9479" width="15.7109375" bestFit="1" customWidth="1"/>
    <col min="9724" max="9724" width="11.85546875" customWidth="1"/>
    <col min="9725" max="9725" width="2.85546875" bestFit="1" customWidth="1"/>
    <col min="9726" max="9726" width="9.140625" bestFit="1" customWidth="1"/>
    <col min="9727" max="9727" width="4.7109375" bestFit="1" customWidth="1"/>
    <col min="9728" max="9728" width="19.42578125" customWidth="1"/>
    <col min="9729" max="9729" width="16.42578125" bestFit="1" customWidth="1"/>
    <col min="9730" max="9730" width="16.140625" bestFit="1" customWidth="1"/>
    <col min="9731" max="9732" width="14.5703125" bestFit="1" customWidth="1"/>
    <col min="9733" max="9733" width="16.42578125" bestFit="1" customWidth="1"/>
    <col min="9734" max="9734" width="16.140625" customWidth="1"/>
    <col min="9735" max="9735" width="15.7109375" bestFit="1" customWidth="1"/>
    <col min="9980" max="9980" width="11.85546875" customWidth="1"/>
    <col min="9981" max="9981" width="2.85546875" bestFit="1" customWidth="1"/>
    <col min="9982" max="9982" width="9.140625" bestFit="1" customWidth="1"/>
    <col min="9983" max="9983" width="4.7109375" bestFit="1" customWidth="1"/>
    <col min="9984" max="9984" width="19.42578125" customWidth="1"/>
    <col min="9985" max="9985" width="16.42578125" bestFit="1" customWidth="1"/>
    <col min="9986" max="9986" width="16.140625" bestFit="1" customWidth="1"/>
    <col min="9987" max="9988" width="14.5703125" bestFit="1" customWidth="1"/>
    <col min="9989" max="9989" width="16.42578125" bestFit="1" customWidth="1"/>
    <col min="9990" max="9990" width="16.140625" customWidth="1"/>
    <col min="9991" max="9991" width="15.7109375" bestFit="1" customWidth="1"/>
    <col min="10236" max="10236" width="11.85546875" customWidth="1"/>
    <col min="10237" max="10237" width="2.85546875" bestFit="1" customWidth="1"/>
    <col min="10238" max="10238" width="9.140625" bestFit="1" customWidth="1"/>
    <col min="10239" max="10239" width="4.7109375" bestFit="1" customWidth="1"/>
    <col min="10240" max="10240" width="19.42578125" customWidth="1"/>
    <col min="10241" max="10241" width="16.42578125" bestFit="1" customWidth="1"/>
    <col min="10242" max="10242" width="16.140625" bestFit="1" customWidth="1"/>
    <col min="10243" max="10244" width="14.5703125" bestFit="1" customWidth="1"/>
    <col min="10245" max="10245" width="16.42578125" bestFit="1" customWidth="1"/>
    <col min="10246" max="10246" width="16.140625" customWidth="1"/>
    <col min="10247" max="10247" width="15.7109375" bestFit="1" customWidth="1"/>
    <col min="10492" max="10492" width="11.85546875" customWidth="1"/>
    <col min="10493" max="10493" width="2.85546875" bestFit="1" customWidth="1"/>
    <col min="10494" max="10494" width="9.140625" bestFit="1" customWidth="1"/>
    <col min="10495" max="10495" width="4.7109375" bestFit="1" customWidth="1"/>
    <col min="10496" max="10496" width="19.42578125" customWidth="1"/>
    <col min="10497" max="10497" width="16.42578125" bestFit="1" customWidth="1"/>
    <col min="10498" max="10498" width="16.140625" bestFit="1" customWidth="1"/>
    <col min="10499" max="10500" width="14.5703125" bestFit="1" customWidth="1"/>
    <col min="10501" max="10501" width="16.42578125" bestFit="1" customWidth="1"/>
    <col min="10502" max="10502" width="16.140625" customWidth="1"/>
    <col min="10503" max="10503" width="15.7109375" bestFit="1" customWidth="1"/>
    <col min="10748" max="10748" width="11.85546875" customWidth="1"/>
    <col min="10749" max="10749" width="2.85546875" bestFit="1" customWidth="1"/>
    <col min="10750" max="10750" width="9.140625" bestFit="1" customWidth="1"/>
    <col min="10751" max="10751" width="4.7109375" bestFit="1" customWidth="1"/>
    <col min="10752" max="10752" width="19.42578125" customWidth="1"/>
    <col min="10753" max="10753" width="16.42578125" bestFit="1" customWidth="1"/>
    <col min="10754" max="10754" width="16.140625" bestFit="1" customWidth="1"/>
    <col min="10755" max="10756" width="14.5703125" bestFit="1" customWidth="1"/>
    <col min="10757" max="10757" width="16.42578125" bestFit="1" customWidth="1"/>
    <col min="10758" max="10758" width="16.140625" customWidth="1"/>
    <col min="10759" max="10759" width="15.7109375" bestFit="1" customWidth="1"/>
    <col min="11004" max="11004" width="11.85546875" customWidth="1"/>
    <col min="11005" max="11005" width="2.85546875" bestFit="1" customWidth="1"/>
    <col min="11006" max="11006" width="9.140625" bestFit="1" customWidth="1"/>
    <col min="11007" max="11007" width="4.7109375" bestFit="1" customWidth="1"/>
    <col min="11008" max="11008" width="19.42578125" customWidth="1"/>
    <col min="11009" max="11009" width="16.42578125" bestFit="1" customWidth="1"/>
    <col min="11010" max="11010" width="16.140625" bestFit="1" customWidth="1"/>
    <col min="11011" max="11012" width="14.5703125" bestFit="1" customWidth="1"/>
    <col min="11013" max="11013" width="16.42578125" bestFit="1" customWidth="1"/>
    <col min="11014" max="11014" width="16.140625" customWidth="1"/>
    <col min="11015" max="11015" width="15.7109375" bestFit="1" customWidth="1"/>
    <col min="11260" max="11260" width="11.85546875" customWidth="1"/>
    <col min="11261" max="11261" width="2.85546875" bestFit="1" customWidth="1"/>
    <col min="11262" max="11262" width="9.140625" bestFit="1" customWidth="1"/>
    <col min="11263" max="11263" width="4.7109375" bestFit="1" customWidth="1"/>
    <col min="11264" max="11264" width="19.42578125" customWidth="1"/>
    <col min="11265" max="11265" width="16.42578125" bestFit="1" customWidth="1"/>
    <col min="11266" max="11266" width="16.140625" bestFit="1" customWidth="1"/>
    <col min="11267" max="11268" width="14.5703125" bestFit="1" customWidth="1"/>
    <col min="11269" max="11269" width="16.42578125" bestFit="1" customWidth="1"/>
    <col min="11270" max="11270" width="16.140625" customWidth="1"/>
    <col min="11271" max="11271" width="15.7109375" bestFit="1" customWidth="1"/>
    <col min="11516" max="11516" width="11.85546875" customWidth="1"/>
    <col min="11517" max="11517" width="2.85546875" bestFit="1" customWidth="1"/>
    <col min="11518" max="11518" width="9.140625" bestFit="1" customWidth="1"/>
    <col min="11519" max="11519" width="4.7109375" bestFit="1" customWidth="1"/>
    <col min="11520" max="11520" width="19.42578125" customWidth="1"/>
    <col min="11521" max="11521" width="16.42578125" bestFit="1" customWidth="1"/>
    <col min="11522" max="11522" width="16.140625" bestFit="1" customWidth="1"/>
    <col min="11523" max="11524" width="14.5703125" bestFit="1" customWidth="1"/>
    <col min="11525" max="11525" width="16.42578125" bestFit="1" customWidth="1"/>
    <col min="11526" max="11526" width="16.140625" customWidth="1"/>
    <col min="11527" max="11527" width="15.7109375" bestFit="1" customWidth="1"/>
    <col min="11772" max="11772" width="11.85546875" customWidth="1"/>
    <col min="11773" max="11773" width="2.85546875" bestFit="1" customWidth="1"/>
    <col min="11774" max="11774" width="9.140625" bestFit="1" customWidth="1"/>
    <col min="11775" max="11775" width="4.7109375" bestFit="1" customWidth="1"/>
    <col min="11776" max="11776" width="19.42578125" customWidth="1"/>
    <col min="11777" max="11777" width="16.42578125" bestFit="1" customWidth="1"/>
    <col min="11778" max="11778" width="16.140625" bestFit="1" customWidth="1"/>
    <col min="11779" max="11780" width="14.5703125" bestFit="1" customWidth="1"/>
    <col min="11781" max="11781" width="16.42578125" bestFit="1" customWidth="1"/>
    <col min="11782" max="11782" width="16.140625" customWidth="1"/>
    <col min="11783" max="11783" width="15.7109375" bestFit="1" customWidth="1"/>
    <col min="12028" max="12028" width="11.85546875" customWidth="1"/>
    <col min="12029" max="12029" width="2.85546875" bestFit="1" customWidth="1"/>
    <col min="12030" max="12030" width="9.140625" bestFit="1" customWidth="1"/>
    <col min="12031" max="12031" width="4.7109375" bestFit="1" customWidth="1"/>
    <col min="12032" max="12032" width="19.42578125" customWidth="1"/>
    <col min="12033" max="12033" width="16.42578125" bestFit="1" customWidth="1"/>
    <col min="12034" max="12034" width="16.140625" bestFit="1" customWidth="1"/>
    <col min="12035" max="12036" width="14.5703125" bestFit="1" customWidth="1"/>
    <col min="12037" max="12037" width="16.42578125" bestFit="1" customWidth="1"/>
    <col min="12038" max="12038" width="16.140625" customWidth="1"/>
    <col min="12039" max="12039" width="15.7109375" bestFit="1" customWidth="1"/>
    <col min="12284" max="12284" width="11.85546875" customWidth="1"/>
    <col min="12285" max="12285" width="2.85546875" bestFit="1" customWidth="1"/>
    <col min="12286" max="12286" width="9.140625" bestFit="1" customWidth="1"/>
    <col min="12287" max="12287" width="4.7109375" bestFit="1" customWidth="1"/>
    <col min="12288" max="12288" width="19.42578125" customWidth="1"/>
    <col min="12289" max="12289" width="16.42578125" bestFit="1" customWidth="1"/>
    <col min="12290" max="12290" width="16.140625" bestFit="1" customWidth="1"/>
    <col min="12291" max="12292" width="14.5703125" bestFit="1" customWidth="1"/>
    <col min="12293" max="12293" width="16.42578125" bestFit="1" customWidth="1"/>
    <col min="12294" max="12294" width="16.140625" customWidth="1"/>
    <col min="12295" max="12295" width="15.7109375" bestFit="1" customWidth="1"/>
    <col min="12540" max="12540" width="11.85546875" customWidth="1"/>
    <col min="12541" max="12541" width="2.85546875" bestFit="1" customWidth="1"/>
    <col min="12542" max="12542" width="9.140625" bestFit="1" customWidth="1"/>
    <col min="12543" max="12543" width="4.7109375" bestFit="1" customWidth="1"/>
    <col min="12544" max="12544" width="19.42578125" customWidth="1"/>
    <col min="12545" max="12545" width="16.42578125" bestFit="1" customWidth="1"/>
    <col min="12546" max="12546" width="16.140625" bestFit="1" customWidth="1"/>
    <col min="12547" max="12548" width="14.5703125" bestFit="1" customWidth="1"/>
    <col min="12549" max="12549" width="16.42578125" bestFit="1" customWidth="1"/>
    <col min="12550" max="12550" width="16.140625" customWidth="1"/>
    <col min="12551" max="12551" width="15.7109375" bestFit="1" customWidth="1"/>
    <col min="12796" max="12796" width="11.85546875" customWidth="1"/>
    <col min="12797" max="12797" width="2.85546875" bestFit="1" customWidth="1"/>
    <col min="12798" max="12798" width="9.140625" bestFit="1" customWidth="1"/>
    <col min="12799" max="12799" width="4.7109375" bestFit="1" customWidth="1"/>
    <col min="12800" max="12800" width="19.42578125" customWidth="1"/>
    <col min="12801" max="12801" width="16.42578125" bestFit="1" customWidth="1"/>
    <col min="12802" max="12802" width="16.140625" bestFit="1" customWidth="1"/>
    <col min="12803" max="12804" width="14.5703125" bestFit="1" customWidth="1"/>
    <col min="12805" max="12805" width="16.42578125" bestFit="1" customWidth="1"/>
    <col min="12806" max="12806" width="16.140625" customWidth="1"/>
    <col min="12807" max="12807" width="15.7109375" bestFit="1" customWidth="1"/>
    <col min="13052" max="13052" width="11.85546875" customWidth="1"/>
    <col min="13053" max="13053" width="2.85546875" bestFit="1" customWidth="1"/>
    <col min="13054" max="13054" width="9.140625" bestFit="1" customWidth="1"/>
    <col min="13055" max="13055" width="4.7109375" bestFit="1" customWidth="1"/>
    <col min="13056" max="13056" width="19.42578125" customWidth="1"/>
    <col min="13057" max="13057" width="16.42578125" bestFit="1" customWidth="1"/>
    <col min="13058" max="13058" width="16.140625" bestFit="1" customWidth="1"/>
    <col min="13059" max="13060" width="14.5703125" bestFit="1" customWidth="1"/>
    <col min="13061" max="13061" width="16.42578125" bestFit="1" customWidth="1"/>
    <col min="13062" max="13062" width="16.140625" customWidth="1"/>
    <col min="13063" max="13063" width="15.7109375" bestFit="1" customWidth="1"/>
    <col min="13308" max="13308" width="11.85546875" customWidth="1"/>
    <col min="13309" max="13309" width="2.85546875" bestFit="1" customWidth="1"/>
    <col min="13310" max="13310" width="9.140625" bestFit="1" customWidth="1"/>
    <col min="13311" max="13311" width="4.7109375" bestFit="1" customWidth="1"/>
    <col min="13312" max="13312" width="19.42578125" customWidth="1"/>
    <col min="13313" max="13313" width="16.42578125" bestFit="1" customWidth="1"/>
    <col min="13314" max="13314" width="16.140625" bestFit="1" customWidth="1"/>
    <col min="13315" max="13316" width="14.5703125" bestFit="1" customWidth="1"/>
    <col min="13317" max="13317" width="16.42578125" bestFit="1" customWidth="1"/>
    <col min="13318" max="13318" width="16.140625" customWidth="1"/>
    <col min="13319" max="13319" width="15.7109375" bestFit="1" customWidth="1"/>
    <col min="13564" max="13564" width="11.85546875" customWidth="1"/>
    <col min="13565" max="13565" width="2.85546875" bestFit="1" customWidth="1"/>
    <col min="13566" max="13566" width="9.140625" bestFit="1" customWidth="1"/>
    <col min="13567" max="13567" width="4.7109375" bestFit="1" customWidth="1"/>
    <col min="13568" max="13568" width="19.42578125" customWidth="1"/>
    <col min="13569" max="13569" width="16.42578125" bestFit="1" customWidth="1"/>
    <col min="13570" max="13570" width="16.140625" bestFit="1" customWidth="1"/>
    <col min="13571" max="13572" width="14.5703125" bestFit="1" customWidth="1"/>
    <col min="13573" max="13573" width="16.42578125" bestFit="1" customWidth="1"/>
    <col min="13574" max="13574" width="16.140625" customWidth="1"/>
    <col min="13575" max="13575" width="15.7109375" bestFit="1" customWidth="1"/>
    <col min="13820" max="13820" width="11.85546875" customWidth="1"/>
    <col min="13821" max="13821" width="2.85546875" bestFit="1" customWidth="1"/>
    <col min="13822" max="13822" width="9.140625" bestFit="1" customWidth="1"/>
    <col min="13823" max="13823" width="4.7109375" bestFit="1" customWidth="1"/>
    <col min="13824" max="13824" width="19.42578125" customWidth="1"/>
    <col min="13825" max="13825" width="16.42578125" bestFit="1" customWidth="1"/>
    <col min="13826" max="13826" width="16.140625" bestFit="1" customWidth="1"/>
    <col min="13827" max="13828" width="14.5703125" bestFit="1" customWidth="1"/>
    <col min="13829" max="13829" width="16.42578125" bestFit="1" customWidth="1"/>
    <col min="13830" max="13830" width="16.140625" customWidth="1"/>
    <col min="13831" max="13831" width="15.7109375" bestFit="1" customWidth="1"/>
    <col min="14076" max="14076" width="11.85546875" customWidth="1"/>
    <col min="14077" max="14077" width="2.85546875" bestFit="1" customWidth="1"/>
    <col min="14078" max="14078" width="9.140625" bestFit="1" customWidth="1"/>
    <col min="14079" max="14079" width="4.7109375" bestFit="1" customWidth="1"/>
    <col min="14080" max="14080" width="19.42578125" customWidth="1"/>
    <col min="14081" max="14081" width="16.42578125" bestFit="1" customWidth="1"/>
    <col min="14082" max="14082" width="16.140625" bestFit="1" customWidth="1"/>
    <col min="14083" max="14084" width="14.5703125" bestFit="1" customWidth="1"/>
    <col min="14085" max="14085" width="16.42578125" bestFit="1" customWidth="1"/>
    <col min="14086" max="14086" width="16.140625" customWidth="1"/>
    <col min="14087" max="14087" width="15.7109375" bestFit="1" customWidth="1"/>
    <col min="14332" max="14332" width="11.85546875" customWidth="1"/>
    <col min="14333" max="14333" width="2.85546875" bestFit="1" customWidth="1"/>
    <col min="14334" max="14334" width="9.140625" bestFit="1" customWidth="1"/>
    <col min="14335" max="14335" width="4.7109375" bestFit="1" customWidth="1"/>
    <col min="14336" max="14336" width="19.42578125" customWidth="1"/>
    <col min="14337" max="14337" width="16.42578125" bestFit="1" customWidth="1"/>
    <col min="14338" max="14338" width="16.140625" bestFit="1" customWidth="1"/>
    <col min="14339" max="14340" width="14.5703125" bestFit="1" customWidth="1"/>
    <col min="14341" max="14341" width="16.42578125" bestFit="1" customWidth="1"/>
    <col min="14342" max="14342" width="16.140625" customWidth="1"/>
    <col min="14343" max="14343" width="15.7109375" bestFit="1" customWidth="1"/>
    <col min="14588" max="14588" width="11.85546875" customWidth="1"/>
    <col min="14589" max="14589" width="2.85546875" bestFit="1" customWidth="1"/>
    <col min="14590" max="14590" width="9.140625" bestFit="1" customWidth="1"/>
    <col min="14591" max="14591" width="4.7109375" bestFit="1" customWidth="1"/>
    <col min="14592" max="14592" width="19.42578125" customWidth="1"/>
    <col min="14593" max="14593" width="16.42578125" bestFit="1" customWidth="1"/>
    <col min="14594" max="14594" width="16.140625" bestFit="1" customWidth="1"/>
    <col min="14595" max="14596" width="14.5703125" bestFit="1" customWidth="1"/>
    <col min="14597" max="14597" width="16.42578125" bestFit="1" customWidth="1"/>
    <col min="14598" max="14598" width="16.140625" customWidth="1"/>
    <col min="14599" max="14599" width="15.7109375" bestFit="1" customWidth="1"/>
    <col min="14844" max="14844" width="11.85546875" customWidth="1"/>
    <col min="14845" max="14845" width="2.85546875" bestFit="1" customWidth="1"/>
    <col min="14846" max="14846" width="9.140625" bestFit="1" customWidth="1"/>
    <col min="14847" max="14847" width="4.7109375" bestFit="1" customWidth="1"/>
    <col min="14848" max="14848" width="19.42578125" customWidth="1"/>
    <col min="14849" max="14849" width="16.42578125" bestFit="1" customWidth="1"/>
    <col min="14850" max="14850" width="16.140625" bestFit="1" customWidth="1"/>
    <col min="14851" max="14852" width="14.5703125" bestFit="1" customWidth="1"/>
    <col min="14853" max="14853" width="16.42578125" bestFit="1" customWidth="1"/>
    <col min="14854" max="14854" width="16.140625" customWidth="1"/>
    <col min="14855" max="14855" width="15.7109375" bestFit="1" customWidth="1"/>
    <col min="15100" max="15100" width="11.85546875" customWidth="1"/>
    <col min="15101" max="15101" width="2.85546875" bestFit="1" customWidth="1"/>
    <col min="15102" max="15102" width="9.140625" bestFit="1" customWidth="1"/>
    <col min="15103" max="15103" width="4.7109375" bestFit="1" customWidth="1"/>
    <col min="15104" max="15104" width="19.42578125" customWidth="1"/>
    <col min="15105" max="15105" width="16.42578125" bestFit="1" customWidth="1"/>
    <col min="15106" max="15106" width="16.140625" bestFit="1" customWidth="1"/>
    <col min="15107" max="15108" width="14.5703125" bestFit="1" customWidth="1"/>
    <col min="15109" max="15109" width="16.42578125" bestFit="1" customWidth="1"/>
    <col min="15110" max="15110" width="16.140625" customWidth="1"/>
    <col min="15111" max="15111" width="15.7109375" bestFit="1" customWidth="1"/>
    <col min="15356" max="15356" width="11.85546875" customWidth="1"/>
    <col min="15357" max="15357" width="2.85546875" bestFit="1" customWidth="1"/>
    <col min="15358" max="15358" width="9.140625" bestFit="1" customWidth="1"/>
    <col min="15359" max="15359" width="4.7109375" bestFit="1" customWidth="1"/>
    <col min="15360" max="15360" width="19.42578125" customWidth="1"/>
    <col min="15361" max="15361" width="16.42578125" bestFit="1" customWidth="1"/>
    <col min="15362" max="15362" width="16.140625" bestFit="1" customWidth="1"/>
    <col min="15363" max="15364" width="14.5703125" bestFit="1" customWidth="1"/>
    <col min="15365" max="15365" width="16.42578125" bestFit="1" customWidth="1"/>
    <col min="15366" max="15366" width="16.140625" customWidth="1"/>
    <col min="15367" max="15367" width="15.7109375" bestFit="1" customWidth="1"/>
    <col min="15612" max="15612" width="11.85546875" customWidth="1"/>
    <col min="15613" max="15613" width="2.85546875" bestFit="1" customWidth="1"/>
    <col min="15614" max="15614" width="9.140625" bestFit="1" customWidth="1"/>
    <col min="15615" max="15615" width="4.7109375" bestFit="1" customWidth="1"/>
    <col min="15616" max="15616" width="19.42578125" customWidth="1"/>
    <col min="15617" max="15617" width="16.42578125" bestFit="1" customWidth="1"/>
    <col min="15618" max="15618" width="16.140625" bestFit="1" customWidth="1"/>
    <col min="15619" max="15620" width="14.5703125" bestFit="1" customWidth="1"/>
    <col min="15621" max="15621" width="16.42578125" bestFit="1" customWidth="1"/>
    <col min="15622" max="15622" width="16.140625" customWidth="1"/>
    <col min="15623" max="15623" width="15.7109375" bestFit="1" customWidth="1"/>
    <col min="15868" max="15868" width="11.85546875" customWidth="1"/>
    <col min="15869" max="15869" width="2.85546875" bestFit="1" customWidth="1"/>
    <col min="15870" max="15870" width="9.140625" bestFit="1" customWidth="1"/>
    <col min="15871" max="15871" width="4.7109375" bestFit="1" customWidth="1"/>
    <col min="15872" max="15872" width="19.42578125" customWidth="1"/>
    <col min="15873" max="15873" width="16.42578125" bestFit="1" customWidth="1"/>
    <col min="15874" max="15874" width="16.140625" bestFit="1" customWidth="1"/>
    <col min="15875" max="15876" width="14.5703125" bestFit="1" customWidth="1"/>
    <col min="15877" max="15877" width="16.42578125" bestFit="1" customWidth="1"/>
    <col min="15878" max="15878" width="16.140625" customWidth="1"/>
    <col min="15879" max="15879" width="15.7109375" bestFit="1" customWidth="1"/>
    <col min="16124" max="16124" width="11.85546875" customWidth="1"/>
    <col min="16125" max="16125" width="2.85546875" bestFit="1" customWidth="1"/>
    <col min="16126" max="16126" width="9.140625" bestFit="1" customWidth="1"/>
    <col min="16127" max="16127" width="4.7109375" bestFit="1" customWidth="1"/>
    <col min="16128" max="16128" width="19.42578125" customWidth="1"/>
    <col min="16129" max="16129" width="16.42578125" bestFit="1" customWidth="1"/>
    <col min="16130" max="16130" width="16.140625" bestFit="1" customWidth="1"/>
    <col min="16131" max="16132" width="14.5703125" bestFit="1" customWidth="1"/>
    <col min="16133" max="16133" width="16.42578125" bestFit="1" customWidth="1"/>
    <col min="16134" max="16134" width="16.140625" customWidth="1"/>
    <col min="16135" max="16135" width="15.7109375" bestFit="1" customWidth="1"/>
  </cols>
  <sheetData>
    <row r="1" spans="1:13" s="181" customFormat="1" x14ac:dyDescent="0.25">
      <c r="A1" s="343" t="s">
        <v>88</v>
      </c>
      <c r="B1" s="343" t="s">
        <v>2478</v>
      </c>
      <c r="C1" s="141" t="s">
        <v>1580</v>
      </c>
      <c r="D1" s="141" t="s">
        <v>1581</v>
      </c>
      <c r="E1" s="141" t="s">
        <v>1582</v>
      </c>
      <c r="F1" s="141" t="s">
        <v>1583</v>
      </c>
      <c r="G1" s="344" t="s">
        <v>1584</v>
      </c>
      <c r="H1" s="344" t="s">
        <v>1585</v>
      </c>
      <c r="I1" s="345" t="s">
        <v>1586</v>
      </c>
      <c r="J1" s="346" t="s">
        <v>1124</v>
      </c>
      <c r="K1" s="346" t="s">
        <v>1587</v>
      </c>
      <c r="L1" s="346" t="s">
        <v>1588</v>
      </c>
      <c r="M1" s="346" t="s">
        <v>1507</v>
      </c>
    </row>
    <row r="2" spans="1:13" x14ac:dyDescent="0.25">
      <c r="A2" s="501" t="s">
        <v>1589</v>
      </c>
      <c r="B2" s="553" t="b">
        <v>1</v>
      </c>
      <c r="C2" s="493">
        <v>7500</v>
      </c>
      <c r="D2" s="493">
        <v>500</v>
      </c>
      <c r="E2" s="54" t="s">
        <v>2479</v>
      </c>
      <c r="F2" s="347"/>
      <c r="G2" s="321">
        <f>2*60*60</f>
        <v>7200</v>
      </c>
      <c r="H2" s="321">
        <f>3*60*60</f>
        <v>10800</v>
      </c>
      <c r="I2" s="321" t="s">
        <v>1590</v>
      </c>
      <c r="J2" s="321">
        <v>28800</v>
      </c>
      <c r="K2" s="321" t="s">
        <v>1591</v>
      </c>
      <c r="L2" s="321" t="s">
        <v>1591</v>
      </c>
      <c r="M2" s="321" t="s">
        <v>1592</v>
      </c>
    </row>
    <row r="3" spans="1:13" x14ac:dyDescent="0.25">
      <c r="A3" s="501" t="s">
        <v>1591</v>
      </c>
      <c r="B3" s="553" t="b">
        <v>1</v>
      </c>
      <c r="C3" s="493">
        <v>7500</v>
      </c>
      <c r="D3" s="493">
        <v>500</v>
      </c>
      <c r="E3" s="54" t="s">
        <v>2480</v>
      </c>
      <c r="F3" s="347"/>
      <c r="G3" s="321">
        <f t="shared" ref="G3:G9" si="0">2*60*60</f>
        <v>7200</v>
      </c>
      <c r="H3" s="321">
        <f t="shared" ref="H3:H10" si="1">3*60*60</f>
        <v>10800</v>
      </c>
      <c r="I3" s="321" t="s">
        <v>1590</v>
      </c>
      <c r="J3" s="321">
        <v>28800</v>
      </c>
      <c r="K3" s="321" t="s">
        <v>1590</v>
      </c>
      <c r="L3" s="321" t="s">
        <v>1590</v>
      </c>
      <c r="M3" s="321" t="s">
        <v>1592</v>
      </c>
    </row>
    <row r="4" spans="1:13" x14ac:dyDescent="0.25">
      <c r="A4" s="334" t="s">
        <v>1590</v>
      </c>
      <c r="B4" s="501" t="b">
        <v>1</v>
      </c>
      <c r="C4" s="493">
        <v>15000</v>
      </c>
      <c r="D4" s="493">
        <v>1000</v>
      </c>
      <c r="E4" s="4" t="s">
        <v>2481</v>
      </c>
      <c r="F4" s="347"/>
      <c r="G4" s="321">
        <f t="shared" si="0"/>
        <v>7200</v>
      </c>
      <c r="H4" s="321">
        <f t="shared" si="1"/>
        <v>10800</v>
      </c>
      <c r="I4" s="321" t="s">
        <v>1593</v>
      </c>
      <c r="J4" s="321">
        <v>28800</v>
      </c>
      <c r="K4" s="321" t="s">
        <v>1594</v>
      </c>
      <c r="L4" s="321" t="s">
        <v>1594</v>
      </c>
      <c r="M4" s="321" t="s">
        <v>1592</v>
      </c>
    </row>
    <row r="5" spans="1:13" x14ac:dyDescent="0.25">
      <c r="A5" s="334" t="s">
        <v>1594</v>
      </c>
      <c r="B5" s="501" t="b">
        <v>1</v>
      </c>
      <c r="C5" s="493">
        <v>15000</v>
      </c>
      <c r="D5" s="493">
        <v>1000</v>
      </c>
      <c r="E5" s="4" t="s">
        <v>2482</v>
      </c>
      <c r="F5" s="347"/>
      <c r="G5" s="321">
        <f t="shared" si="0"/>
        <v>7200</v>
      </c>
      <c r="H5" s="321">
        <f t="shared" si="1"/>
        <v>10800</v>
      </c>
      <c r="I5" s="321" t="s">
        <v>1593</v>
      </c>
      <c r="J5" s="321">
        <v>28800</v>
      </c>
      <c r="K5" s="321" t="s">
        <v>1593</v>
      </c>
      <c r="L5" s="348" t="s">
        <v>1589</v>
      </c>
      <c r="M5" s="321" t="s">
        <v>1592</v>
      </c>
    </row>
    <row r="6" spans="1:13" x14ac:dyDescent="0.25">
      <c r="A6" s="501" t="s">
        <v>1593</v>
      </c>
      <c r="B6" s="501" t="b">
        <v>1</v>
      </c>
      <c r="C6" s="242">
        <v>45000</v>
      </c>
      <c r="D6" s="242">
        <v>3000</v>
      </c>
      <c r="E6" s="4" t="s">
        <v>2483</v>
      </c>
      <c r="F6" s="347"/>
      <c r="G6" s="321">
        <f t="shared" si="0"/>
        <v>7200</v>
      </c>
      <c r="H6" s="321">
        <f t="shared" si="1"/>
        <v>10800</v>
      </c>
      <c r="I6" s="321" t="s">
        <v>1595</v>
      </c>
      <c r="J6" s="321">
        <v>28800</v>
      </c>
      <c r="K6" s="321" t="s">
        <v>1596</v>
      </c>
      <c r="L6" s="321" t="s">
        <v>1596</v>
      </c>
      <c r="M6" s="321" t="s">
        <v>1592</v>
      </c>
    </row>
    <row r="7" spans="1:13" x14ac:dyDescent="0.25">
      <c r="A7" s="501" t="s">
        <v>1596</v>
      </c>
      <c r="B7" s="501" t="b">
        <v>1</v>
      </c>
      <c r="C7" s="242">
        <v>45000</v>
      </c>
      <c r="D7" s="242">
        <v>3000</v>
      </c>
      <c r="E7" s="4" t="s">
        <v>2484</v>
      </c>
      <c r="F7" s="347"/>
      <c r="G7" s="321">
        <f t="shared" si="0"/>
        <v>7200</v>
      </c>
      <c r="H7" s="321">
        <f t="shared" si="1"/>
        <v>10800</v>
      </c>
      <c r="I7" s="321" t="s">
        <v>1595</v>
      </c>
      <c r="J7" s="321">
        <v>28800</v>
      </c>
      <c r="K7" s="321" t="s">
        <v>1595</v>
      </c>
      <c r="L7" s="321" t="s">
        <v>1595</v>
      </c>
      <c r="M7" s="321" t="s">
        <v>1592</v>
      </c>
    </row>
    <row r="8" spans="1:13" x14ac:dyDescent="0.25">
      <c r="A8" s="501" t="s">
        <v>1595</v>
      </c>
      <c r="B8" s="501" t="b">
        <v>1</v>
      </c>
      <c r="C8" s="242">
        <v>75000</v>
      </c>
      <c r="D8" s="242">
        <v>5000</v>
      </c>
      <c r="E8" s="4" t="s">
        <v>2485</v>
      </c>
      <c r="F8" s="347"/>
      <c r="G8" s="321">
        <f t="shared" si="0"/>
        <v>7200</v>
      </c>
      <c r="H8" s="321">
        <f t="shared" si="1"/>
        <v>10800</v>
      </c>
      <c r="I8" s="321" t="s">
        <v>1597</v>
      </c>
      <c r="J8" s="321">
        <v>28800</v>
      </c>
      <c r="K8" s="321" t="s">
        <v>1598</v>
      </c>
      <c r="L8" s="321" t="s">
        <v>1598</v>
      </c>
      <c r="M8" s="321" t="s">
        <v>1592</v>
      </c>
    </row>
    <row r="9" spans="1:13" x14ac:dyDescent="0.25">
      <c r="A9" s="501" t="s">
        <v>1598</v>
      </c>
      <c r="B9" s="501" t="b">
        <v>1</v>
      </c>
      <c r="C9" s="242">
        <v>75000</v>
      </c>
      <c r="D9" s="242">
        <v>5000</v>
      </c>
      <c r="E9" s="4" t="s">
        <v>2486</v>
      </c>
      <c r="F9" s="347"/>
      <c r="G9" s="321">
        <f t="shared" si="0"/>
        <v>7200</v>
      </c>
      <c r="H9" s="321">
        <f t="shared" si="1"/>
        <v>10800</v>
      </c>
      <c r="I9" s="321" t="s">
        <v>1597</v>
      </c>
      <c r="J9" s="321">
        <v>28800</v>
      </c>
      <c r="K9" s="321" t="s">
        <v>1597</v>
      </c>
      <c r="L9" s="321" t="s">
        <v>1597</v>
      </c>
      <c r="M9" s="321" t="s">
        <v>1592</v>
      </c>
    </row>
    <row r="10" spans="1:13" x14ac:dyDescent="0.25">
      <c r="A10" s="501" t="s">
        <v>1597</v>
      </c>
      <c r="B10" s="501" t="b">
        <v>1</v>
      </c>
      <c r="C10" s="242">
        <v>150000</v>
      </c>
      <c r="D10" s="242">
        <v>10000</v>
      </c>
      <c r="E10" s="4" t="s">
        <v>2487</v>
      </c>
      <c r="F10" s="347"/>
      <c r="G10" s="347"/>
      <c r="H10" s="321">
        <f t="shared" si="1"/>
        <v>10800</v>
      </c>
      <c r="I10" s="321" t="s">
        <v>1599</v>
      </c>
      <c r="J10" s="321">
        <v>28800</v>
      </c>
      <c r="K10" s="321" t="s">
        <v>1599</v>
      </c>
      <c r="L10" s="321" t="s">
        <v>1599</v>
      </c>
      <c r="M10" s="321" t="s">
        <v>1592</v>
      </c>
    </row>
    <row r="11" spans="1:13" x14ac:dyDescent="0.25">
      <c r="A11" s="349" t="s">
        <v>1600</v>
      </c>
      <c r="B11" s="353" t="b">
        <v>1</v>
      </c>
      <c r="C11" s="242">
        <v>7500</v>
      </c>
      <c r="D11" s="242">
        <v>500</v>
      </c>
      <c r="E11" s="552" t="s">
        <v>2509</v>
      </c>
      <c r="F11" s="347"/>
      <c r="G11" s="321"/>
      <c r="H11" s="321"/>
      <c r="I11" s="321"/>
      <c r="J11" s="321">
        <v>21600</v>
      </c>
      <c r="K11" s="321"/>
      <c r="L11" s="321"/>
      <c r="M11" s="321" t="s">
        <v>1592</v>
      </c>
    </row>
    <row r="12" spans="1:13" x14ac:dyDescent="0.25">
      <c r="A12" s="349" t="s">
        <v>1601</v>
      </c>
      <c r="B12" s="353" t="b">
        <v>1</v>
      </c>
      <c r="C12" s="242">
        <v>15000</v>
      </c>
      <c r="D12" s="242">
        <v>1000</v>
      </c>
      <c r="E12" s="54" t="s">
        <v>2488</v>
      </c>
      <c r="F12" s="347"/>
      <c r="G12" s="321"/>
      <c r="H12" s="321"/>
      <c r="I12" s="321"/>
      <c r="J12" s="321">
        <v>21600</v>
      </c>
      <c r="K12" s="321"/>
      <c r="L12" s="321"/>
      <c r="M12" s="321" t="s">
        <v>1592</v>
      </c>
    </row>
    <row r="13" spans="1:13" x14ac:dyDescent="0.25">
      <c r="A13" s="349" t="s">
        <v>1603</v>
      </c>
      <c r="B13" s="354" t="b">
        <v>1</v>
      </c>
      <c r="C13" s="242">
        <v>45000</v>
      </c>
      <c r="D13" s="242">
        <v>3000</v>
      </c>
      <c r="E13" s="54" t="s">
        <v>2489</v>
      </c>
      <c r="F13" s="347"/>
      <c r="G13" s="321"/>
      <c r="H13" s="321"/>
      <c r="I13" s="321"/>
      <c r="J13" s="321">
        <v>21600</v>
      </c>
      <c r="K13" s="321"/>
      <c r="L13" s="321"/>
      <c r="M13" s="321" t="s">
        <v>1592</v>
      </c>
    </row>
    <row r="14" spans="1:13" x14ac:dyDescent="0.25">
      <c r="A14" s="349" t="s">
        <v>1605</v>
      </c>
      <c r="B14" s="355" t="b">
        <v>1</v>
      </c>
      <c r="C14" s="242">
        <v>75000</v>
      </c>
      <c r="D14" s="242">
        <v>5000</v>
      </c>
      <c r="E14" s="207" t="s">
        <v>2525</v>
      </c>
      <c r="F14" s="347">
        <v>3</v>
      </c>
      <c r="G14" s="321">
        <f>630*3</f>
        <v>1890</v>
      </c>
      <c r="H14" s="321"/>
      <c r="I14" s="321"/>
      <c r="J14" s="321">
        <v>21600</v>
      </c>
      <c r="K14" s="321"/>
      <c r="L14" s="321"/>
      <c r="M14" s="321" t="s">
        <v>1592</v>
      </c>
    </row>
    <row r="15" spans="1:13" x14ac:dyDescent="0.25">
      <c r="A15" s="349" t="s">
        <v>1606</v>
      </c>
      <c r="B15" s="355" t="b">
        <v>1</v>
      </c>
      <c r="C15" s="242">
        <v>150000</v>
      </c>
      <c r="D15" s="242">
        <v>10000</v>
      </c>
      <c r="E15" s="207" t="s">
        <v>2526</v>
      </c>
      <c r="F15" s="347">
        <v>7</v>
      </c>
      <c r="G15" s="321">
        <f>540*7</f>
        <v>3780</v>
      </c>
      <c r="H15" s="321"/>
      <c r="I15" s="321"/>
      <c r="J15" s="321">
        <v>21600</v>
      </c>
      <c r="K15" s="321"/>
      <c r="L15" s="321"/>
      <c r="M15" s="321" t="s">
        <v>1592</v>
      </c>
    </row>
    <row r="16" spans="1:13" x14ac:dyDescent="0.25">
      <c r="A16" s="349" t="s">
        <v>1614</v>
      </c>
      <c r="B16" s="353" t="b">
        <v>1</v>
      </c>
      <c r="C16" s="242">
        <v>7500</v>
      </c>
      <c r="D16" s="242">
        <v>500</v>
      </c>
      <c r="E16" s="552" t="s">
        <v>2510</v>
      </c>
      <c r="F16" s="347"/>
      <c r="G16" s="321"/>
      <c r="H16" s="321"/>
      <c r="I16" s="321"/>
      <c r="J16" s="321">
        <v>21600</v>
      </c>
      <c r="K16" s="321"/>
      <c r="L16" s="321"/>
      <c r="M16" s="321" t="s">
        <v>1592</v>
      </c>
    </row>
    <row r="17" spans="1:13" x14ac:dyDescent="0.25">
      <c r="A17" s="349" t="s">
        <v>1615</v>
      </c>
      <c r="B17" s="353" t="b">
        <v>1</v>
      </c>
      <c r="C17" s="242">
        <v>7500</v>
      </c>
      <c r="D17" s="242">
        <v>500</v>
      </c>
      <c r="E17" s="552" t="s">
        <v>2511</v>
      </c>
      <c r="F17" s="347"/>
      <c r="G17" s="321"/>
      <c r="H17" s="321"/>
      <c r="I17" s="321"/>
      <c r="J17" s="321">
        <v>21600</v>
      </c>
      <c r="K17" s="321"/>
      <c r="L17" s="321"/>
      <c r="M17" s="321" t="s">
        <v>1592</v>
      </c>
    </row>
    <row r="18" spans="1:13" x14ac:dyDescent="0.25">
      <c r="A18" s="349" t="s">
        <v>1616</v>
      </c>
      <c r="B18" s="353" t="b">
        <v>1</v>
      </c>
      <c r="C18" s="242">
        <v>7500</v>
      </c>
      <c r="D18" s="242">
        <v>500</v>
      </c>
      <c r="E18" s="552" t="s">
        <v>2512</v>
      </c>
      <c r="F18" s="347"/>
      <c r="G18" s="321"/>
      <c r="H18" s="321"/>
      <c r="I18" s="321"/>
      <c r="J18" s="321">
        <v>21600</v>
      </c>
      <c r="K18" s="321"/>
      <c r="L18" s="321"/>
      <c r="M18" s="321" t="s">
        <v>1592</v>
      </c>
    </row>
    <row r="19" spans="1:13" x14ac:dyDescent="0.25">
      <c r="A19" s="349" t="s">
        <v>1617</v>
      </c>
      <c r="B19" s="353" t="b">
        <v>1</v>
      </c>
      <c r="C19" s="242">
        <v>15000</v>
      </c>
      <c r="D19" s="242">
        <v>1000</v>
      </c>
      <c r="E19" s="54" t="s">
        <v>2490</v>
      </c>
      <c r="F19" s="347"/>
      <c r="G19" s="321"/>
      <c r="H19" s="321"/>
      <c r="I19" s="321"/>
      <c r="J19" s="321">
        <v>21600</v>
      </c>
      <c r="K19" s="321"/>
      <c r="L19" s="321"/>
      <c r="M19" s="321" t="s">
        <v>1592</v>
      </c>
    </row>
    <row r="20" spans="1:13" x14ac:dyDescent="0.25">
      <c r="A20" s="349" t="s">
        <v>1618</v>
      </c>
      <c r="B20" s="353" t="b">
        <v>1</v>
      </c>
      <c r="C20" s="242">
        <v>15000</v>
      </c>
      <c r="D20" s="242">
        <v>1000</v>
      </c>
      <c r="E20" s="54" t="s">
        <v>2491</v>
      </c>
      <c r="F20" s="347"/>
      <c r="G20" s="321"/>
      <c r="H20" s="321"/>
      <c r="I20" s="321"/>
      <c r="J20" s="321">
        <v>21600</v>
      </c>
      <c r="K20" s="321"/>
      <c r="L20" s="321"/>
      <c r="M20" s="321" t="s">
        <v>1592</v>
      </c>
    </row>
    <row r="21" spans="1:13" x14ac:dyDescent="0.25">
      <c r="A21" s="349" t="s">
        <v>1643</v>
      </c>
      <c r="B21" s="354" t="b">
        <v>1</v>
      </c>
      <c r="C21" s="242">
        <v>45000</v>
      </c>
      <c r="D21" s="242">
        <v>3000</v>
      </c>
      <c r="E21" s="54" t="s">
        <v>2492</v>
      </c>
      <c r="F21" s="347"/>
      <c r="G21" s="321"/>
      <c r="H21" s="321"/>
      <c r="I21" s="321"/>
      <c r="J21" s="321">
        <v>21600</v>
      </c>
      <c r="K21" s="321"/>
      <c r="L21" s="321"/>
      <c r="M21" s="321" t="s">
        <v>1592</v>
      </c>
    </row>
    <row r="22" spans="1:13" x14ac:dyDescent="0.25">
      <c r="A22" s="349" t="s">
        <v>1644</v>
      </c>
      <c r="B22" s="354" t="b">
        <v>1</v>
      </c>
      <c r="C22" s="242">
        <v>45000</v>
      </c>
      <c r="D22" s="242">
        <v>3000</v>
      </c>
      <c r="E22" s="54" t="s">
        <v>2493</v>
      </c>
      <c r="F22" s="347"/>
      <c r="G22" s="321"/>
      <c r="H22" s="321"/>
      <c r="I22" s="321"/>
      <c r="J22" s="321">
        <v>21600</v>
      </c>
      <c r="K22" s="321"/>
      <c r="L22" s="321"/>
      <c r="M22" s="321" t="s">
        <v>1592</v>
      </c>
    </row>
    <row r="23" spans="1:13" x14ac:dyDescent="0.25">
      <c r="A23" s="349" t="s">
        <v>1645</v>
      </c>
      <c r="B23" s="355" t="b">
        <v>1</v>
      </c>
      <c r="C23" s="242">
        <v>75000</v>
      </c>
      <c r="D23" s="242">
        <v>5000</v>
      </c>
      <c r="E23" s="551" t="s">
        <v>2513</v>
      </c>
      <c r="F23" s="347"/>
      <c r="G23" s="321"/>
      <c r="H23" s="321"/>
      <c r="I23" s="321"/>
      <c r="J23" s="321">
        <v>21600</v>
      </c>
      <c r="K23" s="321"/>
      <c r="L23" s="321"/>
      <c r="M23" s="321" t="s">
        <v>1592</v>
      </c>
    </row>
    <row r="24" spans="1:13" x14ac:dyDescent="0.25">
      <c r="A24" s="349" t="s">
        <v>1651</v>
      </c>
      <c r="B24" s="355" t="b">
        <v>1</v>
      </c>
      <c r="C24" s="242">
        <v>150000</v>
      </c>
      <c r="D24" s="242">
        <v>10000</v>
      </c>
      <c r="E24" s="551" t="s">
        <v>2514</v>
      </c>
      <c r="F24" s="347"/>
      <c r="G24" s="321"/>
      <c r="H24" s="321"/>
      <c r="I24" s="321"/>
      <c r="J24" s="321">
        <v>21600</v>
      </c>
      <c r="K24" s="321"/>
      <c r="L24" s="321"/>
      <c r="M24" s="321" t="s">
        <v>1592</v>
      </c>
    </row>
    <row r="25" spans="1:13" x14ac:dyDescent="0.25">
      <c r="A25" s="334" t="s">
        <v>1851</v>
      </c>
      <c r="B25" s="355" t="b">
        <v>1</v>
      </c>
      <c r="C25" s="242">
        <v>75000</v>
      </c>
      <c r="D25" s="242">
        <v>5000</v>
      </c>
      <c r="E25" s="207" t="s">
        <v>2508</v>
      </c>
      <c r="F25" s="347">
        <v>2</v>
      </c>
      <c r="G25" s="321">
        <f>940*2</f>
        <v>1880</v>
      </c>
      <c r="H25" s="321"/>
      <c r="I25" s="321"/>
      <c r="J25" s="321">
        <v>21600</v>
      </c>
      <c r="K25" s="321"/>
      <c r="L25" s="321"/>
      <c r="M25" s="321" t="s">
        <v>1592</v>
      </c>
    </row>
    <row r="26" spans="1:13" x14ac:dyDescent="0.25">
      <c r="A26" s="334" t="s">
        <v>1852</v>
      </c>
      <c r="B26" s="355" t="b">
        <v>1</v>
      </c>
      <c r="C26" s="242">
        <v>150000</v>
      </c>
      <c r="D26" s="242">
        <v>10000</v>
      </c>
      <c r="E26" s="207" t="s">
        <v>2470</v>
      </c>
      <c r="F26" s="347">
        <v>3</v>
      </c>
      <c r="G26" s="321">
        <f>1250*3</f>
        <v>3750</v>
      </c>
      <c r="H26" s="321"/>
      <c r="I26" s="321"/>
      <c r="J26" s="321">
        <v>21600</v>
      </c>
      <c r="K26" s="321"/>
      <c r="L26" s="321"/>
      <c r="M26" s="321" t="s">
        <v>1592</v>
      </c>
    </row>
    <row r="27" spans="1:13" x14ac:dyDescent="0.25">
      <c r="A27" s="356" t="s">
        <v>1607</v>
      </c>
      <c r="B27" s="353" t="b">
        <v>1</v>
      </c>
      <c r="C27" s="242">
        <v>7500</v>
      </c>
      <c r="D27" s="242">
        <v>500</v>
      </c>
      <c r="E27" s="552" t="s">
        <v>2515</v>
      </c>
      <c r="F27" s="357"/>
      <c r="G27" s="347"/>
      <c r="H27" s="347"/>
      <c r="I27" s="321"/>
      <c r="J27" s="321">
        <v>21600</v>
      </c>
      <c r="K27" s="321"/>
      <c r="L27" s="321"/>
      <c r="M27" s="321" t="s">
        <v>1592</v>
      </c>
    </row>
    <row r="28" spans="1:13" x14ac:dyDescent="0.25">
      <c r="A28" s="356" t="s">
        <v>1608</v>
      </c>
      <c r="B28" s="353" t="b">
        <v>1</v>
      </c>
      <c r="C28" s="242">
        <v>15000</v>
      </c>
      <c r="D28" s="242">
        <v>1000</v>
      </c>
      <c r="E28" s="552" t="s">
        <v>2516</v>
      </c>
      <c r="F28" s="357"/>
      <c r="G28" s="347"/>
      <c r="H28" s="347"/>
      <c r="I28" s="321"/>
      <c r="J28" s="321">
        <v>21600</v>
      </c>
      <c r="K28" s="321"/>
      <c r="L28" s="321"/>
      <c r="M28" s="321" t="s">
        <v>1592</v>
      </c>
    </row>
    <row r="29" spans="1:13" x14ac:dyDescent="0.25">
      <c r="A29" s="356" t="s">
        <v>1609</v>
      </c>
      <c r="B29" s="354" t="b">
        <v>1</v>
      </c>
      <c r="C29" s="242">
        <v>45000</v>
      </c>
      <c r="D29" s="242">
        <v>3000</v>
      </c>
      <c r="E29" s="552" t="s">
        <v>2517</v>
      </c>
      <c r="F29" s="357"/>
      <c r="G29" s="347"/>
      <c r="H29" s="347"/>
      <c r="I29" s="321"/>
      <c r="J29" s="321">
        <v>21600</v>
      </c>
      <c r="K29" s="321"/>
      <c r="L29" s="321"/>
      <c r="M29" s="321" t="s">
        <v>1592</v>
      </c>
    </row>
    <row r="30" spans="1:13" x14ac:dyDescent="0.25">
      <c r="A30" s="356" t="s">
        <v>1610</v>
      </c>
      <c r="B30" s="355" t="b">
        <v>1</v>
      </c>
      <c r="C30" s="242">
        <v>75000</v>
      </c>
      <c r="D30" s="242">
        <v>5000</v>
      </c>
      <c r="E30" s="207" t="s">
        <v>2525</v>
      </c>
      <c r="F30" s="357">
        <v>3</v>
      </c>
      <c r="G30" s="347"/>
      <c r="H30" s="347"/>
      <c r="I30" s="321"/>
      <c r="J30" s="321">
        <v>21600</v>
      </c>
      <c r="K30" s="321"/>
      <c r="L30" s="321"/>
      <c r="M30" s="321" t="s">
        <v>1592</v>
      </c>
    </row>
    <row r="31" spans="1:13" x14ac:dyDescent="0.25">
      <c r="A31" s="356" t="s">
        <v>1611</v>
      </c>
      <c r="B31" s="355" t="b">
        <v>1</v>
      </c>
      <c r="C31" s="242">
        <v>75000</v>
      </c>
      <c r="D31" s="242">
        <v>5000</v>
      </c>
      <c r="E31" s="551" t="s">
        <v>2518</v>
      </c>
      <c r="F31" s="357"/>
      <c r="G31" s="347"/>
      <c r="H31" s="347"/>
      <c r="I31" s="321"/>
      <c r="J31" s="321">
        <v>21600</v>
      </c>
      <c r="K31" s="321"/>
      <c r="L31" s="321"/>
      <c r="M31" s="321" t="s">
        <v>1592</v>
      </c>
    </row>
    <row r="32" spans="1:13" x14ac:dyDescent="0.25">
      <c r="A32" s="356" t="s">
        <v>1612</v>
      </c>
      <c r="B32" s="355" t="b">
        <v>1</v>
      </c>
      <c r="C32" s="242">
        <v>150000</v>
      </c>
      <c r="D32" s="242">
        <v>10000</v>
      </c>
      <c r="E32" s="207" t="s">
        <v>2526</v>
      </c>
      <c r="F32" s="357">
        <v>7</v>
      </c>
      <c r="G32" s="347"/>
      <c r="H32" s="347"/>
      <c r="I32" s="321"/>
      <c r="J32" s="321">
        <v>21600</v>
      </c>
      <c r="K32" s="321"/>
      <c r="L32" s="321"/>
      <c r="M32" s="321" t="s">
        <v>1592</v>
      </c>
    </row>
    <row r="33" spans="1:13" x14ac:dyDescent="0.25">
      <c r="A33" s="356" t="s">
        <v>1613</v>
      </c>
      <c r="B33" s="355" t="b">
        <v>1</v>
      </c>
      <c r="C33" s="242">
        <v>150000</v>
      </c>
      <c r="D33" s="242">
        <v>10000</v>
      </c>
      <c r="E33" s="551" t="s">
        <v>2519</v>
      </c>
      <c r="F33" s="357"/>
      <c r="G33" s="347"/>
      <c r="H33" s="347"/>
      <c r="I33" s="321"/>
      <c r="J33" s="321">
        <v>21600</v>
      </c>
      <c r="K33" s="321"/>
      <c r="L33" s="321"/>
      <c r="M33" s="321" t="s">
        <v>1592</v>
      </c>
    </row>
    <row r="34" spans="1:13" x14ac:dyDescent="0.25">
      <c r="A34" s="356" t="s">
        <v>1646</v>
      </c>
      <c r="B34" s="353" t="b">
        <v>1</v>
      </c>
      <c r="C34" s="242">
        <v>7500</v>
      </c>
      <c r="D34" s="242">
        <v>500</v>
      </c>
      <c r="E34" s="552" t="s">
        <v>2520</v>
      </c>
      <c r="F34" s="39"/>
      <c r="G34" s="39"/>
      <c r="H34" s="39"/>
      <c r="I34" s="39"/>
      <c r="J34" s="321">
        <v>21600</v>
      </c>
      <c r="K34" s="39"/>
      <c r="L34" s="39"/>
      <c r="M34" s="321" t="s">
        <v>1592</v>
      </c>
    </row>
    <row r="35" spans="1:13" x14ac:dyDescent="0.25">
      <c r="A35" s="356" t="s">
        <v>1647</v>
      </c>
      <c r="B35" s="353" t="b">
        <v>1</v>
      </c>
      <c r="C35" s="242">
        <v>7500</v>
      </c>
      <c r="D35" s="242">
        <v>500</v>
      </c>
      <c r="E35" s="552" t="s">
        <v>2521</v>
      </c>
      <c r="F35" s="39"/>
      <c r="G35" s="39"/>
      <c r="H35" s="39"/>
      <c r="I35" s="39"/>
      <c r="J35" s="321">
        <v>21600</v>
      </c>
      <c r="K35" s="39"/>
      <c r="L35" s="39"/>
      <c r="M35" s="321" t="s">
        <v>1592</v>
      </c>
    </row>
    <row r="36" spans="1:13" x14ac:dyDescent="0.25">
      <c r="A36" s="356" t="s">
        <v>1648</v>
      </c>
      <c r="B36" s="353" t="b">
        <v>1</v>
      </c>
      <c r="C36" s="242">
        <v>15000</v>
      </c>
      <c r="D36" s="242">
        <v>1000</v>
      </c>
      <c r="E36" s="552" t="s">
        <v>2522</v>
      </c>
      <c r="F36" s="39"/>
      <c r="G36" s="39"/>
      <c r="H36" s="39"/>
      <c r="I36" s="39"/>
      <c r="J36" s="321">
        <v>21600</v>
      </c>
      <c r="K36" s="39"/>
      <c r="L36" s="39"/>
      <c r="M36" s="321" t="s">
        <v>1592</v>
      </c>
    </row>
    <row r="37" spans="1:13" x14ac:dyDescent="0.25">
      <c r="A37" s="356" t="s">
        <v>1649</v>
      </c>
      <c r="B37" s="353" t="b">
        <v>1</v>
      </c>
      <c r="C37" s="242">
        <v>15000</v>
      </c>
      <c r="D37" s="242">
        <v>1000</v>
      </c>
      <c r="E37" s="54" t="s">
        <v>2494</v>
      </c>
      <c r="F37" s="39"/>
      <c r="G37" s="39"/>
      <c r="H37" s="39"/>
      <c r="I37" s="39"/>
      <c r="J37" s="321">
        <v>21600</v>
      </c>
      <c r="K37" s="39"/>
      <c r="L37" s="39"/>
      <c r="M37" s="321" t="s">
        <v>1592</v>
      </c>
    </row>
    <row r="38" spans="1:13" x14ac:dyDescent="0.25">
      <c r="A38" s="356" t="s">
        <v>1650</v>
      </c>
      <c r="B38" s="354" t="b">
        <v>1</v>
      </c>
      <c r="C38" s="242">
        <v>45000</v>
      </c>
      <c r="D38" s="242">
        <v>3000</v>
      </c>
      <c r="E38" s="54" t="s">
        <v>2495</v>
      </c>
      <c r="F38" s="39"/>
      <c r="G38" s="39"/>
      <c r="H38" s="39"/>
      <c r="I38" s="39"/>
      <c r="J38" s="321">
        <v>21600</v>
      </c>
      <c r="K38" s="39"/>
      <c r="L38" s="39"/>
      <c r="M38" s="321" t="s">
        <v>1592</v>
      </c>
    </row>
    <row r="39" spans="1:13" x14ac:dyDescent="0.25">
      <c r="A39" s="356" t="s">
        <v>1652</v>
      </c>
      <c r="B39" s="355" t="b">
        <v>1</v>
      </c>
      <c r="C39" s="242">
        <v>75000</v>
      </c>
      <c r="D39" s="242">
        <v>5000</v>
      </c>
      <c r="E39" s="551" t="s">
        <v>2523</v>
      </c>
      <c r="F39" s="39"/>
      <c r="G39" s="39"/>
      <c r="H39" s="39"/>
      <c r="I39" s="39"/>
      <c r="J39" s="321">
        <v>21600</v>
      </c>
      <c r="K39" s="39"/>
      <c r="L39" s="39"/>
      <c r="M39" s="321" t="s">
        <v>1592</v>
      </c>
    </row>
    <row r="40" spans="1:13" x14ac:dyDescent="0.25">
      <c r="A40" s="356" t="s">
        <v>1653</v>
      </c>
      <c r="B40" s="355" t="b">
        <v>1</v>
      </c>
      <c r="C40" s="242">
        <v>150000</v>
      </c>
      <c r="D40" s="242">
        <v>10000</v>
      </c>
      <c r="E40" s="551" t="s">
        <v>2524</v>
      </c>
      <c r="F40" s="39"/>
      <c r="G40" s="39"/>
      <c r="H40" s="39"/>
      <c r="I40" s="39"/>
      <c r="J40" s="321">
        <v>21600</v>
      </c>
      <c r="K40" s="39"/>
      <c r="L40" s="39"/>
      <c r="M40" s="321" t="s">
        <v>1592</v>
      </c>
    </row>
    <row r="41" spans="1:13" x14ac:dyDescent="0.25">
      <c r="A41" s="334" t="s">
        <v>1853</v>
      </c>
      <c r="B41" s="355" t="b">
        <v>1</v>
      </c>
      <c r="C41" s="242">
        <v>75000</v>
      </c>
      <c r="D41" s="242">
        <v>5000</v>
      </c>
      <c r="E41" s="207" t="s">
        <v>2508</v>
      </c>
      <c r="F41" s="39">
        <v>2</v>
      </c>
      <c r="G41" s="39"/>
      <c r="H41" s="39"/>
      <c r="I41" s="39"/>
      <c r="J41" s="321">
        <v>21600</v>
      </c>
      <c r="K41" s="39"/>
      <c r="L41" s="39"/>
      <c r="M41" s="321" t="s">
        <v>1592</v>
      </c>
    </row>
    <row r="42" spans="1:13" x14ac:dyDescent="0.25">
      <c r="A42" s="334" t="s">
        <v>1854</v>
      </c>
      <c r="B42" s="355" t="b">
        <v>1</v>
      </c>
      <c r="C42" s="242">
        <v>150000</v>
      </c>
      <c r="D42" s="242">
        <v>10000</v>
      </c>
      <c r="E42" s="207" t="s">
        <v>2470</v>
      </c>
      <c r="F42" s="39">
        <v>3</v>
      </c>
      <c r="G42" s="39"/>
      <c r="H42" s="39"/>
      <c r="I42" s="39"/>
      <c r="J42" s="321">
        <v>21600</v>
      </c>
      <c r="K42" s="39"/>
      <c r="L42" s="39"/>
      <c r="M42" s="321" t="s">
        <v>1592</v>
      </c>
    </row>
    <row r="43" spans="1:13" x14ac:dyDescent="0.25">
      <c r="A43" s="334" t="s">
        <v>2317</v>
      </c>
      <c r="B43" s="355" t="b">
        <v>1</v>
      </c>
      <c r="C43" s="242">
        <v>7500</v>
      </c>
      <c r="D43" s="242">
        <v>500</v>
      </c>
      <c r="E43" s="4" t="s">
        <v>2496</v>
      </c>
      <c r="F43" s="39"/>
      <c r="G43" s="39"/>
      <c r="H43" s="39"/>
      <c r="I43" s="39"/>
      <c r="J43" s="321">
        <v>21600</v>
      </c>
      <c r="K43" s="39"/>
      <c r="L43" s="39"/>
      <c r="M43" s="321" t="s">
        <v>1592</v>
      </c>
    </row>
    <row r="44" spans="1:13" x14ac:dyDescent="0.25">
      <c r="A44" s="334" t="s">
        <v>2318</v>
      </c>
      <c r="B44" s="355" t="b">
        <v>1</v>
      </c>
      <c r="C44" s="242">
        <v>15000</v>
      </c>
      <c r="D44" s="242">
        <v>1000</v>
      </c>
      <c r="E44" s="4" t="s">
        <v>2497</v>
      </c>
      <c r="F44" s="39"/>
      <c r="G44" s="39"/>
      <c r="H44" s="39"/>
      <c r="I44" s="39"/>
      <c r="J44" s="321">
        <v>21600</v>
      </c>
      <c r="K44" s="39"/>
      <c r="L44" s="39"/>
      <c r="M44" s="321" t="s">
        <v>1592</v>
      </c>
    </row>
    <row r="45" spans="1:13" x14ac:dyDescent="0.25">
      <c r="A45" s="334" t="s">
        <v>2319</v>
      </c>
      <c r="B45" s="355" t="b">
        <v>1</v>
      </c>
      <c r="C45" s="242">
        <v>45000</v>
      </c>
      <c r="D45" s="242">
        <v>3000</v>
      </c>
      <c r="E45" s="4" t="s">
        <v>2498</v>
      </c>
      <c r="F45" s="39"/>
      <c r="G45" s="39"/>
      <c r="H45" s="39"/>
      <c r="I45" s="39"/>
      <c r="J45" s="321">
        <v>21600</v>
      </c>
      <c r="K45" s="39"/>
      <c r="L45" s="39"/>
      <c r="M45" s="321" t="s">
        <v>1592</v>
      </c>
    </row>
    <row r="46" spans="1:13" x14ac:dyDescent="0.25">
      <c r="A46" s="334" t="s">
        <v>2320</v>
      </c>
      <c r="B46" s="355" t="b">
        <v>1</v>
      </c>
      <c r="C46" s="242">
        <v>75000</v>
      </c>
      <c r="D46" s="242">
        <v>5000</v>
      </c>
      <c r="E46" s="4" t="s">
        <v>2499</v>
      </c>
      <c r="F46" s="39"/>
      <c r="G46" s="39"/>
      <c r="H46" s="39"/>
      <c r="I46" s="39"/>
      <c r="J46" s="321">
        <v>21600</v>
      </c>
      <c r="K46" s="39"/>
      <c r="L46" s="39"/>
      <c r="M46" s="321" t="s">
        <v>1592</v>
      </c>
    </row>
    <row r="47" spans="1:13" x14ac:dyDescent="0.25">
      <c r="A47" s="334" t="s">
        <v>2321</v>
      </c>
      <c r="B47" s="355" t="b">
        <v>1</v>
      </c>
      <c r="C47" s="242">
        <v>150000</v>
      </c>
      <c r="D47" s="242">
        <v>10000</v>
      </c>
      <c r="E47" s="4" t="s">
        <v>2500</v>
      </c>
      <c r="F47" s="39"/>
      <c r="G47" s="39"/>
      <c r="H47" s="39"/>
      <c r="I47" s="39"/>
      <c r="J47" s="321">
        <v>21600</v>
      </c>
      <c r="K47" s="39"/>
      <c r="L47" s="39"/>
      <c r="M47" s="321" t="s">
        <v>1592</v>
      </c>
    </row>
    <row r="48" spans="1:13" x14ac:dyDescent="0.25">
      <c r="A48" s="356" t="s">
        <v>2501</v>
      </c>
      <c r="B48" s="39" t="b">
        <v>0</v>
      </c>
      <c r="C48" s="389">
        <v>15000</v>
      </c>
      <c r="D48" s="389">
        <v>1000</v>
      </c>
      <c r="E48" s="39"/>
      <c r="F48" s="39"/>
      <c r="G48" s="39"/>
      <c r="H48" s="39"/>
      <c r="I48" s="39"/>
      <c r="J48" s="39"/>
      <c r="K48" s="39"/>
      <c r="L48" s="39"/>
      <c r="M48" s="39"/>
    </row>
    <row r="49" spans="1:13" s="557" customFormat="1" x14ac:dyDescent="0.25">
      <c r="A49" s="554" t="s">
        <v>2416</v>
      </c>
      <c r="B49" s="555" t="b">
        <v>0</v>
      </c>
      <c r="C49" s="556">
        <v>45000</v>
      </c>
      <c r="D49" s="556">
        <v>3000</v>
      </c>
      <c r="E49" s="555" t="s">
        <v>2502</v>
      </c>
      <c r="F49" s="555"/>
      <c r="G49" s="555"/>
      <c r="H49" s="555"/>
      <c r="I49" s="555"/>
      <c r="J49" s="555"/>
      <c r="K49" s="555"/>
      <c r="L49" s="555"/>
      <c r="M49" s="555"/>
    </row>
    <row r="50" spans="1:13" s="557" customFormat="1" x14ac:dyDescent="0.25">
      <c r="A50" s="554" t="s">
        <v>2417</v>
      </c>
      <c r="B50" s="555" t="b">
        <v>0</v>
      </c>
      <c r="C50" s="556">
        <v>75000</v>
      </c>
      <c r="D50" s="556">
        <v>5000</v>
      </c>
      <c r="E50" s="555" t="s">
        <v>2503</v>
      </c>
      <c r="F50" s="555"/>
      <c r="G50" s="555"/>
      <c r="H50" s="555"/>
      <c r="I50" s="555"/>
      <c r="J50" s="555"/>
      <c r="K50" s="555"/>
      <c r="L50" s="555"/>
      <c r="M50" s="555"/>
    </row>
    <row r="51" spans="1:13" s="557" customFormat="1" x14ac:dyDescent="0.25">
      <c r="A51" s="554" t="s">
        <v>2419</v>
      </c>
      <c r="B51" s="555" t="b">
        <v>0</v>
      </c>
      <c r="C51" s="556">
        <v>150000</v>
      </c>
      <c r="D51" s="556">
        <v>10000</v>
      </c>
      <c r="E51" s="555" t="s">
        <v>2504</v>
      </c>
      <c r="F51" s="555"/>
      <c r="G51" s="555"/>
      <c r="H51" s="555"/>
      <c r="I51" s="555"/>
      <c r="J51" s="555"/>
      <c r="K51" s="555"/>
      <c r="L51" s="555"/>
      <c r="M51" s="555"/>
    </row>
    <row r="52" spans="1:13" s="233" customFormat="1" x14ac:dyDescent="0.25">
      <c r="A52" s="207" t="s">
        <v>2428</v>
      </c>
      <c r="B52" s="207" t="b">
        <v>0</v>
      </c>
      <c r="C52" s="558">
        <v>7500</v>
      </c>
      <c r="D52" s="558">
        <v>500</v>
      </c>
      <c r="E52" s="207" t="s">
        <v>2505</v>
      </c>
      <c r="F52" s="207"/>
      <c r="G52" s="207"/>
      <c r="H52" s="207"/>
      <c r="I52" s="207"/>
      <c r="J52" s="207"/>
      <c r="K52" s="207"/>
      <c r="L52" s="207"/>
      <c r="M52" s="207"/>
    </row>
    <row r="53" spans="1:13" s="233" customFormat="1" x14ac:dyDescent="0.25">
      <c r="A53" s="207" t="s">
        <v>2429</v>
      </c>
      <c r="B53" s="207" t="b">
        <v>0</v>
      </c>
      <c r="C53" s="558">
        <v>15000</v>
      </c>
      <c r="D53" s="558">
        <v>1000</v>
      </c>
      <c r="E53" s="207" t="s">
        <v>2506</v>
      </c>
      <c r="F53" s="207"/>
      <c r="G53" s="207"/>
      <c r="H53" s="207"/>
      <c r="I53" s="207"/>
      <c r="J53" s="207"/>
      <c r="K53" s="207"/>
      <c r="L53" s="207"/>
      <c r="M53" s="207"/>
    </row>
    <row r="54" spans="1:13" s="233" customFormat="1" x14ac:dyDescent="0.25">
      <c r="A54" s="207" t="s">
        <v>2430</v>
      </c>
      <c r="B54" s="207" t="b">
        <v>0</v>
      </c>
      <c r="C54" s="558">
        <v>45000</v>
      </c>
      <c r="D54" s="558">
        <v>3000</v>
      </c>
      <c r="E54" s="207" t="s">
        <v>2507</v>
      </c>
      <c r="F54" s="207"/>
      <c r="G54" s="207"/>
      <c r="H54" s="207"/>
      <c r="I54" s="207"/>
      <c r="J54" s="207"/>
      <c r="K54" s="207"/>
      <c r="L54" s="207"/>
      <c r="M54" s="20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6"/>
  <sheetViews>
    <sheetView topLeftCell="A4" workbookViewId="0">
      <pane xSplit="3" topLeftCell="D1" activePane="topRight" state="frozen"/>
      <selection pane="topRight" activeCell="F14" sqref="F14"/>
    </sheetView>
  </sheetViews>
  <sheetFormatPr defaultRowHeight="15" x14ac:dyDescent="0.25"/>
  <cols>
    <col min="1" max="1" width="5.28515625" bestFit="1" customWidth="1"/>
    <col min="2" max="2" width="24.140625" style="11" bestFit="1" customWidth="1"/>
    <col min="3" max="3" width="38" customWidth="1"/>
    <col min="4" max="4" width="4.5703125" bestFit="1" customWidth="1"/>
    <col min="5" max="5" width="5.140625" bestFit="1" customWidth="1"/>
    <col min="6" max="6" width="19.5703125" bestFit="1" customWidth="1"/>
    <col min="7" max="7" width="13.42578125" bestFit="1" customWidth="1"/>
    <col min="8" max="8" width="14.5703125" bestFit="1" customWidth="1"/>
    <col min="9" max="9" width="15.140625" bestFit="1" customWidth="1"/>
    <col min="10" max="10" width="13.140625" bestFit="1" customWidth="1"/>
    <col min="11" max="11" width="20.5703125" bestFit="1" customWidth="1"/>
    <col min="12" max="12" width="8.85546875" bestFit="1" customWidth="1"/>
    <col min="13" max="13" width="10" bestFit="1" customWidth="1"/>
    <col min="14" max="14" width="10.5703125" bestFit="1" customWidth="1"/>
    <col min="15" max="15" width="8.5703125" bestFit="1" customWidth="1"/>
    <col min="16" max="16" width="24" bestFit="1" customWidth="1"/>
    <col min="17" max="17" width="8.85546875" bestFit="1" customWidth="1"/>
    <col min="18" max="18" width="10" bestFit="1" customWidth="1"/>
    <col min="19" max="19" width="10.5703125" bestFit="1" customWidth="1"/>
    <col min="20" max="20" width="8.5703125" bestFit="1" customWidth="1"/>
  </cols>
  <sheetData>
    <row r="1" spans="1:20" s="132" customFormat="1" x14ac:dyDescent="0.25">
      <c r="A1" s="221" t="s">
        <v>88</v>
      </c>
      <c r="B1" s="221" t="s">
        <v>0</v>
      </c>
      <c r="C1" s="221" t="s">
        <v>1539</v>
      </c>
      <c r="D1" s="221" t="s">
        <v>1540</v>
      </c>
      <c r="E1" s="221" t="s">
        <v>1541</v>
      </c>
      <c r="F1" s="359" t="s">
        <v>1542</v>
      </c>
      <c r="G1" s="359" t="s">
        <v>1543</v>
      </c>
      <c r="H1" s="359" t="s">
        <v>1544</v>
      </c>
      <c r="I1" s="359" t="s">
        <v>1545</v>
      </c>
      <c r="J1" s="359" t="s">
        <v>1546</v>
      </c>
      <c r="K1" s="360" t="s">
        <v>1547</v>
      </c>
      <c r="L1" s="360" t="s">
        <v>1548</v>
      </c>
      <c r="M1" s="360" t="s">
        <v>1549</v>
      </c>
      <c r="N1" s="360" t="s">
        <v>1550</v>
      </c>
      <c r="O1" s="360" t="s">
        <v>1551</v>
      </c>
      <c r="P1" s="331" t="s">
        <v>1552</v>
      </c>
      <c r="Q1" s="331" t="s">
        <v>1553</v>
      </c>
      <c r="R1" s="331" t="s">
        <v>1554</v>
      </c>
      <c r="S1" s="331" t="s">
        <v>1555</v>
      </c>
      <c r="T1" s="331" t="s">
        <v>1556</v>
      </c>
    </row>
    <row r="2" spans="1:20" ht="45" x14ac:dyDescent="0.25">
      <c r="A2" s="39" t="s">
        <v>1658</v>
      </c>
      <c r="B2" s="56" t="s">
        <v>1659</v>
      </c>
      <c r="C2" s="148" t="s">
        <v>1660</v>
      </c>
      <c r="D2" s="39">
        <v>2</v>
      </c>
      <c r="E2" s="39">
        <v>2</v>
      </c>
      <c r="F2" s="6" t="s">
        <v>1661</v>
      </c>
      <c r="G2" s="6" t="s">
        <v>1560</v>
      </c>
      <c r="H2" s="39">
        <v>1</v>
      </c>
      <c r="I2" s="39">
        <v>1</v>
      </c>
      <c r="J2" s="39" t="s">
        <v>1562</v>
      </c>
      <c r="K2" s="39" t="s">
        <v>1661</v>
      </c>
      <c r="L2" s="39" t="s">
        <v>1560</v>
      </c>
      <c r="M2" s="39">
        <v>2</v>
      </c>
      <c r="N2" s="39">
        <v>1</v>
      </c>
      <c r="O2" s="39" t="s">
        <v>1562</v>
      </c>
      <c r="P2" s="39" t="s">
        <v>1661</v>
      </c>
      <c r="Q2" s="39" t="s">
        <v>1560</v>
      </c>
      <c r="R2" s="39">
        <v>3</v>
      </c>
      <c r="S2" s="39">
        <v>1</v>
      </c>
      <c r="T2" s="39" t="s">
        <v>1562</v>
      </c>
    </row>
    <row r="3" spans="1:20" ht="45" x14ac:dyDescent="0.25">
      <c r="A3" s="39" t="s">
        <v>1662</v>
      </c>
      <c r="B3" s="56" t="s">
        <v>1663</v>
      </c>
      <c r="C3" s="148" t="s">
        <v>1664</v>
      </c>
      <c r="D3" s="39">
        <v>2</v>
      </c>
      <c r="E3" s="39">
        <v>2</v>
      </c>
      <c r="F3" s="39" t="s">
        <v>1661</v>
      </c>
      <c r="G3" s="39" t="s">
        <v>1560</v>
      </c>
      <c r="H3" s="39">
        <v>3</v>
      </c>
      <c r="I3" s="39">
        <v>1</v>
      </c>
      <c r="J3" s="39" t="s">
        <v>1562</v>
      </c>
      <c r="K3" s="39" t="s">
        <v>1661</v>
      </c>
      <c r="L3" s="39" t="s">
        <v>1560</v>
      </c>
      <c r="M3" s="39">
        <v>4</v>
      </c>
      <c r="N3" s="39">
        <v>1</v>
      </c>
      <c r="O3" s="39" t="s">
        <v>1562</v>
      </c>
      <c r="P3" s="6" t="s">
        <v>1665</v>
      </c>
      <c r="Q3" s="6" t="s">
        <v>1666</v>
      </c>
      <c r="R3" s="39">
        <v>5</v>
      </c>
      <c r="S3" s="39">
        <v>1</v>
      </c>
      <c r="T3" s="39" t="s">
        <v>1561</v>
      </c>
    </row>
    <row r="4" spans="1:20" ht="30" x14ac:dyDescent="0.25">
      <c r="A4" s="39" t="s">
        <v>1667</v>
      </c>
      <c r="B4" s="56" t="s">
        <v>1668</v>
      </c>
      <c r="C4" s="148" t="s">
        <v>1669</v>
      </c>
      <c r="D4" s="39">
        <v>2</v>
      </c>
      <c r="E4" s="39">
        <v>2</v>
      </c>
      <c r="F4" s="39" t="s">
        <v>1661</v>
      </c>
      <c r="G4" s="39" t="s">
        <v>1560</v>
      </c>
      <c r="H4" s="39">
        <v>4</v>
      </c>
      <c r="I4" s="39">
        <v>1</v>
      </c>
      <c r="J4" s="39" t="s">
        <v>1562</v>
      </c>
      <c r="K4" s="39" t="s">
        <v>1665</v>
      </c>
      <c r="L4" s="39" t="s">
        <v>1666</v>
      </c>
      <c r="M4" s="39">
        <v>5</v>
      </c>
      <c r="N4" s="39">
        <v>1</v>
      </c>
      <c r="O4" s="39" t="s">
        <v>1561</v>
      </c>
      <c r="P4" s="6" t="s">
        <v>1578</v>
      </c>
      <c r="Q4" s="6" t="s">
        <v>1560</v>
      </c>
      <c r="R4" s="39">
        <v>60</v>
      </c>
      <c r="S4" s="39">
        <v>10</v>
      </c>
      <c r="T4" s="39" t="s">
        <v>1562</v>
      </c>
    </row>
    <row r="5" spans="1:20" ht="45" x14ac:dyDescent="0.25">
      <c r="A5" s="39" t="s">
        <v>1670</v>
      </c>
      <c r="B5" s="56" t="s">
        <v>1671</v>
      </c>
      <c r="C5" s="148" t="s">
        <v>1672</v>
      </c>
      <c r="D5" s="39">
        <v>2</v>
      </c>
      <c r="E5" s="39">
        <v>2</v>
      </c>
      <c r="F5" s="39" t="s">
        <v>1661</v>
      </c>
      <c r="G5" s="39" t="s">
        <v>1560</v>
      </c>
      <c r="H5" s="39">
        <v>5</v>
      </c>
      <c r="I5" s="39">
        <v>1</v>
      </c>
      <c r="J5" s="39" t="s">
        <v>1562</v>
      </c>
      <c r="K5" s="39" t="s">
        <v>1665</v>
      </c>
      <c r="L5" s="39" t="s">
        <v>1666</v>
      </c>
      <c r="M5" s="39">
        <v>10</v>
      </c>
      <c r="N5" s="39">
        <v>1</v>
      </c>
      <c r="O5" s="39" t="s">
        <v>1561</v>
      </c>
      <c r="P5" s="39" t="s">
        <v>1578</v>
      </c>
      <c r="Q5" s="39" t="s">
        <v>1560</v>
      </c>
      <c r="R5" s="39">
        <v>70</v>
      </c>
      <c r="S5" s="39">
        <v>10</v>
      </c>
      <c r="T5" s="39" t="s">
        <v>1562</v>
      </c>
    </row>
    <row r="6" spans="1:20" ht="60" x14ac:dyDescent="0.25">
      <c r="A6" s="39" t="s">
        <v>1673</v>
      </c>
      <c r="B6" s="207" t="s">
        <v>1674</v>
      </c>
      <c r="C6" s="148" t="s">
        <v>1675</v>
      </c>
      <c r="D6" s="39">
        <v>2</v>
      </c>
      <c r="E6" s="39">
        <v>2</v>
      </c>
      <c r="F6" s="207" t="s">
        <v>1690</v>
      </c>
      <c r="G6" s="207" t="s">
        <v>1666</v>
      </c>
      <c r="H6" s="207">
        <v>10</v>
      </c>
      <c r="I6" s="207">
        <v>1</v>
      </c>
      <c r="J6" s="39" t="s">
        <v>1561</v>
      </c>
      <c r="K6" s="39" t="s">
        <v>1665</v>
      </c>
      <c r="L6" s="39" t="s">
        <v>1666</v>
      </c>
      <c r="M6" s="39">
        <v>15</v>
      </c>
      <c r="N6" s="39">
        <v>1</v>
      </c>
      <c r="O6" s="39" t="s">
        <v>1561</v>
      </c>
      <c r="P6" s="6" t="s">
        <v>1578</v>
      </c>
      <c r="Q6" s="6" t="s">
        <v>1666</v>
      </c>
      <c r="R6" s="39">
        <v>60</v>
      </c>
      <c r="S6" s="39">
        <v>10</v>
      </c>
      <c r="T6" s="39" t="s">
        <v>1562</v>
      </c>
    </row>
    <row r="7" spans="1:20" ht="45" x14ac:dyDescent="0.25">
      <c r="A7" s="39" t="s">
        <v>1676</v>
      </c>
      <c r="B7" s="207" t="s">
        <v>1373</v>
      </c>
      <c r="C7" s="148" t="s">
        <v>1677</v>
      </c>
      <c r="D7" s="39">
        <v>2</v>
      </c>
      <c r="E7" s="39">
        <v>2</v>
      </c>
      <c r="F7" s="39" t="s">
        <v>1665</v>
      </c>
      <c r="G7" s="39" t="s">
        <v>1666</v>
      </c>
      <c r="H7" s="39">
        <v>20</v>
      </c>
      <c r="I7" s="4">
        <v>4</v>
      </c>
      <c r="J7" s="39" t="s">
        <v>1561</v>
      </c>
      <c r="K7" s="207" t="s">
        <v>1684</v>
      </c>
      <c r="L7" s="207" t="s">
        <v>1666</v>
      </c>
      <c r="M7" s="207">
        <v>10</v>
      </c>
      <c r="N7" s="207">
        <v>2</v>
      </c>
      <c r="O7" s="39" t="s">
        <v>1561</v>
      </c>
      <c r="P7" s="39" t="s">
        <v>1578</v>
      </c>
      <c r="Q7" s="39" t="s">
        <v>1666</v>
      </c>
      <c r="R7" s="39">
        <v>80</v>
      </c>
      <c r="S7" s="39">
        <v>10</v>
      </c>
      <c r="T7" s="39" t="s">
        <v>1562</v>
      </c>
    </row>
    <row r="8" spans="1:20" ht="60" x14ac:dyDescent="0.25">
      <c r="A8" s="39" t="s">
        <v>1678</v>
      </c>
      <c r="B8" s="310" t="s">
        <v>1370</v>
      </c>
      <c r="C8" s="148" t="s">
        <v>1679</v>
      </c>
      <c r="D8" s="39">
        <v>2</v>
      </c>
      <c r="E8" s="39">
        <v>2</v>
      </c>
      <c r="F8" s="39" t="s">
        <v>1661</v>
      </c>
      <c r="G8" s="39" t="s">
        <v>1560</v>
      </c>
      <c r="H8" s="39">
        <v>7</v>
      </c>
      <c r="I8" s="39">
        <v>1</v>
      </c>
      <c r="J8" s="39" t="s">
        <v>1562</v>
      </c>
      <c r="K8" s="39" t="s">
        <v>1578</v>
      </c>
      <c r="L8" s="39" t="s">
        <v>1560</v>
      </c>
      <c r="M8" s="39">
        <v>130</v>
      </c>
      <c r="N8" s="39">
        <v>10</v>
      </c>
      <c r="O8" s="39" t="s">
        <v>1562</v>
      </c>
      <c r="P8" s="6" t="s">
        <v>1559</v>
      </c>
      <c r="Q8" s="6" t="s">
        <v>1560</v>
      </c>
      <c r="R8" s="39">
        <v>130</v>
      </c>
      <c r="S8" s="39">
        <v>10</v>
      </c>
      <c r="T8" s="39" t="s">
        <v>1562</v>
      </c>
    </row>
    <row r="9" spans="1:20" ht="60" x14ac:dyDescent="0.25">
      <c r="A9" s="39" t="s">
        <v>1680</v>
      </c>
      <c r="B9" s="207" t="s">
        <v>1366</v>
      </c>
      <c r="C9" s="148" t="s">
        <v>1681</v>
      </c>
      <c r="D9" s="39">
        <v>2</v>
      </c>
      <c r="E9" s="39">
        <v>2</v>
      </c>
      <c r="F9" s="207" t="s">
        <v>1690</v>
      </c>
      <c r="G9" s="207" t="s">
        <v>1666</v>
      </c>
      <c r="H9" s="207">
        <v>20</v>
      </c>
      <c r="I9" s="207">
        <v>3</v>
      </c>
      <c r="J9" s="39" t="s">
        <v>1561</v>
      </c>
      <c r="K9" s="39" t="s">
        <v>1665</v>
      </c>
      <c r="L9" s="39" t="s">
        <v>1666</v>
      </c>
      <c r="M9" s="39">
        <v>35</v>
      </c>
      <c r="N9" s="39">
        <v>5</v>
      </c>
      <c r="O9" s="39" t="s">
        <v>1561</v>
      </c>
      <c r="P9" s="6" t="s">
        <v>1559</v>
      </c>
      <c r="Q9" s="6" t="s">
        <v>1666</v>
      </c>
      <c r="R9" s="39">
        <v>150</v>
      </c>
      <c r="S9" s="39">
        <v>10</v>
      </c>
      <c r="T9" s="39" t="s">
        <v>1562</v>
      </c>
    </row>
    <row r="10" spans="1:20" ht="60" x14ac:dyDescent="0.25">
      <c r="A10" s="39" t="s">
        <v>1682</v>
      </c>
      <c r="B10" s="307" t="s">
        <v>1362</v>
      </c>
      <c r="C10" s="148" t="s">
        <v>1683</v>
      </c>
      <c r="D10" s="39">
        <v>2</v>
      </c>
      <c r="E10" s="39">
        <v>2</v>
      </c>
      <c r="F10" s="4" t="s">
        <v>1661</v>
      </c>
      <c r="G10" s="4" t="s">
        <v>1560</v>
      </c>
      <c r="H10" s="4">
        <v>15</v>
      </c>
      <c r="I10" s="4">
        <v>1</v>
      </c>
      <c r="J10" s="39" t="s">
        <v>1562</v>
      </c>
      <c r="K10" s="6" t="s">
        <v>1684</v>
      </c>
      <c r="L10" s="6" t="s">
        <v>1666</v>
      </c>
      <c r="M10" s="39">
        <v>25</v>
      </c>
      <c r="N10" s="39">
        <v>5</v>
      </c>
      <c r="O10" s="39" t="s">
        <v>1561</v>
      </c>
      <c r="P10" s="39" t="s">
        <v>1578</v>
      </c>
      <c r="Q10" s="39" t="s">
        <v>1666</v>
      </c>
      <c r="R10" s="39">
        <v>160</v>
      </c>
      <c r="S10" s="39">
        <v>10</v>
      </c>
      <c r="T10" s="39" t="s">
        <v>1562</v>
      </c>
    </row>
    <row r="11" spans="1:20" ht="75" x14ac:dyDescent="0.25">
      <c r="A11" s="39" t="s">
        <v>1685</v>
      </c>
      <c r="B11" s="307" t="s">
        <v>1308</v>
      </c>
      <c r="C11" s="148" t="s">
        <v>1686</v>
      </c>
      <c r="D11" s="39">
        <v>2</v>
      </c>
      <c r="E11" s="39">
        <v>2</v>
      </c>
      <c r="F11" s="4" t="s">
        <v>1661</v>
      </c>
      <c r="G11" s="4" t="s">
        <v>1560</v>
      </c>
      <c r="H11" s="4">
        <v>20</v>
      </c>
      <c r="I11" s="4">
        <v>1</v>
      </c>
      <c r="J11" s="39" t="s">
        <v>1562</v>
      </c>
      <c r="K11" s="6" t="s">
        <v>1687</v>
      </c>
      <c r="L11" s="6" t="s">
        <v>1666</v>
      </c>
      <c r="M11" s="39">
        <v>25</v>
      </c>
      <c r="N11" s="39">
        <v>5</v>
      </c>
      <c r="O11" s="39" t="s">
        <v>1561</v>
      </c>
      <c r="P11" s="39" t="s">
        <v>1559</v>
      </c>
      <c r="Q11" s="39" t="s">
        <v>1666</v>
      </c>
      <c r="R11" s="39">
        <v>170</v>
      </c>
      <c r="S11" s="39">
        <v>10</v>
      </c>
      <c r="T11" s="39" t="s">
        <v>1562</v>
      </c>
    </row>
    <row r="12" spans="1:20" ht="60" x14ac:dyDescent="0.25">
      <c r="A12" s="39" t="s">
        <v>1688</v>
      </c>
      <c r="B12" s="307" t="s">
        <v>1345</v>
      </c>
      <c r="C12" s="148" t="s">
        <v>1689</v>
      </c>
      <c r="D12" s="39">
        <v>2</v>
      </c>
      <c r="E12" s="39">
        <v>2</v>
      </c>
      <c r="F12" s="6" t="s">
        <v>1690</v>
      </c>
      <c r="G12" s="6" t="s">
        <v>1666</v>
      </c>
      <c r="H12" s="39">
        <v>35</v>
      </c>
      <c r="I12" s="39">
        <v>5</v>
      </c>
      <c r="J12" s="39" t="s">
        <v>1561</v>
      </c>
      <c r="K12" s="39" t="s">
        <v>1687</v>
      </c>
      <c r="L12" s="39" t="s">
        <v>1666</v>
      </c>
      <c r="M12" s="39">
        <v>45</v>
      </c>
      <c r="N12" s="39">
        <v>5</v>
      </c>
      <c r="O12" s="39" t="s">
        <v>1561</v>
      </c>
      <c r="P12" s="39" t="s">
        <v>1578</v>
      </c>
      <c r="Q12" s="39" t="s">
        <v>1666</v>
      </c>
      <c r="R12" s="39">
        <v>180</v>
      </c>
      <c r="S12" s="39">
        <v>10</v>
      </c>
      <c r="T12" s="39" t="s">
        <v>1562</v>
      </c>
    </row>
    <row r="13" spans="1:20" ht="45" x14ac:dyDescent="0.25">
      <c r="A13" s="39" t="s">
        <v>1691</v>
      </c>
      <c r="B13" s="210" t="s">
        <v>1321</v>
      </c>
      <c r="C13" s="148" t="s">
        <v>1692</v>
      </c>
      <c r="D13" s="39">
        <v>2</v>
      </c>
      <c r="E13" s="39">
        <v>2</v>
      </c>
      <c r="F13" s="39" t="s">
        <v>1684</v>
      </c>
      <c r="G13" s="39" t="s">
        <v>1666</v>
      </c>
      <c r="H13" s="39">
        <v>50</v>
      </c>
      <c r="I13" s="207">
        <v>5</v>
      </c>
      <c r="J13" s="39" t="s">
        <v>1561</v>
      </c>
      <c r="K13" s="39" t="s">
        <v>1578</v>
      </c>
      <c r="L13" s="39" t="s">
        <v>1560</v>
      </c>
      <c r="M13" s="39">
        <v>200</v>
      </c>
      <c r="N13" s="39">
        <v>10</v>
      </c>
      <c r="O13" s="39" t="s">
        <v>1562</v>
      </c>
      <c r="P13" s="39" t="s">
        <v>1559</v>
      </c>
      <c r="Q13" s="39" t="s">
        <v>1666</v>
      </c>
      <c r="R13" s="39">
        <v>200</v>
      </c>
      <c r="S13" s="39">
        <v>10</v>
      </c>
      <c r="T13" s="39" t="s">
        <v>1562</v>
      </c>
    </row>
    <row r="14" spans="1:20" ht="45" x14ac:dyDescent="0.25">
      <c r="A14" s="39" t="s">
        <v>1693</v>
      </c>
      <c r="B14" s="207" t="s">
        <v>1319</v>
      </c>
      <c r="C14" s="148" t="s">
        <v>1694</v>
      </c>
      <c r="D14" s="39">
        <v>2</v>
      </c>
      <c r="E14" s="39">
        <v>2</v>
      </c>
      <c r="F14" s="39" t="s">
        <v>1665</v>
      </c>
      <c r="G14" s="39" t="s">
        <v>1666</v>
      </c>
      <c r="H14" s="39">
        <v>50</v>
      </c>
      <c r="I14" s="207">
        <v>5</v>
      </c>
      <c r="J14" s="39" t="s">
        <v>1561</v>
      </c>
      <c r="K14" s="39" t="s">
        <v>1578</v>
      </c>
      <c r="L14" s="39" t="s">
        <v>1666</v>
      </c>
      <c r="M14" s="39">
        <v>200</v>
      </c>
      <c r="N14" s="39">
        <v>10</v>
      </c>
      <c r="O14" s="39" t="s">
        <v>1562</v>
      </c>
      <c r="P14" s="39" t="s">
        <v>1559</v>
      </c>
      <c r="Q14" s="39" t="s">
        <v>1560</v>
      </c>
      <c r="R14" s="39">
        <v>200</v>
      </c>
      <c r="S14" s="39">
        <v>10</v>
      </c>
      <c r="T14" s="39" t="s">
        <v>1562</v>
      </c>
    </row>
    <row r="15" spans="1:20" ht="45" x14ac:dyDescent="0.25">
      <c r="A15" s="39" t="s">
        <v>1695</v>
      </c>
      <c r="B15" s="210" t="s">
        <v>1304</v>
      </c>
      <c r="C15" s="148" t="s">
        <v>1696</v>
      </c>
      <c r="D15" s="39">
        <v>2</v>
      </c>
      <c r="E15" s="39">
        <v>2</v>
      </c>
      <c r="F15" s="39" t="s">
        <v>1690</v>
      </c>
      <c r="G15" s="39" t="s">
        <v>1666</v>
      </c>
      <c r="H15" s="39">
        <v>100</v>
      </c>
      <c r="I15" s="207">
        <v>10</v>
      </c>
      <c r="J15" s="39" t="s">
        <v>1561</v>
      </c>
      <c r="K15" s="39" t="s">
        <v>1578</v>
      </c>
      <c r="L15" s="39" t="s">
        <v>1666</v>
      </c>
      <c r="M15" s="39">
        <v>275</v>
      </c>
      <c r="N15" s="39">
        <v>15</v>
      </c>
      <c r="O15" s="39" t="s">
        <v>1562</v>
      </c>
      <c r="P15" s="39" t="s">
        <v>1559</v>
      </c>
      <c r="Q15" s="39" t="s">
        <v>1666</v>
      </c>
      <c r="R15" s="39">
        <v>275</v>
      </c>
      <c r="S15" s="39">
        <v>15</v>
      </c>
      <c r="T15" s="39" t="s">
        <v>1562</v>
      </c>
    </row>
    <row r="16" spans="1:20" ht="45" x14ac:dyDescent="0.25">
      <c r="A16" s="39" t="s">
        <v>1697</v>
      </c>
      <c r="B16" s="210" t="s">
        <v>1300</v>
      </c>
      <c r="C16" s="148" t="s">
        <v>1698</v>
      </c>
      <c r="D16" s="39">
        <v>2</v>
      </c>
      <c r="E16" s="39">
        <v>2</v>
      </c>
      <c r="F16" s="39" t="s">
        <v>1687</v>
      </c>
      <c r="G16" s="39" t="s">
        <v>1666</v>
      </c>
      <c r="H16" s="39">
        <v>100</v>
      </c>
      <c r="I16" s="207">
        <v>10</v>
      </c>
      <c r="J16" s="39" t="s">
        <v>1561</v>
      </c>
      <c r="K16" s="39" t="s">
        <v>1578</v>
      </c>
      <c r="L16" s="39" t="s">
        <v>1666</v>
      </c>
      <c r="M16" s="39">
        <v>275</v>
      </c>
      <c r="N16" s="39">
        <v>15</v>
      </c>
      <c r="O16" s="39" t="s">
        <v>1562</v>
      </c>
      <c r="P16" s="39" t="s">
        <v>1559</v>
      </c>
      <c r="Q16" s="39" t="s">
        <v>1666</v>
      </c>
      <c r="R16" s="39">
        <v>275</v>
      </c>
      <c r="S16" s="39">
        <v>15</v>
      </c>
      <c r="T16" s="39" t="s">
        <v>1562</v>
      </c>
    </row>
  </sheetData>
  <autoFilter ref="A1:T16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82"/>
  <sheetViews>
    <sheetView workbookViewId="0">
      <pane xSplit="2" ySplit="1" topLeftCell="K107" activePane="bottomRight" state="frozen"/>
      <selection pane="topRight" activeCell="D1" sqref="D1"/>
      <selection pane="bottomLeft" activeCell="A2" sqref="A2"/>
      <selection pane="bottomRight" activeCell="O130" sqref="O130"/>
    </sheetView>
  </sheetViews>
  <sheetFormatPr defaultRowHeight="15" x14ac:dyDescent="0.25"/>
  <cols>
    <col min="1" max="1" width="7.42578125" style="11" customWidth="1"/>
    <col min="2" max="2" width="15.5703125" style="11" hidden="1" customWidth="1"/>
    <col min="3" max="3" width="22.5703125" style="11" hidden="1" customWidth="1"/>
    <col min="4" max="4" width="22.7109375" style="72" hidden="1" customWidth="1"/>
    <col min="5" max="5" width="60.42578125" style="72" hidden="1" customWidth="1"/>
    <col min="6" max="6" width="15.28515625" style="11" hidden="1" customWidth="1"/>
    <col min="7" max="7" width="18" style="72" hidden="1" customWidth="1"/>
    <col min="8" max="8" width="21.85546875" style="11" hidden="1" customWidth="1"/>
    <col min="9" max="9" width="16.5703125" style="72" hidden="1" customWidth="1"/>
    <col min="10" max="10" width="21.7109375" style="11" hidden="1" customWidth="1"/>
    <col min="11" max="11" width="19.85546875" style="11" customWidth="1"/>
    <col min="12" max="12" width="52.85546875" style="11" customWidth="1"/>
    <col min="13" max="13" width="15.7109375" style="11" hidden="1" customWidth="1"/>
    <col min="14" max="14" width="20.42578125" style="11" hidden="1" customWidth="1"/>
    <col min="15" max="15" width="52.85546875" style="11" customWidth="1"/>
    <col min="16" max="248" width="9.140625" style="11"/>
    <col min="249" max="249" width="6.5703125" style="11" customWidth="1"/>
    <col min="250" max="250" width="7.42578125" style="11" customWidth="1"/>
    <col min="251" max="251" width="15.5703125" style="11" bestFit="1" customWidth="1"/>
    <col min="252" max="252" width="22.5703125" style="11" customWidth="1"/>
    <col min="253" max="253" width="22.7109375" style="11" customWidth="1"/>
    <col min="254" max="254" width="41" style="11" bestFit="1" customWidth="1"/>
    <col min="255" max="255" width="15.28515625" style="11" customWidth="1"/>
    <col min="256" max="256" width="18" style="11" customWidth="1"/>
    <col min="257" max="257" width="21.85546875" style="11" customWidth="1"/>
    <col min="258" max="258" width="16.5703125" style="11" customWidth="1"/>
    <col min="259" max="259" width="21.7109375" style="11" customWidth="1"/>
    <col min="260" max="260" width="19.85546875" style="11" customWidth="1"/>
    <col min="261" max="261" width="53.140625" style="11" bestFit="1" customWidth="1"/>
    <col min="262" max="262" width="15.7109375" style="11" bestFit="1" customWidth="1"/>
    <col min="263" max="263" width="48.140625" style="11" bestFit="1" customWidth="1"/>
    <col min="264" max="264" width="20.42578125" style="11" bestFit="1" customWidth="1"/>
    <col min="265" max="265" width="25.85546875" style="11" bestFit="1" customWidth="1"/>
    <col min="266" max="266" width="24.140625" style="11" bestFit="1" customWidth="1"/>
    <col min="267" max="267" width="25.85546875" style="11" bestFit="1" customWidth="1"/>
    <col min="268" max="268" width="24.140625" style="11" bestFit="1" customWidth="1"/>
    <col min="269" max="269" width="25.85546875" style="11" bestFit="1" customWidth="1"/>
    <col min="270" max="270" width="69.28515625" style="11" bestFit="1" customWidth="1"/>
    <col min="271" max="504" width="9.140625" style="11"/>
    <col min="505" max="505" width="6.5703125" style="11" customWidth="1"/>
    <col min="506" max="506" width="7.42578125" style="11" customWidth="1"/>
    <col min="507" max="507" width="15.5703125" style="11" bestFit="1" customWidth="1"/>
    <col min="508" max="508" width="22.5703125" style="11" customWidth="1"/>
    <col min="509" max="509" width="22.7109375" style="11" customWidth="1"/>
    <col min="510" max="510" width="41" style="11" bestFit="1" customWidth="1"/>
    <col min="511" max="511" width="15.28515625" style="11" customWidth="1"/>
    <col min="512" max="512" width="18" style="11" customWidth="1"/>
    <col min="513" max="513" width="21.85546875" style="11" customWidth="1"/>
    <col min="514" max="514" width="16.5703125" style="11" customWidth="1"/>
    <col min="515" max="515" width="21.7109375" style="11" customWidth="1"/>
    <col min="516" max="516" width="19.85546875" style="11" customWidth="1"/>
    <col min="517" max="517" width="53.140625" style="11" bestFit="1" customWidth="1"/>
    <col min="518" max="518" width="15.7109375" style="11" bestFit="1" customWidth="1"/>
    <col min="519" max="519" width="48.140625" style="11" bestFit="1" customWidth="1"/>
    <col min="520" max="520" width="20.42578125" style="11" bestFit="1" customWidth="1"/>
    <col min="521" max="521" width="25.85546875" style="11" bestFit="1" customWidth="1"/>
    <col min="522" max="522" width="24.140625" style="11" bestFit="1" customWidth="1"/>
    <col min="523" max="523" width="25.85546875" style="11" bestFit="1" customWidth="1"/>
    <col min="524" max="524" width="24.140625" style="11" bestFit="1" customWidth="1"/>
    <col min="525" max="525" width="25.85546875" style="11" bestFit="1" customWidth="1"/>
    <col min="526" max="526" width="69.28515625" style="11" bestFit="1" customWidth="1"/>
    <col min="527" max="760" width="9.140625" style="11"/>
    <col min="761" max="761" width="6.5703125" style="11" customWidth="1"/>
    <col min="762" max="762" width="7.42578125" style="11" customWidth="1"/>
    <col min="763" max="763" width="15.5703125" style="11" bestFit="1" customWidth="1"/>
    <col min="764" max="764" width="22.5703125" style="11" customWidth="1"/>
    <col min="765" max="765" width="22.7109375" style="11" customWidth="1"/>
    <col min="766" max="766" width="41" style="11" bestFit="1" customWidth="1"/>
    <col min="767" max="767" width="15.28515625" style="11" customWidth="1"/>
    <col min="768" max="768" width="18" style="11" customWidth="1"/>
    <col min="769" max="769" width="21.85546875" style="11" customWidth="1"/>
    <col min="770" max="770" width="16.5703125" style="11" customWidth="1"/>
    <col min="771" max="771" width="21.7109375" style="11" customWidth="1"/>
    <col min="772" max="772" width="19.85546875" style="11" customWidth="1"/>
    <col min="773" max="773" width="53.140625" style="11" bestFit="1" customWidth="1"/>
    <col min="774" max="774" width="15.7109375" style="11" bestFit="1" customWidth="1"/>
    <col min="775" max="775" width="48.140625" style="11" bestFit="1" customWidth="1"/>
    <col min="776" max="776" width="20.42578125" style="11" bestFit="1" customWidth="1"/>
    <col min="777" max="777" width="25.85546875" style="11" bestFit="1" customWidth="1"/>
    <col min="778" max="778" width="24.140625" style="11" bestFit="1" customWidth="1"/>
    <col min="779" max="779" width="25.85546875" style="11" bestFit="1" customWidth="1"/>
    <col min="780" max="780" width="24.140625" style="11" bestFit="1" customWidth="1"/>
    <col min="781" max="781" width="25.85546875" style="11" bestFit="1" customWidth="1"/>
    <col min="782" max="782" width="69.28515625" style="11" bestFit="1" customWidth="1"/>
    <col min="783" max="1016" width="9.140625" style="11"/>
    <col min="1017" max="1017" width="6.5703125" style="11" customWidth="1"/>
    <col min="1018" max="1018" width="7.42578125" style="11" customWidth="1"/>
    <col min="1019" max="1019" width="15.5703125" style="11" bestFit="1" customWidth="1"/>
    <col min="1020" max="1020" width="22.5703125" style="11" customWidth="1"/>
    <col min="1021" max="1021" width="22.7109375" style="11" customWidth="1"/>
    <col min="1022" max="1022" width="41" style="11" bestFit="1" customWidth="1"/>
    <col min="1023" max="1023" width="15.28515625" style="11" customWidth="1"/>
    <col min="1024" max="1024" width="18" style="11" customWidth="1"/>
    <col min="1025" max="1025" width="21.85546875" style="11" customWidth="1"/>
    <col min="1026" max="1026" width="16.5703125" style="11" customWidth="1"/>
    <col min="1027" max="1027" width="21.7109375" style="11" customWidth="1"/>
    <col min="1028" max="1028" width="19.85546875" style="11" customWidth="1"/>
    <col min="1029" max="1029" width="53.140625" style="11" bestFit="1" customWidth="1"/>
    <col min="1030" max="1030" width="15.7109375" style="11" bestFit="1" customWidth="1"/>
    <col min="1031" max="1031" width="48.140625" style="11" bestFit="1" customWidth="1"/>
    <col min="1032" max="1032" width="20.42578125" style="11" bestFit="1" customWidth="1"/>
    <col min="1033" max="1033" width="25.85546875" style="11" bestFit="1" customWidth="1"/>
    <col min="1034" max="1034" width="24.140625" style="11" bestFit="1" customWidth="1"/>
    <col min="1035" max="1035" width="25.85546875" style="11" bestFit="1" customWidth="1"/>
    <col min="1036" max="1036" width="24.140625" style="11" bestFit="1" customWidth="1"/>
    <col min="1037" max="1037" width="25.85546875" style="11" bestFit="1" customWidth="1"/>
    <col min="1038" max="1038" width="69.28515625" style="11" bestFit="1" customWidth="1"/>
    <col min="1039" max="1272" width="9.140625" style="11"/>
    <col min="1273" max="1273" width="6.5703125" style="11" customWidth="1"/>
    <col min="1274" max="1274" width="7.42578125" style="11" customWidth="1"/>
    <col min="1275" max="1275" width="15.5703125" style="11" bestFit="1" customWidth="1"/>
    <col min="1276" max="1276" width="22.5703125" style="11" customWidth="1"/>
    <col min="1277" max="1277" width="22.7109375" style="11" customWidth="1"/>
    <col min="1278" max="1278" width="41" style="11" bestFit="1" customWidth="1"/>
    <col min="1279" max="1279" width="15.28515625" style="11" customWidth="1"/>
    <col min="1280" max="1280" width="18" style="11" customWidth="1"/>
    <col min="1281" max="1281" width="21.85546875" style="11" customWidth="1"/>
    <col min="1282" max="1282" width="16.5703125" style="11" customWidth="1"/>
    <col min="1283" max="1283" width="21.7109375" style="11" customWidth="1"/>
    <col min="1284" max="1284" width="19.85546875" style="11" customWidth="1"/>
    <col min="1285" max="1285" width="53.140625" style="11" bestFit="1" customWidth="1"/>
    <col min="1286" max="1286" width="15.7109375" style="11" bestFit="1" customWidth="1"/>
    <col min="1287" max="1287" width="48.140625" style="11" bestFit="1" customWidth="1"/>
    <col min="1288" max="1288" width="20.42578125" style="11" bestFit="1" customWidth="1"/>
    <col min="1289" max="1289" width="25.85546875" style="11" bestFit="1" customWidth="1"/>
    <col min="1290" max="1290" width="24.140625" style="11" bestFit="1" customWidth="1"/>
    <col min="1291" max="1291" width="25.85546875" style="11" bestFit="1" customWidth="1"/>
    <col min="1292" max="1292" width="24.140625" style="11" bestFit="1" customWidth="1"/>
    <col min="1293" max="1293" width="25.85546875" style="11" bestFit="1" customWidth="1"/>
    <col min="1294" max="1294" width="69.28515625" style="11" bestFit="1" customWidth="1"/>
    <col min="1295" max="1528" width="9.140625" style="11"/>
    <col min="1529" max="1529" width="6.5703125" style="11" customWidth="1"/>
    <col min="1530" max="1530" width="7.42578125" style="11" customWidth="1"/>
    <col min="1531" max="1531" width="15.5703125" style="11" bestFit="1" customWidth="1"/>
    <col min="1532" max="1532" width="22.5703125" style="11" customWidth="1"/>
    <col min="1533" max="1533" width="22.7109375" style="11" customWidth="1"/>
    <col min="1534" max="1534" width="41" style="11" bestFit="1" customWidth="1"/>
    <col min="1535" max="1535" width="15.28515625" style="11" customWidth="1"/>
    <col min="1536" max="1536" width="18" style="11" customWidth="1"/>
    <col min="1537" max="1537" width="21.85546875" style="11" customWidth="1"/>
    <col min="1538" max="1538" width="16.5703125" style="11" customWidth="1"/>
    <col min="1539" max="1539" width="21.7109375" style="11" customWidth="1"/>
    <col min="1540" max="1540" width="19.85546875" style="11" customWidth="1"/>
    <col min="1541" max="1541" width="53.140625" style="11" bestFit="1" customWidth="1"/>
    <col min="1542" max="1542" width="15.7109375" style="11" bestFit="1" customWidth="1"/>
    <col min="1543" max="1543" width="48.140625" style="11" bestFit="1" customWidth="1"/>
    <col min="1544" max="1544" width="20.42578125" style="11" bestFit="1" customWidth="1"/>
    <col min="1545" max="1545" width="25.85546875" style="11" bestFit="1" customWidth="1"/>
    <col min="1546" max="1546" width="24.140625" style="11" bestFit="1" customWidth="1"/>
    <col min="1547" max="1547" width="25.85546875" style="11" bestFit="1" customWidth="1"/>
    <col min="1548" max="1548" width="24.140625" style="11" bestFit="1" customWidth="1"/>
    <col min="1549" max="1549" width="25.85546875" style="11" bestFit="1" customWidth="1"/>
    <col min="1550" max="1550" width="69.28515625" style="11" bestFit="1" customWidth="1"/>
    <col min="1551" max="1784" width="9.140625" style="11"/>
    <col min="1785" max="1785" width="6.5703125" style="11" customWidth="1"/>
    <col min="1786" max="1786" width="7.42578125" style="11" customWidth="1"/>
    <col min="1787" max="1787" width="15.5703125" style="11" bestFit="1" customWidth="1"/>
    <col min="1788" max="1788" width="22.5703125" style="11" customWidth="1"/>
    <col min="1789" max="1789" width="22.7109375" style="11" customWidth="1"/>
    <col min="1790" max="1790" width="41" style="11" bestFit="1" customWidth="1"/>
    <col min="1791" max="1791" width="15.28515625" style="11" customWidth="1"/>
    <col min="1792" max="1792" width="18" style="11" customWidth="1"/>
    <col min="1793" max="1793" width="21.85546875" style="11" customWidth="1"/>
    <col min="1794" max="1794" width="16.5703125" style="11" customWidth="1"/>
    <col min="1795" max="1795" width="21.7109375" style="11" customWidth="1"/>
    <col min="1796" max="1796" width="19.85546875" style="11" customWidth="1"/>
    <col min="1797" max="1797" width="53.140625" style="11" bestFit="1" customWidth="1"/>
    <col min="1798" max="1798" width="15.7109375" style="11" bestFit="1" customWidth="1"/>
    <col min="1799" max="1799" width="48.140625" style="11" bestFit="1" customWidth="1"/>
    <col min="1800" max="1800" width="20.42578125" style="11" bestFit="1" customWidth="1"/>
    <col min="1801" max="1801" width="25.85546875" style="11" bestFit="1" customWidth="1"/>
    <col min="1802" max="1802" width="24.140625" style="11" bestFit="1" customWidth="1"/>
    <col min="1803" max="1803" width="25.85546875" style="11" bestFit="1" customWidth="1"/>
    <col min="1804" max="1804" width="24.140625" style="11" bestFit="1" customWidth="1"/>
    <col min="1805" max="1805" width="25.85546875" style="11" bestFit="1" customWidth="1"/>
    <col min="1806" max="1806" width="69.28515625" style="11" bestFit="1" customWidth="1"/>
    <col min="1807" max="2040" width="9.140625" style="11"/>
    <col min="2041" max="2041" width="6.5703125" style="11" customWidth="1"/>
    <col min="2042" max="2042" width="7.42578125" style="11" customWidth="1"/>
    <col min="2043" max="2043" width="15.5703125" style="11" bestFit="1" customWidth="1"/>
    <col min="2044" max="2044" width="22.5703125" style="11" customWidth="1"/>
    <col min="2045" max="2045" width="22.7109375" style="11" customWidth="1"/>
    <col min="2046" max="2046" width="41" style="11" bestFit="1" customWidth="1"/>
    <col min="2047" max="2047" width="15.28515625" style="11" customWidth="1"/>
    <col min="2048" max="2048" width="18" style="11" customWidth="1"/>
    <col min="2049" max="2049" width="21.85546875" style="11" customWidth="1"/>
    <col min="2050" max="2050" width="16.5703125" style="11" customWidth="1"/>
    <col min="2051" max="2051" width="21.7109375" style="11" customWidth="1"/>
    <col min="2052" max="2052" width="19.85546875" style="11" customWidth="1"/>
    <col min="2053" max="2053" width="53.140625" style="11" bestFit="1" customWidth="1"/>
    <col min="2054" max="2054" width="15.7109375" style="11" bestFit="1" customWidth="1"/>
    <col min="2055" max="2055" width="48.140625" style="11" bestFit="1" customWidth="1"/>
    <col min="2056" max="2056" width="20.42578125" style="11" bestFit="1" customWidth="1"/>
    <col min="2057" max="2057" width="25.85546875" style="11" bestFit="1" customWidth="1"/>
    <col min="2058" max="2058" width="24.140625" style="11" bestFit="1" customWidth="1"/>
    <col min="2059" max="2059" width="25.85546875" style="11" bestFit="1" customWidth="1"/>
    <col min="2060" max="2060" width="24.140625" style="11" bestFit="1" customWidth="1"/>
    <col min="2061" max="2061" width="25.85546875" style="11" bestFit="1" customWidth="1"/>
    <col min="2062" max="2062" width="69.28515625" style="11" bestFit="1" customWidth="1"/>
    <col min="2063" max="2296" width="9.140625" style="11"/>
    <col min="2297" max="2297" width="6.5703125" style="11" customWidth="1"/>
    <col min="2298" max="2298" width="7.42578125" style="11" customWidth="1"/>
    <col min="2299" max="2299" width="15.5703125" style="11" bestFit="1" customWidth="1"/>
    <col min="2300" max="2300" width="22.5703125" style="11" customWidth="1"/>
    <col min="2301" max="2301" width="22.7109375" style="11" customWidth="1"/>
    <col min="2302" max="2302" width="41" style="11" bestFit="1" customWidth="1"/>
    <col min="2303" max="2303" width="15.28515625" style="11" customWidth="1"/>
    <col min="2304" max="2304" width="18" style="11" customWidth="1"/>
    <col min="2305" max="2305" width="21.85546875" style="11" customWidth="1"/>
    <col min="2306" max="2306" width="16.5703125" style="11" customWidth="1"/>
    <col min="2307" max="2307" width="21.7109375" style="11" customWidth="1"/>
    <col min="2308" max="2308" width="19.85546875" style="11" customWidth="1"/>
    <col min="2309" max="2309" width="53.140625" style="11" bestFit="1" customWidth="1"/>
    <col min="2310" max="2310" width="15.7109375" style="11" bestFit="1" customWidth="1"/>
    <col min="2311" max="2311" width="48.140625" style="11" bestFit="1" customWidth="1"/>
    <col min="2312" max="2312" width="20.42578125" style="11" bestFit="1" customWidth="1"/>
    <col min="2313" max="2313" width="25.85546875" style="11" bestFit="1" customWidth="1"/>
    <col min="2314" max="2314" width="24.140625" style="11" bestFit="1" customWidth="1"/>
    <col min="2315" max="2315" width="25.85546875" style="11" bestFit="1" customWidth="1"/>
    <col min="2316" max="2316" width="24.140625" style="11" bestFit="1" customWidth="1"/>
    <col min="2317" max="2317" width="25.85546875" style="11" bestFit="1" customWidth="1"/>
    <col min="2318" max="2318" width="69.28515625" style="11" bestFit="1" customWidth="1"/>
    <col min="2319" max="2552" width="9.140625" style="11"/>
    <col min="2553" max="2553" width="6.5703125" style="11" customWidth="1"/>
    <col min="2554" max="2554" width="7.42578125" style="11" customWidth="1"/>
    <col min="2555" max="2555" width="15.5703125" style="11" bestFit="1" customWidth="1"/>
    <col min="2556" max="2556" width="22.5703125" style="11" customWidth="1"/>
    <col min="2557" max="2557" width="22.7109375" style="11" customWidth="1"/>
    <col min="2558" max="2558" width="41" style="11" bestFit="1" customWidth="1"/>
    <col min="2559" max="2559" width="15.28515625" style="11" customWidth="1"/>
    <col min="2560" max="2560" width="18" style="11" customWidth="1"/>
    <col min="2561" max="2561" width="21.85546875" style="11" customWidth="1"/>
    <col min="2562" max="2562" width="16.5703125" style="11" customWidth="1"/>
    <col min="2563" max="2563" width="21.7109375" style="11" customWidth="1"/>
    <col min="2564" max="2564" width="19.85546875" style="11" customWidth="1"/>
    <col min="2565" max="2565" width="53.140625" style="11" bestFit="1" customWidth="1"/>
    <col min="2566" max="2566" width="15.7109375" style="11" bestFit="1" customWidth="1"/>
    <col min="2567" max="2567" width="48.140625" style="11" bestFit="1" customWidth="1"/>
    <col min="2568" max="2568" width="20.42578125" style="11" bestFit="1" customWidth="1"/>
    <col min="2569" max="2569" width="25.85546875" style="11" bestFit="1" customWidth="1"/>
    <col min="2570" max="2570" width="24.140625" style="11" bestFit="1" customWidth="1"/>
    <col min="2571" max="2571" width="25.85546875" style="11" bestFit="1" customWidth="1"/>
    <col min="2572" max="2572" width="24.140625" style="11" bestFit="1" customWidth="1"/>
    <col min="2573" max="2573" width="25.85546875" style="11" bestFit="1" customWidth="1"/>
    <col min="2574" max="2574" width="69.28515625" style="11" bestFit="1" customWidth="1"/>
    <col min="2575" max="2808" width="9.140625" style="11"/>
    <col min="2809" max="2809" width="6.5703125" style="11" customWidth="1"/>
    <col min="2810" max="2810" width="7.42578125" style="11" customWidth="1"/>
    <col min="2811" max="2811" width="15.5703125" style="11" bestFit="1" customWidth="1"/>
    <col min="2812" max="2812" width="22.5703125" style="11" customWidth="1"/>
    <col min="2813" max="2813" width="22.7109375" style="11" customWidth="1"/>
    <col min="2814" max="2814" width="41" style="11" bestFit="1" customWidth="1"/>
    <col min="2815" max="2815" width="15.28515625" style="11" customWidth="1"/>
    <col min="2816" max="2816" width="18" style="11" customWidth="1"/>
    <col min="2817" max="2817" width="21.85546875" style="11" customWidth="1"/>
    <col min="2818" max="2818" width="16.5703125" style="11" customWidth="1"/>
    <col min="2819" max="2819" width="21.7109375" style="11" customWidth="1"/>
    <col min="2820" max="2820" width="19.85546875" style="11" customWidth="1"/>
    <col min="2821" max="2821" width="53.140625" style="11" bestFit="1" customWidth="1"/>
    <col min="2822" max="2822" width="15.7109375" style="11" bestFit="1" customWidth="1"/>
    <col min="2823" max="2823" width="48.140625" style="11" bestFit="1" customWidth="1"/>
    <col min="2824" max="2824" width="20.42578125" style="11" bestFit="1" customWidth="1"/>
    <col min="2825" max="2825" width="25.85546875" style="11" bestFit="1" customWidth="1"/>
    <col min="2826" max="2826" width="24.140625" style="11" bestFit="1" customWidth="1"/>
    <col min="2827" max="2827" width="25.85546875" style="11" bestFit="1" customWidth="1"/>
    <col min="2828" max="2828" width="24.140625" style="11" bestFit="1" customWidth="1"/>
    <col min="2829" max="2829" width="25.85546875" style="11" bestFit="1" customWidth="1"/>
    <col min="2830" max="2830" width="69.28515625" style="11" bestFit="1" customWidth="1"/>
    <col min="2831" max="3064" width="9.140625" style="11"/>
    <col min="3065" max="3065" width="6.5703125" style="11" customWidth="1"/>
    <col min="3066" max="3066" width="7.42578125" style="11" customWidth="1"/>
    <col min="3067" max="3067" width="15.5703125" style="11" bestFit="1" customWidth="1"/>
    <col min="3068" max="3068" width="22.5703125" style="11" customWidth="1"/>
    <col min="3069" max="3069" width="22.7109375" style="11" customWidth="1"/>
    <col min="3070" max="3070" width="41" style="11" bestFit="1" customWidth="1"/>
    <col min="3071" max="3071" width="15.28515625" style="11" customWidth="1"/>
    <col min="3072" max="3072" width="18" style="11" customWidth="1"/>
    <col min="3073" max="3073" width="21.85546875" style="11" customWidth="1"/>
    <col min="3074" max="3074" width="16.5703125" style="11" customWidth="1"/>
    <col min="3075" max="3075" width="21.7109375" style="11" customWidth="1"/>
    <col min="3076" max="3076" width="19.85546875" style="11" customWidth="1"/>
    <col min="3077" max="3077" width="53.140625" style="11" bestFit="1" customWidth="1"/>
    <col min="3078" max="3078" width="15.7109375" style="11" bestFit="1" customWidth="1"/>
    <col min="3079" max="3079" width="48.140625" style="11" bestFit="1" customWidth="1"/>
    <col min="3080" max="3080" width="20.42578125" style="11" bestFit="1" customWidth="1"/>
    <col min="3081" max="3081" width="25.85546875" style="11" bestFit="1" customWidth="1"/>
    <col min="3082" max="3082" width="24.140625" style="11" bestFit="1" customWidth="1"/>
    <col min="3083" max="3083" width="25.85546875" style="11" bestFit="1" customWidth="1"/>
    <col min="3084" max="3084" width="24.140625" style="11" bestFit="1" customWidth="1"/>
    <col min="3085" max="3085" width="25.85546875" style="11" bestFit="1" customWidth="1"/>
    <col min="3086" max="3086" width="69.28515625" style="11" bestFit="1" customWidth="1"/>
    <col min="3087" max="3320" width="9.140625" style="11"/>
    <col min="3321" max="3321" width="6.5703125" style="11" customWidth="1"/>
    <col min="3322" max="3322" width="7.42578125" style="11" customWidth="1"/>
    <col min="3323" max="3323" width="15.5703125" style="11" bestFit="1" customWidth="1"/>
    <col min="3324" max="3324" width="22.5703125" style="11" customWidth="1"/>
    <col min="3325" max="3325" width="22.7109375" style="11" customWidth="1"/>
    <col min="3326" max="3326" width="41" style="11" bestFit="1" customWidth="1"/>
    <col min="3327" max="3327" width="15.28515625" style="11" customWidth="1"/>
    <col min="3328" max="3328" width="18" style="11" customWidth="1"/>
    <col min="3329" max="3329" width="21.85546875" style="11" customWidth="1"/>
    <col min="3330" max="3330" width="16.5703125" style="11" customWidth="1"/>
    <col min="3331" max="3331" width="21.7109375" style="11" customWidth="1"/>
    <col min="3332" max="3332" width="19.85546875" style="11" customWidth="1"/>
    <col min="3333" max="3333" width="53.140625" style="11" bestFit="1" customWidth="1"/>
    <col min="3334" max="3334" width="15.7109375" style="11" bestFit="1" customWidth="1"/>
    <col min="3335" max="3335" width="48.140625" style="11" bestFit="1" customWidth="1"/>
    <col min="3336" max="3336" width="20.42578125" style="11" bestFit="1" customWidth="1"/>
    <col min="3337" max="3337" width="25.85546875" style="11" bestFit="1" customWidth="1"/>
    <col min="3338" max="3338" width="24.140625" style="11" bestFit="1" customWidth="1"/>
    <col min="3339" max="3339" width="25.85546875" style="11" bestFit="1" customWidth="1"/>
    <col min="3340" max="3340" width="24.140625" style="11" bestFit="1" customWidth="1"/>
    <col min="3341" max="3341" width="25.85546875" style="11" bestFit="1" customWidth="1"/>
    <col min="3342" max="3342" width="69.28515625" style="11" bestFit="1" customWidth="1"/>
    <col min="3343" max="3576" width="9.140625" style="11"/>
    <col min="3577" max="3577" width="6.5703125" style="11" customWidth="1"/>
    <col min="3578" max="3578" width="7.42578125" style="11" customWidth="1"/>
    <col min="3579" max="3579" width="15.5703125" style="11" bestFit="1" customWidth="1"/>
    <col min="3580" max="3580" width="22.5703125" style="11" customWidth="1"/>
    <col min="3581" max="3581" width="22.7109375" style="11" customWidth="1"/>
    <col min="3582" max="3582" width="41" style="11" bestFit="1" customWidth="1"/>
    <col min="3583" max="3583" width="15.28515625" style="11" customWidth="1"/>
    <col min="3584" max="3584" width="18" style="11" customWidth="1"/>
    <col min="3585" max="3585" width="21.85546875" style="11" customWidth="1"/>
    <col min="3586" max="3586" width="16.5703125" style="11" customWidth="1"/>
    <col min="3587" max="3587" width="21.7109375" style="11" customWidth="1"/>
    <col min="3588" max="3588" width="19.85546875" style="11" customWidth="1"/>
    <col min="3589" max="3589" width="53.140625" style="11" bestFit="1" customWidth="1"/>
    <col min="3590" max="3590" width="15.7109375" style="11" bestFit="1" customWidth="1"/>
    <col min="3591" max="3591" width="48.140625" style="11" bestFit="1" customWidth="1"/>
    <col min="3592" max="3592" width="20.42578125" style="11" bestFit="1" customWidth="1"/>
    <col min="3593" max="3593" width="25.85546875" style="11" bestFit="1" customWidth="1"/>
    <col min="3594" max="3594" width="24.140625" style="11" bestFit="1" customWidth="1"/>
    <col min="3595" max="3595" width="25.85546875" style="11" bestFit="1" customWidth="1"/>
    <col min="3596" max="3596" width="24.140625" style="11" bestFit="1" customWidth="1"/>
    <col min="3597" max="3597" width="25.85546875" style="11" bestFit="1" customWidth="1"/>
    <col min="3598" max="3598" width="69.28515625" style="11" bestFit="1" customWidth="1"/>
    <col min="3599" max="3832" width="9.140625" style="11"/>
    <col min="3833" max="3833" width="6.5703125" style="11" customWidth="1"/>
    <col min="3834" max="3834" width="7.42578125" style="11" customWidth="1"/>
    <col min="3835" max="3835" width="15.5703125" style="11" bestFit="1" customWidth="1"/>
    <col min="3836" max="3836" width="22.5703125" style="11" customWidth="1"/>
    <col min="3837" max="3837" width="22.7109375" style="11" customWidth="1"/>
    <col min="3838" max="3838" width="41" style="11" bestFit="1" customWidth="1"/>
    <col min="3839" max="3839" width="15.28515625" style="11" customWidth="1"/>
    <col min="3840" max="3840" width="18" style="11" customWidth="1"/>
    <col min="3841" max="3841" width="21.85546875" style="11" customWidth="1"/>
    <col min="3842" max="3842" width="16.5703125" style="11" customWidth="1"/>
    <col min="3843" max="3843" width="21.7109375" style="11" customWidth="1"/>
    <col min="3844" max="3844" width="19.85546875" style="11" customWidth="1"/>
    <col min="3845" max="3845" width="53.140625" style="11" bestFit="1" customWidth="1"/>
    <col min="3846" max="3846" width="15.7109375" style="11" bestFit="1" customWidth="1"/>
    <col min="3847" max="3847" width="48.140625" style="11" bestFit="1" customWidth="1"/>
    <col min="3848" max="3848" width="20.42578125" style="11" bestFit="1" customWidth="1"/>
    <col min="3849" max="3849" width="25.85546875" style="11" bestFit="1" customWidth="1"/>
    <col min="3850" max="3850" width="24.140625" style="11" bestFit="1" customWidth="1"/>
    <col min="3851" max="3851" width="25.85546875" style="11" bestFit="1" customWidth="1"/>
    <col min="3852" max="3852" width="24.140625" style="11" bestFit="1" customWidth="1"/>
    <col min="3853" max="3853" width="25.85546875" style="11" bestFit="1" customWidth="1"/>
    <col min="3854" max="3854" width="69.28515625" style="11" bestFit="1" customWidth="1"/>
    <col min="3855" max="4088" width="9.140625" style="11"/>
    <col min="4089" max="4089" width="6.5703125" style="11" customWidth="1"/>
    <col min="4090" max="4090" width="7.42578125" style="11" customWidth="1"/>
    <col min="4091" max="4091" width="15.5703125" style="11" bestFit="1" customWidth="1"/>
    <col min="4092" max="4092" width="22.5703125" style="11" customWidth="1"/>
    <col min="4093" max="4093" width="22.7109375" style="11" customWidth="1"/>
    <col min="4094" max="4094" width="41" style="11" bestFit="1" customWidth="1"/>
    <col min="4095" max="4095" width="15.28515625" style="11" customWidth="1"/>
    <col min="4096" max="4096" width="18" style="11" customWidth="1"/>
    <col min="4097" max="4097" width="21.85546875" style="11" customWidth="1"/>
    <col min="4098" max="4098" width="16.5703125" style="11" customWidth="1"/>
    <col min="4099" max="4099" width="21.7109375" style="11" customWidth="1"/>
    <col min="4100" max="4100" width="19.85546875" style="11" customWidth="1"/>
    <col min="4101" max="4101" width="53.140625" style="11" bestFit="1" customWidth="1"/>
    <col min="4102" max="4102" width="15.7109375" style="11" bestFit="1" customWidth="1"/>
    <col min="4103" max="4103" width="48.140625" style="11" bestFit="1" customWidth="1"/>
    <col min="4104" max="4104" width="20.42578125" style="11" bestFit="1" customWidth="1"/>
    <col min="4105" max="4105" width="25.85546875" style="11" bestFit="1" customWidth="1"/>
    <col min="4106" max="4106" width="24.140625" style="11" bestFit="1" customWidth="1"/>
    <col min="4107" max="4107" width="25.85546875" style="11" bestFit="1" customWidth="1"/>
    <col min="4108" max="4108" width="24.140625" style="11" bestFit="1" customWidth="1"/>
    <col min="4109" max="4109" width="25.85546875" style="11" bestFit="1" customWidth="1"/>
    <col min="4110" max="4110" width="69.28515625" style="11" bestFit="1" customWidth="1"/>
    <col min="4111" max="4344" width="9.140625" style="11"/>
    <col min="4345" max="4345" width="6.5703125" style="11" customWidth="1"/>
    <col min="4346" max="4346" width="7.42578125" style="11" customWidth="1"/>
    <col min="4347" max="4347" width="15.5703125" style="11" bestFit="1" customWidth="1"/>
    <col min="4348" max="4348" width="22.5703125" style="11" customWidth="1"/>
    <col min="4349" max="4349" width="22.7109375" style="11" customWidth="1"/>
    <col min="4350" max="4350" width="41" style="11" bestFit="1" customWidth="1"/>
    <col min="4351" max="4351" width="15.28515625" style="11" customWidth="1"/>
    <col min="4352" max="4352" width="18" style="11" customWidth="1"/>
    <col min="4353" max="4353" width="21.85546875" style="11" customWidth="1"/>
    <col min="4354" max="4354" width="16.5703125" style="11" customWidth="1"/>
    <col min="4355" max="4355" width="21.7109375" style="11" customWidth="1"/>
    <col min="4356" max="4356" width="19.85546875" style="11" customWidth="1"/>
    <col min="4357" max="4357" width="53.140625" style="11" bestFit="1" customWidth="1"/>
    <col min="4358" max="4358" width="15.7109375" style="11" bestFit="1" customWidth="1"/>
    <col min="4359" max="4359" width="48.140625" style="11" bestFit="1" customWidth="1"/>
    <col min="4360" max="4360" width="20.42578125" style="11" bestFit="1" customWidth="1"/>
    <col min="4361" max="4361" width="25.85546875" style="11" bestFit="1" customWidth="1"/>
    <col min="4362" max="4362" width="24.140625" style="11" bestFit="1" customWidth="1"/>
    <col min="4363" max="4363" width="25.85546875" style="11" bestFit="1" customWidth="1"/>
    <col min="4364" max="4364" width="24.140625" style="11" bestFit="1" customWidth="1"/>
    <col min="4365" max="4365" width="25.85546875" style="11" bestFit="1" customWidth="1"/>
    <col min="4366" max="4366" width="69.28515625" style="11" bestFit="1" customWidth="1"/>
    <col min="4367" max="4600" width="9.140625" style="11"/>
    <col min="4601" max="4601" width="6.5703125" style="11" customWidth="1"/>
    <col min="4602" max="4602" width="7.42578125" style="11" customWidth="1"/>
    <col min="4603" max="4603" width="15.5703125" style="11" bestFit="1" customWidth="1"/>
    <col min="4604" max="4604" width="22.5703125" style="11" customWidth="1"/>
    <col min="4605" max="4605" width="22.7109375" style="11" customWidth="1"/>
    <col min="4606" max="4606" width="41" style="11" bestFit="1" customWidth="1"/>
    <col min="4607" max="4607" width="15.28515625" style="11" customWidth="1"/>
    <col min="4608" max="4608" width="18" style="11" customWidth="1"/>
    <col min="4609" max="4609" width="21.85546875" style="11" customWidth="1"/>
    <col min="4610" max="4610" width="16.5703125" style="11" customWidth="1"/>
    <col min="4611" max="4611" width="21.7109375" style="11" customWidth="1"/>
    <col min="4612" max="4612" width="19.85546875" style="11" customWidth="1"/>
    <col min="4613" max="4613" width="53.140625" style="11" bestFit="1" customWidth="1"/>
    <col min="4614" max="4614" width="15.7109375" style="11" bestFit="1" customWidth="1"/>
    <col min="4615" max="4615" width="48.140625" style="11" bestFit="1" customWidth="1"/>
    <col min="4616" max="4616" width="20.42578125" style="11" bestFit="1" customWidth="1"/>
    <col min="4617" max="4617" width="25.85546875" style="11" bestFit="1" customWidth="1"/>
    <col min="4618" max="4618" width="24.140625" style="11" bestFit="1" customWidth="1"/>
    <col min="4619" max="4619" width="25.85546875" style="11" bestFit="1" customWidth="1"/>
    <col min="4620" max="4620" width="24.140625" style="11" bestFit="1" customWidth="1"/>
    <col min="4621" max="4621" width="25.85546875" style="11" bestFit="1" customWidth="1"/>
    <col min="4622" max="4622" width="69.28515625" style="11" bestFit="1" customWidth="1"/>
    <col min="4623" max="4856" width="9.140625" style="11"/>
    <col min="4857" max="4857" width="6.5703125" style="11" customWidth="1"/>
    <col min="4858" max="4858" width="7.42578125" style="11" customWidth="1"/>
    <col min="4859" max="4859" width="15.5703125" style="11" bestFit="1" customWidth="1"/>
    <col min="4860" max="4860" width="22.5703125" style="11" customWidth="1"/>
    <col min="4861" max="4861" width="22.7109375" style="11" customWidth="1"/>
    <col min="4862" max="4862" width="41" style="11" bestFit="1" customWidth="1"/>
    <col min="4863" max="4863" width="15.28515625" style="11" customWidth="1"/>
    <col min="4864" max="4864" width="18" style="11" customWidth="1"/>
    <col min="4865" max="4865" width="21.85546875" style="11" customWidth="1"/>
    <col min="4866" max="4866" width="16.5703125" style="11" customWidth="1"/>
    <col min="4867" max="4867" width="21.7109375" style="11" customWidth="1"/>
    <col min="4868" max="4868" width="19.85546875" style="11" customWidth="1"/>
    <col min="4869" max="4869" width="53.140625" style="11" bestFit="1" customWidth="1"/>
    <col min="4870" max="4870" width="15.7109375" style="11" bestFit="1" customWidth="1"/>
    <col min="4871" max="4871" width="48.140625" style="11" bestFit="1" customWidth="1"/>
    <col min="4872" max="4872" width="20.42578125" style="11" bestFit="1" customWidth="1"/>
    <col min="4873" max="4873" width="25.85546875" style="11" bestFit="1" customWidth="1"/>
    <col min="4874" max="4874" width="24.140625" style="11" bestFit="1" customWidth="1"/>
    <col min="4875" max="4875" width="25.85546875" style="11" bestFit="1" customWidth="1"/>
    <col min="4876" max="4876" width="24.140625" style="11" bestFit="1" customWidth="1"/>
    <col min="4877" max="4877" width="25.85546875" style="11" bestFit="1" customWidth="1"/>
    <col min="4878" max="4878" width="69.28515625" style="11" bestFit="1" customWidth="1"/>
    <col min="4879" max="5112" width="9.140625" style="11"/>
    <col min="5113" max="5113" width="6.5703125" style="11" customWidth="1"/>
    <col min="5114" max="5114" width="7.42578125" style="11" customWidth="1"/>
    <col min="5115" max="5115" width="15.5703125" style="11" bestFit="1" customWidth="1"/>
    <col min="5116" max="5116" width="22.5703125" style="11" customWidth="1"/>
    <col min="5117" max="5117" width="22.7109375" style="11" customWidth="1"/>
    <col min="5118" max="5118" width="41" style="11" bestFit="1" customWidth="1"/>
    <col min="5119" max="5119" width="15.28515625" style="11" customWidth="1"/>
    <col min="5120" max="5120" width="18" style="11" customWidth="1"/>
    <col min="5121" max="5121" width="21.85546875" style="11" customWidth="1"/>
    <col min="5122" max="5122" width="16.5703125" style="11" customWidth="1"/>
    <col min="5123" max="5123" width="21.7109375" style="11" customWidth="1"/>
    <col min="5124" max="5124" width="19.85546875" style="11" customWidth="1"/>
    <col min="5125" max="5125" width="53.140625" style="11" bestFit="1" customWidth="1"/>
    <col min="5126" max="5126" width="15.7109375" style="11" bestFit="1" customWidth="1"/>
    <col min="5127" max="5127" width="48.140625" style="11" bestFit="1" customWidth="1"/>
    <col min="5128" max="5128" width="20.42578125" style="11" bestFit="1" customWidth="1"/>
    <col min="5129" max="5129" width="25.85546875" style="11" bestFit="1" customWidth="1"/>
    <col min="5130" max="5130" width="24.140625" style="11" bestFit="1" customWidth="1"/>
    <col min="5131" max="5131" width="25.85546875" style="11" bestFit="1" customWidth="1"/>
    <col min="5132" max="5132" width="24.140625" style="11" bestFit="1" customWidth="1"/>
    <col min="5133" max="5133" width="25.85546875" style="11" bestFit="1" customWidth="1"/>
    <col min="5134" max="5134" width="69.28515625" style="11" bestFit="1" customWidth="1"/>
    <col min="5135" max="5368" width="9.140625" style="11"/>
    <col min="5369" max="5369" width="6.5703125" style="11" customWidth="1"/>
    <col min="5370" max="5370" width="7.42578125" style="11" customWidth="1"/>
    <col min="5371" max="5371" width="15.5703125" style="11" bestFit="1" customWidth="1"/>
    <col min="5372" max="5372" width="22.5703125" style="11" customWidth="1"/>
    <col min="5373" max="5373" width="22.7109375" style="11" customWidth="1"/>
    <col min="5374" max="5374" width="41" style="11" bestFit="1" customWidth="1"/>
    <col min="5375" max="5375" width="15.28515625" style="11" customWidth="1"/>
    <col min="5376" max="5376" width="18" style="11" customWidth="1"/>
    <col min="5377" max="5377" width="21.85546875" style="11" customWidth="1"/>
    <col min="5378" max="5378" width="16.5703125" style="11" customWidth="1"/>
    <col min="5379" max="5379" width="21.7109375" style="11" customWidth="1"/>
    <col min="5380" max="5380" width="19.85546875" style="11" customWidth="1"/>
    <col min="5381" max="5381" width="53.140625" style="11" bestFit="1" customWidth="1"/>
    <col min="5382" max="5382" width="15.7109375" style="11" bestFit="1" customWidth="1"/>
    <col min="5383" max="5383" width="48.140625" style="11" bestFit="1" customWidth="1"/>
    <col min="5384" max="5384" width="20.42578125" style="11" bestFit="1" customWidth="1"/>
    <col min="5385" max="5385" width="25.85546875" style="11" bestFit="1" customWidth="1"/>
    <col min="5386" max="5386" width="24.140625" style="11" bestFit="1" customWidth="1"/>
    <col min="5387" max="5387" width="25.85546875" style="11" bestFit="1" customWidth="1"/>
    <col min="5388" max="5388" width="24.140625" style="11" bestFit="1" customWidth="1"/>
    <col min="5389" max="5389" width="25.85546875" style="11" bestFit="1" customWidth="1"/>
    <col min="5390" max="5390" width="69.28515625" style="11" bestFit="1" customWidth="1"/>
    <col min="5391" max="5624" width="9.140625" style="11"/>
    <col min="5625" max="5625" width="6.5703125" style="11" customWidth="1"/>
    <col min="5626" max="5626" width="7.42578125" style="11" customWidth="1"/>
    <col min="5627" max="5627" width="15.5703125" style="11" bestFit="1" customWidth="1"/>
    <col min="5628" max="5628" width="22.5703125" style="11" customWidth="1"/>
    <col min="5629" max="5629" width="22.7109375" style="11" customWidth="1"/>
    <col min="5630" max="5630" width="41" style="11" bestFit="1" customWidth="1"/>
    <col min="5631" max="5631" width="15.28515625" style="11" customWidth="1"/>
    <col min="5632" max="5632" width="18" style="11" customWidth="1"/>
    <col min="5633" max="5633" width="21.85546875" style="11" customWidth="1"/>
    <col min="5634" max="5634" width="16.5703125" style="11" customWidth="1"/>
    <col min="5635" max="5635" width="21.7109375" style="11" customWidth="1"/>
    <col min="5636" max="5636" width="19.85546875" style="11" customWidth="1"/>
    <col min="5637" max="5637" width="53.140625" style="11" bestFit="1" customWidth="1"/>
    <col min="5638" max="5638" width="15.7109375" style="11" bestFit="1" customWidth="1"/>
    <col min="5639" max="5639" width="48.140625" style="11" bestFit="1" customWidth="1"/>
    <col min="5640" max="5640" width="20.42578125" style="11" bestFit="1" customWidth="1"/>
    <col min="5641" max="5641" width="25.85546875" style="11" bestFit="1" customWidth="1"/>
    <col min="5642" max="5642" width="24.140625" style="11" bestFit="1" customWidth="1"/>
    <col min="5643" max="5643" width="25.85546875" style="11" bestFit="1" customWidth="1"/>
    <col min="5644" max="5644" width="24.140625" style="11" bestFit="1" customWidth="1"/>
    <col min="5645" max="5645" width="25.85546875" style="11" bestFit="1" customWidth="1"/>
    <col min="5646" max="5646" width="69.28515625" style="11" bestFit="1" customWidth="1"/>
    <col min="5647" max="5880" width="9.140625" style="11"/>
    <col min="5881" max="5881" width="6.5703125" style="11" customWidth="1"/>
    <col min="5882" max="5882" width="7.42578125" style="11" customWidth="1"/>
    <col min="5883" max="5883" width="15.5703125" style="11" bestFit="1" customWidth="1"/>
    <col min="5884" max="5884" width="22.5703125" style="11" customWidth="1"/>
    <col min="5885" max="5885" width="22.7109375" style="11" customWidth="1"/>
    <col min="5886" max="5886" width="41" style="11" bestFit="1" customWidth="1"/>
    <col min="5887" max="5887" width="15.28515625" style="11" customWidth="1"/>
    <col min="5888" max="5888" width="18" style="11" customWidth="1"/>
    <col min="5889" max="5889" width="21.85546875" style="11" customWidth="1"/>
    <col min="5890" max="5890" width="16.5703125" style="11" customWidth="1"/>
    <col min="5891" max="5891" width="21.7109375" style="11" customWidth="1"/>
    <col min="5892" max="5892" width="19.85546875" style="11" customWidth="1"/>
    <col min="5893" max="5893" width="53.140625" style="11" bestFit="1" customWidth="1"/>
    <col min="5894" max="5894" width="15.7109375" style="11" bestFit="1" customWidth="1"/>
    <col min="5895" max="5895" width="48.140625" style="11" bestFit="1" customWidth="1"/>
    <col min="5896" max="5896" width="20.42578125" style="11" bestFit="1" customWidth="1"/>
    <col min="5897" max="5897" width="25.85546875" style="11" bestFit="1" customWidth="1"/>
    <col min="5898" max="5898" width="24.140625" style="11" bestFit="1" customWidth="1"/>
    <col min="5899" max="5899" width="25.85546875" style="11" bestFit="1" customWidth="1"/>
    <col min="5900" max="5900" width="24.140625" style="11" bestFit="1" customWidth="1"/>
    <col min="5901" max="5901" width="25.85546875" style="11" bestFit="1" customWidth="1"/>
    <col min="5902" max="5902" width="69.28515625" style="11" bestFit="1" customWidth="1"/>
    <col min="5903" max="6136" width="9.140625" style="11"/>
    <col min="6137" max="6137" width="6.5703125" style="11" customWidth="1"/>
    <col min="6138" max="6138" width="7.42578125" style="11" customWidth="1"/>
    <col min="6139" max="6139" width="15.5703125" style="11" bestFit="1" customWidth="1"/>
    <col min="6140" max="6140" width="22.5703125" style="11" customWidth="1"/>
    <col min="6141" max="6141" width="22.7109375" style="11" customWidth="1"/>
    <col min="6142" max="6142" width="41" style="11" bestFit="1" customWidth="1"/>
    <col min="6143" max="6143" width="15.28515625" style="11" customWidth="1"/>
    <col min="6144" max="6144" width="18" style="11" customWidth="1"/>
    <col min="6145" max="6145" width="21.85546875" style="11" customWidth="1"/>
    <col min="6146" max="6146" width="16.5703125" style="11" customWidth="1"/>
    <col min="6147" max="6147" width="21.7109375" style="11" customWidth="1"/>
    <col min="6148" max="6148" width="19.85546875" style="11" customWidth="1"/>
    <col min="6149" max="6149" width="53.140625" style="11" bestFit="1" customWidth="1"/>
    <col min="6150" max="6150" width="15.7109375" style="11" bestFit="1" customWidth="1"/>
    <col min="6151" max="6151" width="48.140625" style="11" bestFit="1" customWidth="1"/>
    <col min="6152" max="6152" width="20.42578125" style="11" bestFit="1" customWidth="1"/>
    <col min="6153" max="6153" width="25.85546875" style="11" bestFit="1" customWidth="1"/>
    <col min="6154" max="6154" width="24.140625" style="11" bestFit="1" customWidth="1"/>
    <col min="6155" max="6155" width="25.85546875" style="11" bestFit="1" customWidth="1"/>
    <col min="6156" max="6156" width="24.140625" style="11" bestFit="1" customWidth="1"/>
    <col min="6157" max="6157" width="25.85546875" style="11" bestFit="1" customWidth="1"/>
    <col min="6158" max="6158" width="69.28515625" style="11" bestFit="1" customWidth="1"/>
    <col min="6159" max="6392" width="9.140625" style="11"/>
    <col min="6393" max="6393" width="6.5703125" style="11" customWidth="1"/>
    <col min="6394" max="6394" width="7.42578125" style="11" customWidth="1"/>
    <col min="6395" max="6395" width="15.5703125" style="11" bestFit="1" customWidth="1"/>
    <col min="6396" max="6396" width="22.5703125" style="11" customWidth="1"/>
    <col min="6397" max="6397" width="22.7109375" style="11" customWidth="1"/>
    <col min="6398" max="6398" width="41" style="11" bestFit="1" customWidth="1"/>
    <col min="6399" max="6399" width="15.28515625" style="11" customWidth="1"/>
    <col min="6400" max="6400" width="18" style="11" customWidth="1"/>
    <col min="6401" max="6401" width="21.85546875" style="11" customWidth="1"/>
    <col min="6402" max="6402" width="16.5703125" style="11" customWidth="1"/>
    <col min="6403" max="6403" width="21.7109375" style="11" customWidth="1"/>
    <col min="6404" max="6404" width="19.85546875" style="11" customWidth="1"/>
    <col min="6405" max="6405" width="53.140625" style="11" bestFit="1" customWidth="1"/>
    <col min="6406" max="6406" width="15.7109375" style="11" bestFit="1" customWidth="1"/>
    <col min="6407" max="6407" width="48.140625" style="11" bestFit="1" customWidth="1"/>
    <col min="6408" max="6408" width="20.42578125" style="11" bestFit="1" customWidth="1"/>
    <col min="6409" max="6409" width="25.85546875" style="11" bestFit="1" customWidth="1"/>
    <col min="6410" max="6410" width="24.140625" style="11" bestFit="1" customWidth="1"/>
    <col min="6411" max="6411" width="25.85546875" style="11" bestFit="1" customWidth="1"/>
    <col min="6412" max="6412" width="24.140625" style="11" bestFit="1" customWidth="1"/>
    <col min="6413" max="6413" width="25.85546875" style="11" bestFit="1" customWidth="1"/>
    <col min="6414" max="6414" width="69.28515625" style="11" bestFit="1" customWidth="1"/>
    <col min="6415" max="6648" width="9.140625" style="11"/>
    <col min="6649" max="6649" width="6.5703125" style="11" customWidth="1"/>
    <col min="6650" max="6650" width="7.42578125" style="11" customWidth="1"/>
    <col min="6651" max="6651" width="15.5703125" style="11" bestFit="1" customWidth="1"/>
    <col min="6652" max="6652" width="22.5703125" style="11" customWidth="1"/>
    <col min="6653" max="6653" width="22.7109375" style="11" customWidth="1"/>
    <col min="6654" max="6654" width="41" style="11" bestFit="1" customWidth="1"/>
    <col min="6655" max="6655" width="15.28515625" style="11" customWidth="1"/>
    <col min="6656" max="6656" width="18" style="11" customWidth="1"/>
    <col min="6657" max="6657" width="21.85546875" style="11" customWidth="1"/>
    <col min="6658" max="6658" width="16.5703125" style="11" customWidth="1"/>
    <col min="6659" max="6659" width="21.7109375" style="11" customWidth="1"/>
    <col min="6660" max="6660" width="19.85546875" style="11" customWidth="1"/>
    <col min="6661" max="6661" width="53.140625" style="11" bestFit="1" customWidth="1"/>
    <col min="6662" max="6662" width="15.7109375" style="11" bestFit="1" customWidth="1"/>
    <col min="6663" max="6663" width="48.140625" style="11" bestFit="1" customWidth="1"/>
    <col min="6664" max="6664" width="20.42578125" style="11" bestFit="1" customWidth="1"/>
    <col min="6665" max="6665" width="25.85546875" style="11" bestFit="1" customWidth="1"/>
    <col min="6666" max="6666" width="24.140625" style="11" bestFit="1" customWidth="1"/>
    <col min="6667" max="6667" width="25.85546875" style="11" bestFit="1" customWidth="1"/>
    <col min="6668" max="6668" width="24.140625" style="11" bestFit="1" customWidth="1"/>
    <col min="6669" max="6669" width="25.85546875" style="11" bestFit="1" customWidth="1"/>
    <col min="6670" max="6670" width="69.28515625" style="11" bestFit="1" customWidth="1"/>
    <col min="6671" max="6904" width="9.140625" style="11"/>
    <col min="6905" max="6905" width="6.5703125" style="11" customWidth="1"/>
    <col min="6906" max="6906" width="7.42578125" style="11" customWidth="1"/>
    <col min="6907" max="6907" width="15.5703125" style="11" bestFit="1" customWidth="1"/>
    <col min="6908" max="6908" width="22.5703125" style="11" customWidth="1"/>
    <col min="6909" max="6909" width="22.7109375" style="11" customWidth="1"/>
    <col min="6910" max="6910" width="41" style="11" bestFit="1" customWidth="1"/>
    <col min="6911" max="6911" width="15.28515625" style="11" customWidth="1"/>
    <col min="6912" max="6912" width="18" style="11" customWidth="1"/>
    <col min="6913" max="6913" width="21.85546875" style="11" customWidth="1"/>
    <col min="6914" max="6914" width="16.5703125" style="11" customWidth="1"/>
    <col min="6915" max="6915" width="21.7109375" style="11" customWidth="1"/>
    <col min="6916" max="6916" width="19.85546875" style="11" customWidth="1"/>
    <col min="6917" max="6917" width="53.140625" style="11" bestFit="1" customWidth="1"/>
    <col min="6918" max="6918" width="15.7109375" style="11" bestFit="1" customWidth="1"/>
    <col min="6919" max="6919" width="48.140625" style="11" bestFit="1" customWidth="1"/>
    <col min="6920" max="6920" width="20.42578125" style="11" bestFit="1" customWidth="1"/>
    <col min="6921" max="6921" width="25.85546875" style="11" bestFit="1" customWidth="1"/>
    <col min="6922" max="6922" width="24.140625" style="11" bestFit="1" customWidth="1"/>
    <col min="6923" max="6923" width="25.85546875" style="11" bestFit="1" customWidth="1"/>
    <col min="6924" max="6924" width="24.140625" style="11" bestFit="1" customWidth="1"/>
    <col min="6925" max="6925" width="25.85546875" style="11" bestFit="1" customWidth="1"/>
    <col min="6926" max="6926" width="69.28515625" style="11" bestFit="1" customWidth="1"/>
    <col min="6927" max="7160" width="9.140625" style="11"/>
    <col min="7161" max="7161" width="6.5703125" style="11" customWidth="1"/>
    <col min="7162" max="7162" width="7.42578125" style="11" customWidth="1"/>
    <col min="7163" max="7163" width="15.5703125" style="11" bestFit="1" customWidth="1"/>
    <col min="7164" max="7164" width="22.5703125" style="11" customWidth="1"/>
    <col min="7165" max="7165" width="22.7109375" style="11" customWidth="1"/>
    <col min="7166" max="7166" width="41" style="11" bestFit="1" customWidth="1"/>
    <col min="7167" max="7167" width="15.28515625" style="11" customWidth="1"/>
    <col min="7168" max="7168" width="18" style="11" customWidth="1"/>
    <col min="7169" max="7169" width="21.85546875" style="11" customWidth="1"/>
    <col min="7170" max="7170" width="16.5703125" style="11" customWidth="1"/>
    <col min="7171" max="7171" width="21.7109375" style="11" customWidth="1"/>
    <col min="7172" max="7172" width="19.85546875" style="11" customWidth="1"/>
    <col min="7173" max="7173" width="53.140625" style="11" bestFit="1" customWidth="1"/>
    <col min="7174" max="7174" width="15.7109375" style="11" bestFit="1" customWidth="1"/>
    <col min="7175" max="7175" width="48.140625" style="11" bestFit="1" customWidth="1"/>
    <col min="7176" max="7176" width="20.42578125" style="11" bestFit="1" customWidth="1"/>
    <col min="7177" max="7177" width="25.85546875" style="11" bestFit="1" customWidth="1"/>
    <col min="7178" max="7178" width="24.140625" style="11" bestFit="1" customWidth="1"/>
    <col min="7179" max="7179" width="25.85546875" style="11" bestFit="1" customWidth="1"/>
    <col min="7180" max="7180" width="24.140625" style="11" bestFit="1" customWidth="1"/>
    <col min="7181" max="7181" width="25.85546875" style="11" bestFit="1" customWidth="1"/>
    <col min="7182" max="7182" width="69.28515625" style="11" bestFit="1" customWidth="1"/>
    <col min="7183" max="7416" width="9.140625" style="11"/>
    <col min="7417" max="7417" width="6.5703125" style="11" customWidth="1"/>
    <col min="7418" max="7418" width="7.42578125" style="11" customWidth="1"/>
    <col min="7419" max="7419" width="15.5703125" style="11" bestFit="1" customWidth="1"/>
    <col min="7420" max="7420" width="22.5703125" style="11" customWidth="1"/>
    <col min="7421" max="7421" width="22.7109375" style="11" customWidth="1"/>
    <col min="7422" max="7422" width="41" style="11" bestFit="1" customWidth="1"/>
    <col min="7423" max="7423" width="15.28515625" style="11" customWidth="1"/>
    <col min="7424" max="7424" width="18" style="11" customWidth="1"/>
    <col min="7425" max="7425" width="21.85546875" style="11" customWidth="1"/>
    <col min="7426" max="7426" width="16.5703125" style="11" customWidth="1"/>
    <col min="7427" max="7427" width="21.7109375" style="11" customWidth="1"/>
    <col min="7428" max="7428" width="19.85546875" style="11" customWidth="1"/>
    <col min="7429" max="7429" width="53.140625" style="11" bestFit="1" customWidth="1"/>
    <col min="7430" max="7430" width="15.7109375" style="11" bestFit="1" customWidth="1"/>
    <col min="7431" max="7431" width="48.140625" style="11" bestFit="1" customWidth="1"/>
    <col min="7432" max="7432" width="20.42578125" style="11" bestFit="1" customWidth="1"/>
    <col min="7433" max="7433" width="25.85546875" style="11" bestFit="1" customWidth="1"/>
    <col min="7434" max="7434" width="24.140625" style="11" bestFit="1" customWidth="1"/>
    <col min="7435" max="7435" width="25.85546875" style="11" bestFit="1" customWidth="1"/>
    <col min="7436" max="7436" width="24.140625" style="11" bestFit="1" customWidth="1"/>
    <col min="7437" max="7437" width="25.85546875" style="11" bestFit="1" customWidth="1"/>
    <col min="7438" max="7438" width="69.28515625" style="11" bestFit="1" customWidth="1"/>
    <col min="7439" max="7672" width="9.140625" style="11"/>
    <col min="7673" max="7673" width="6.5703125" style="11" customWidth="1"/>
    <col min="7674" max="7674" width="7.42578125" style="11" customWidth="1"/>
    <col min="7675" max="7675" width="15.5703125" style="11" bestFit="1" customWidth="1"/>
    <col min="7676" max="7676" width="22.5703125" style="11" customWidth="1"/>
    <col min="7677" max="7677" width="22.7109375" style="11" customWidth="1"/>
    <col min="7678" max="7678" width="41" style="11" bestFit="1" customWidth="1"/>
    <col min="7679" max="7679" width="15.28515625" style="11" customWidth="1"/>
    <col min="7680" max="7680" width="18" style="11" customWidth="1"/>
    <col min="7681" max="7681" width="21.85546875" style="11" customWidth="1"/>
    <col min="7682" max="7682" width="16.5703125" style="11" customWidth="1"/>
    <col min="7683" max="7683" width="21.7109375" style="11" customWidth="1"/>
    <col min="7684" max="7684" width="19.85546875" style="11" customWidth="1"/>
    <col min="7685" max="7685" width="53.140625" style="11" bestFit="1" customWidth="1"/>
    <col min="7686" max="7686" width="15.7109375" style="11" bestFit="1" customWidth="1"/>
    <col min="7687" max="7687" width="48.140625" style="11" bestFit="1" customWidth="1"/>
    <col min="7688" max="7688" width="20.42578125" style="11" bestFit="1" customWidth="1"/>
    <col min="7689" max="7689" width="25.85546875" style="11" bestFit="1" customWidth="1"/>
    <col min="7690" max="7690" width="24.140625" style="11" bestFit="1" customWidth="1"/>
    <col min="7691" max="7691" width="25.85546875" style="11" bestFit="1" customWidth="1"/>
    <col min="7692" max="7692" width="24.140625" style="11" bestFit="1" customWidth="1"/>
    <col min="7693" max="7693" width="25.85546875" style="11" bestFit="1" customWidth="1"/>
    <col min="7694" max="7694" width="69.28515625" style="11" bestFit="1" customWidth="1"/>
    <col min="7695" max="7928" width="9.140625" style="11"/>
    <col min="7929" max="7929" width="6.5703125" style="11" customWidth="1"/>
    <col min="7930" max="7930" width="7.42578125" style="11" customWidth="1"/>
    <col min="7931" max="7931" width="15.5703125" style="11" bestFit="1" customWidth="1"/>
    <col min="7932" max="7932" width="22.5703125" style="11" customWidth="1"/>
    <col min="7933" max="7933" width="22.7109375" style="11" customWidth="1"/>
    <col min="7934" max="7934" width="41" style="11" bestFit="1" customWidth="1"/>
    <col min="7935" max="7935" width="15.28515625" style="11" customWidth="1"/>
    <col min="7936" max="7936" width="18" style="11" customWidth="1"/>
    <col min="7937" max="7937" width="21.85546875" style="11" customWidth="1"/>
    <col min="7938" max="7938" width="16.5703125" style="11" customWidth="1"/>
    <col min="7939" max="7939" width="21.7109375" style="11" customWidth="1"/>
    <col min="7940" max="7940" width="19.85546875" style="11" customWidth="1"/>
    <col min="7941" max="7941" width="53.140625" style="11" bestFit="1" customWidth="1"/>
    <col min="7942" max="7942" width="15.7109375" style="11" bestFit="1" customWidth="1"/>
    <col min="7943" max="7943" width="48.140625" style="11" bestFit="1" customWidth="1"/>
    <col min="7944" max="7944" width="20.42578125" style="11" bestFit="1" customWidth="1"/>
    <col min="7945" max="7945" width="25.85546875" style="11" bestFit="1" customWidth="1"/>
    <col min="7946" max="7946" width="24.140625" style="11" bestFit="1" customWidth="1"/>
    <col min="7947" max="7947" width="25.85546875" style="11" bestFit="1" customWidth="1"/>
    <col min="7948" max="7948" width="24.140625" style="11" bestFit="1" customWidth="1"/>
    <col min="7949" max="7949" width="25.85546875" style="11" bestFit="1" customWidth="1"/>
    <col min="7950" max="7950" width="69.28515625" style="11" bestFit="1" customWidth="1"/>
    <col min="7951" max="8184" width="9.140625" style="11"/>
    <col min="8185" max="8185" width="6.5703125" style="11" customWidth="1"/>
    <col min="8186" max="8186" width="7.42578125" style="11" customWidth="1"/>
    <col min="8187" max="8187" width="15.5703125" style="11" bestFit="1" customWidth="1"/>
    <col min="8188" max="8188" width="22.5703125" style="11" customWidth="1"/>
    <col min="8189" max="8189" width="22.7109375" style="11" customWidth="1"/>
    <col min="8190" max="8190" width="41" style="11" bestFit="1" customWidth="1"/>
    <col min="8191" max="8191" width="15.28515625" style="11" customWidth="1"/>
    <col min="8192" max="8192" width="18" style="11" customWidth="1"/>
    <col min="8193" max="8193" width="21.85546875" style="11" customWidth="1"/>
    <col min="8194" max="8194" width="16.5703125" style="11" customWidth="1"/>
    <col min="8195" max="8195" width="21.7109375" style="11" customWidth="1"/>
    <col min="8196" max="8196" width="19.85546875" style="11" customWidth="1"/>
    <col min="8197" max="8197" width="53.140625" style="11" bestFit="1" customWidth="1"/>
    <col min="8198" max="8198" width="15.7109375" style="11" bestFit="1" customWidth="1"/>
    <col min="8199" max="8199" width="48.140625" style="11" bestFit="1" customWidth="1"/>
    <col min="8200" max="8200" width="20.42578125" style="11" bestFit="1" customWidth="1"/>
    <col min="8201" max="8201" width="25.85546875" style="11" bestFit="1" customWidth="1"/>
    <col min="8202" max="8202" width="24.140625" style="11" bestFit="1" customWidth="1"/>
    <col min="8203" max="8203" width="25.85546875" style="11" bestFit="1" customWidth="1"/>
    <col min="8204" max="8204" width="24.140625" style="11" bestFit="1" customWidth="1"/>
    <col min="8205" max="8205" width="25.85546875" style="11" bestFit="1" customWidth="1"/>
    <col min="8206" max="8206" width="69.28515625" style="11" bestFit="1" customWidth="1"/>
    <col min="8207" max="8440" width="9.140625" style="11"/>
    <col min="8441" max="8441" width="6.5703125" style="11" customWidth="1"/>
    <col min="8442" max="8442" width="7.42578125" style="11" customWidth="1"/>
    <col min="8443" max="8443" width="15.5703125" style="11" bestFit="1" customWidth="1"/>
    <col min="8444" max="8444" width="22.5703125" style="11" customWidth="1"/>
    <col min="8445" max="8445" width="22.7109375" style="11" customWidth="1"/>
    <col min="8446" max="8446" width="41" style="11" bestFit="1" customWidth="1"/>
    <col min="8447" max="8447" width="15.28515625" style="11" customWidth="1"/>
    <col min="8448" max="8448" width="18" style="11" customWidth="1"/>
    <col min="8449" max="8449" width="21.85546875" style="11" customWidth="1"/>
    <col min="8450" max="8450" width="16.5703125" style="11" customWidth="1"/>
    <col min="8451" max="8451" width="21.7109375" style="11" customWidth="1"/>
    <col min="8452" max="8452" width="19.85546875" style="11" customWidth="1"/>
    <col min="8453" max="8453" width="53.140625" style="11" bestFit="1" customWidth="1"/>
    <col min="8454" max="8454" width="15.7109375" style="11" bestFit="1" customWidth="1"/>
    <col min="8455" max="8455" width="48.140625" style="11" bestFit="1" customWidth="1"/>
    <col min="8456" max="8456" width="20.42578125" style="11" bestFit="1" customWidth="1"/>
    <col min="8457" max="8457" width="25.85546875" style="11" bestFit="1" customWidth="1"/>
    <col min="8458" max="8458" width="24.140625" style="11" bestFit="1" customWidth="1"/>
    <col min="8459" max="8459" width="25.85546875" style="11" bestFit="1" customWidth="1"/>
    <col min="8460" max="8460" width="24.140625" style="11" bestFit="1" customWidth="1"/>
    <col min="8461" max="8461" width="25.85546875" style="11" bestFit="1" customWidth="1"/>
    <col min="8462" max="8462" width="69.28515625" style="11" bestFit="1" customWidth="1"/>
    <col min="8463" max="8696" width="9.140625" style="11"/>
    <col min="8697" max="8697" width="6.5703125" style="11" customWidth="1"/>
    <col min="8698" max="8698" width="7.42578125" style="11" customWidth="1"/>
    <col min="8699" max="8699" width="15.5703125" style="11" bestFit="1" customWidth="1"/>
    <col min="8700" max="8700" width="22.5703125" style="11" customWidth="1"/>
    <col min="8701" max="8701" width="22.7109375" style="11" customWidth="1"/>
    <col min="8702" max="8702" width="41" style="11" bestFit="1" customWidth="1"/>
    <col min="8703" max="8703" width="15.28515625" style="11" customWidth="1"/>
    <col min="8704" max="8704" width="18" style="11" customWidth="1"/>
    <col min="8705" max="8705" width="21.85546875" style="11" customWidth="1"/>
    <col min="8706" max="8706" width="16.5703125" style="11" customWidth="1"/>
    <col min="8707" max="8707" width="21.7109375" style="11" customWidth="1"/>
    <col min="8708" max="8708" width="19.85546875" style="11" customWidth="1"/>
    <col min="8709" max="8709" width="53.140625" style="11" bestFit="1" customWidth="1"/>
    <col min="8710" max="8710" width="15.7109375" style="11" bestFit="1" customWidth="1"/>
    <col min="8711" max="8711" width="48.140625" style="11" bestFit="1" customWidth="1"/>
    <col min="8712" max="8712" width="20.42578125" style="11" bestFit="1" customWidth="1"/>
    <col min="8713" max="8713" width="25.85546875" style="11" bestFit="1" customWidth="1"/>
    <col min="8714" max="8714" width="24.140625" style="11" bestFit="1" customWidth="1"/>
    <col min="8715" max="8715" width="25.85546875" style="11" bestFit="1" customWidth="1"/>
    <col min="8716" max="8716" width="24.140625" style="11" bestFit="1" customWidth="1"/>
    <col min="8717" max="8717" width="25.85546875" style="11" bestFit="1" customWidth="1"/>
    <col min="8718" max="8718" width="69.28515625" style="11" bestFit="1" customWidth="1"/>
    <col min="8719" max="8952" width="9.140625" style="11"/>
    <col min="8953" max="8953" width="6.5703125" style="11" customWidth="1"/>
    <col min="8954" max="8954" width="7.42578125" style="11" customWidth="1"/>
    <col min="8955" max="8955" width="15.5703125" style="11" bestFit="1" customWidth="1"/>
    <col min="8956" max="8956" width="22.5703125" style="11" customWidth="1"/>
    <col min="8957" max="8957" width="22.7109375" style="11" customWidth="1"/>
    <col min="8958" max="8958" width="41" style="11" bestFit="1" customWidth="1"/>
    <col min="8959" max="8959" width="15.28515625" style="11" customWidth="1"/>
    <col min="8960" max="8960" width="18" style="11" customWidth="1"/>
    <col min="8961" max="8961" width="21.85546875" style="11" customWidth="1"/>
    <col min="8962" max="8962" width="16.5703125" style="11" customWidth="1"/>
    <col min="8963" max="8963" width="21.7109375" style="11" customWidth="1"/>
    <col min="8964" max="8964" width="19.85546875" style="11" customWidth="1"/>
    <col min="8965" max="8965" width="53.140625" style="11" bestFit="1" customWidth="1"/>
    <col min="8966" max="8966" width="15.7109375" style="11" bestFit="1" customWidth="1"/>
    <col min="8967" max="8967" width="48.140625" style="11" bestFit="1" customWidth="1"/>
    <col min="8968" max="8968" width="20.42578125" style="11" bestFit="1" customWidth="1"/>
    <col min="8969" max="8969" width="25.85546875" style="11" bestFit="1" customWidth="1"/>
    <col min="8970" max="8970" width="24.140625" style="11" bestFit="1" customWidth="1"/>
    <col min="8971" max="8971" width="25.85546875" style="11" bestFit="1" customWidth="1"/>
    <col min="8972" max="8972" width="24.140625" style="11" bestFit="1" customWidth="1"/>
    <col min="8973" max="8973" width="25.85546875" style="11" bestFit="1" customWidth="1"/>
    <col min="8974" max="8974" width="69.28515625" style="11" bestFit="1" customWidth="1"/>
    <col min="8975" max="9208" width="9.140625" style="11"/>
    <col min="9209" max="9209" width="6.5703125" style="11" customWidth="1"/>
    <col min="9210" max="9210" width="7.42578125" style="11" customWidth="1"/>
    <col min="9211" max="9211" width="15.5703125" style="11" bestFit="1" customWidth="1"/>
    <col min="9212" max="9212" width="22.5703125" style="11" customWidth="1"/>
    <col min="9213" max="9213" width="22.7109375" style="11" customWidth="1"/>
    <col min="9214" max="9214" width="41" style="11" bestFit="1" customWidth="1"/>
    <col min="9215" max="9215" width="15.28515625" style="11" customWidth="1"/>
    <col min="9216" max="9216" width="18" style="11" customWidth="1"/>
    <col min="9217" max="9217" width="21.85546875" style="11" customWidth="1"/>
    <col min="9218" max="9218" width="16.5703125" style="11" customWidth="1"/>
    <col min="9219" max="9219" width="21.7109375" style="11" customWidth="1"/>
    <col min="9220" max="9220" width="19.85546875" style="11" customWidth="1"/>
    <col min="9221" max="9221" width="53.140625" style="11" bestFit="1" customWidth="1"/>
    <col min="9222" max="9222" width="15.7109375" style="11" bestFit="1" customWidth="1"/>
    <col min="9223" max="9223" width="48.140625" style="11" bestFit="1" customWidth="1"/>
    <col min="9224" max="9224" width="20.42578125" style="11" bestFit="1" customWidth="1"/>
    <col min="9225" max="9225" width="25.85546875" style="11" bestFit="1" customWidth="1"/>
    <col min="9226" max="9226" width="24.140625" style="11" bestFit="1" customWidth="1"/>
    <col min="9227" max="9227" width="25.85546875" style="11" bestFit="1" customWidth="1"/>
    <col min="9228" max="9228" width="24.140625" style="11" bestFit="1" customWidth="1"/>
    <col min="9229" max="9229" width="25.85546875" style="11" bestFit="1" customWidth="1"/>
    <col min="9230" max="9230" width="69.28515625" style="11" bestFit="1" customWidth="1"/>
    <col min="9231" max="9464" width="9.140625" style="11"/>
    <col min="9465" max="9465" width="6.5703125" style="11" customWidth="1"/>
    <col min="9466" max="9466" width="7.42578125" style="11" customWidth="1"/>
    <col min="9467" max="9467" width="15.5703125" style="11" bestFit="1" customWidth="1"/>
    <col min="9468" max="9468" width="22.5703125" style="11" customWidth="1"/>
    <col min="9469" max="9469" width="22.7109375" style="11" customWidth="1"/>
    <col min="9470" max="9470" width="41" style="11" bestFit="1" customWidth="1"/>
    <col min="9471" max="9471" width="15.28515625" style="11" customWidth="1"/>
    <col min="9472" max="9472" width="18" style="11" customWidth="1"/>
    <col min="9473" max="9473" width="21.85546875" style="11" customWidth="1"/>
    <col min="9474" max="9474" width="16.5703125" style="11" customWidth="1"/>
    <col min="9475" max="9475" width="21.7109375" style="11" customWidth="1"/>
    <col min="9476" max="9476" width="19.85546875" style="11" customWidth="1"/>
    <col min="9477" max="9477" width="53.140625" style="11" bestFit="1" customWidth="1"/>
    <col min="9478" max="9478" width="15.7109375" style="11" bestFit="1" customWidth="1"/>
    <col min="9479" max="9479" width="48.140625" style="11" bestFit="1" customWidth="1"/>
    <col min="9480" max="9480" width="20.42578125" style="11" bestFit="1" customWidth="1"/>
    <col min="9481" max="9481" width="25.85546875" style="11" bestFit="1" customWidth="1"/>
    <col min="9482" max="9482" width="24.140625" style="11" bestFit="1" customWidth="1"/>
    <col min="9483" max="9483" width="25.85546875" style="11" bestFit="1" customWidth="1"/>
    <col min="9484" max="9484" width="24.140625" style="11" bestFit="1" customWidth="1"/>
    <col min="9485" max="9485" width="25.85546875" style="11" bestFit="1" customWidth="1"/>
    <col min="9486" max="9486" width="69.28515625" style="11" bestFit="1" customWidth="1"/>
    <col min="9487" max="9720" width="9.140625" style="11"/>
    <col min="9721" max="9721" width="6.5703125" style="11" customWidth="1"/>
    <col min="9722" max="9722" width="7.42578125" style="11" customWidth="1"/>
    <col min="9723" max="9723" width="15.5703125" style="11" bestFit="1" customWidth="1"/>
    <col min="9724" max="9724" width="22.5703125" style="11" customWidth="1"/>
    <col min="9725" max="9725" width="22.7109375" style="11" customWidth="1"/>
    <col min="9726" max="9726" width="41" style="11" bestFit="1" customWidth="1"/>
    <col min="9727" max="9727" width="15.28515625" style="11" customWidth="1"/>
    <col min="9728" max="9728" width="18" style="11" customWidth="1"/>
    <col min="9729" max="9729" width="21.85546875" style="11" customWidth="1"/>
    <col min="9730" max="9730" width="16.5703125" style="11" customWidth="1"/>
    <col min="9731" max="9731" width="21.7109375" style="11" customWidth="1"/>
    <col min="9732" max="9732" width="19.85546875" style="11" customWidth="1"/>
    <col min="9733" max="9733" width="53.140625" style="11" bestFit="1" customWidth="1"/>
    <col min="9734" max="9734" width="15.7109375" style="11" bestFit="1" customWidth="1"/>
    <col min="9735" max="9735" width="48.140625" style="11" bestFit="1" customWidth="1"/>
    <col min="9736" max="9736" width="20.42578125" style="11" bestFit="1" customWidth="1"/>
    <col min="9737" max="9737" width="25.85546875" style="11" bestFit="1" customWidth="1"/>
    <col min="9738" max="9738" width="24.140625" style="11" bestFit="1" customWidth="1"/>
    <col min="9739" max="9739" width="25.85546875" style="11" bestFit="1" customWidth="1"/>
    <col min="9740" max="9740" width="24.140625" style="11" bestFit="1" customWidth="1"/>
    <col min="9741" max="9741" width="25.85546875" style="11" bestFit="1" customWidth="1"/>
    <col min="9742" max="9742" width="69.28515625" style="11" bestFit="1" customWidth="1"/>
    <col min="9743" max="9976" width="9.140625" style="11"/>
    <col min="9977" max="9977" width="6.5703125" style="11" customWidth="1"/>
    <col min="9978" max="9978" width="7.42578125" style="11" customWidth="1"/>
    <col min="9979" max="9979" width="15.5703125" style="11" bestFit="1" customWidth="1"/>
    <col min="9980" max="9980" width="22.5703125" style="11" customWidth="1"/>
    <col min="9981" max="9981" width="22.7109375" style="11" customWidth="1"/>
    <col min="9982" max="9982" width="41" style="11" bestFit="1" customWidth="1"/>
    <col min="9983" max="9983" width="15.28515625" style="11" customWidth="1"/>
    <col min="9984" max="9984" width="18" style="11" customWidth="1"/>
    <col min="9985" max="9985" width="21.85546875" style="11" customWidth="1"/>
    <col min="9986" max="9986" width="16.5703125" style="11" customWidth="1"/>
    <col min="9987" max="9987" width="21.7109375" style="11" customWidth="1"/>
    <col min="9988" max="9988" width="19.85546875" style="11" customWidth="1"/>
    <col min="9989" max="9989" width="53.140625" style="11" bestFit="1" customWidth="1"/>
    <col min="9990" max="9990" width="15.7109375" style="11" bestFit="1" customWidth="1"/>
    <col min="9991" max="9991" width="48.140625" style="11" bestFit="1" customWidth="1"/>
    <col min="9992" max="9992" width="20.42578125" style="11" bestFit="1" customWidth="1"/>
    <col min="9993" max="9993" width="25.85546875" style="11" bestFit="1" customWidth="1"/>
    <col min="9994" max="9994" width="24.140625" style="11" bestFit="1" customWidth="1"/>
    <col min="9995" max="9995" width="25.85546875" style="11" bestFit="1" customWidth="1"/>
    <col min="9996" max="9996" width="24.140625" style="11" bestFit="1" customWidth="1"/>
    <col min="9997" max="9997" width="25.85546875" style="11" bestFit="1" customWidth="1"/>
    <col min="9998" max="9998" width="69.28515625" style="11" bestFit="1" customWidth="1"/>
    <col min="9999" max="10232" width="9.140625" style="11"/>
    <col min="10233" max="10233" width="6.5703125" style="11" customWidth="1"/>
    <col min="10234" max="10234" width="7.42578125" style="11" customWidth="1"/>
    <col min="10235" max="10235" width="15.5703125" style="11" bestFit="1" customWidth="1"/>
    <col min="10236" max="10236" width="22.5703125" style="11" customWidth="1"/>
    <col min="10237" max="10237" width="22.7109375" style="11" customWidth="1"/>
    <col min="10238" max="10238" width="41" style="11" bestFit="1" customWidth="1"/>
    <col min="10239" max="10239" width="15.28515625" style="11" customWidth="1"/>
    <col min="10240" max="10240" width="18" style="11" customWidth="1"/>
    <col min="10241" max="10241" width="21.85546875" style="11" customWidth="1"/>
    <col min="10242" max="10242" width="16.5703125" style="11" customWidth="1"/>
    <col min="10243" max="10243" width="21.7109375" style="11" customWidth="1"/>
    <col min="10244" max="10244" width="19.85546875" style="11" customWidth="1"/>
    <col min="10245" max="10245" width="53.140625" style="11" bestFit="1" customWidth="1"/>
    <col min="10246" max="10246" width="15.7109375" style="11" bestFit="1" customWidth="1"/>
    <col min="10247" max="10247" width="48.140625" style="11" bestFit="1" customWidth="1"/>
    <col min="10248" max="10248" width="20.42578125" style="11" bestFit="1" customWidth="1"/>
    <col min="10249" max="10249" width="25.85546875" style="11" bestFit="1" customWidth="1"/>
    <col min="10250" max="10250" width="24.140625" style="11" bestFit="1" customWidth="1"/>
    <col min="10251" max="10251" width="25.85546875" style="11" bestFit="1" customWidth="1"/>
    <col min="10252" max="10252" width="24.140625" style="11" bestFit="1" customWidth="1"/>
    <col min="10253" max="10253" width="25.85546875" style="11" bestFit="1" customWidth="1"/>
    <col min="10254" max="10254" width="69.28515625" style="11" bestFit="1" customWidth="1"/>
    <col min="10255" max="10488" width="9.140625" style="11"/>
    <col min="10489" max="10489" width="6.5703125" style="11" customWidth="1"/>
    <col min="10490" max="10490" width="7.42578125" style="11" customWidth="1"/>
    <col min="10491" max="10491" width="15.5703125" style="11" bestFit="1" customWidth="1"/>
    <col min="10492" max="10492" width="22.5703125" style="11" customWidth="1"/>
    <col min="10493" max="10493" width="22.7109375" style="11" customWidth="1"/>
    <col min="10494" max="10494" width="41" style="11" bestFit="1" customWidth="1"/>
    <col min="10495" max="10495" width="15.28515625" style="11" customWidth="1"/>
    <col min="10496" max="10496" width="18" style="11" customWidth="1"/>
    <col min="10497" max="10497" width="21.85546875" style="11" customWidth="1"/>
    <col min="10498" max="10498" width="16.5703125" style="11" customWidth="1"/>
    <col min="10499" max="10499" width="21.7109375" style="11" customWidth="1"/>
    <col min="10500" max="10500" width="19.85546875" style="11" customWidth="1"/>
    <col min="10501" max="10501" width="53.140625" style="11" bestFit="1" customWidth="1"/>
    <col min="10502" max="10502" width="15.7109375" style="11" bestFit="1" customWidth="1"/>
    <col min="10503" max="10503" width="48.140625" style="11" bestFit="1" customWidth="1"/>
    <col min="10504" max="10504" width="20.42578125" style="11" bestFit="1" customWidth="1"/>
    <col min="10505" max="10505" width="25.85546875" style="11" bestFit="1" customWidth="1"/>
    <col min="10506" max="10506" width="24.140625" style="11" bestFit="1" customWidth="1"/>
    <col min="10507" max="10507" width="25.85546875" style="11" bestFit="1" customWidth="1"/>
    <col min="10508" max="10508" width="24.140625" style="11" bestFit="1" customWidth="1"/>
    <col min="10509" max="10509" width="25.85546875" style="11" bestFit="1" customWidth="1"/>
    <col min="10510" max="10510" width="69.28515625" style="11" bestFit="1" customWidth="1"/>
    <col min="10511" max="10744" width="9.140625" style="11"/>
    <col min="10745" max="10745" width="6.5703125" style="11" customWidth="1"/>
    <col min="10746" max="10746" width="7.42578125" style="11" customWidth="1"/>
    <col min="10747" max="10747" width="15.5703125" style="11" bestFit="1" customWidth="1"/>
    <col min="10748" max="10748" width="22.5703125" style="11" customWidth="1"/>
    <col min="10749" max="10749" width="22.7109375" style="11" customWidth="1"/>
    <col min="10750" max="10750" width="41" style="11" bestFit="1" customWidth="1"/>
    <col min="10751" max="10751" width="15.28515625" style="11" customWidth="1"/>
    <col min="10752" max="10752" width="18" style="11" customWidth="1"/>
    <col min="10753" max="10753" width="21.85546875" style="11" customWidth="1"/>
    <col min="10754" max="10754" width="16.5703125" style="11" customWidth="1"/>
    <col min="10755" max="10755" width="21.7109375" style="11" customWidth="1"/>
    <col min="10756" max="10756" width="19.85546875" style="11" customWidth="1"/>
    <col min="10757" max="10757" width="53.140625" style="11" bestFit="1" customWidth="1"/>
    <col min="10758" max="10758" width="15.7109375" style="11" bestFit="1" customWidth="1"/>
    <col min="10759" max="10759" width="48.140625" style="11" bestFit="1" customWidth="1"/>
    <col min="10760" max="10760" width="20.42578125" style="11" bestFit="1" customWidth="1"/>
    <col min="10761" max="10761" width="25.85546875" style="11" bestFit="1" customWidth="1"/>
    <col min="10762" max="10762" width="24.140625" style="11" bestFit="1" customWidth="1"/>
    <col min="10763" max="10763" width="25.85546875" style="11" bestFit="1" customWidth="1"/>
    <col min="10764" max="10764" width="24.140625" style="11" bestFit="1" customWidth="1"/>
    <col min="10765" max="10765" width="25.85546875" style="11" bestFit="1" customWidth="1"/>
    <col min="10766" max="10766" width="69.28515625" style="11" bestFit="1" customWidth="1"/>
    <col min="10767" max="11000" width="9.140625" style="11"/>
    <col min="11001" max="11001" width="6.5703125" style="11" customWidth="1"/>
    <col min="11002" max="11002" width="7.42578125" style="11" customWidth="1"/>
    <col min="11003" max="11003" width="15.5703125" style="11" bestFit="1" customWidth="1"/>
    <col min="11004" max="11004" width="22.5703125" style="11" customWidth="1"/>
    <col min="11005" max="11005" width="22.7109375" style="11" customWidth="1"/>
    <col min="11006" max="11006" width="41" style="11" bestFit="1" customWidth="1"/>
    <col min="11007" max="11007" width="15.28515625" style="11" customWidth="1"/>
    <col min="11008" max="11008" width="18" style="11" customWidth="1"/>
    <col min="11009" max="11009" width="21.85546875" style="11" customWidth="1"/>
    <col min="11010" max="11010" width="16.5703125" style="11" customWidth="1"/>
    <col min="11011" max="11011" width="21.7109375" style="11" customWidth="1"/>
    <col min="11012" max="11012" width="19.85546875" style="11" customWidth="1"/>
    <col min="11013" max="11013" width="53.140625" style="11" bestFit="1" customWidth="1"/>
    <col min="11014" max="11014" width="15.7109375" style="11" bestFit="1" customWidth="1"/>
    <col min="11015" max="11015" width="48.140625" style="11" bestFit="1" customWidth="1"/>
    <col min="11016" max="11016" width="20.42578125" style="11" bestFit="1" customWidth="1"/>
    <col min="11017" max="11017" width="25.85546875" style="11" bestFit="1" customWidth="1"/>
    <col min="11018" max="11018" width="24.140625" style="11" bestFit="1" customWidth="1"/>
    <col min="11019" max="11019" width="25.85546875" style="11" bestFit="1" customWidth="1"/>
    <col min="11020" max="11020" width="24.140625" style="11" bestFit="1" customWidth="1"/>
    <col min="11021" max="11021" width="25.85546875" style="11" bestFit="1" customWidth="1"/>
    <col min="11022" max="11022" width="69.28515625" style="11" bestFit="1" customWidth="1"/>
    <col min="11023" max="11256" width="9.140625" style="11"/>
    <col min="11257" max="11257" width="6.5703125" style="11" customWidth="1"/>
    <col min="11258" max="11258" width="7.42578125" style="11" customWidth="1"/>
    <col min="11259" max="11259" width="15.5703125" style="11" bestFit="1" customWidth="1"/>
    <col min="11260" max="11260" width="22.5703125" style="11" customWidth="1"/>
    <col min="11261" max="11261" width="22.7109375" style="11" customWidth="1"/>
    <col min="11262" max="11262" width="41" style="11" bestFit="1" customWidth="1"/>
    <col min="11263" max="11263" width="15.28515625" style="11" customWidth="1"/>
    <col min="11264" max="11264" width="18" style="11" customWidth="1"/>
    <col min="11265" max="11265" width="21.85546875" style="11" customWidth="1"/>
    <col min="11266" max="11266" width="16.5703125" style="11" customWidth="1"/>
    <col min="11267" max="11267" width="21.7109375" style="11" customWidth="1"/>
    <col min="11268" max="11268" width="19.85546875" style="11" customWidth="1"/>
    <col min="11269" max="11269" width="53.140625" style="11" bestFit="1" customWidth="1"/>
    <col min="11270" max="11270" width="15.7109375" style="11" bestFit="1" customWidth="1"/>
    <col min="11271" max="11271" width="48.140625" style="11" bestFit="1" customWidth="1"/>
    <col min="11272" max="11272" width="20.42578125" style="11" bestFit="1" customWidth="1"/>
    <col min="11273" max="11273" width="25.85546875" style="11" bestFit="1" customWidth="1"/>
    <col min="11274" max="11274" width="24.140625" style="11" bestFit="1" customWidth="1"/>
    <col min="11275" max="11275" width="25.85546875" style="11" bestFit="1" customWidth="1"/>
    <col min="11276" max="11276" width="24.140625" style="11" bestFit="1" customWidth="1"/>
    <col min="11277" max="11277" width="25.85546875" style="11" bestFit="1" customWidth="1"/>
    <col min="11278" max="11278" width="69.28515625" style="11" bestFit="1" customWidth="1"/>
    <col min="11279" max="11512" width="9.140625" style="11"/>
    <col min="11513" max="11513" width="6.5703125" style="11" customWidth="1"/>
    <col min="11514" max="11514" width="7.42578125" style="11" customWidth="1"/>
    <col min="11515" max="11515" width="15.5703125" style="11" bestFit="1" customWidth="1"/>
    <col min="11516" max="11516" width="22.5703125" style="11" customWidth="1"/>
    <col min="11517" max="11517" width="22.7109375" style="11" customWidth="1"/>
    <col min="11518" max="11518" width="41" style="11" bestFit="1" customWidth="1"/>
    <col min="11519" max="11519" width="15.28515625" style="11" customWidth="1"/>
    <col min="11520" max="11520" width="18" style="11" customWidth="1"/>
    <col min="11521" max="11521" width="21.85546875" style="11" customWidth="1"/>
    <col min="11522" max="11522" width="16.5703125" style="11" customWidth="1"/>
    <col min="11523" max="11523" width="21.7109375" style="11" customWidth="1"/>
    <col min="11524" max="11524" width="19.85546875" style="11" customWidth="1"/>
    <col min="11525" max="11525" width="53.140625" style="11" bestFit="1" customWidth="1"/>
    <col min="11526" max="11526" width="15.7109375" style="11" bestFit="1" customWidth="1"/>
    <col min="11527" max="11527" width="48.140625" style="11" bestFit="1" customWidth="1"/>
    <col min="11528" max="11528" width="20.42578125" style="11" bestFit="1" customWidth="1"/>
    <col min="11529" max="11529" width="25.85546875" style="11" bestFit="1" customWidth="1"/>
    <col min="11530" max="11530" width="24.140625" style="11" bestFit="1" customWidth="1"/>
    <col min="11531" max="11531" width="25.85546875" style="11" bestFit="1" customWidth="1"/>
    <col min="11532" max="11532" width="24.140625" style="11" bestFit="1" customWidth="1"/>
    <col min="11533" max="11533" width="25.85546875" style="11" bestFit="1" customWidth="1"/>
    <col min="11534" max="11534" width="69.28515625" style="11" bestFit="1" customWidth="1"/>
    <col min="11535" max="11768" width="9.140625" style="11"/>
    <col min="11769" max="11769" width="6.5703125" style="11" customWidth="1"/>
    <col min="11770" max="11770" width="7.42578125" style="11" customWidth="1"/>
    <col min="11771" max="11771" width="15.5703125" style="11" bestFit="1" customWidth="1"/>
    <col min="11772" max="11772" width="22.5703125" style="11" customWidth="1"/>
    <col min="11773" max="11773" width="22.7109375" style="11" customWidth="1"/>
    <col min="11774" max="11774" width="41" style="11" bestFit="1" customWidth="1"/>
    <col min="11775" max="11775" width="15.28515625" style="11" customWidth="1"/>
    <col min="11776" max="11776" width="18" style="11" customWidth="1"/>
    <col min="11777" max="11777" width="21.85546875" style="11" customWidth="1"/>
    <col min="11778" max="11778" width="16.5703125" style="11" customWidth="1"/>
    <col min="11779" max="11779" width="21.7109375" style="11" customWidth="1"/>
    <col min="11780" max="11780" width="19.85546875" style="11" customWidth="1"/>
    <col min="11781" max="11781" width="53.140625" style="11" bestFit="1" customWidth="1"/>
    <col min="11782" max="11782" width="15.7109375" style="11" bestFit="1" customWidth="1"/>
    <col min="11783" max="11783" width="48.140625" style="11" bestFit="1" customWidth="1"/>
    <col min="11784" max="11784" width="20.42578125" style="11" bestFit="1" customWidth="1"/>
    <col min="11785" max="11785" width="25.85546875" style="11" bestFit="1" customWidth="1"/>
    <col min="11786" max="11786" width="24.140625" style="11" bestFit="1" customWidth="1"/>
    <col min="11787" max="11787" width="25.85546875" style="11" bestFit="1" customWidth="1"/>
    <col min="11788" max="11788" width="24.140625" style="11" bestFit="1" customWidth="1"/>
    <col min="11789" max="11789" width="25.85546875" style="11" bestFit="1" customWidth="1"/>
    <col min="11790" max="11790" width="69.28515625" style="11" bestFit="1" customWidth="1"/>
    <col min="11791" max="12024" width="9.140625" style="11"/>
    <col min="12025" max="12025" width="6.5703125" style="11" customWidth="1"/>
    <col min="12026" max="12026" width="7.42578125" style="11" customWidth="1"/>
    <col min="12027" max="12027" width="15.5703125" style="11" bestFit="1" customWidth="1"/>
    <col min="12028" max="12028" width="22.5703125" style="11" customWidth="1"/>
    <col min="12029" max="12029" width="22.7109375" style="11" customWidth="1"/>
    <col min="12030" max="12030" width="41" style="11" bestFit="1" customWidth="1"/>
    <col min="12031" max="12031" width="15.28515625" style="11" customWidth="1"/>
    <col min="12032" max="12032" width="18" style="11" customWidth="1"/>
    <col min="12033" max="12033" width="21.85546875" style="11" customWidth="1"/>
    <col min="12034" max="12034" width="16.5703125" style="11" customWidth="1"/>
    <col min="12035" max="12035" width="21.7109375" style="11" customWidth="1"/>
    <col min="12036" max="12036" width="19.85546875" style="11" customWidth="1"/>
    <col min="12037" max="12037" width="53.140625" style="11" bestFit="1" customWidth="1"/>
    <col min="12038" max="12038" width="15.7109375" style="11" bestFit="1" customWidth="1"/>
    <col min="12039" max="12039" width="48.140625" style="11" bestFit="1" customWidth="1"/>
    <col min="12040" max="12040" width="20.42578125" style="11" bestFit="1" customWidth="1"/>
    <col min="12041" max="12041" width="25.85546875" style="11" bestFit="1" customWidth="1"/>
    <col min="12042" max="12042" width="24.140625" style="11" bestFit="1" customWidth="1"/>
    <col min="12043" max="12043" width="25.85546875" style="11" bestFit="1" customWidth="1"/>
    <col min="12044" max="12044" width="24.140625" style="11" bestFit="1" customWidth="1"/>
    <col min="12045" max="12045" width="25.85546875" style="11" bestFit="1" customWidth="1"/>
    <col min="12046" max="12046" width="69.28515625" style="11" bestFit="1" customWidth="1"/>
    <col min="12047" max="12280" width="9.140625" style="11"/>
    <col min="12281" max="12281" width="6.5703125" style="11" customWidth="1"/>
    <col min="12282" max="12282" width="7.42578125" style="11" customWidth="1"/>
    <col min="12283" max="12283" width="15.5703125" style="11" bestFit="1" customWidth="1"/>
    <col min="12284" max="12284" width="22.5703125" style="11" customWidth="1"/>
    <col min="12285" max="12285" width="22.7109375" style="11" customWidth="1"/>
    <col min="12286" max="12286" width="41" style="11" bestFit="1" customWidth="1"/>
    <col min="12287" max="12287" width="15.28515625" style="11" customWidth="1"/>
    <col min="12288" max="12288" width="18" style="11" customWidth="1"/>
    <col min="12289" max="12289" width="21.85546875" style="11" customWidth="1"/>
    <col min="12290" max="12290" width="16.5703125" style="11" customWidth="1"/>
    <col min="12291" max="12291" width="21.7109375" style="11" customWidth="1"/>
    <col min="12292" max="12292" width="19.85546875" style="11" customWidth="1"/>
    <col min="12293" max="12293" width="53.140625" style="11" bestFit="1" customWidth="1"/>
    <col min="12294" max="12294" width="15.7109375" style="11" bestFit="1" customWidth="1"/>
    <col min="12295" max="12295" width="48.140625" style="11" bestFit="1" customWidth="1"/>
    <col min="12296" max="12296" width="20.42578125" style="11" bestFit="1" customWidth="1"/>
    <col min="12297" max="12297" width="25.85546875" style="11" bestFit="1" customWidth="1"/>
    <col min="12298" max="12298" width="24.140625" style="11" bestFit="1" customWidth="1"/>
    <col min="12299" max="12299" width="25.85546875" style="11" bestFit="1" customWidth="1"/>
    <col min="12300" max="12300" width="24.140625" style="11" bestFit="1" customWidth="1"/>
    <col min="12301" max="12301" width="25.85546875" style="11" bestFit="1" customWidth="1"/>
    <col min="12302" max="12302" width="69.28515625" style="11" bestFit="1" customWidth="1"/>
    <col min="12303" max="12536" width="9.140625" style="11"/>
    <col min="12537" max="12537" width="6.5703125" style="11" customWidth="1"/>
    <col min="12538" max="12538" width="7.42578125" style="11" customWidth="1"/>
    <col min="12539" max="12539" width="15.5703125" style="11" bestFit="1" customWidth="1"/>
    <col min="12540" max="12540" width="22.5703125" style="11" customWidth="1"/>
    <col min="12541" max="12541" width="22.7109375" style="11" customWidth="1"/>
    <col min="12542" max="12542" width="41" style="11" bestFit="1" customWidth="1"/>
    <col min="12543" max="12543" width="15.28515625" style="11" customWidth="1"/>
    <col min="12544" max="12544" width="18" style="11" customWidth="1"/>
    <col min="12545" max="12545" width="21.85546875" style="11" customWidth="1"/>
    <col min="12546" max="12546" width="16.5703125" style="11" customWidth="1"/>
    <col min="12547" max="12547" width="21.7109375" style="11" customWidth="1"/>
    <col min="12548" max="12548" width="19.85546875" style="11" customWidth="1"/>
    <col min="12549" max="12549" width="53.140625" style="11" bestFit="1" customWidth="1"/>
    <col min="12550" max="12550" width="15.7109375" style="11" bestFit="1" customWidth="1"/>
    <col min="12551" max="12551" width="48.140625" style="11" bestFit="1" customWidth="1"/>
    <col min="12552" max="12552" width="20.42578125" style="11" bestFit="1" customWidth="1"/>
    <col min="12553" max="12553" width="25.85546875" style="11" bestFit="1" customWidth="1"/>
    <col min="12554" max="12554" width="24.140625" style="11" bestFit="1" customWidth="1"/>
    <col min="12555" max="12555" width="25.85546875" style="11" bestFit="1" customWidth="1"/>
    <col min="12556" max="12556" width="24.140625" style="11" bestFit="1" customWidth="1"/>
    <col min="12557" max="12557" width="25.85546875" style="11" bestFit="1" customWidth="1"/>
    <col min="12558" max="12558" width="69.28515625" style="11" bestFit="1" customWidth="1"/>
    <col min="12559" max="12792" width="9.140625" style="11"/>
    <col min="12793" max="12793" width="6.5703125" style="11" customWidth="1"/>
    <col min="12794" max="12794" width="7.42578125" style="11" customWidth="1"/>
    <col min="12795" max="12795" width="15.5703125" style="11" bestFit="1" customWidth="1"/>
    <col min="12796" max="12796" width="22.5703125" style="11" customWidth="1"/>
    <col min="12797" max="12797" width="22.7109375" style="11" customWidth="1"/>
    <col min="12798" max="12798" width="41" style="11" bestFit="1" customWidth="1"/>
    <col min="12799" max="12799" width="15.28515625" style="11" customWidth="1"/>
    <col min="12800" max="12800" width="18" style="11" customWidth="1"/>
    <col min="12801" max="12801" width="21.85546875" style="11" customWidth="1"/>
    <col min="12802" max="12802" width="16.5703125" style="11" customWidth="1"/>
    <col min="12803" max="12803" width="21.7109375" style="11" customWidth="1"/>
    <col min="12804" max="12804" width="19.85546875" style="11" customWidth="1"/>
    <col min="12805" max="12805" width="53.140625" style="11" bestFit="1" customWidth="1"/>
    <col min="12806" max="12806" width="15.7109375" style="11" bestFit="1" customWidth="1"/>
    <col min="12807" max="12807" width="48.140625" style="11" bestFit="1" customWidth="1"/>
    <col min="12808" max="12808" width="20.42578125" style="11" bestFit="1" customWidth="1"/>
    <col min="12809" max="12809" width="25.85546875" style="11" bestFit="1" customWidth="1"/>
    <col min="12810" max="12810" width="24.140625" style="11" bestFit="1" customWidth="1"/>
    <col min="12811" max="12811" width="25.85546875" style="11" bestFit="1" customWidth="1"/>
    <col min="12812" max="12812" width="24.140625" style="11" bestFit="1" customWidth="1"/>
    <col min="12813" max="12813" width="25.85546875" style="11" bestFit="1" customWidth="1"/>
    <col min="12814" max="12814" width="69.28515625" style="11" bestFit="1" customWidth="1"/>
    <col min="12815" max="13048" width="9.140625" style="11"/>
    <col min="13049" max="13049" width="6.5703125" style="11" customWidth="1"/>
    <col min="13050" max="13050" width="7.42578125" style="11" customWidth="1"/>
    <col min="13051" max="13051" width="15.5703125" style="11" bestFit="1" customWidth="1"/>
    <col min="13052" max="13052" width="22.5703125" style="11" customWidth="1"/>
    <col min="13053" max="13053" width="22.7109375" style="11" customWidth="1"/>
    <col min="13054" max="13054" width="41" style="11" bestFit="1" customWidth="1"/>
    <col min="13055" max="13055" width="15.28515625" style="11" customWidth="1"/>
    <col min="13056" max="13056" width="18" style="11" customWidth="1"/>
    <col min="13057" max="13057" width="21.85546875" style="11" customWidth="1"/>
    <col min="13058" max="13058" width="16.5703125" style="11" customWidth="1"/>
    <col min="13059" max="13059" width="21.7109375" style="11" customWidth="1"/>
    <col min="13060" max="13060" width="19.85546875" style="11" customWidth="1"/>
    <col min="13061" max="13061" width="53.140625" style="11" bestFit="1" customWidth="1"/>
    <col min="13062" max="13062" width="15.7109375" style="11" bestFit="1" customWidth="1"/>
    <col min="13063" max="13063" width="48.140625" style="11" bestFit="1" customWidth="1"/>
    <col min="13064" max="13064" width="20.42578125" style="11" bestFit="1" customWidth="1"/>
    <col min="13065" max="13065" width="25.85546875" style="11" bestFit="1" customWidth="1"/>
    <col min="13066" max="13066" width="24.140625" style="11" bestFit="1" customWidth="1"/>
    <col min="13067" max="13067" width="25.85546875" style="11" bestFit="1" customWidth="1"/>
    <col min="13068" max="13068" width="24.140625" style="11" bestFit="1" customWidth="1"/>
    <col min="13069" max="13069" width="25.85546875" style="11" bestFit="1" customWidth="1"/>
    <col min="13070" max="13070" width="69.28515625" style="11" bestFit="1" customWidth="1"/>
    <col min="13071" max="13304" width="9.140625" style="11"/>
    <col min="13305" max="13305" width="6.5703125" style="11" customWidth="1"/>
    <col min="13306" max="13306" width="7.42578125" style="11" customWidth="1"/>
    <col min="13307" max="13307" width="15.5703125" style="11" bestFit="1" customWidth="1"/>
    <col min="13308" max="13308" width="22.5703125" style="11" customWidth="1"/>
    <col min="13309" max="13309" width="22.7109375" style="11" customWidth="1"/>
    <col min="13310" max="13310" width="41" style="11" bestFit="1" customWidth="1"/>
    <col min="13311" max="13311" width="15.28515625" style="11" customWidth="1"/>
    <col min="13312" max="13312" width="18" style="11" customWidth="1"/>
    <col min="13313" max="13313" width="21.85546875" style="11" customWidth="1"/>
    <col min="13314" max="13314" width="16.5703125" style="11" customWidth="1"/>
    <col min="13315" max="13315" width="21.7109375" style="11" customWidth="1"/>
    <col min="13316" max="13316" width="19.85546875" style="11" customWidth="1"/>
    <col min="13317" max="13317" width="53.140625" style="11" bestFit="1" customWidth="1"/>
    <col min="13318" max="13318" width="15.7109375" style="11" bestFit="1" customWidth="1"/>
    <col min="13319" max="13319" width="48.140625" style="11" bestFit="1" customWidth="1"/>
    <col min="13320" max="13320" width="20.42578125" style="11" bestFit="1" customWidth="1"/>
    <col min="13321" max="13321" width="25.85546875" style="11" bestFit="1" customWidth="1"/>
    <col min="13322" max="13322" width="24.140625" style="11" bestFit="1" customWidth="1"/>
    <col min="13323" max="13323" width="25.85546875" style="11" bestFit="1" customWidth="1"/>
    <col min="13324" max="13324" width="24.140625" style="11" bestFit="1" customWidth="1"/>
    <col min="13325" max="13325" width="25.85546875" style="11" bestFit="1" customWidth="1"/>
    <col min="13326" max="13326" width="69.28515625" style="11" bestFit="1" customWidth="1"/>
    <col min="13327" max="13560" width="9.140625" style="11"/>
    <col min="13561" max="13561" width="6.5703125" style="11" customWidth="1"/>
    <col min="13562" max="13562" width="7.42578125" style="11" customWidth="1"/>
    <col min="13563" max="13563" width="15.5703125" style="11" bestFit="1" customWidth="1"/>
    <col min="13564" max="13564" width="22.5703125" style="11" customWidth="1"/>
    <col min="13565" max="13565" width="22.7109375" style="11" customWidth="1"/>
    <col min="13566" max="13566" width="41" style="11" bestFit="1" customWidth="1"/>
    <col min="13567" max="13567" width="15.28515625" style="11" customWidth="1"/>
    <col min="13568" max="13568" width="18" style="11" customWidth="1"/>
    <col min="13569" max="13569" width="21.85546875" style="11" customWidth="1"/>
    <col min="13570" max="13570" width="16.5703125" style="11" customWidth="1"/>
    <col min="13571" max="13571" width="21.7109375" style="11" customWidth="1"/>
    <col min="13572" max="13572" width="19.85546875" style="11" customWidth="1"/>
    <col min="13573" max="13573" width="53.140625" style="11" bestFit="1" customWidth="1"/>
    <col min="13574" max="13574" width="15.7109375" style="11" bestFit="1" customWidth="1"/>
    <col min="13575" max="13575" width="48.140625" style="11" bestFit="1" customWidth="1"/>
    <col min="13576" max="13576" width="20.42578125" style="11" bestFit="1" customWidth="1"/>
    <col min="13577" max="13577" width="25.85546875" style="11" bestFit="1" customWidth="1"/>
    <col min="13578" max="13578" width="24.140625" style="11" bestFit="1" customWidth="1"/>
    <col min="13579" max="13579" width="25.85546875" style="11" bestFit="1" customWidth="1"/>
    <col min="13580" max="13580" width="24.140625" style="11" bestFit="1" customWidth="1"/>
    <col min="13581" max="13581" width="25.85546875" style="11" bestFit="1" customWidth="1"/>
    <col min="13582" max="13582" width="69.28515625" style="11" bestFit="1" customWidth="1"/>
    <col min="13583" max="13816" width="9.140625" style="11"/>
    <col min="13817" max="13817" width="6.5703125" style="11" customWidth="1"/>
    <col min="13818" max="13818" width="7.42578125" style="11" customWidth="1"/>
    <col min="13819" max="13819" width="15.5703125" style="11" bestFit="1" customWidth="1"/>
    <col min="13820" max="13820" width="22.5703125" style="11" customWidth="1"/>
    <col min="13821" max="13821" width="22.7109375" style="11" customWidth="1"/>
    <col min="13822" max="13822" width="41" style="11" bestFit="1" customWidth="1"/>
    <col min="13823" max="13823" width="15.28515625" style="11" customWidth="1"/>
    <col min="13824" max="13824" width="18" style="11" customWidth="1"/>
    <col min="13825" max="13825" width="21.85546875" style="11" customWidth="1"/>
    <col min="13826" max="13826" width="16.5703125" style="11" customWidth="1"/>
    <col min="13827" max="13827" width="21.7109375" style="11" customWidth="1"/>
    <col min="13828" max="13828" width="19.85546875" style="11" customWidth="1"/>
    <col min="13829" max="13829" width="53.140625" style="11" bestFit="1" customWidth="1"/>
    <col min="13830" max="13830" width="15.7109375" style="11" bestFit="1" customWidth="1"/>
    <col min="13831" max="13831" width="48.140625" style="11" bestFit="1" customWidth="1"/>
    <col min="13832" max="13832" width="20.42578125" style="11" bestFit="1" customWidth="1"/>
    <col min="13833" max="13833" width="25.85546875" style="11" bestFit="1" customWidth="1"/>
    <col min="13834" max="13834" width="24.140625" style="11" bestFit="1" customWidth="1"/>
    <col min="13835" max="13835" width="25.85546875" style="11" bestFit="1" customWidth="1"/>
    <col min="13836" max="13836" width="24.140625" style="11" bestFit="1" customWidth="1"/>
    <col min="13837" max="13837" width="25.85546875" style="11" bestFit="1" customWidth="1"/>
    <col min="13838" max="13838" width="69.28515625" style="11" bestFit="1" customWidth="1"/>
    <col min="13839" max="14072" width="9.140625" style="11"/>
    <col min="14073" max="14073" width="6.5703125" style="11" customWidth="1"/>
    <col min="14074" max="14074" width="7.42578125" style="11" customWidth="1"/>
    <col min="14075" max="14075" width="15.5703125" style="11" bestFit="1" customWidth="1"/>
    <col min="14076" max="14076" width="22.5703125" style="11" customWidth="1"/>
    <col min="14077" max="14077" width="22.7109375" style="11" customWidth="1"/>
    <col min="14078" max="14078" width="41" style="11" bestFit="1" customWidth="1"/>
    <col min="14079" max="14079" width="15.28515625" style="11" customWidth="1"/>
    <col min="14080" max="14080" width="18" style="11" customWidth="1"/>
    <col min="14081" max="14081" width="21.85546875" style="11" customWidth="1"/>
    <col min="14082" max="14082" width="16.5703125" style="11" customWidth="1"/>
    <col min="14083" max="14083" width="21.7109375" style="11" customWidth="1"/>
    <col min="14084" max="14084" width="19.85546875" style="11" customWidth="1"/>
    <col min="14085" max="14085" width="53.140625" style="11" bestFit="1" customWidth="1"/>
    <col min="14086" max="14086" width="15.7109375" style="11" bestFit="1" customWidth="1"/>
    <col min="14087" max="14087" width="48.140625" style="11" bestFit="1" customWidth="1"/>
    <col min="14088" max="14088" width="20.42578125" style="11" bestFit="1" customWidth="1"/>
    <col min="14089" max="14089" width="25.85546875" style="11" bestFit="1" customWidth="1"/>
    <col min="14090" max="14090" width="24.140625" style="11" bestFit="1" customWidth="1"/>
    <col min="14091" max="14091" width="25.85546875" style="11" bestFit="1" customWidth="1"/>
    <col min="14092" max="14092" width="24.140625" style="11" bestFit="1" customWidth="1"/>
    <col min="14093" max="14093" width="25.85546875" style="11" bestFit="1" customWidth="1"/>
    <col min="14094" max="14094" width="69.28515625" style="11" bestFit="1" customWidth="1"/>
    <col min="14095" max="14328" width="9.140625" style="11"/>
    <col min="14329" max="14329" width="6.5703125" style="11" customWidth="1"/>
    <col min="14330" max="14330" width="7.42578125" style="11" customWidth="1"/>
    <col min="14331" max="14331" width="15.5703125" style="11" bestFit="1" customWidth="1"/>
    <col min="14332" max="14332" width="22.5703125" style="11" customWidth="1"/>
    <col min="14333" max="14333" width="22.7109375" style="11" customWidth="1"/>
    <col min="14334" max="14334" width="41" style="11" bestFit="1" customWidth="1"/>
    <col min="14335" max="14335" width="15.28515625" style="11" customWidth="1"/>
    <col min="14336" max="14336" width="18" style="11" customWidth="1"/>
    <col min="14337" max="14337" width="21.85546875" style="11" customWidth="1"/>
    <col min="14338" max="14338" width="16.5703125" style="11" customWidth="1"/>
    <col min="14339" max="14339" width="21.7109375" style="11" customWidth="1"/>
    <col min="14340" max="14340" width="19.85546875" style="11" customWidth="1"/>
    <col min="14341" max="14341" width="53.140625" style="11" bestFit="1" customWidth="1"/>
    <col min="14342" max="14342" width="15.7109375" style="11" bestFit="1" customWidth="1"/>
    <col min="14343" max="14343" width="48.140625" style="11" bestFit="1" customWidth="1"/>
    <col min="14344" max="14344" width="20.42578125" style="11" bestFit="1" customWidth="1"/>
    <col min="14345" max="14345" width="25.85546875" style="11" bestFit="1" customWidth="1"/>
    <col min="14346" max="14346" width="24.140625" style="11" bestFit="1" customWidth="1"/>
    <col min="14347" max="14347" width="25.85546875" style="11" bestFit="1" customWidth="1"/>
    <col min="14348" max="14348" width="24.140625" style="11" bestFit="1" customWidth="1"/>
    <col min="14349" max="14349" width="25.85546875" style="11" bestFit="1" customWidth="1"/>
    <col min="14350" max="14350" width="69.28515625" style="11" bestFit="1" customWidth="1"/>
    <col min="14351" max="14584" width="9.140625" style="11"/>
    <col min="14585" max="14585" width="6.5703125" style="11" customWidth="1"/>
    <col min="14586" max="14586" width="7.42578125" style="11" customWidth="1"/>
    <col min="14587" max="14587" width="15.5703125" style="11" bestFit="1" customWidth="1"/>
    <col min="14588" max="14588" width="22.5703125" style="11" customWidth="1"/>
    <col min="14589" max="14589" width="22.7109375" style="11" customWidth="1"/>
    <col min="14590" max="14590" width="41" style="11" bestFit="1" customWidth="1"/>
    <col min="14591" max="14591" width="15.28515625" style="11" customWidth="1"/>
    <col min="14592" max="14592" width="18" style="11" customWidth="1"/>
    <col min="14593" max="14593" width="21.85546875" style="11" customWidth="1"/>
    <col min="14594" max="14594" width="16.5703125" style="11" customWidth="1"/>
    <col min="14595" max="14595" width="21.7109375" style="11" customWidth="1"/>
    <col min="14596" max="14596" width="19.85546875" style="11" customWidth="1"/>
    <col min="14597" max="14597" width="53.140625" style="11" bestFit="1" customWidth="1"/>
    <col min="14598" max="14598" width="15.7109375" style="11" bestFit="1" customWidth="1"/>
    <col min="14599" max="14599" width="48.140625" style="11" bestFit="1" customWidth="1"/>
    <col min="14600" max="14600" width="20.42578125" style="11" bestFit="1" customWidth="1"/>
    <col min="14601" max="14601" width="25.85546875" style="11" bestFit="1" customWidth="1"/>
    <col min="14602" max="14602" width="24.140625" style="11" bestFit="1" customWidth="1"/>
    <col min="14603" max="14603" width="25.85546875" style="11" bestFit="1" customWidth="1"/>
    <col min="14604" max="14604" width="24.140625" style="11" bestFit="1" customWidth="1"/>
    <col min="14605" max="14605" width="25.85546875" style="11" bestFit="1" customWidth="1"/>
    <col min="14606" max="14606" width="69.28515625" style="11" bestFit="1" customWidth="1"/>
    <col min="14607" max="14840" width="9.140625" style="11"/>
    <col min="14841" max="14841" width="6.5703125" style="11" customWidth="1"/>
    <col min="14842" max="14842" width="7.42578125" style="11" customWidth="1"/>
    <col min="14843" max="14843" width="15.5703125" style="11" bestFit="1" customWidth="1"/>
    <col min="14844" max="14844" width="22.5703125" style="11" customWidth="1"/>
    <col min="14845" max="14845" width="22.7109375" style="11" customWidth="1"/>
    <col min="14846" max="14846" width="41" style="11" bestFit="1" customWidth="1"/>
    <col min="14847" max="14847" width="15.28515625" style="11" customWidth="1"/>
    <col min="14848" max="14848" width="18" style="11" customWidth="1"/>
    <col min="14849" max="14849" width="21.85546875" style="11" customWidth="1"/>
    <col min="14850" max="14850" width="16.5703125" style="11" customWidth="1"/>
    <col min="14851" max="14851" width="21.7109375" style="11" customWidth="1"/>
    <col min="14852" max="14852" width="19.85546875" style="11" customWidth="1"/>
    <col min="14853" max="14853" width="53.140625" style="11" bestFit="1" customWidth="1"/>
    <col min="14854" max="14854" width="15.7109375" style="11" bestFit="1" customWidth="1"/>
    <col min="14855" max="14855" width="48.140625" style="11" bestFit="1" customWidth="1"/>
    <col min="14856" max="14856" width="20.42578125" style="11" bestFit="1" customWidth="1"/>
    <col min="14857" max="14857" width="25.85546875" style="11" bestFit="1" customWidth="1"/>
    <col min="14858" max="14858" width="24.140625" style="11" bestFit="1" customWidth="1"/>
    <col min="14859" max="14859" width="25.85546875" style="11" bestFit="1" customWidth="1"/>
    <col min="14860" max="14860" width="24.140625" style="11" bestFit="1" customWidth="1"/>
    <col min="14861" max="14861" width="25.85546875" style="11" bestFit="1" customWidth="1"/>
    <col min="14862" max="14862" width="69.28515625" style="11" bestFit="1" customWidth="1"/>
    <col min="14863" max="15096" width="9.140625" style="11"/>
    <col min="15097" max="15097" width="6.5703125" style="11" customWidth="1"/>
    <col min="15098" max="15098" width="7.42578125" style="11" customWidth="1"/>
    <col min="15099" max="15099" width="15.5703125" style="11" bestFit="1" customWidth="1"/>
    <col min="15100" max="15100" width="22.5703125" style="11" customWidth="1"/>
    <col min="15101" max="15101" width="22.7109375" style="11" customWidth="1"/>
    <col min="15102" max="15102" width="41" style="11" bestFit="1" customWidth="1"/>
    <col min="15103" max="15103" width="15.28515625" style="11" customWidth="1"/>
    <col min="15104" max="15104" width="18" style="11" customWidth="1"/>
    <col min="15105" max="15105" width="21.85546875" style="11" customWidth="1"/>
    <col min="15106" max="15106" width="16.5703125" style="11" customWidth="1"/>
    <col min="15107" max="15107" width="21.7109375" style="11" customWidth="1"/>
    <col min="15108" max="15108" width="19.85546875" style="11" customWidth="1"/>
    <col min="15109" max="15109" width="53.140625" style="11" bestFit="1" customWidth="1"/>
    <col min="15110" max="15110" width="15.7109375" style="11" bestFit="1" customWidth="1"/>
    <col min="15111" max="15111" width="48.140625" style="11" bestFit="1" customWidth="1"/>
    <col min="15112" max="15112" width="20.42578125" style="11" bestFit="1" customWidth="1"/>
    <col min="15113" max="15113" width="25.85546875" style="11" bestFit="1" customWidth="1"/>
    <col min="15114" max="15114" width="24.140625" style="11" bestFit="1" customWidth="1"/>
    <col min="15115" max="15115" width="25.85546875" style="11" bestFit="1" customWidth="1"/>
    <col min="15116" max="15116" width="24.140625" style="11" bestFit="1" customWidth="1"/>
    <col min="15117" max="15117" width="25.85546875" style="11" bestFit="1" customWidth="1"/>
    <col min="15118" max="15118" width="69.28515625" style="11" bestFit="1" customWidth="1"/>
    <col min="15119" max="15352" width="9.140625" style="11"/>
    <col min="15353" max="15353" width="6.5703125" style="11" customWidth="1"/>
    <col min="15354" max="15354" width="7.42578125" style="11" customWidth="1"/>
    <col min="15355" max="15355" width="15.5703125" style="11" bestFit="1" customWidth="1"/>
    <col min="15356" max="15356" width="22.5703125" style="11" customWidth="1"/>
    <col min="15357" max="15357" width="22.7109375" style="11" customWidth="1"/>
    <col min="15358" max="15358" width="41" style="11" bestFit="1" customWidth="1"/>
    <col min="15359" max="15359" width="15.28515625" style="11" customWidth="1"/>
    <col min="15360" max="15360" width="18" style="11" customWidth="1"/>
    <col min="15361" max="15361" width="21.85546875" style="11" customWidth="1"/>
    <col min="15362" max="15362" width="16.5703125" style="11" customWidth="1"/>
    <col min="15363" max="15363" width="21.7109375" style="11" customWidth="1"/>
    <col min="15364" max="15364" width="19.85546875" style="11" customWidth="1"/>
    <col min="15365" max="15365" width="53.140625" style="11" bestFit="1" customWidth="1"/>
    <col min="15366" max="15366" width="15.7109375" style="11" bestFit="1" customWidth="1"/>
    <col min="15367" max="15367" width="48.140625" style="11" bestFit="1" customWidth="1"/>
    <col min="15368" max="15368" width="20.42578125" style="11" bestFit="1" customWidth="1"/>
    <col min="15369" max="15369" width="25.85546875" style="11" bestFit="1" customWidth="1"/>
    <col min="15370" max="15370" width="24.140625" style="11" bestFit="1" customWidth="1"/>
    <col min="15371" max="15371" width="25.85546875" style="11" bestFit="1" customWidth="1"/>
    <col min="15372" max="15372" width="24.140625" style="11" bestFit="1" customWidth="1"/>
    <col min="15373" max="15373" width="25.85546875" style="11" bestFit="1" customWidth="1"/>
    <col min="15374" max="15374" width="69.28515625" style="11" bestFit="1" customWidth="1"/>
    <col min="15375" max="15608" width="9.140625" style="11"/>
    <col min="15609" max="15609" width="6.5703125" style="11" customWidth="1"/>
    <col min="15610" max="15610" width="7.42578125" style="11" customWidth="1"/>
    <col min="15611" max="15611" width="15.5703125" style="11" bestFit="1" customWidth="1"/>
    <col min="15612" max="15612" width="22.5703125" style="11" customWidth="1"/>
    <col min="15613" max="15613" width="22.7109375" style="11" customWidth="1"/>
    <col min="15614" max="15614" width="41" style="11" bestFit="1" customWidth="1"/>
    <col min="15615" max="15615" width="15.28515625" style="11" customWidth="1"/>
    <col min="15616" max="15616" width="18" style="11" customWidth="1"/>
    <col min="15617" max="15617" width="21.85546875" style="11" customWidth="1"/>
    <col min="15618" max="15618" width="16.5703125" style="11" customWidth="1"/>
    <col min="15619" max="15619" width="21.7109375" style="11" customWidth="1"/>
    <col min="15620" max="15620" width="19.85546875" style="11" customWidth="1"/>
    <col min="15621" max="15621" width="53.140625" style="11" bestFit="1" customWidth="1"/>
    <col min="15622" max="15622" width="15.7109375" style="11" bestFit="1" customWidth="1"/>
    <col min="15623" max="15623" width="48.140625" style="11" bestFit="1" customWidth="1"/>
    <col min="15624" max="15624" width="20.42578125" style="11" bestFit="1" customWidth="1"/>
    <col min="15625" max="15625" width="25.85546875" style="11" bestFit="1" customWidth="1"/>
    <col min="15626" max="15626" width="24.140625" style="11" bestFit="1" customWidth="1"/>
    <col min="15627" max="15627" width="25.85546875" style="11" bestFit="1" customWidth="1"/>
    <col min="15628" max="15628" width="24.140625" style="11" bestFit="1" customWidth="1"/>
    <col min="15629" max="15629" width="25.85546875" style="11" bestFit="1" customWidth="1"/>
    <col min="15630" max="15630" width="69.28515625" style="11" bestFit="1" customWidth="1"/>
    <col min="15631" max="15864" width="9.140625" style="11"/>
    <col min="15865" max="15865" width="6.5703125" style="11" customWidth="1"/>
    <col min="15866" max="15866" width="7.42578125" style="11" customWidth="1"/>
    <col min="15867" max="15867" width="15.5703125" style="11" bestFit="1" customWidth="1"/>
    <col min="15868" max="15868" width="22.5703125" style="11" customWidth="1"/>
    <col min="15869" max="15869" width="22.7109375" style="11" customWidth="1"/>
    <col min="15870" max="15870" width="41" style="11" bestFit="1" customWidth="1"/>
    <col min="15871" max="15871" width="15.28515625" style="11" customWidth="1"/>
    <col min="15872" max="15872" width="18" style="11" customWidth="1"/>
    <col min="15873" max="15873" width="21.85546875" style="11" customWidth="1"/>
    <col min="15874" max="15874" width="16.5703125" style="11" customWidth="1"/>
    <col min="15875" max="15875" width="21.7109375" style="11" customWidth="1"/>
    <col min="15876" max="15876" width="19.85546875" style="11" customWidth="1"/>
    <col min="15877" max="15877" width="53.140625" style="11" bestFit="1" customWidth="1"/>
    <col min="15878" max="15878" width="15.7109375" style="11" bestFit="1" customWidth="1"/>
    <col min="15879" max="15879" width="48.140625" style="11" bestFit="1" customWidth="1"/>
    <col min="15880" max="15880" width="20.42578125" style="11" bestFit="1" customWidth="1"/>
    <col min="15881" max="15881" width="25.85546875" style="11" bestFit="1" customWidth="1"/>
    <col min="15882" max="15882" width="24.140625" style="11" bestFit="1" customWidth="1"/>
    <col min="15883" max="15883" width="25.85546875" style="11" bestFit="1" customWidth="1"/>
    <col min="15884" max="15884" width="24.140625" style="11" bestFit="1" customWidth="1"/>
    <col min="15885" max="15885" width="25.85546875" style="11" bestFit="1" customWidth="1"/>
    <col min="15886" max="15886" width="69.28515625" style="11" bestFit="1" customWidth="1"/>
    <col min="15887" max="16120" width="9.140625" style="11"/>
    <col min="16121" max="16121" width="6.5703125" style="11" customWidth="1"/>
    <col min="16122" max="16122" width="7.42578125" style="11" customWidth="1"/>
    <col min="16123" max="16123" width="15.5703125" style="11" bestFit="1" customWidth="1"/>
    <col min="16124" max="16124" width="22.5703125" style="11" customWidth="1"/>
    <col min="16125" max="16125" width="22.7109375" style="11" customWidth="1"/>
    <col min="16126" max="16126" width="41" style="11" bestFit="1" customWidth="1"/>
    <col min="16127" max="16127" width="15.28515625" style="11" customWidth="1"/>
    <col min="16128" max="16128" width="18" style="11" customWidth="1"/>
    <col min="16129" max="16129" width="21.85546875" style="11" customWidth="1"/>
    <col min="16130" max="16130" width="16.5703125" style="11" customWidth="1"/>
    <col min="16131" max="16131" width="21.7109375" style="11" customWidth="1"/>
    <col min="16132" max="16132" width="19.85546875" style="11" customWidth="1"/>
    <col min="16133" max="16133" width="53.140625" style="11" bestFit="1" customWidth="1"/>
    <col min="16134" max="16134" width="15.7109375" style="11" bestFit="1" customWidth="1"/>
    <col min="16135" max="16135" width="48.140625" style="11" bestFit="1" customWidth="1"/>
    <col min="16136" max="16136" width="20.42578125" style="11" bestFit="1" customWidth="1"/>
    <col min="16137" max="16137" width="25.85546875" style="11" bestFit="1" customWidth="1"/>
    <col min="16138" max="16138" width="24.140625" style="11" bestFit="1" customWidth="1"/>
    <col min="16139" max="16139" width="25.85546875" style="11" bestFit="1" customWidth="1"/>
    <col min="16140" max="16140" width="24.140625" style="11" bestFit="1" customWidth="1"/>
    <col min="16141" max="16141" width="25.85546875" style="11" bestFit="1" customWidth="1"/>
    <col min="16142" max="16142" width="69.28515625" style="11" bestFit="1" customWidth="1"/>
    <col min="16143" max="16384" width="9.140625" style="11"/>
  </cols>
  <sheetData>
    <row r="1" spans="1:15" s="22" customFormat="1" x14ac:dyDescent="0.25">
      <c r="A1" s="361" t="s">
        <v>1699</v>
      </c>
      <c r="B1" s="361" t="s">
        <v>1700</v>
      </c>
      <c r="C1" s="362" t="s">
        <v>1701</v>
      </c>
      <c r="D1" s="362" t="s">
        <v>1702</v>
      </c>
      <c r="E1" s="362" t="s">
        <v>1703</v>
      </c>
      <c r="F1" s="363" t="s">
        <v>1704</v>
      </c>
      <c r="G1" s="363" t="s">
        <v>1705</v>
      </c>
      <c r="H1" s="362" t="s">
        <v>1706</v>
      </c>
      <c r="I1" s="364" t="s">
        <v>1707</v>
      </c>
      <c r="J1" s="364" t="s">
        <v>1708</v>
      </c>
      <c r="K1" s="364" t="s">
        <v>1709</v>
      </c>
      <c r="L1" s="364" t="s">
        <v>1710</v>
      </c>
      <c r="M1" s="363" t="s">
        <v>1711</v>
      </c>
      <c r="N1" s="363" t="s">
        <v>1712</v>
      </c>
      <c r="O1" s="381" t="s">
        <v>1710</v>
      </c>
    </row>
    <row r="2" spans="1:15" x14ac:dyDescent="0.25">
      <c r="A2" s="23">
        <v>0</v>
      </c>
      <c r="B2" s="12">
        <v>0</v>
      </c>
      <c r="C2" s="48" t="s">
        <v>1713</v>
      </c>
      <c r="D2" s="97" t="s">
        <v>1713</v>
      </c>
      <c r="E2" s="365"/>
      <c r="F2" s="325"/>
      <c r="G2" s="97" t="s">
        <v>1713</v>
      </c>
      <c r="H2" s="48" t="s">
        <v>137</v>
      </c>
      <c r="I2" s="366">
        <v>0</v>
      </c>
      <c r="J2" s="68">
        <v>0</v>
      </c>
      <c r="K2" s="68">
        <v>0</v>
      </c>
      <c r="L2" s="48" t="s">
        <v>1713</v>
      </c>
      <c r="M2" s="48" t="s">
        <v>1713</v>
      </c>
      <c r="N2" s="23">
        <v>200</v>
      </c>
      <c r="O2" s="48" t="s">
        <v>1713</v>
      </c>
    </row>
    <row r="3" spans="1:15" x14ac:dyDescent="0.25">
      <c r="A3" s="23">
        <v>1</v>
      </c>
      <c r="B3" s="12">
        <v>8</v>
      </c>
      <c r="C3" s="48" t="s">
        <v>1714</v>
      </c>
      <c r="D3" s="97" t="s">
        <v>1713</v>
      </c>
      <c r="E3" s="365" t="s">
        <v>1715</v>
      </c>
      <c r="F3" s="325">
        <v>1</v>
      </c>
      <c r="G3" s="97" t="s">
        <v>1713</v>
      </c>
      <c r="H3" s="48" t="s">
        <v>137</v>
      </c>
      <c r="I3" s="366">
        <v>500</v>
      </c>
      <c r="J3" s="68">
        <v>5</v>
      </c>
      <c r="K3" s="68">
        <v>20</v>
      </c>
      <c r="L3" s="48" t="s">
        <v>1716</v>
      </c>
      <c r="M3" s="48" t="s">
        <v>1713</v>
      </c>
      <c r="N3" s="23">
        <v>200</v>
      </c>
      <c r="O3" s="48" t="s">
        <v>1716</v>
      </c>
    </row>
    <row r="4" spans="1:15" x14ac:dyDescent="0.25">
      <c r="A4" s="23">
        <v>2</v>
      </c>
      <c r="B4" s="367">
        <v>5</v>
      </c>
      <c r="C4" s="48" t="s">
        <v>1713</v>
      </c>
      <c r="D4" s="97" t="s">
        <v>1713</v>
      </c>
      <c r="E4" s="97" t="s">
        <v>1717</v>
      </c>
      <c r="F4" s="325"/>
      <c r="G4" s="97" t="s">
        <v>1718</v>
      </c>
      <c r="H4" s="48" t="s">
        <v>137</v>
      </c>
      <c r="I4" s="366">
        <v>200</v>
      </c>
      <c r="J4" s="68">
        <v>5</v>
      </c>
      <c r="K4" s="68">
        <v>0</v>
      </c>
      <c r="L4" s="48" t="s">
        <v>1713</v>
      </c>
      <c r="M4" s="48" t="s">
        <v>1713</v>
      </c>
      <c r="N4" s="23">
        <v>200</v>
      </c>
      <c r="O4" s="48" t="s">
        <v>1713</v>
      </c>
    </row>
    <row r="5" spans="1:15" x14ac:dyDescent="0.25">
      <c r="A5" s="23">
        <v>3</v>
      </c>
      <c r="B5" s="367">
        <v>6</v>
      </c>
      <c r="C5" s="48" t="s">
        <v>1713</v>
      </c>
      <c r="D5" s="97" t="s">
        <v>1713</v>
      </c>
      <c r="E5" s="97"/>
      <c r="F5" s="325"/>
      <c r="G5" s="97" t="s">
        <v>1713</v>
      </c>
      <c r="H5" s="48" t="s">
        <v>1452</v>
      </c>
      <c r="I5" s="366">
        <v>250</v>
      </c>
      <c r="J5" s="68">
        <v>5</v>
      </c>
      <c r="K5" s="68">
        <v>0</v>
      </c>
      <c r="L5" s="48" t="s">
        <v>1719</v>
      </c>
      <c r="M5" s="48" t="s">
        <v>1713</v>
      </c>
      <c r="N5" s="23">
        <v>200</v>
      </c>
      <c r="O5" s="48" t="s">
        <v>1719</v>
      </c>
    </row>
    <row r="6" spans="1:15" x14ac:dyDescent="0.25">
      <c r="A6" s="23">
        <v>4</v>
      </c>
      <c r="B6" s="367">
        <v>10</v>
      </c>
      <c r="C6" s="48" t="s">
        <v>1713</v>
      </c>
      <c r="D6" s="97" t="s">
        <v>1713</v>
      </c>
      <c r="E6" s="97"/>
      <c r="F6" s="325"/>
      <c r="G6" s="97" t="s">
        <v>1713</v>
      </c>
      <c r="H6" s="48" t="s">
        <v>1452</v>
      </c>
      <c r="I6" s="366">
        <v>250</v>
      </c>
      <c r="J6" s="68">
        <v>5</v>
      </c>
      <c r="K6" s="68">
        <v>0</v>
      </c>
      <c r="L6" s="48" t="s">
        <v>1720</v>
      </c>
      <c r="M6" s="48" t="s">
        <v>1713</v>
      </c>
      <c r="N6" s="23">
        <v>200</v>
      </c>
      <c r="O6" s="48" t="s">
        <v>1720</v>
      </c>
    </row>
    <row r="7" spans="1:15" x14ac:dyDescent="0.25">
      <c r="A7" s="23">
        <v>5</v>
      </c>
      <c r="B7" s="367">
        <v>21</v>
      </c>
      <c r="C7" s="48" t="s">
        <v>1713</v>
      </c>
      <c r="D7" s="97" t="s">
        <v>1713</v>
      </c>
      <c r="E7" s="97"/>
      <c r="F7" s="325">
        <v>2</v>
      </c>
      <c r="G7" s="97" t="s">
        <v>1713</v>
      </c>
      <c r="H7" s="48" t="s">
        <v>1449</v>
      </c>
      <c r="I7" s="366">
        <v>250</v>
      </c>
      <c r="J7" s="68">
        <v>5</v>
      </c>
      <c r="K7" s="68">
        <v>0</v>
      </c>
      <c r="L7" s="48" t="s">
        <v>1721</v>
      </c>
      <c r="M7" s="48" t="s">
        <v>1713</v>
      </c>
      <c r="N7" s="23">
        <v>200</v>
      </c>
      <c r="O7" s="48" t="s">
        <v>1721</v>
      </c>
    </row>
    <row r="8" spans="1:15" x14ac:dyDescent="0.25">
      <c r="A8" s="23">
        <v>6</v>
      </c>
      <c r="B8" s="367">
        <v>42</v>
      </c>
      <c r="C8" s="48" t="s">
        <v>838</v>
      </c>
      <c r="D8" s="97" t="s">
        <v>1713</v>
      </c>
      <c r="E8" s="97" t="s">
        <v>1722</v>
      </c>
      <c r="F8" s="325"/>
      <c r="G8" s="97" t="s">
        <v>1723</v>
      </c>
      <c r="H8" s="48" t="s">
        <v>1449</v>
      </c>
      <c r="I8" s="366">
        <v>250</v>
      </c>
      <c r="J8" s="68">
        <v>5</v>
      </c>
      <c r="K8" s="383">
        <v>5</v>
      </c>
      <c r="L8" s="48" t="s">
        <v>1719</v>
      </c>
      <c r="M8" s="48" t="s">
        <v>1713</v>
      </c>
      <c r="N8" s="23">
        <v>200</v>
      </c>
      <c r="O8" s="48" t="s">
        <v>1719</v>
      </c>
    </row>
    <row r="9" spans="1:15" x14ac:dyDescent="0.25">
      <c r="A9" s="23">
        <v>7</v>
      </c>
      <c r="B9" s="367">
        <v>75.600000000000009</v>
      </c>
      <c r="C9" s="48" t="s">
        <v>1713</v>
      </c>
      <c r="D9" s="97" t="s">
        <v>1713</v>
      </c>
      <c r="E9" s="97"/>
      <c r="F9" s="325">
        <v>3</v>
      </c>
      <c r="G9" s="97" t="s">
        <v>1713</v>
      </c>
      <c r="H9" s="48" t="s">
        <v>1449</v>
      </c>
      <c r="I9" s="366">
        <v>250</v>
      </c>
      <c r="J9" s="68">
        <v>5</v>
      </c>
      <c r="K9" s="383">
        <v>5</v>
      </c>
      <c r="L9" s="48" t="s">
        <v>1724</v>
      </c>
      <c r="M9" s="48" t="s">
        <v>1713</v>
      </c>
      <c r="N9" s="23">
        <v>200</v>
      </c>
      <c r="O9" s="48" t="s">
        <v>1724</v>
      </c>
    </row>
    <row r="10" spans="1:15" x14ac:dyDescent="0.25">
      <c r="A10" s="23">
        <v>8</v>
      </c>
      <c r="B10" s="367">
        <v>151.20000000000002</v>
      </c>
      <c r="C10" s="48" t="s">
        <v>1713</v>
      </c>
      <c r="D10" s="97" t="s">
        <v>1713</v>
      </c>
      <c r="E10" s="365" t="s">
        <v>1725</v>
      </c>
      <c r="F10" s="325"/>
      <c r="G10" s="365" t="s">
        <v>1713</v>
      </c>
      <c r="H10" s="48" t="s">
        <v>645</v>
      </c>
      <c r="I10" s="366">
        <v>250</v>
      </c>
      <c r="J10" s="68">
        <v>5</v>
      </c>
      <c r="K10" s="383">
        <v>5</v>
      </c>
      <c r="L10" s="48" t="s">
        <v>1713</v>
      </c>
      <c r="M10" s="48" t="s">
        <v>1713</v>
      </c>
      <c r="N10" s="23">
        <v>200</v>
      </c>
      <c r="O10" s="48" t="s">
        <v>1713</v>
      </c>
    </row>
    <row r="11" spans="1:15" x14ac:dyDescent="0.25">
      <c r="A11" s="23">
        <v>9</v>
      </c>
      <c r="B11" s="367">
        <v>408.24000000000007</v>
      </c>
      <c r="C11" s="48" t="s">
        <v>1726</v>
      </c>
      <c r="D11" s="97" t="s">
        <v>1713</v>
      </c>
      <c r="E11" s="97" t="s">
        <v>1727</v>
      </c>
      <c r="F11" s="325"/>
      <c r="G11" s="365" t="s">
        <v>1728</v>
      </c>
      <c r="H11" s="48" t="s">
        <v>1444</v>
      </c>
      <c r="I11" s="366">
        <v>250</v>
      </c>
      <c r="J11" s="68">
        <v>5</v>
      </c>
      <c r="K11" s="383">
        <v>5</v>
      </c>
      <c r="L11" s="48" t="s">
        <v>1729</v>
      </c>
      <c r="M11" s="48" t="s">
        <v>1713</v>
      </c>
      <c r="N11" s="23">
        <v>200</v>
      </c>
      <c r="O11" s="48" t="s">
        <v>1729</v>
      </c>
    </row>
    <row r="12" spans="1:15" x14ac:dyDescent="0.25">
      <c r="A12" s="23">
        <v>10</v>
      </c>
      <c r="B12" s="367">
        <v>898.12800000000027</v>
      </c>
      <c r="C12" s="48" t="s">
        <v>1713</v>
      </c>
      <c r="D12" s="97" t="s">
        <v>1713</v>
      </c>
      <c r="E12" s="97"/>
      <c r="F12" s="325"/>
      <c r="G12" s="97" t="s">
        <v>1713</v>
      </c>
      <c r="H12" s="48" t="s">
        <v>1229</v>
      </c>
      <c r="I12" s="366">
        <v>250</v>
      </c>
      <c r="J12" s="68">
        <v>10</v>
      </c>
      <c r="K12" s="383">
        <v>5</v>
      </c>
      <c r="L12" s="48" t="s">
        <v>1713</v>
      </c>
      <c r="M12" s="48" t="s">
        <v>1713</v>
      </c>
      <c r="N12" s="23">
        <v>200</v>
      </c>
      <c r="O12" s="48" t="s">
        <v>1713</v>
      </c>
    </row>
    <row r="13" spans="1:15" x14ac:dyDescent="0.25">
      <c r="A13" s="23">
        <v>11</v>
      </c>
      <c r="B13" s="367">
        <v>1122.6600000000003</v>
      </c>
      <c r="C13" s="48" t="s">
        <v>1713</v>
      </c>
      <c r="D13" s="97" t="s">
        <v>1713</v>
      </c>
      <c r="E13" s="365"/>
      <c r="F13" s="325"/>
      <c r="G13" s="97" t="s">
        <v>1713</v>
      </c>
      <c r="H13" s="48" t="s">
        <v>1229</v>
      </c>
      <c r="I13" s="366">
        <v>300</v>
      </c>
      <c r="J13" s="68">
        <v>10</v>
      </c>
      <c r="K13" s="383">
        <v>5</v>
      </c>
      <c r="L13" s="368" t="s">
        <v>1730</v>
      </c>
      <c r="M13" s="48" t="s">
        <v>1713</v>
      </c>
      <c r="N13" s="23">
        <v>200</v>
      </c>
      <c r="O13" s="368" t="s">
        <v>1730</v>
      </c>
    </row>
    <row r="14" spans="1:15" x14ac:dyDescent="0.25">
      <c r="A14" s="23">
        <v>12</v>
      </c>
      <c r="B14" s="367">
        <v>1459.4580000000005</v>
      </c>
      <c r="C14" s="48" t="s">
        <v>1731</v>
      </c>
      <c r="D14" s="97" t="s">
        <v>1713</v>
      </c>
      <c r="E14" s="365" t="s">
        <v>1732</v>
      </c>
      <c r="F14" s="325"/>
      <c r="G14" s="97" t="s">
        <v>1713</v>
      </c>
      <c r="H14" s="48" t="s">
        <v>1229</v>
      </c>
      <c r="I14" s="366">
        <v>300</v>
      </c>
      <c r="J14" s="68">
        <v>10</v>
      </c>
      <c r="K14" s="383">
        <v>5</v>
      </c>
      <c r="L14" s="48" t="s">
        <v>1713</v>
      </c>
      <c r="M14" s="48" t="s">
        <v>1713</v>
      </c>
      <c r="N14" s="23">
        <v>200</v>
      </c>
      <c r="O14" s="48" t="s">
        <v>1713</v>
      </c>
    </row>
    <row r="15" spans="1:15" x14ac:dyDescent="0.25">
      <c r="A15" s="23">
        <v>13</v>
      </c>
      <c r="B15" s="367">
        <v>1897.2954000000007</v>
      </c>
      <c r="C15" s="48" t="s">
        <v>1713</v>
      </c>
      <c r="D15" s="97" t="s">
        <v>1713</v>
      </c>
      <c r="E15" s="97" t="s">
        <v>1733</v>
      </c>
      <c r="F15" s="325"/>
      <c r="G15" s="97" t="s">
        <v>1713</v>
      </c>
      <c r="H15" s="48" t="s">
        <v>1229</v>
      </c>
      <c r="I15" s="366">
        <v>300</v>
      </c>
      <c r="J15" s="68">
        <v>10</v>
      </c>
      <c r="K15" s="383">
        <v>5</v>
      </c>
      <c r="L15" s="48" t="s">
        <v>1713</v>
      </c>
      <c r="M15" s="48" t="s">
        <v>1713</v>
      </c>
      <c r="N15" s="23">
        <v>200</v>
      </c>
      <c r="O15" s="48" t="s">
        <v>1713</v>
      </c>
    </row>
    <row r="16" spans="1:15" x14ac:dyDescent="0.25">
      <c r="A16" s="23">
        <v>14</v>
      </c>
      <c r="B16" s="367">
        <v>2656.2135600000006</v>
      </c>
      <c r="C16" s="48" t="s">
        <v>1713</v>
      </c>
      <c r="D16" s="97" t="s">
        <v>1713</v>
      </c>
      <c r="E16" s="97" t="s">
        <v>1734</v>
      </c>
      <c r="F16" s="325"/>
      <c r="G16" s="97" t="s">
        <v>1713</v>
      </c>
      <c r="H16" s="48" t="s">
        <v>646</v>
      </c>
      <c r="I16" s="366">
        <v>300</v>
      </c>
      <c r="J16" s="68">
        <v>10</v>
      </c>
      <c r="K16" s="383">
        <v>5</v>
      </c>
      <c r="L16" s="48" t="s">
        <v>1713</v>
      </c>
      <c r="M16" s="48" t="s">
        <v>1713</v>
      </c>
      <c r="N16" s="23">
        <v>200</v>
      </c>
      <c r="O16" s="48" t="s">
        <v>1713</v>
      </c>
    </row>
    <row r="17" spans="1:15" s="380" customFormat="1" x14ac:dyDescent="0.25">
      <c r="A17" s="372">
        <v>15</v>
      </c>
      <c r="B17" s="373">
        <v>3718.6989840000006</v>
      </c>
      <c r="C17" s="374" t="s">
        <v>842</v>
      </c>
      <c r="D17" s="375" t="s">
        <v>1713</v>
      </c>
      <c r="E17" s="375"/>
      <c r="F17" s="376"/>
      <c r="G17" s="375" t="s">
        <v>1713</v>
      </c>
      <c r="H17" s="374" t="s">
        <v>646</v>
      </c>
      <c r="I17" s="377">
        <v>500</v>
      </c>
      <c r="J17" s="378">
        <v>10</v>
      </c>
      <c r="K17" s="383">
        <v>5</v>
      </c>
      <c r="L17" s="379" t="s">
        <v>1735</v>
      </c>
      <c r="M17" s="374" t="s">
        <v>1713</v>
      </c>
      <c r="N17" s="372">
        <v>200</v>
      </c>
      <c r="O17" s="379" t="s">
        <v>1824</v>
      </c>
    </row>
    <row r="18" spans="1:15" x14ac:dyDescent="0.25">
      <c r="A18" s="23">
        <v>16</v>
      </c>
      <c r="B18" s="367">
        <v>5206.1785776000006</v>
      </c>
      <c r="C18" s="48" t="s">
        <v>1713</v>
      </c>
      <c r="D18" s="97" t="s">
        <v>1713</v>
      </c>
      <c r="E18" s="97" t="s">
        <v>1736</v>
      </c>
      <c r="F18" s="325"/>
      <c r="G18" s="97" t="s">
        <v>1713</v>
      </c>
      <c r="H18" s="48" t="s">
        <v>1230</v>
      </c>
      <c r="I18" s="366">
        <v>500</v>
      </c>
      <c r="J18" s="68">
        <v>10</v>
      </c>
      <c r="K18" s="383">
        <v>5</v>
      </c>
      <c r="L18" s="48"/>
      <c r="M18" s="48" t="s">
        <v>1713</v>
      </c>
      <c r="N18" s="23">
        <v>200</v>
      </c>
      <c r="O18" s="48"/>
    </row>
    <row r="19" spans="1:15" x14ac:dyDescent="0.25">
      <c r="A19" s="23">
        <v>17</v>
      </c>
      <c r="B19" s="367">
        <v>6247.4142931200004</v>
      </c>
      <c r="C19" s="48" t="s">
        <v>844</v>
      </c>
      <c r="D19" s="97" t="s">
        <v>1713</v>
      </c>
      <c r="F19" s="325">
        <v>4</v>
      </c>
      <c r="G19" s="97" t="s">
        <v>1713</v>
      </c>
      <c r="H19" s="48" t="s">
        <v>1228</v>
      </c>
      <c r="I19" s="366">
        <v>500</v>
      </c>
      <c r="J19" s="68">
        <v>10</v>
      </c>
      <c r="K19" s="383">
        <v>5</v>
      </c>
      <c r="L19" s="48" t="s">
        <v>1737</v>
      </c>
      <c r="M19" s="48" t="s">
        <v>1713</v>
      </c>
      <c r="N19" s="23">
        <v>200</v>
      </c>
      <c r="O19" s="48" t="s">
        <v>1737</v>
      </c>
    </row>
    <row r="20" spans="1:15" x14ac:dyDescent="0.25">
      <c r="A20" s="23">
        <v>18</v>
      </c>
      <c r="B20" s="367">
        <v>8121.6385810560005</v>
      </c>
      <c r="C20" s="48" t="s">
        <v>1713</v>
      </c>
      <c r="D20" s="97" t="s">
        <v>1713</v>
      </c>
      <c r="E20" s="97" t="s">
        <v>1738</v>
      </c>
      <c r="F20" s="325"/>
      <c r="G20" s="97" t="s">
        <v>1713</v>
      </c>
      <c r="H20" s="48" t="s">
        <v>1228</v>
      </c>
      <c r="I20" s="366">
        <v>500</v>
      </c>
      <c r="J20" s="68">
        <v>10</v>
      </c>
      <c r="K20" s="383">
        <v>5</v>
      </c>
      <c r="L20" s="48" t="s">
        <v>1713</v>
      </c>
      <c r="M20" s="48" t="s">
        <v>1713</v>
      </c>
      <c r="N20" s="23">
        <v>200</v>
      </c>
      <c r="O20" s="48" t="s">
        <v>1713</v>
      </c>
    </row>
    <row r="21" spans="1:15" x14ac:dyDescent="0.25">
      <c r="A21" s="23">
        <v>19</v>
      </c>
      <c r="B21" s="367">
        <v>8933.8024391616018</v>
      </c>
      <c r="C21" s="48" t="s">
        <v>1713</v>
      </c>
      <c r="D21" s="97" t="s">
        <v>1713</v>
      </c>
      <c r="E21" s="97" t="s">
        <v>1739</v>
      </c>
      <c r="F21" s="325"/>
      <c r="G21" s="97" t="s">
        <v>1713</v>
      </c>
      <c r="H21" s="48" t="s">
        <v>1228</v>
      </c>
      <c r="I21" s="366">
        <v>1000</v>
      </c>
      <c r="J21" s="68">
        <v>10</v>
      </c>
      <c r="K21" s="383">
        <v>5</v>
      </c>
      <c r="L21" s="48" t="s">
        <v>1713</v>
      </c>
      <c r="M21" s="48" t="s">
        <v>1713</v>
      </c>
      <c r="N21" s="23">
        <v>200</v>
      </c>
      <c r="O21" s="48" t="s">
        <v>1713</v>
      </c>
    </row>
    <row r="22" spans="1:15" s="380" customFormat="1" x14ac:dyDescent="0.25">
      <c r="A22" s="372">
        <v>20</v>
      </c>
      <c r="B22" s="373">
        <v>10720.562926993922</v>
      </c>
      <c r="C22" s="374" t="s">
        <v>1740</v>
      </c>
      <c r="D22" s="375" t="s">
        <v>1713</v>
      </c>
      <c r="E22" s="375" t="s">
        <v>1741</v>
      </c>
      <c r="F22" s="376"/>
      <c r="G22" s="375" t="s">
        <v>1713</v>
      </c>
      <c r="H22" s="374" t="s">
        <v>1228</v>
      </c>
      <c r="I22" s="378">
        <v>1000</v>
      </c>
      <c r="J22" s="378">
        <v>10</v>
      </c>
      <c r="K22" s="383">
        <v>5</v>
      </c>
      <c r="L22" s="374" t="s">
        <v>1713</v>
      </c>
      <c r="M22" s="374" t="s">
        <v>1713</v>
      </c>
      <c r="N22" s="372">
        <v>200</v>
      </c>
      <c r="O22" s="374" t="s">
        <v>1825</v>
      </c>
    </row>
    <row r="23" spans="1:15" x14ac:dyDescent="0.25">
      <c r="A23" s="23">
        <v>21</v>
      </c>
      <c r="B23" s="367">
        <v>9125.4545454545441</v>
      </c>
      <c r="C23" s="48" t="s">
        <v>1713</v>
      </c>
      <c r="D23" s="97" t="s">
        <v>1713</v>
      </c>
      <c r="E23" s="97"/>
      <c r="F23" s="325"/>
      <c r="G23" s="97" t="s">
        <v>1713</v>
      </c>
      <c r="H23" s="48" t="s">
        <v>1228</v>
      </c>
      <c r="I23" s="366">
        <v>1000</v>
      </c>
      <c r="J23" s="68">
        <v>10</v>
      </c>
      <c r="K23" s="68">
        <v>0</v>
      </c>
      <c r="L23" s="48" t="s">
        <v>1713</v>
      </c>
      <c r="M23" s="48" t="s">
        <v>1713</v>
      </c>
      <c r="N23" s="23">
        <v>200</v>
      </c>
      <c r="O23" s="48" t="s">
        <v>1713</v>
      </c>
    </row>
    <row r="24" spans="1:15" x14ac:dyDescent="0.25">
      <c r="A24" s="23">
        <v>22</v>
      </c>
      <c r="B24" s="367">
        <v>11444.545454545454</v>
      </c>
      <c r="C24" s="48" t="s">
        <v>1713</v>
      </c>
      <c r="D24" s="97" t="s">
        <v>1713</v>
      </c>
      <c r="E24" s="97"/>
      <c r="F24" s="325"/>
      <c r="G24" s="97" t="s">
        <v>1713</v>
      </c>
      <c r="H24" s="48" t="s">
        <v>1228</v>
      </c>
      <c r="I24" s="68">
        <v>1500</v>
      </c>
      <c r="J24" s="68">
        <v>10</v>
      </c>
      <c r="K24" s="68">
        <v>0</v>
      </c>
      <c r="L24" s="48" t="s">
        <v>1713</v>
      </c>
      <c r="M24" s="48" t="s">
        <v>1713</v>
      </c>
      <c r="N24" s="23">
        <v>200</v>
      </c>
      <c r="O24" s="48" t="s">
        <v>1713</v>
      </c>
    </row>
    <row r="25" spans="1:15" x14ac:dyDescent="0.25">
      <c r="A25" s="23">
        <v>23</v>
      </c>
      <c r="B25" s="367">
        <v>14989.999999999998</v>
      </c>
      <c r="C25" s="48" t="s">
        <v>1713</v>
      </c>
      <c r="D25" s="97" t="s">
        <v>1713</v>
      </c>
      <c r="E25" s="97" t="s">
        <v>1139</v>
      </c>
      <c r="F25" s="325"/>
      <c r="G25" s="97" t="s">
        <v>1742</v>
      </c>
      <c r="H25" s="48" t="s">
        <v>1228</v>
      </c>
      <c r="I25" s="68">
        <v>1500</v>
      </c>
      <c r="J25" s="68">
        <v>10</v>
      </c>
      <c r="K25" s="68">
        <v>0</v>
      </c>
      <c r="L25" s="48" t="s">
        <v>1743</v>
      </c>
      <c r="M25" s="48" t="s">
        <v>1713</v>
      </c>
      <c r="N25" s="23">
        <v>200</v>
      </c>
      <c r="O25" s="48" t="s">
        <v>1743</v>
      </c>
    </row>
    <row r="26" spans="1:15" x14ac:dyDescent="0.25">
      <c r="A26" s="23">
        <v>24</v>
      </c>
      <c r="B26" s="367">
        <v>19533.63636363636</v>
      </c>
      <c r="C26" s="48" t="s">
        <v>1713</v>
      </c>
      <c r="D26" s="97" t="s">
        <v>1713</v>
      </c>
      <c r="E26" s="97" t="s">
        <v>1744</v>
      </c>
      <c r="F26" s="325"/>
      <c r="G26" s="97" t="s">
        <v>1713</v>
      </c>
      <c r="H26" s="48" t="s">
        <v>1228</v>
      </c>
      <c r="I26" s="68">
        <v>1500</v>
      </c>
      <c r="J26" s="68">
        <v>10</v>
      </c>
      <c r="K26" s="68">
        <v>0</v>
      </c>
      <c r="L26" s="48" t="s">
        <v>1713</v>
      </c>
      <c r="M26" s="48" t="s">
        <v>1713</v>
      </c>
      <c r="N26" s="23">
        <v>200</v>
      </c>
      <c r="O26" s="48" t="s">
        <v>1713</v>
      </c>
    </row>
    <row r="27" spans="1:15" s="380" customFormat="1" x14ac:dyDescent="0.25">
      <c r="A27" s="372">
        <v>25</v>
      </c>
      <c r="B27" s="373">
        <v>25340.909090909088</v>
      </c>
      <c r="C27" s="374" t="s">
        <v>849</v>
      </c>
      <c r="D27" s="375" t="s">
        <v>1713</v>
      </c>
      <c r="E27" s="375" t="s">
        <v>1745</v>
      </c>
      <c r="F27" s="376"/>
      <c r="G27" s="375" t="s">
        <v>1713</v>
      </c>
      <c r="H27" s="374" t="s">
        <v>1228</v>
      </c>
      <c r="I27" s="378">
        <v>2000</v>
      </c>
      <c r="J27" s="378">
        <v>10</v>
      </c>
      <c r="K27" s="378">
        <v>0</v>
      </c>
      <c r="L27" s="374" t="s">
        <v>1713</v>
      </c>
      <c r="M27" s="374" t="s">
        <v>1713</v>
      </c>
      <c r="N27" s="372">
        <v>200</v>
      </c>
      <c r="O27" s="374" t="s">
        <v>1826</v>
      </c>
    </row>
    <row r="28" spans="1:15" x14ac:dyDescent="0.25">
      <c r="A28" s="23">
        <v>26</v>
      </c>
      <c r="B28" s="367">
        <v>30350.909090909088</v>
      </c>
      <c r="C28" s="48" t="s">
        <v>1713</v>
      </c>
      <c r="D28" s="97" t="s">
        <v>1713</v>
      </c>
      <c r="E28" s="97"/>
      <c r="F28" s="325"/>
      <c r="G28" s="97" t="s">
        <v>1713</v>
      </c>
      <c r="H28" s="48" t="s">
        <v>1228</v>
      </c>
      <c r="I28" s="68">
        <v>2000</v>
      </c>
      <c r="J28" s="68">
        <v>10</v>
      </c>
      <c r="K28" s="68">
        <v>0</v>
      </c>
      <c r="L28" s="48" t="s">
        <v>1713</v>
      </c>
      <c r="M28" s="48" t="s">
        <v>1713</v>
      </c>
      <c r="N28" s="23">
        <v>200</v>
      </c>
      <c r="O28" s="48" t="s">
        <v>1713</v>
      </c>
    </row>
    <row r="29" spans="1:15" x14ac:dyDescent="0.25">
      <c r="A29" s="23">
        <v>27</v>
      </c>
      <c r="B29" s="367">
        <v>39139.090909090904</v>
      </c>
      <c r="C29" s="48" t="s">
        <v>1713</v>
      </c>
      <c r="D29" s="97" t="s">
        <v>1713</v>
      </c>
      <c r="E29" s="97" t="s">
        <v>1222</v>
      </c>
      <c r="F29" s="325"/>
      <c r="G29" s="97" t="s">
        <v>1713</v>
      </c>
      <c r="H29" s="48" t="s">
        <v>1228</v>
      </c>
      <c r="I29" s="68">
        <v>2500</v>
      </c>
      <c r="J29" s="68">
        <v>10</v>
      </c>
      <c r="K29" s="68">
        <v>0</v>
      </c>
      <c r="L29" s="48" t="s">
        <v>1713</v>
      </c>
      <c r="M29" s="48" t="s">
        <v>1713</v>
      </c>
      <c r="N29" s="23">
        <v>200</v>
      </c>
      <c r="O29" s="48" t="s">
        <v>1713</v>
      </c>
    </row>
    <row r="30" spans="1:15" x14ac:dyDescent="0.25">
      <c r="A30" s="23">
        <v>28</v>
      </c>
      <c r="B30" s="367">
        <v>45129.999999999993</v>
      </c>
      <c r="C30" s="48" t="s">
        <v>1713</v>
      </c>
      <c r="D30" s="97" t="s">
        <v>1713</v>
      </c>
      <c r="E30" s="97" t="s">
        <v>1746</v>
      </c>
      <c r="F30" s="325"/>
      <c r="G30" s="97" t="s">
        <v>1713</v>
      </c>
      <c r="H30" s="48" t="s">
        <v>1228</v>
      </c>
      <c r="I30" s="68">
        <v>2500</v>
      </c>
      <c r="J30" s="68">
        <v>10</v>
      </c>
      <c r="K30" s="68">
        <v>0</v>
      </c>
      <c r="L30" s="48" t="s">
        <v>1713</v>
      </c>
      <c r="M30" s="48" t="s">
        <v>1713</v>
      </c>
      <c r="N30" s="23">
        <v>200</v>
      </c>
      <c r="O30" s="48" t="s">
        <v>1713</v>
      </c>
    </row>
    <row r="31" spans="1:15" x14ac:dyDescent="0.25">
      <c r="A31" s="23">
        <v>29</v>
      </c>
      <c r="B31" s="367">
        <v>54266.363636363632</v>
      </c>
      <c r="C31" s="48" t="s">
        <v>1713</v>
      </c>
      <c r="D31" s="97" t="s">
        <v>1713</v>
      </c>
      <c r="E31" s="97" t="s">
        <v>1747</v>
      </c>
      <c r="F31" s="325"/>
      <c r="G31" s="97" t="s">
        <v>1713</v>
      </c>
      <c r="H31" s="48" t="s">
        <v>1228</v>
      </c>
      <c r="I31" s="68">
        <v>2500</v>
      </c>
      <c r="J31" s="68">
        <v>10</v>
      </c>
      <c r="K31" s="68">
        <v>0</v>
      </c>
      <c r="L31" s="48" t="s">
        <v>1713</v>
      </c>
      <c r="M31" s="48" t="s">
        <v>1713</v>
      </c>
      <c r="N31" s="23">
        <v>200</v>
      </c>
      <c r="O31" s="48" t="s">
        <v>1713</v>
      </c>
    </row>
    <row r="32" spans="1:15" s="380" customFormat="1" x14ac:dyDescent="0.25">
      <c r="A32" s="372">
        <v>30</v>
      </c>
      <c r="B32" s="373">
        <v>63513.63636363636</v>
      </c>
      <c r="C32" s="374" t="s">
        <v>1713</v>
      </c>
      <c r="D32" s="375" t="s">
        <v>1713</v>
      </c>
      <c r="E32" s="375" t="s">
        <v>1748</v>
      </c>
      <c r="F32" s="376"/>
      <c r="G32" s="375" t="s">
        <v>1713</v>
      </c>
      <c r="H32" s="374" t="s">
        <v>1228</v>
      </c>
      <c r="I32" s="378">
        <v>3000</v>
      </c>
      <c r="J32" s="378">
        <v>15</v>
      </c>
      <c r="K32" s="378">
        <v>0</v>
      </c>
      <c r="L32" s="374" t="s">
        <v>1713</v>
      </c>
      <c r="M32" s="374" t="s">
        <v>1713</v>
      </c>
      <c r="N32" s="372">
        <v>200</v>
      </c>
      <c r="O32" s="374" t="s">
        <v>1827</v>
      </c>
    </row>
    <row r="33" spans="1:15" x14ac:dyDescent="0.25">
      <c r="A33" s="23">
        <v>31</v>
      </c>
      <c r="B33" s="369">
        <v>103758.375</v>
      </c>
      <c r="C33" s="48" t="s">
        <v>1713</v>
      </c>
      <c r="D33" s="97" t="s">
        <v>1713</v>
      </c>
      <c r="E33" s="97"/>
      <c r="F33" s="325"/>
      <c r="G33" s="97" t="s">
        <v>1713</v>
      </c>
      <c r="H33" s="48" t="s">
        <v>1228</v>
      </c>
      <c r="I33" s="68">
        <v>3000</v>
      </c>
      <c r="J33" s="68">
        <v>15</v>
      </c>
      <c r="K33" s="68">
        <v>0</v>
      </c>
      <c r="L33" s="48" t="s">
        <v>1713</v>
      </c>
      <c r="M33" s="48" t="s">
        <v>1713</v>
      </c>
      <c r="N33" s="23">
        <v>500</v>
      </c>
      <c r="O33" s="48" t="s">
        <v>1713</v>
      </c>
    </row>
    <row r="34" spans="1:15" x14ac:dyDescent="0.25">
      <c r="A34" s="23">
        <v>32</v>
      </c>
      <c r="B34" s="369">
        <v>117219.375</v>
      </c>
      <c r="C34" s="48" t="s">
        <v>1713</v>
      </c>
      <c r="D34" s="97" t="s">
        <v>1713</v>
      </c>
      <c r="E34" s="97"/>
      <c r="F34" s="325">
        <v>5</v>
      </c>
      <c r="G34" s="97" t="s">
        <v>1713</v>
      </c>
      <c r="H34" s="48" t="s">
        <v>1228</v>
      </c>
      <c r="I34" s="68">
        <v>3000</v>
      </c>
      <c r="J34" s="68">
        <v>15</v>
      </c>
      <c r="K34" s="68">
        <v>0</v>
      </c>
      <c r="L34" s="48" t="s">
        <v>1713</v>
      </c>
      <c r="M34" s="48" t="s">
        <v>1713</v>
      </c>
      <c r="N34" s="23">
        <v>500</v>
      </c>
      <c r="O34" s="48" t="s">
        <v>1713</v>
      </c>
    </row>
    <row r="35" spans="1:15" x14ac:dyDescent="0.25">
      <c r="A35" s="23">
        <v>33</v>
      </c>
      <c r="B35" s="369">
        <v>127048.6875</v>
      </c>
      <c r="C35" s="48" t="s">
        <v>850</v>
      </c>
      <c r="D35" s="97" t="s">
        <v>1713</v>
      </c>
      <c r="E35" s="97" t="s">
        <v>1145</v>
      </c>
      <c r="F35" s="325"/>
      <c r="G35" s="97" t="s">
        <v>1713</v>
      </c>
      <c r="H35" s="48" t="s">
        <v>1228</v>
      </c>
      <c r="I35" s="68">
        <v>3500</v>
      </c>
      <c r="J35" s="68">
        <v>15</v>
      </c>
      <c r="K35" s="68">
        <v>0</v>
      </c>
      <c r="L35" s="48" t="s">
        <v>1713</v>
      </c>
      <c r="M35" s="48" t="s">
        <v>1713</v>
      </c>
      <c r="N35" s="23">
        <v>500</v>
      </c>
      <c r="O35" s="48" t="s">
        <v>1713</v>
      </c>
    </row>
    <row r="36" spans="1:15" x14ac:dyDescent="0.25">
      <c r="A36" s="23">
        <v>34</v>
      </c>
      <c r="B36" s="369">
        <v>141108.1875</v>
      </c>
      <c r="C36" s="48" t="s">
        <v>1713</v>
      </c>
      <c r="D36" s="97" t="s">
        <v>1713</v>
      </c>
      <c r="E36" s="97" t="s">
        <v>1749</v>
      </c>
      <c r="F36" s="325"/>
      <c r="G36" s="97" t="s">
        <v>1713</v>
      </c>
      <c r="H36" s="48" t="s">
        <v>1228</v>
      </c>
      <c r="I36" s="68">
        <v>3500</v>
      </c>
      <c r="J36" s="68">
        <v>15</v>
      </c>
      <c r="K36" s="68">
        <v>0</v>
      </c>
      <c r="L36" s="48" t="s">
        <v>1713</v>
      </c>
      <c r="M36" s="48" t="s">
        <v>1713</v>
      </c>
      <c r="N36" s="23">
        <v>500</v>
      </c>
      <c r="O36" s="48" t="s">
        <v>1713</v>
      </c>
    </row>
    <row r="37" spans="1:15" x14ac:dyDescent="0.25">
      <c r="A37" s="23">
        <v>35</v>
      </c>
      <c r="B37" s="369">
        <v>151621.3125</v>
      </c>
      <c r="C37" s="48" t="s">
        <v>851</v>
      </c>
      <c r="D37" s="97" t="s">
        <v>1713</v>
      </c>
      <c r="E37" s="97" t="s">
        <v>1750</v>
      </c>
      <c r="F37" s="325"/>
      <c r="G37" s="97" t="s">
        <v>1713</v>
      </c>
      <c r="H37" s="48" t="s">
        <v>1228</v>
      </c>
      <c r="I37" s="68">
        <v>4000</v>
      </c>
      <c r="J37" s="68">
        <v>15</v>
      </c>
      <c r="K37" s="68">
        <v>0</v>
      </c>
      <c r="L37" s="48" t="s">
        <v>1713</v>
      </c>
      <c r="M37" s="48" t="s">
        <v>1713</v>
      </c>
      <c r="N37" s="23">
        <v>500</v>
      </c>
      <c r="O37" s="48" t="s">
        <v>1713</v>
      </c>
    </row>
    <row r="38" spans="1:15" x14ac:dyDescent="0.25">
      <c r="A38" s="23">
        <v>36</v>
      </c>
      <c r="B38" s="369">
        <v>166427.625</v>
      </c>
      <c r="C38" s="48" t="s">
        <v>1713</v>
      </c>
      <c r="D38" s="97" t="s">
        <v>1713</v>
      </c>
      <c r="E38" s="97" t="s">
        <v>1751</v>
      </c>
      <c r="F38" s="325"/>
      <c r="G38" s="97" t="s">
        <v>1713</v>
      </c>
      <c r="H38" s="48" t="s">
        <v>1228</v>
      </c>
      <c r="I38" s="68">
        <v>4000</v>
      </c>
      <c r="J38" s="68">
        <v>15</v>
      </c>
      <c r="K38" s="68">
        <v>0</v>
      </c>
      <c r="L38" s="48" t="s">
        <v>1713</v>
      </c>
      <c r="M38" s="48" t="s">
        <v>1713</v>
      </c>
      <c r="N38" s="23">
        <v>500</v>
      </c>
      <c r="O38" s="48" t="s">
        <v>1713</v>
      </c>
    </row>
    <row r="39" spans="1:15" x14ac:dyDescent="0.25">
      <c r="A39" s="23">
        <v>37</v>
      </c>
      <c r="B39" s="369">
        <v>178257.1875</v>
      </c>
      <c r="C39" s="48" t="s">
        <v>854</v>
      </c>
      <c r="D39" s="97" t="s">
        <v>1713</v>
      </c>
      <c r="E39" s="97" t="s">
        <v>1752</v>
      </c>
      <c r="F39" s="325"/>
      <c r="G39" s="97" t="s">
        <v>1713</v>
      </c>
      <c r="H39" s="48" t="s">
        <v>1228</v>
      </c>
      <c r="I39" s="68">
        <v>4500</v>
      </c>
      <c r="J39" s="68">
        <v>15</v>
      </c>
      <c r="K39" s="68">
        <v>0</v>
      </c>
      <c r="L39" s="48" t="s">
        <v>1713</v>
      </c>
      <c r="M39" s="48" t="s">
        <v>1713</v>
      </c>
      <c r="N39" s="23">
        <v>500</v>
      </c>
      <c r="O39" s="48" t="s">
        <v>1713</v>
      </c>
    </row>
    <row r="40" spans="1:15" x14ac:dyDescent="0.25">
      <c r="A40" s="23">
        <v>38</v>
      </c>
      <c r="B40" s="369">
        <v>202329.85500000001</v>
      </c>
      <c r="C40" s="48" t="s">
        <v>1713</v>
      </c>
      <c r="D40" s="97" t="s">
        <v>1713</v>
      </c>
      <c r="E40" s="97" t="s">
        <v>1753</v>
      </c>
      <c r="F40" s="325"/>
      <c r="G40" s="97" t="s">
        <v>1754</v>
      </c>
      <c r="H40" s="48" t="s">
        <v>1228</v>
      </c>
      <c r="I40" s="68">
        <v>4500</v>
      </c>
      <c r="J40" s="68">
        <v>15</v>
      </c>
      <c r="K40" s="68">
        <v>0</v>
      </c>
      <c r="L40" s="48" t="s">
        <v>1713</v>
      </c>
      <c r="M40" s="48" t="s">
        <v>1713</v>
      </c>
      <c r="N40" s="23">
        <v>500</v>
      </c>
      <c r="O40" s="48" t="s">
        <v>1713</v>
      </c>
    </row>
    <row r="41" spans="1:15" x14ac:dyDescent="0.25">
      <c r="A41" s="23">
        <v>39</v>
      </c>
      <c r="B41" s="369">
        <v>216049.47</v>
      </c>
      <c r="C41" s="48" t="s">
        <v>1713</v>
      </c>
      <c r="D41" s="97" t="s">
        <v>1713</v>
      </c>
      <c r="E41" s="97"/>
      <c r="F41" s="325"/>
      <c r="G41" s="97" t="s">
        <v>1713</v>
      </c>
      <c r="H41" s="48" t="s">
        <v>1228</v>
      </c>
      <c r="I41" s="68">
        <v>4500</v>
      </c>
      <c r="J41" s="68">
        <v>15</v>
      </c>
      <c r="K41" s="68">
        <v>0</v>
      </c>
      <c r="L41" s="48" t="s">
        <v>1713</v>
      </c>
      <c r="M41" s="48" t="s">
        <v>1713</v>
      </c>
      <c r="N41" s="23">
        <v>500</v>
      </c>
      <c r="O41" s="48" t="s">
        <v>1713</v>
      </c>
    </row>
    <row r="42" spans="1:15" s="380" customFormat="1" x14ac:dyDescent="0.25">
      <c r="A42" s="372">
        <v>40</v>
      </c>
      <c r="B42" s="373">
        <v>236951.71500000003</v>
      </c>
      <c r="C42" s="374" t="s">
        <v>858</v>
      </c>
      <c r="D42" s="375" t="s">
        <v>1713</v>
      </c>
      <c r="E42" s="375" t="s">
        <v>1755</v>
      </c>
      <c r="F42" s="376"/>
      <c r="G42" s="375" t="s">
        <v>1713</v>
      </c>
      <c r="H42" s="374" t="s">
        <v>1228</v>
      </c>
      <c r="I42" s="378">
        <v>5000</v>
      </c>
      <c r="J42" s="378">
        <v>15</v>
      </c>
      <c r="K42" s="378">
        <v>0</v>
      </c>
      <c r="L42" s="374" t="s">
        <v>1713</v>
      </c>
      <c r="M42" s="374" t="s">
        <v>1713</v>
      </c>
      <c r="N42" s="372">
        <v>500</v>
      </c>
      <c r="O42" s="374" t="s">
        <v>1849</v>
      </c>
    </row>
    <row r="43" spans="1:15" x14ac:dyDescent="0.25">
      <c r="A43" s="23">
        <v>41</v>
      </c>
      <c r="B43" s="369">
        <v>252174.19500000001</v>
      </c>
      <c r="C43" s="48" t="s">
        <v>1713</v>
      </c>
      <c r="D43" s="97" t="s">
        <v>1713</v>
      </c>
      <c r="E43" s="97" t="s">
        <v>1146</v>
      </c>
      <c r="F43" s="325"/>
      <c r="G43" s="97" t="s">
        <v>1713</v>
      </c>
      <c r="H43" s="48" t="s">
        <v>1228</v>
      </c>
      <c r="I43" s="68">
        <v>6000</v>
      </c>
      <c r="J43" s="68">
        <v>15</v>
      </c>
      <c r="K43" s="68">
        <v>0</v>
      </c>
      <c r="L43" s="48" t="s">
        <v>1713</v>
      </c>
      <c r="M43" s="48" t="s">
        <v>1713</v>
      </c>
      <c r="N43" s="23">
        <v>500</v>
      </c>
      <c r="O43" s="48" t="s">
        <v>1713</v>
      </c>
    </row>
    <row r="44" spans="1:15" x14ac:dyDescent="0.25">
      <c r="A44" s="23">
        <v>42</v>
      </c>
      <c r="B44" s="369">
        <v>269557.47000000003</v>
      </c>
      <c r="C44" s="48" t="s">
        <v>1713</v>
      </c>
      <c r="D44" s="97" t="s">
        <v>1713</v>
      </c>
      <c r="E44" s="97" t="s">
        <v>1756</v>
      </c>
      <c r="F44" s="325"/>
      <c r="G44" s="97" t="s">
        <v>1713</v>
      </c>
      <c r="H44" s="48" t="s">
        <v>1228</v>
      </c>
      <c r="I44" s="68">
        <v>6000</v>
      </c>
      <c r="J44" s="68">
        <v>15</v>
      </c>
      <c r="K44" s="68">
        <v>0</v>
      </c>
      <c r="L44" s="48" t="s">
        <v>1713</v>
      </c>
      <c r="M44" s="48" t="s">
        <v>1713</v>
      </c>
      <c r="N44" s="23">
        <v>500</v>
      </c>
      <c r="O44" s="48" t="s">
        <v>1713</v>
      </c>
    </row>
    <row r="45" spans="1:15" x14ac:dyDescent="0.25">
      <c r="A45" s="23">
        <v>43</v>
      </c>
      <c r="B45" s="369">
        <v>285388.74000000005</v>
      </c>
      <c r="C45" s="48" t="s">
        <v>1713</v>
      </c>
      <c r="D45" s="97" t="s">
        <v>1713</v>
      </c>
      <c r="E45" s="97" t="s">
        <v>1757</v>
      </c>
      <c r="F45" s="325"/>
      <c r="G45" s="97" t="s">
        <v>1713</v>
      </c>
      <c r="H45" s="48" t="s">
        <v>1228</v>
      </c>
      <c r="I45" s="366">
        <v>8000</v>
      </c>
      <c r="J45" s="68">
        <v>15</v>
      </c>
      <c r="K45" s="68">
        <v>0</v>
      </c>
      <c r="L45" s="48" t="s">
        <v>1713</v>
      </c>
      <c r="M45" s="48" t="s">
        <v>1713</v>
      </c>
      <c r="N45" s="23">
        <v>500</v>
      </c>
      <c r="O45" s="48" t="s">
        <v>1713</v>
      </c>
    </row>
    <row r="46" spans="1:15" x14ac:dyDescent="0.25">
      <c r="A46" s="23">
        <v>44</v>
      </c>
      <c r="B46" s="369">
        <v>306124.45500000002</v>
      </c>
      <c r="C46" s="48" t="s">
        <v>1713</v>
      </c>
      <c r="D46" s="97" t="s">
        <v>1713</v>
      </c>
      <c r="E46" s="97" t="s">
        <v>1758</v>
      </c>
      <c r="F46" s="325"/>
      <c r="G46" s="97" t="s">
        <v>1713</v>
      </c>
      <c r="H46" s="48" t="s">
        <v>1228</v>
      </c>
      <c r="I46" s="68">
        <v>8000</v>
      </c>
      <c r="J46" s="68">
        <v>15</v>
      </c>
      <c r="K46" s="68">
        <v>0</v>
      </c>
      <c r="L46" s="48" t="s">
        <v>1713</v>
      </c>
      <c r="M46" s="48" t="s">
        <v>1713</v>
      </c>
      <c r="N46" s="23">
        <v>500</v>
      </c>
      <c r="O46" s="48" t="s">
        <v>1713</v>
      </c>
    </row>
    <row r="47" spans="1:15" x14ac:dyDescent="0.25">
      <c r="A47" s="23">
        <v>45</v>
      </c>
      <c r="B47" s="369">
        <v>322703.74500000005</v>
      </c>
      <c r="C47" s="48" t="s">
        <v>1713</v>
      </c>
      <c r="D47" s="97" t="s">
        <v>1713</v>
      </c>
      <c r="E47" s="97"/>
      <c r="F47" s="325">
        <v>6</v>
      </c>
      <c r="G47" s="97" t="s">
        <v>1713</v>
      </c>
      <c r="H47" s="48" t="s">
        <v>1228</v>
      </c>
      <c r="I47" s="68">
        <v>10000</v>
      </c>
      <c r="J47" s="68">
        <v>15</v>
      </c>
      <c r="K47" s="68">
        <v>0</v>
      </c>
      <c r="L47" s="48" t="s">
        <v>1713</v>
      </c>
      <c r="M47" s="48" t="s">
        <v>1713</v>
      </c>
      <c r="N47" s="23">
        <v>500</v>
      </c>
      <c r="O47" s="48" t="s">
        <v>1713</v>
      </c>
    </row>
    <row r="48" spans="1:15" x14ac:dyDescent="0.25">
      <c r="A48" s="23">
        <v>46</v>
      </c>
      <c r="B48" s="369">
        <v>344273.47500000003</v>
      </c>
      <c r="C48" s="48" t="s">
        <v>881</v>
      </c>
      <c r="D48" s="97" t="s">
        <v>1713</v>
      </c>
      <c r="E48" s="97"/>
      <c r="F48" s="325"/>
      <c r="G48" s="97" t="s">
        <v>1713</v>
      </c>
      <c r="H48" s="48" t="s">
        <v>1228</v>
      </c>
      <c r="I48" s="68">
        <v>10000</v>
      </c>
      <c r="J48" s="68">
        <v>15</v>
      </c>
      <c r="K48" s="68">
        <v>0</v>
      </c>
      <c r="L48" s="48" t="s">
        <v>1713</v>
      </c>
      <c r="M48" s="48" t="s">
        <v>1713</v>
      </c>
      <c r="N48" s="23">
        <v>500</v>
      </c>
      <c r="O48" s="48" t="s">
        <v>1713</v>
      </c>
    </row>
    <row r="49" spans="1:15" x14ac:dyDescent="0.25">
      <c r="A49" s="23">
        <v>47</v>
      </c>
      <c r="B49" s="369">
        <v>361467.01500000001</v>
      </c>
      <c r="C49" s="48" t="s">
        <v>1713</v>
      </c>
      <c r="D49" s="97" t="s">
        <v>1713</v>
      </c>
      <c r="E49" s="97"/>
      <c r="F49" s="325"/>
      <c r="G49" s="97" t="s">
        <v>1713</v>
      </c>
      <c r="H49" s="48" t="s">
        <v>1228</v>
      </c>
      <c r="I49" s="366">
        <v>12000</v>
      </c>
      <c r="J49" s="68">
        <v>15</v>
      </c>
      <c r="K49" s="68">
        <v>0</v>
      </c>
      <c r="L49" s="48" t="s">
        <v>1713</v>
      </c>
      <c r="M49" s="48" t="s">
        <v>1713</v>
      </c>
      <c r="N49" s="23">
        <v>500</v>
      </c>
      <c r="O49" s="48" t="s">
        <v>1713</v>
      </c>
    </row>
    <row r="50" spans="1:15" x14ac:dyDescent="0.25">
      <c r="A50" s="23">
        <v>48</v>
      </c>
      <c r="B50" s="369">
        <v>383873.49</v>
      </c>
      <c r="C50" s="48" t="s">
        <v>1713</v>
      </c>
      <c r="D50" s="97" t="s">
        <v>1713</v>
      </c>
      <c r="E50" s="97" t="s">
        <v>1759</v>
      </c>
      <c r="F50" s="325"/>
      <c r="G50" s="97" t="s">
        <v>1713</v>
      </c>
      <c r="H50" s="48" t="s">
        <v>1228</v>
      </c>
      <c r="I50" s="68">
        <v>12000</v>
      </c>
      <c r="J50" s="68">
        <v>15</v>
      </c>
      <c r="K50" s="68">
        <v>0</v>
      </c>
      <c r="L50" s="48" t="s">
        <v>1713</v>
      </c>
      <c r="M50" s="48" t="s">
        <v>1713</v>
      </c>
      <c r="N50" s="23">
        <v>500</v>
      </c>
      <c r="O50" s="48" t="s">
        <v>1713</v>
      </c>
    </row>
    <row r="51" spans="1:15" x14ac:dyDescent="0.25">
      <c r="A51" s="23">
        <v>49</v>
      </c>
      <c r="B51" s="369">
        <v>401819.14500000002</v>
      </c>
      <c r="C51" s="48" t="s">
        <v>862</v>
      </c>
      <c r="D51" s="97" t="s">
        <v>1713</v>
      </c>
      <c r="E51" s="97" t="s">
        <v>1760</v>
      </c>
      <c r="F51" s="325"/>
      <c r="G51" s="97" t="s">
        <v>1713</v>
      </c>
      <c r="H51" s="48" t="s">
        <v>1228</v>
      </c>
      <c r="I51" s="68">
        <v>12000</v>
      </c>
      <c r="J51" s="68">
        <v>15</v>
      </c>
      <c r="K51" s="68">
        <v>0</v>
      </c>
      <c r="L51" s="48" t="s">
        <v>1713</v>
      </c>
      <c r="M51" s="48" t="s">
        <v>1713</v>
      </c>
      <c r="N51" s="23">
        <v>500</v>
      </c>
      <c r="O51" s="48" t="s">
        <v>1713</v>
      </c>
    </row>
    <row r="52" spans="1:15" s="380" customFormat="1" x14ac:dyDescent="0.25">
      <c r="A52" s="372">
        <v>50</v>
      </c>
      <c r="B52" s="373">
        <v>459185.36999999994</v>
      </c>
      <c r="C52" s="374" t="s">
        <v>1713</v>
      </c>
      <c r="D52" s="375" t="s">
        <v>1713</v>
      </c>
      <c r="E52" s="375" t="s">
        <v>1761</v>
      </c>
      <c r="F52" s="376"/>
      <c r="G52" s="375" t="s">
        <v>1762</v>
      </c>
      <c r="H52" s="374" t="s">
        <v>647</v>
      </c>
      <c r="I52" s="378">
        <v>15000</v>
      </c>
      <c r="J52" s="378">
        <v>20</v>
      </c>
      <c r="K52" s="378">
        <v>0</v>
      </c>
      <c r="L52" s="374" t="s">
        <v>1713</v>
      </c>
      <c r="M52" s="374" t="s">
        <v>1713</v>
      </c>
      <c r="N52" s="372">
        <v>500</v>
      </c>
      <c r="O52" s="374" t="s">
        <v>1850</v>
      </c>
    </row>
    <row r="53" spans="1:15" x14ac:dyDescent="0.25">
      <c r="A53" s="23">
        <v>51</v>
      </c>
      <c r="B53" s="369">
        <v>456549.8</v>
      </c>
      <c r="C53" s="48" t="s">
        <v>1713</v>
      </c>
      <c r="D53" s="97" t="s">
        <v>1713</v>
      </c>
      <c r="E53" s="97" t="s">
        <v>1763</v>
      </c>
      <c r="F53" s="325"/>
      <c r="G53" s="97" t="s">
        <v>1713</v>
      </c>
      <c r="H53" s="48" t="s">
        <v>647</v>
      </c>
      <c r="I53" s="366">
        <v>15000</v>
      </c>
      <c r="J53" s="68">
        <v>20</v>
      </c>
      <c r="K53" s="68">
        <v>0</v>
      </c>
      <c r="L53" s="48" t="s">
        <v>1713</v>
      </c>
      <c r="M53" s="48" t="s">
        <v>1713</v>
      </c>
      <c r="N53" s="23">
        <v>500</v>
      </c>
      <c r="O53" s="48" t="s">
        <v>1713</v>
      </c>
    </row>
    <row r="54" spans="1:15" x14ac:dyDescent="0.25">
      <c r="A54" s="23">
        <v>52</v>
      </c>
      <c r="B54" s="369">
        <v>577610.88</v>
      </c>
      <c r="C54" s="48" t="s">
        <v>1713</v>
      </c>
      <c r="D54" s="97" t="s">
        <v>1713</v>
      </c>
      <c r="E54" s="97" t="s">
        <v>1764</v>
      </c>
      <c r="F54" s="325"/>
      <c r="G54" s="97" t="s">
        <v>1713</v>
      </c>
      <c r="H54" s="48" t="s">
        <v>647</v>
      </c>
      <c r="I54" s="68">
        <v>18000</v>
      </c>
      <c r="J54" s="68">
        <v>20</v>
      </c>
      <c r="K54" s="68">
        <v>0</v>
      </c>
      <c r="L54" s="48" t="s">
        <v>1713</v>
      </c>
      <c r="M54" s="48" t="s">
        <v>1713</v>
      </c>
      <c r="N54" s="23">
        <v>500</v>
      </c>
      <c r="O54" s="48" t="s">
        <v>1713</v>
      </c>
    </row>
    <row r="55" spans="1:15" x14ac:dyDescent="0.25">
      <c r="A55" s="23">
        <v>53</v>
      </c>
      <c r="B55" s="369">
        <v>601638.23999999987</v>
      </c>
      <c r="C55" s="48" t="s">
        <v>1713</v>
      </c>
      <c r="D55" s="97" t="s">
        <v>1713</v>
      </c>
      <c r="E55" s="97" t="s">
        <v>1147</v>
      </c>
      <c r="F55" s="325"/>
      <c r="G55" s="97" t="s">
        <v>1713</v>
      </c>
      <c r="H55" s="48" t="s">
        <v>647</v>
      </c>
      <c r="I55" s="68">
        <v>18000</v>
      </c>
      <c r="J55" s="68">
        <v>20</v>
      </c>
      <c r="K55" s="68">
        <v>0</v>
      </c>
      <c r="L55" s="48" t="s">
        <v>1713</v>
      </c>
      <c r="M55" s="48" t="s">
        <v>1713</v>
      </c>
      <c r="N55" s="23">
        <v>500</v>
      </c>
      <c r="O55" s="48" t="s">
        <v>1713</v>
      </c>
    </row>
    <row r="56" spans="1:15" x14ac:dyDescent="0.25">
      <c r="A56" s="23">
        <v>54</v>
      </c>
      <c r="B56" s="369">
        <v>632457.84</v>
      </c>
      <c r="C56" s="48" t="s">
        <v>1713</v>
      </c>
      <c r="D56" s="97" t="s">
        <v>1713</v>
      </c>
      <c r="E56" s="97" t="s">
        <v>1765</v>
      </c>
      <c r="F56" s="325"/>
      <c r="G56" s="97" t="s">
        <v>1713</v>
      </c>
      <c r="H56" s="48" t="s">
        <v>647</v>
      </c>
      <c r="I56" s="68">
        <v>18000</v>
      </c>
      <c r="J56" s="68">
        <v>20</v>
      </c>
      <c r="K56" s="68">
        <v>0</v>
      </c>
      <c r="L56" s="48" t="s">
        <v>1713</v>
      </c>
      <c r="M56" s="48" t="s">
        <v>1713</v>
      </c>
      <c r="N56" s="23">
        <v>500</v>
      </c>
      <c r="O56" s="48" t="s">
        <v>1713</v>
      </c>
    </row>
    <row r="57" spans="1:15" x14ac:dyDescent="0.25">
      <c r="A57" s="23">
        <v>55</v>
      </c>
      <c r="B57" s="369">
        <v>660873.35999999987</v>
      </c>
      <c r="C57" s="48" t="s">
        <v>1713</v>
      </c>
      <c r="D57" s="97" t="s">
        <v>1713</v>
      </c>
      <c r="E57" s="97" t="s">
        <v>1140</v>
      </c>
      <c r="F57" s="325"/>
      <c r="G57" s="97" t="s">
        <v>1713</v>
      </c>
      <c r="H57" s="48" t="s">
        <v>647</v>
      </c>
      <c r="I57" s="366">
        <v>20000</v>
      </c>
      <c r="J57" s="68">
        <v>20</v>
      </c>
      <c r="K57" s="68">
        <v>0</v>
      </c>
      <c r="L57" s="48" t="s">
        <v>1713</v>
      </c>
      <c r="M57" s="48" t="s">
        <v>1713</v>
      </c>
      <c r="N57" s="23">
        <v>500</v>
      </c>
      <c r="O57" s="48" t="s">
        <v>1713</v>
      </c>
    </row>
    <row r="58" spans="1:15" x14ac:dyDescent="0.25">
      <c r="A58" s="23">
        <v>56</v>
      </c>
      <c r="B58" s="369">
        <v>692801.75999999989</v>
      </c>
      <c r="C58" s="48" t="s">
        <v>1713</v>
      </c>
      <c r="D58" s="97" t="s">
        <v>1713</v>
      </c>
      <c r="E58" s="97" t="s">
        <v>1766</v>
      </c>
      <c r="F58" s="325"/>
      <c r="G58" s="97" t="s">
        <v>1713</v>
      </c>
      <c r="H58" s="48" t="s">
        <v>647</v>
      </c>
      <c r="I58" s="366">
        <v>20000</v>
      </c>
      <c r="J58" s="68">
        <v>20</v>
      </c>
      <c r="K58" s="68">
        <v>0</v>
      </c>
      <c r="L58" s="48" t="s">
        <v>1713</v>
      </c>
      <c r="M58" s="48" t="s">
        <v>1713</v>
      </c>
      <c r="N58" s="23">
        <v>500</v>
      </c>
      <c r="O58" s="48" t="s">
        <v>1713</v>
      </c>
    </row>
    <row r="59" spans="1:15" x14ac:dyDescent="0.25">
      <c r="A59" s="23">
        <v>57</v>
      </c>
      <c r="B59" s="369">
        <v>718793.03999999992</v>
      </c>
      <c r="C59" s="48" t="s">
        <v>1713</v>
      </c>
      <c r="D59" s="97" t="s">
        <v>1713</v>
      </c>
      <c r="E59" s="97"/>
      <c r="F59" s="325">
        <v>7</v>
      </c>
      <c r="G59" s="97" t="s">
        <v>1713</v>
      </c>
      <c r="H59" s="48" t="s">
        <v>647</v>
      </c>
      <c r="I59" s="68">
        <v>22000</v>
      </c>
      <c r="J59" s="68">
        <v>20</v>
      </c>
      <c r="K59" s="68">
        <v>0</v>
      </c>
      <c r="L59" s="48" t="s">
        <v>1713</v>
      </c>
      <c r="M59" s="48" t="s">
        <v>1713</v>
      </c>
      <c r="N59" s="23">
        <v>500</v>
      </c>
      <c r="O59" s="48" t="s">
        <v>1713</v>
      </c>
    </row>
    <row r="60" spans="1:15" x14ac:dyDescent="0.25">
      <c r="A60" s="23">
        <v>58</v>
      </c>
      <c r="B60" s="369">
        <v>751826.87999999989</v>
      </c>
      <c r="C60" s="48" t="s">
        <v>869</v>
      </c>
      <c r="D60" s="97" t="s">
        <v>1713</v>
      </c>
      <c r="E60" s="97"/>
      <c r="F60" s="325"/>
      <c r="G60" s="97" t="s">
        <v>1713</v>
      </c>
      <c r="H60" s="48" t="s">
        <v>647</v>
      </c>
      <c r="I60" s="68">
        <v>22000</v>
      </c>
      <c r="J60" s="68">
        <v>20</v>
      </c>
      <c r="K60" s="68">
        <v>0</v>
      </c>
      <c r="L60" s="48" t="s">
        <v>1713</v>
      </c>
      <c r="M60" s="48" t="s">
        <v>1713</v>
      </c>
      <c r="N60" s="23">
        <v>500</v>
      </c>
      <c r="O60" s="48" t="s">
        <v>1713</v>
      </c>
    </row>
    <row r="61" spans="1:15" x14ac:dyDescent="0.25">
      <c r="A61" s="23">
        <v>59</v>
      </c>
      <c r="B61" s="369">
        <v>774390.96</v>
      </c>
      <c r="C61" s="48" t="s">
        <v>1713</v>
      </c>
      <c r="D61" s="97" t="s">
        <v>1713</v>
      </c>
      <c r="E61" s="97" t="s">
        <v>1767</v>
      </c>
      <c r="F61" s="325"/>
      <c r="G61" s="97" t="s">
        <v>1713</v>
      </c>
      <c r="H61" s="48" t="s">
        <v>647</v>
      </c>
      <c r="I61" s="68">
        <v>22000</v>
      </c>
      <c r="J61" s="68">
        <v>20</v>
      </c>
      <c r="K61" s="68">
        <v>0</v>
      </c>
      <c r="L61" s="48" t="s">
        <v>1713</v>
      </c>
      <c r="M61" s="48" t="s">
        <v>1713</v>
      </c>
      <c r="N61" s="23">
        <v>500</v>
      </c>
      <c r="O61" s="48" t="s">
        <v>1713</v>
      </c>
    </row>
    <row r="62" spans="1:15" x14ac:dyDescent="0.25">
      <c r="A62" s="23">
        <v>60</v>
      </c>
      <c r="B62" s="369">
        <v>817545.11999999988</v>
      </c>
      <c r="C62" s="48" t="s">
        <v>1713</v>
      </c>
      <c r="D62" s="97" t="s">
        <v>1713</v>
      </c>
      <c r="E62" s="97" t="s">
        <v>1768</v>
      </c>
      <c r="F62" s="325"/>
      <c r="G62" s="97" t="s">
        <v>1713</v>
      </c>
      <c r="H62" s="48" t="s">
        <v>647</v>
      </c>
      <c r="I62" s="68">
        <v>25000</v>
      </c>
      <c r="J62" s="68">
        <v>20</v>
      </c>
      <c r="K62" s="68">
        <v>0</v>
      </c>
      <c r="L62" s="48" t="s">
        <v>1713</v>
      </c>
      <c r="M62" s="48" t="s">
        <v>1713</v>
      </c>
      <c r="N62" s="23">
        <v>500</v>
      </c>
      <c r="O62" s="48" t="s">
        <v>1713</v>
      </c>
    </row>
    <row r="63" spans="1:15" x14ac:dyDescent="0.25">
      <c r="A63" s="23">
        <v>61</v>
      </c>
      <c r="B63" s="369">
        <v>855057.84</v>
      </c>
      <c r="C63" s="48" t="s">
        <v>1713</v>
      </c>
      <c r="D63" s="97" t="s">
        <v>1713</v>
      </c>
      <c r="E63" s="97" t="s">
        <v>1769</v>
      </c>
      <c r="F63" s="325"/>
      <c r="G63" s="97" t="s">
        <v>1713</v>
      </c>
      <c r="H63" s="48" t="s">
        <v>647</v>
      </c>
      <c r="I63" s="68">
        <v>25000</v>
      </c>
      <c r="J63" s="68">
        <v>20</v>
      </c>
      <c r="K63" s="68">
        <v>0</v>
      </c>
      <c r="L63" s="48" t="s">
        <v>1713</v>
      </c>
      <c r="M63" s="48" t="s">
        <v>1713</v>
      </c>
      <c r="N63" s="23">
        <v>500</v>
      </c>
      <c r="O63" s="48" t="s">
        <v>1713</v>
      </c>
    </row>
    <row r="64" spans="1:15" x14ac:dyDescent="0.25">
      <c r="A64" s="23">
        <v>62</v>
      </c>
      <c r="B64" s="369">
        <v>900515.27999999991</v>
      </c>
      <c r="C64" s="48" t="s">
        <v>1770</v>
      </c>
      <c r="D64" s="97" t="s">
        <v>1713</v>
      </c>
      <c r="E64" s="97"/>
      <c r="F64" s="325"/>
      <c r="G64" s="97" t="s">
        <v>1713</v>
      </c>
      <c r="H64" s="48" t="s">
        <v>647</v>
      </c>
      <c r="I64" s="68">
        <v>27000</v>
      </c>
      <c r="J64" s="68">
        <v>20</v>
      </c>
      <c r="K64" s="68">
        <v>0</v>
      </c>
      <c r="L64" s="48" t="s">
        <v>1713</v>
      </c>
      <c r="M64" s="48" t="s">
        <v>1713</v>
      </c>
      <c r="N64" s="23">
        <v>500</v>
      </c>
      <c r="O64" s="48" t="s">
        <v>1713</v>
      </c>
    </row>
    <row r="65" spans="1:15" x14ac:dyDescent="0.25">
      <c r="A65" s="23">
        <v>63</v>
      </c>
      <c r="B65" s="369">
        <v>999235.79999999993</v>
      </c>
      <c r="C65" s="48" t="s">
        <v>1713</v>
      </c>
      <c r="D65" s="97" t="s">
        <v>1713</v>
      </c>
      <c r="E65" s="97" t="s">
        <v>1771</v>
      </c>
      <c r="F65" s="325"/>
      <c r="G65" s="97" t="s">
        <v>1772</v>
      </c>
      <c r="H65" s="48" t="s">
        <v>647</v>
      </c>
      <c r="I65" s="68">
        <v>27000</v>
      </c>
      <c r="J65" s="68">
        <v>20</v>
      </c>
      <c r="K65" s="68">
        <v>0</v>
      </c>
      <c r="L65" s="48" t="s">
        <v>1713</v>
      </c>
      <c r="M65" s="48" t="s">
        <v>1713</v>
      </c>
      <c r="N65" s="23">
        <v>500</v>
      </c>
      <c r="O65" s="48" t="s">
        <v>1713</v>
      </c>
    </row>
    <row r="66" spans="1:15" x14ac:dyDescent="0.25">
      <c r="A66" s="23">
        <v>64</v>
      </c>
      <c r="B66" s="369">
        <v>1041937.2</v>
      </c>
      <c r="C66" s="48" t="s">
        <v>1713</v>
      </c>
      <c r="D66" s="97" t="s">
        <v>1713</v>
      </c>
      <c r="E66" s="97"/>
      <c r="F66" s="325"/>
      <c r="G66" s="97" t="s">
        <v>1713</v>
      </c>
      <c r="H66" s="48" t="s">
        <v>647</v>
      </c>
      <c r="I66" s="68">
        <v>27000</v>
      </c>
      <c r="J66" s="68">
        <v>20</v>
      </c>
      <c r="K66" s="68">
        <v>0</v>
      </c>
      <c r="L66" s="48" t="s">
        <v>1713</v>
      </c>
      <c r="M66" s="48" t="s">
        <v>1713</v>
      </c>
      <c r="N66" s="23">
        <v>500</v>
      </c>
      <c r="O66" s="48" t="s">
        <v>1713</v>
      </c>
    </row>
    <row r="67" spans="1:15" x14ac:dyDescent="0.25">
      <c r="A67" s="23">
        <v>65</v>
      </c>
      <c r="B67" s="369">
        <v>1077732</v>
      </c>
      <c r="C67" s="48" t="s">
        <v>1713</v>
      </c>
      <c r="D67" s="97" t="s">
        <v>1713</v>
      </c>
      <c r="E67" s="97" t="s">
        <v>1773</v>
      </c>
      <c r="F67" s="325"/>
      <c r="G67" s="97" t="s">
        <v>1713</v>
      </c>
      <c r="H67" s="48" t="s">
        <v>647</v>
      </c>
      <c r="I67" s="68">
        <v>30000</v>
      </c>
      <c r="J67" s="68">
        <v>20</v>
      </c>
      <c r="K67" s="68">
        <v>0</v>
      </c>
      <c r="L67" s="48" t="s">
        <v>1713</v>
      </c>
      <c r="M67" s="48" t="s">
        <v>1713</v>
      </c>
      <c r="N67" s="23">
        <v>500</v>
      </c>
      <c r="O67" s="48" t="s">
        <v>1713</v>
      </c>
    </row>
    <row r="68" spans="1:15" x14ac:dyDescent="0.25">
      <c r="A68" s="23">
        <v>66</v>
      </c>
      <c r="B68" s="369">
        <v>1121999.3999999999</v>
      </c>
      <c r="C68" s="48" t="s">
        <v>1713</v>
      </c>
      <c r="D68" s="97" t="s">
        <v>1713</v>
      </c>
      <c r="E68" s="97" t="s">
        <v>1774</v>
      </c>
      <c r="F68" s="325"/>
      <c r="G68" s="97" t="s">
        <v>1713</v>
      </c>
      <c r="H68" s="48" t="s">
        <v>647</v>
      </c>
      <c r="I68" s="68">
        <v>30000</v>
      </c>
      <c r="J68" s="68">
        <v>20</v>
      </c>
      <c r="K68" s="68">
        <v>0</v>
      </c>
      <c r="L68" s="48" t="s">
        <v>1713</v>
      </c>
      <c r="M68" s="48" t="s">
        <v>1713</v>
      </c>
      <c r="N68" s="23">
        <v>500</v>
      </c>
      <c r="O68" s="48" t="s">
        <v>1713</v>
      </c>
    </row>
    <row r="69" spans="1:15" x14ac:dyDescent="0.25">
      <c r="A69" s="23">
        <v>67</v>
      </c>
      <c r="B69" s="369">
        <v>1159207.2</v>
      </c>
      <c r="C69" s="48" t="s">
        <v>1713</v>
      </c>
      <c r="D69" s="97" t="s">
        <v>1713</v>
      </c>
      <c r="E69" s="97"/>
      <c r="F69" s="325"/>
      <c r="G69" s="97" t="s">
        <v>1713</v>
      </c>
      <c r="H69" s="48" t="s">
        <v>647</v>
      </c>
      <c r="I69" s="68">
        <v>35000</v>
      </c>
      <c r="J69" s="68">
        <v>20</v>
      </c>
      <c r="K69" s="68">
        <v>0</v>
      </c>
      <c r="L69" s="48" t="s">
        <v>1713</v>
      </c>
      <c r="M69" s="48" t="s">
        <v>1713</v>
      </c>
      <c r="N69" s="23">
        <v>500</v>
      </c>
      <c r="O69" s="48" t="s">
        <v>1713</v>
      </c>
    </row>
    <row r="70" spans="1:15" x14ac:dyDescent="0.25">
      <c r="A70" s="23">
        <v>68</v>
      </c>
      <c r="B70" s="369">
        <v>1205166.6000000001</v>
      </c>
      <c r="C70" s="48" t="s">
        <v>1713</v>
      </c>
      <c r="D70" s="97" t="s">
        <v>1713</v>
      </c>
      <c r="E70" s="97"/>
      <c r="F70" s="325">
        <v>8</v>
      </c>
      <c r="G70" s="97" t="s">
        <v>1713</v>
      </c>
      <c r="H70" s="48" t="s">
        <v>647</v>
      </c>
      <c r="I70" s="68">
        <v>35000</v>
      </c>
      <c r="J70" s="68">
        <v>20</v>
      </c>
      <c r="K70" s="68">
        <v>0</v>
      </c>
      <c r="L70" s="48" t="s">
        <v>1713</v>
      </c>
      <c r="M70" s="48" t="s">
        <v>1713</v>
      </c>
      <c r="N70" s="23">
        <v>500</v>
      </c>
      <c r="O70" s="48" t="s">
        <v>1713</v>
      </c>
    </row>
    <row r="71" spans="1:15" x14ac:dyDescent="0.25">
      <c r="A71" s="23">
        <v>69</v>
      </c>
      <c r="B71" s="369">
        <v>1243915.2</v>
      </c>
      <c r="C71" s="48" t="s">
        <v>1713</v>
      </c>
      <c r="D71" s="97" t="s">
        <v>1713</v>
      </c>
      <c r="E71" s="97" t="s">
        <v>1775</v>
      </c>
      <c r="F71" s="325"/>
      <c r="G71" s="97" t="s">
        <v>1713</v>
      </c>
      <c r="H71" s="48" t="s">
        <v>647</v>
      </c>
      <c r="I71" s="68">
        <v>35000</v>
      </c>
      <c r="J71" s="68">
        <v>20</v>
      </c>
      <c r="K71" s="68">
        <v>0</v>
      </c>
      <c r="L71" s="48" t="s">
        <v>1713</v>
      </c>
      <c r="M71" s="48" t="s">
        <v>1713</v>
      </c>
      <c r="N71" s="23">
        <v>500</v>
      </c>
      <c r="O71" s="48" t="s">
        <v>1713</v>
      </c>
    </row>
    <row r="72" spans="1:15" s="380" customFormat="1" x14ac:dyDescent="0.25">
      <c r="A72" s="372">
        <v>70</v>
      </c>
      <c r="B72" s="373">
        <v>1286294.3999999999</v>
      </c>
      <c r="C72" s="374" t="s">
        <v>1713</v>
      </c>
      <c r="D72" s="375" t="s">
        <v>1713</v>
      </c>
      <c r="E72" s="375" t="s">
        <v>1776</v>
      </c>
      <c r="F72" s="376"/>
      <c r="G72" s="375" t="s">
        <v>1713</v>
      </c>
      <c r="H72" s="374" t="s">
        <v>647</v>
      </c>
      <c r="I72" s="378">
        <v>40000</v>
      </c>
      <c r="J72" s="378">
        <v>20</v>
      </c>
      <c r="K72" s="378">
        <v>0</v>
      </c>
      <c r="L72" s="374" t="s">
        <v>1713</v>
      </c>
      <c r="M72" s="374" t="s">
        <v>1713</v>
      </c>
      <c r="N72" s="372">
        <v>500</v>
      </c>
      <c r="O72" s="374" t="s">
        <v>1828</v>
      </c>
    </row>
    <row r="73" spans="1:15" x14ac:dyDescent="0.25">
      <c r="A73" s="23">
        <v>71</v>
      </c>
      <c r="B73" s="369">
        <v>1333015.2</v>
      </c>
      <c r="C73" s="48" t="s">
        <v>1713</v>
      </c>
      <c r="D73" s="97" t="s">
        <v>1713</v>
      </c>
      <c r="E73" s="97"/>
      <c r="F73" s="325"/>
      <c r="G73" s="97" t="s">
        <v>1713</v>
      </c>
      <c r="H73" s="48" t="s">
        <v>647</v>
      </c>
      <c r="I73" s="68">
        <v>40000</v>
      </c>
      <c r="J73" s="68">
        <v>20</v>
      </c>
      <c r="K73" s="68">
        <v>0</v>
      </c>
      <c r="L73" s="48" t="s">
        <v>1713</v>
      </c>
      <c r="M73" s="48" t="s">
        <v>1713</v>
      </c>
      <c r="N73" s="23">
        <v>500</v>
      </c>
      <c r="O73" s="48" t="s">
        <v>1713</v>
      </c>
    </row>
    <row r="74" spans="1:15" x14ac:dyDescent="0.25">
      <c r="A74" s="23">
        <v>72</v>
      </c>
      <c r="B74" s="369">
        <v>1389128.4</v>
      </c>
      <c r="C74" s="48" t="s">
        <v>1713</v>
      </c>
      <c r="D74" s="97" t="s">
        <v>1713</v>
      </c>
      <c r="E74" s="97"/>
      <c r="F74" s="325"/>
      <c r="G74" s="97" t="s">
        <v>1713</v>
      </c>
      <c r="H74" s="48" t="s">
        <v>647</v>
      </c>
      <c r="I74" s="68">
        <v>45000</v>
      </c>
      <c r="J74" s="68">
        <v>20</v>
      </c>
      <c r="K74" s="68">
        <v>0</v>
      </c>
      <c r="L74" s="48" t="s">
        <v>1713</v>
      </c>
      <c r="M74" s="48" t="s">
        <v>1713</v>
      </c>
      <c r="N74" s="23">
        <v>500</v>
      </c>
      <c r="O74" s="48" t="s">
        <v>1713</v>
      </c>
    </row>
    <row r="75" spans="1:15" x14ac:dyDescent="0.25">
      <c r="A75" s="23">
        <v>73</v>
      </c>
      <c r="B75" s="369">
        <v>1533893.76</v>
      </c>
      <c r="C75" s="48" t="s">
        <v>1713</v>
      </c>
      <c r="D75" s="97" t="s">
        <v>1713</v>
      </c>
      <c r="E75" s="97" t="s">
        <v>1777</v>
      </c>
      <c r="F75" s="325"/>
      <c r="G75" s="97" t="s">
        <v>1778</v>
      </c>
      <c r="H75" s="48" t="s">
        <v>647</v>
      </c>
      <c r="I75" s="68">
        <v>45000</v>
      </c>
      <c r="J75" s="68">
        <v>20</v>
      </c>
      <c r="K75" s="68">
        <v>0</v>
      </c>
      <c r="L75" s="48" t="s">
        <v>1713</v>
      </c>
      <c r="M75" s="48" t="s">
        <v>1713</v>
      </c>
      <c r="N75" s="23">
        <v>500</v>
      </c>
      <c r="O75" s="48" t="s">
        <v>1713</v>
      </c>
    </row>
    <row r="76" spans="1:15" x14ac:dyDescent="0.25">
      <c r="A76" s="23">
        <v>74</v>
      </c>
      <c r="B76" s="369">
        <v>1600110.72</v>
      </c>
      <c r="C76" s="48" t="s">
        <v>877</v>
      </c>
      <c r="D76" s="97" t="s">
        <v>1713</v>
      </c>
      <c r="E76" s="97" t="s">
        <v>1779</v>
      </c>
      <c r="F76" s="325"/>
      <c r="G76" s="97" t="s">
        <v>1713</v>
      </c>
      <c r="H76" s="48" t="s">
        <v>647</v>
      </c>
      <c r="I76" s="68">
        <v>45000</v>
      </c>
      <c r="J76" s="68">
        <v>20</v>
      </c>
      <c r="K76" s="68">
        <v>0</v>
      </c>
      <c r="L76" s="48" t="s">
        <v>1713</v>
      </c>
      <c r="M76" s="48" t="s">
        <v>1713</v>
      </c>
      <c r="N76" s="23">
        <v>500</v>
      </c>
      <c r="O76" s="48" t="s">
        <v>1713</v>
      </c>
    </row>
    <row r="77" spans="1:15" x14ac:dyDescent="0.25">
      <c r="A77" s="23">
        <v>75</v>
      </c>
      <c r="B77" s="369">
        <v>1643184</v>
      </c>
      <c r="C77" s="48" t="s">
        <v>1713</v>
      </c>
      <c r="D77" s="97" t="s">
        <v>1713</v>
      </c>
      <c r="E77" s="97"/>
      <c r="F77" s="325"/>
      <c r="G77" s="97" t="s">
        <v>1713</v>
      </c>
      <c r="H77" s="48" t="s">
        <v>647</v>
      </c>
      <c r="I77" s="68">
        <v>50000</v>
      </c>
      <c r="J77" s="68">
        <v>20</v>
      </c>
      <c r="K77" s="68">
        <v>0</v>
      </c>
      <c r="L77" s="48" t="s">
        <v>1713</v>
      </c>
      <c r="M77" s="48" t="s">
        <v>1713</v>
      </c>
      <c r="N77" s="23">
        <v>500</v>
      </c>
      <c r="O77" s="48" t="s">
        <v>1713</v>
      </c>
    </row>
    <row r="78" spans="1:15" x14ac:dyDescent="0.25">
      <c r="A78" s="23">
        <v>76</v>
      </c>
      <c r="B78" s="369">
        <v>1696350.72</v>
      </c>
      <c r="C78" s="48" t="s">
        <v>1713</v>
      </c>
      <c r="D78" s="97" t="s">
        <v>1713</v>
      </c>
      <c r="E78" s="97" t="s">
        <v>1780</v>
      </c>
      <c r="F78" s="325"/>
      <c r="G78" s="97" t="s">
        <v>1713</v>
      </c>
      <c r="H78" s="48" t="s">
        <v>647</v>
      </c>
      <c r="I78" s="68">
        <v>50000</v>
      </c>
      <c r="J78" s="68">
        <v>20</v>
      </c>
      <c r="K78" s="68">
        <v>0</v>
      </c>
      <c r="L78" s="48" t="s">
        <v>1713</v>
      </c>
      <c r="M78" s="48" t="s">
        <v>1713</v>
      </c>
      <c r="N78" s="23">
        <v>500</v>
      </c>
      <c r="O78" s="48" t="s">
        <v>1713</v>
      </c>
    </row>
    <row r="79" spans="1:15" x14ac:dyDescent="0.25">
      <c r="A79" s="23">
        <v>77</v>
      </c>
      <c r="B79" s="369">
        <v>1740931.2000000002</v>
      </c>
      <c r="C79" s="48" t="s">
        <v>1713</v>
      </c>
      <c r="D79" s="97" t="s">
        <v>1713</v>
      </c>
      <c r="E79" s="97" t="s">
        <v>1781</v>
      </c>
      <c r="F79" s="325"/>
      <c r="G79" s="97" t="s">
        <v>1713</v>
      </c>
      <c r="H79" s="48" t="s">
        <v>647</v>
      </c>
      <c r="I79" s="68">
        <v>55000</v>
      </c>
      <c r="J79" s="68">
        <v>20</v>
      </c>
      <c r="K79" s="68">
        <v>0</v>
      </c>
      <c r="L79" s="48" t="s">
        <v>1713</v>
      </c>
      <c r="M79" s="48" t="s">
        <v>1713</v>
      </c>
      <c r="N79" s="23">
        <v>500</v>
      </c>
      <c r="O79" s="48" t="s">
        <v>1713</v>
      </c>
    </row>
    <row r="80" spans="1:15" x14ac:dyDescent="0.25">
      <c r="A80" s="23">
        <v>78</v>
      </c>
      <c r="B80" s="369">
        <v>1795747.2000000002</v>
      </c>
      <c r="C80" s="48" t="s">
        <v>1713</v>
      </c>
      <c r="D80" s="97" t="s">
        <v>1713</v>
      </c>
      <c r="E80" s="97"/>
      <c r="F80" s="325"/>
      <c r="G80" s="97" t="s">
        <v>1713</v>
      </c>
      <c r="H80" s="48" t="s">
        <v>647</v>
      </c>
      <c r="I80" s="68">
        <v>55000</v>
      </c>
      <c r="J80" s="68">
        <v>20</v>
      </c>
      <c r="K80" s="68">
        <v>0</v>
      </c>
      <c r="L80" s="48" t="s">
        <v>1713</v>
      </c>
      <c r="M80" s="48" t="s">
        <v>1713</v>
      </c>
      <c r="N80" s="23">
        <v>500</v>
      </c>
      <c r="O80" s="48" t="s">
        <v>1713</v>
      </c>
    </row>
    <row r="81" spans="1:15" x14ac:dyDescent="0.25">
      <c r="A81" s="23">
        <v>79</v>
      </c>
      <c r="B81" s="369">
        <v>1846043.52</v>
      </c>
      <c r="C81" s="48" t="s">
        <v>1713</v>
      </c>
      <c r="D81" s="97" t="s">
        <v>1713</v>
      </c>
      <c r="E81" s="97"/>
      <c r="F81" s="325"/>
      <c r="G81" s="97" t="s">
        <v>1713</v>
      </c>
      <c r="H81" s="48" t="s">
        <v>647</v>
      </c>
      <c r="I81" s="68">
        <v>55000</v>
      </c>
      <c r="J81" s="68">
        <v>20</v>
      </c>
      <c r="K81" s="68">
        <v>0</v>
      </c>
      <c r="L81" s="48" t="s">
        <v>1713</v>
      </c>
      <c r="M81" s="48" t="s">
        <v>1713</v>
      </c>
      <c r="N81" s="23">
        <v>500</v>
      </c>
      <c r="O81" s="48" t="s">
        <v>1713</v>
      </c>
    </row>
    <row r="82" spans="1:15" x14ac:dyDescent="0.25">
      <c r="A82" s="23">
        <v>80</v>
      </c>
      <c r="B82" s="369">
        <v>1906919.04</v>
      </c>
      <c r="C82" s="48" t="s">
        <v>1713</v>
      </c>
      <c r="D82" s="97" t="s">
        <v>1713</v>
      </c>
      <c r="E82" s="97" t="s">
        <v>1782</v>
      </c>
      <c r="F82" s="325">
        <v>9</v>
      </c>
      <c r="G82" s="97" t="s">
        <v>1713</v>
      </c>
      <c r="H82" s="48" t="s">
        <v>647</v>
      </c>
      <c r="I82" s="68">
        <v>60000</v>
      </c>
      <c r="J82" s="68">
        <v>30</v>
      </c>
      <c r="K82" s="68">
        <v>0</v>
      </c>
      <c r="L82" s="48" t="s">
        <v>1713</v>
      </c>
      <c r="M82" s="48" t="s">
        <v>1713</v>
      </c>
      <c r="N82" s="23">
        <v>500</v>
      </c>
      <c r="O82" s="48" t="s">
        <v>1713</v>
      </c>
    </row>
    <row r="83" spans="1:15" x14ac:dyDescent="0.25">
      <c r="A83" s="23">
        <v>81</v>
      </c>
      <c r="B83" s="369">
        <v>1636222.4000000001</v>
      </c>
      <c r="C83" s="48" t="s">
        <v>1713</v>
      </c>
      <c r="D83" s="97" t="s">
        <v>1713</v>
      </c>
      <c r="E83" s="97" t="s">
        <v>1783</v>
      </c>
      <c r="F83" s="325"/>
      <c r="G83" s="97" t="s">
        <v>1713</v>
      </c>
      <c r="H83" s="48" t="s">
        <v>647</v>
      </c>
      <c r="I83" s="68">
        <v>60000</v>
      </c>
      <c r="J83" s="68">
        <v>30</v>
      </c>
      <c r="K83" s="68">
        <v>0</v>
      </c>
      <c r="L83" s="48" t="s">
        <v>1713</v>
      </c>
      <c r="M83" s="48" t="s">
        <v>1713</v>
      </c>
      <c r="N83" s="23">
        <v>500</v>
      </c>
      <c r="O83" s="48" t="s">
        <v>1713</v>
      </c>
    </row>
    <row r="84" spans="1:15" x14ac:dyDescent="0.25">
      <c r="A84" s="23">
        <v>82</v>
      </c>
      <c r="B84" s="369">
        <v>1681324.8</v>
      </c>
      <c r="C84" s="48" t="s">
        <v>1713</v>
      </c>
      <c r="D84" s="97" t="s">
        <v>1713</v>
      </c>
      <c r="E84" s="97" t="s">
        <v>1784</v>
      </c>
      <c r="F84" s="325"/>
      <c r="G84" s="97" t="s">
        <v>1713</v>
      </c>
      <c r="H84" s="48" t="s">
        <v>647</v>
      </c>
      <c r="I84" s="68">
        <v>65000</v>
      </c>
      <c r="J84" s="68">
        <v>30</v>
      </c>
      <c r="K84" s="68">
        <v>0</v>
      </c>
      <c r="L84" s="48" t="s">
        <v>1713</v>
      </c>
      <c r="M84" s="48" t="s">
        <v>1713</v>
      </c>
      <c r="N84" s="23">
        <v>500</v>
      </c>
      <c r="O84" s="48" t="s">
        <v>1713</v>
      </c>
    </row>
    <row r="85" spans="1:15" x14ac:dyDescent="0.25">
      <c r="A85" s="23">
        <v>83</v>
      </c>
      <c r="B85" s="369">
        <v>1718771.2000000002</v>
      </c>
      <c r="C85" s="48" t="s">
        <v>889</v>
      </c>
      <c r="D85" s="97" t="s">
        <v>1713</v>
      </c>
      <c r="E85" s="97"/>
      <c r="F85" s="325"/>
      <c r="G85" s="97" t="s">
        <v>1713</v>
      </c>
      <c r="H85" s="48" t="s">
        <v>647</v>
      </c>
      <c r="I85" s="68">
        <v>65000</v>
      </c>
      <c r="J85" s="68">
        <v>30</v>
      </c>
      <c r="K85" s="68">
        <v>0</v>
      </c>
      <c r="L85" s="48" t="s">
        <v>1713</v>
      </c>
      <c r="M85" s="48" t="s">
        <v>1713</v>
      </c>
      <c r="N85" s="23">
        <v>500</v>
      </c>
      <c r="O85" s="48" t="s">
        <v>1713</v>
      </c>
    </row>
    <row r="86" spans="1:15" x14ac:dyDescent="0.25">
      <c r="A86" s="23">
        <v>84</v>
      </c>
      <c r="B86" s="369">
        <v>1764990.4000000001</v>
      </c>
      <c r="C86" s="48" t="s">
        <v>1713</v>
      </c>
      <c r="D86" s="97" t="s">
        <v>1713</v>
      </c>
      <c r="E86" s="97" t="s">
        <v>1785</v>
      </c>
      <c r="F86" s="325"/>
      <c r="G86" s="97" t="s">
        <v>1713</v>
      </c>
      <c r="H86" s="48" t="s">
        <v>647</v>
      </c>
      <c r="I86" s="68">
        <v>65000</v>
      </c>
      <c r="J86" s="68">
        <v>30</v>
      </c>
      <c r="K86" s="68">
        <v>0</v>
      </c>
      <c r="L86" s="48" t="s">
        <v>1713</v>
      </c>
      <c r="M86" s="48" t="s">
        <v>1713</v>
      </c>
      <c r="N86" s="23">
        <v>500</v>
      </c>
      <c r="O86" s="48" t="s">
        <v>1713</v>
      </c>
    </row>
    <row r="87" spans="1:15" x14ac:dyDescent="0.25">
      <c r="A87" s="23">
        <v>85</v>
      </c>
      <c r="B87" s="369">
        <v>1920875.9</v>
      </c>
      <c r="C87" s="48" t="s">
        <v>1713</v>
      </c>
      <c r="D87" s="97" t="s">
        <v>1713</v>
      </c>
      <c r="E87" s="97" t="s">
        <v>1786</v>
      </c>
      <c r="F87" s="325"/>
      <c r="G87" s="97" t="s">
        <v>1787</v>
      </c>
      <c r="H87" s="48" t="s">
        <v>647</v>
      </c>
      <c r="I87" s="68">
        <v>70000</v>
      </c>
      <c r="J87" s="68">
        <v>30</v>
      </c>
      <c r="K87" s="68">
        <v>0</v>
      </c>
      <c r="L87" s="48" t="s">
        <v>1713</v>
      </c>
      <c r="M87" s="48" t="s">
        <v>1713</v>
      </c>
      <c r="N87" s="23">
        <v>500</v>
      </c>
      <c r="O87" s="48" t="s">
        <v>1713</v>
      </c>
    </row>
    <row r="88" spans="1:15" x14ac:dyDescent="0.25">
      <c r="A88" s="23">
        <v>86</v>
      </c>
      <c r="B88" s="369">
        <v>1971335.3</v>
      </c>
      <c r="C88" s="48" t="s">
        <v>1713</v>
      </c>
      <c r="D88" s="97" t="s">
        <v>1713</v>
      </c>
      <c r="E88" s="97"/>
      <c r="F88" s="325"/>
      <c r="G88" s="97" t="s">
        <v>1713</v>
      </c>
      <c r="H88" s="48" t="s">
        <v>647</v>
      </c>
      <c r="I88" s="68">
        <v>70000</v>
      </c>
      <c r="J88" s="68">
        <v>30</v>
      </c>
      <c r="K88" s="68">
        <v>0</v>
      </c>
      <c r="L88" s="48" t="s">
        <v>1713</v>
      </c>
      <c r="M88" s="48" t="s">
        <v>1713</v>
      </c>
      <c r="N88" s="23">
        <v>500</v>
      </c>
      <c r="O88" s="48" t="s">
        <v>1713</v>
      </c>
    </row>
    <row r="89" spans="1:15" x14ac:dyDescent="0.25">
      <c r="A89" s="23">
        <v>87</v>
      </c>
      <c r="B89" s="369">
        <v>2013522.5</v>
      </c>
      <c r="C89" s="48" t="s">
        <v>1713</v>
      </c>
      <c r="D89" s="97" t="s">
        <v>1713</v>
      </c>
      <c r="E89" s="97" t="s">
        <v>1788</v>
      </c>
      <c r="F89" s="325"/>
      <c r="G89" s="97" t="s">
        <v>1713</v>
      </c>
      <c r="H89" s="48" t="s">
        <v>647</v>
      </c>
      <c r="I89" s="68">
        <v>75000</v>
      </c>
      <c r="J89" s="68">
        <v>30</v>
      </c>
      <c r="K89" s="68">
        <v>0</v>
      </c>
      <c r="L89" s="48" t="s">
        <v>1713</v>
      </c>
      <c r="M89" s="48" t="s">
        <v>1713</v>
      </c>
      <c r="N89" s="23">
        <v>500</v>
      </c>
      <c r="O89" s="48" t="s">
        <v>1713</v>
      </c>
    </row>
    <row r="90" spans="1:15" x14ac:dyDescent="0.25">
      <c r="A90" s="23">
        <v>88</v>
      </c>
      <c r="B90" s="369">
        <v>2065330</v>
      </c>
      <c r="C90" s="48" t="s">
        <v>1713</v>
      </c>
      <c r="D90" s="97" t="s">
        <v>1713</v>
      </c>
      <c r="E90" s="97" t="s">
        <v>1789</v>
      </c>
      <c r="F90" s="325"/>
      <c r="G90" s="97" t="s">
        <v>1713</v>
      </c>
      <c r="H90" s="48" t="s">
        <v>647</v>
      </c>
      <c r="I90" s="68">
        <v>75000</v>
      </c>
      <c r="J90" s="68">
        <v>30</v>
      </c>
      <c r="K90" s="68">
        <v>0</v>
      </c>
      <c r="L90" s="48" t="s">
        <v>1713</v>
      </c>
      <c r="M90" s="48" t="s">
        <v>1713</v>
      </c>
      <c r="N90" s="23">
        <v>500</v>
      </c>
      <c r="O90" s="48" t="s">
        <v>1713</v>
      </c>
    </row>
    <row r="91" spans="1:15" x14ac:dyDescent="0.25">
      <c r="A91" s="23">
        <v>89</v>
      </c>
      <c r="B91" s="369">
        <v>2108797.2999999998</v>
      </c>
      <c r="C91" s="48" t="s">
        <v>1713</v>
      </c>
      <c r="D91" s="97" t="s">
        <v>1713</v>
      </c>
      <c r="E91" s="97" t="s">
        <v>1790</v>
      </c>
      <c r="F91" s="325"/>
      <c r="G91" s="97" t="s">
        <v>1713</v>
      </c>
      <c r="H91" s="48" t="s">
        <v>647</v>
      </c>
      <c r="I91" s="68">
        <v>75000</v>
      </c>
      <c r="J91" s="68">
        <v>30</v>
      </c>
      <c r="K91" s="68">
        <v>0</v>
      </c>
      <c r="L91" s="48" t="s">
        <v>1713</v>
      </c>
      <c r="M91" s="48" t="s">
        <v>1713</v>
      </c>
      <c r="N91" s="23">
        <v>500</v>
      </c>
      <c r="O91" s="48" t="s">
        <v>1713</v>
      </c>
    </row>
    <row r="92" spans="1:15" s="380" customFormat="1" x14ac:dyDescent="0.25">
      <c r="A92" s="372">
        <v>90</v>
      </c>
      <c r="B92" s="373">
        <v>2166590.5</v>
      </c>
      <c r="C92" s="374" t="s">
        <v>1713</v>
      </c>
      <c r="D92" s="375" t="s">
        <v>1713</v>
      </c>
      <c r="E92" s="375" t="s">
        <v>1791</v>
      </c>
      <c r="F92" s="376"/>
      <c r="G92" s="375" t="s">
        <v>1713</v>
      </c>
      <c r="H92" s="374" t="s">
        <v>647</v>
      </c>
      <c r="I92" s="378">
        <v>80000</v>
      </c>
      <c r="J92" s="378">
        <v>30</v>
      </c>
      <c r="K92" s="378">
        <v>0</v>
      </c>
      <c r="L92" s="374" t="s">
        <v>1713</v>
      </c>
      <c r="M92" s="374" t="s">
        <v>1713</v>
      </c>
      <c r="N92" s="372">
        <v>500</v>
      </c>
      <c r="O92" s="374" t="s">
        <v>1829</v>
      </c>
    </row>
    <row r="93" spans="1:15" x14ac:dyDescent="0.25">
      <c r="A93" s="23">
        <v>91</v>
      </c>
      <c r="B93" s="369">
        <v>2216125.1</v>
      </c>
      <c r="C93" s="48" t="s">
        <v>1713</v>
      </c>
      <c r="D93" s="97" t="s">
        <v>1713</v>
      </c>
      <c r="E93" s="97" t="s">
        <v>1792</v>
      </c>
      <c r="F93" s="325"/>
      <c r="G93" s="97" t="s">
        <v>1713</v>
      </c>
      <c r="H93" s="48" t="s">
        <v>647</v>
      </c>
      <c r="I93" s="68">
        <v>80000</v>
      </c>
      <c r="J93" s="68">
        <v>30</v>
      </c>
      <c r="K93" s="68">
        <v>0</v>
      </c>
      <c r="L93" s="48" t="s">
        <v>1713</v>
      </c>
      <c r="M93" s="48" t="s">
        <v>1713</v>
      </c>
      <c r="N93" s="23">
        <v>500</v>
      </c>
      <c r="O93" s="48" t="s">
        <v>1713</v>
      </c>
    </row>
    <row r="94" spans="1:15" x14ac:dyDescent="0.25">
      <c r="A94" s="23">
        <v>92</v>
      </c>
      <c r="B94" s="369">
        <v>2275664.1999999997</v>
      </c>
      <c r="C94" s="48" t="s">
        <v>1713</v>
      </c>
      <c r="D94" s="97" t="s">
        <v>1713</v>
      </c>
      <c r="E94" s="97"/>
      <c r="F94" s="325">
        <v>10</v>
      </c>
      <c r="G94" s="97" t="s">
        <v>1713</v>
      </c>
      <c r="H94" s="48" t="s">
        <v>647</v>
      </c>
      <c r="I94" s="68">
        <v>85000</v>
      </c>
      <c r="J94" s="68">
        <v>30</v>
      </c>
      <c r="K94" s="68">
        <v>0</v>
      </c>
      <c r="L94" s="48" t="s">
        <v>1713</v>
      </c>
      <c r="M94" s="48" t="s">
        <v>1713</v>
      </c>
      <c r="N94" s="23">
        <v>500</v>
      </c>
      <c r="O94" s="48" t="s">
        <v>1713</v>
      </c>
    </row>
    <row r="95" spans="1:15" x14ac:dyDescent="0.25">
      <c r="A95" s="23">
        <v>93</v>
      </c>
      <c r="B95" s="369">
        <v>2317135.6999999997</v>
      </c>
      <c r="C95" s="48" t="s">
        <v>1713</v>
      </c>
      <c r="D95" s="97" t="s">
        <v>1713</v>
      </c>
      <c r="E95" s="97"/>
      <c r="F95" s="325"/>
      <c r="G95" s="97" t="s">
        <v>1713</v>
      </c>
      <c r="H95" s="48" t="s">
        <v>647</v>
      </c>
      <c r="I95" s="68">
        <v>85000</v>
      </c>
      <c r="J95" s="68">
        <v>30</v>
      </c>
      <c r="K95" s="68">
        <v>0</v>
      </c>
      <c r="L95" s="48" t="s">
        <v>1713</v>
      </c>
      <c r="M95" s="48" t="s">
        <v>1713</v>
      </c>
      <c r="N95" s="23">
        <v>500</v>
      </c>
      <c r="O95" s="48" t="s">
        <v>1713</v>
      </c>
    </row>
    <row r="96" spans="1:15" x14ac:dyDescent="0.25">
      <c r="A96" s="23">
        <v>94</v>
      </c>
      <c r="B96" s="369">
        <v>2368355</v>
      </c>
      <c r="C96" s="48" t="s">
        <v>1713</v>
      </c>
      <c r="D96" s="97" t="s">
        <v>1713</v>
      </c>
      <c r="E96" s="97" t="s">
        <v>1793</v>
      </c>
      <c r="F96" s="325"/>
      <c r="G96" s="97" t="s">
        <v>1713</v>
      </c>
      <c r="H96" s="48" t="s">
        <v>647</v>
      </c>
      <c r="I96" s="68">
        <v>85000</v>
      </c>
      <c r="J96" s="68">
        <v>30</v>
      </c>
      <c r="K96" s="68">
        <v>0</v>
      </c>
      <c r="L96" s="48" t="s">
        <v>1713</v>
      </c>
      <c r="M96" s="48" t="s">
        <v>1713</v>
      </c>
      <c r="N96" s="23">
        <v>500</v>
      </c>
      <c r="O96" s="48" t="s">
        <v>1713</v>
      </c>
    </row>
    <row r="97" spans="1:15" x14ac:dyDescent="0.25">
      <c r="A97" s="23">
        <v>95</v>
      </c>
      <c r="B97" s="369">
        <v>2410861.7999999998</v>
      </c>
      <c r="C97" s="48" t="s">
        <v>897</v>
      </c>
      <c r="D97" s="97" t="s">
        <v>1713</v>
      </c>
      <c r="E97" s="97"/>
      <c r="F97" s="325"/>
      <c r="G97" s="97" t="s">
        <v>1713</v>
      </c>
      <c r="H97" s="48" t="s">
        <v>647</v>
      </c>
      <c r="I97" s="68">
        <v>90000</v>
      </c>
      <c r="J97" s="68">
        <v>30</v>
      </c>
      <c r="K97" s="68">
        <v>0</v>
      </c>
      <c r="L97" s="48" t="s">
        <v>1713</v>
      </c>
      <c r="M97" s="48" t="s">
        <v>1713</v>
      </c>
      <c r="N97" s="23">
        <v>500</v>
      </c>
      <c r="O97" s="48" t="s">
        <v>1713</v>
      </c>
    </row>
    <row r="98" spans="1:15" x14ac:dyDescent="0.25">
      <c r="A98" s="23">
        <v>96</v>
      </c>
      <c r="B98" s="369">
        <v>2463160.6</v>
      </c>
      <c r="C98" s="48" t="s">
        <v>1713</v>
      </c>
      <c r="D98" s="97" t="s">
        <v>1713</v>
      </c>
      <c r="E98" s="97"/>
      <c r="F98" s="325"/>
      <c r="G98" s="97" t="s">
        <v>1713</v>
      </c>
      <c r="H98" s="48" t="s">
        <v>647</v>
      </c>
      <c r="I98" s="68">
        <v>90000</v>
      </c>
      <c r="J98" s="68">
        <v>30</v>
      </c>
      <c r="K98" s="68">
        <v>0</v>
      </c>
      <c r="L98" s="48" t="s">
        <v>1713</v>
      </c>
      <c r="M98" s="48" t="s">
        <v>1713</v>
      </c>
      <c r="N98" s="23">
        <v>500</v>
      </c>
      <c r="O98" s="48" t="s">
        <v>1713</v>
      </c>
    </row>
    <row r="99" spans="1:15" x14ac:dyDescent="0.25">
      <c r="A99" s="23">
        <v>97</v>
      </c>
      <c r="B99" s="369">
        <v>2506711.1999999997</v>
      </c>
      <c r="C99" s="48" t="s">
        <v>1713</v>
      </c>
      <c r="D99" s="97" t="s">
        <v>1713</v>
      </c>
      <c r="E99" s="97" t="s">
        <v>1794</v>
      </c>
      <c r="F99" s="325"/>
      <c r="G99" s="97" t="s">
        <v>1713</v>
      </c>
      <c r="H99" s="48" t="s">
        <v>647</v>
      </c>
      <c r="I99" s="68">
        <v>95000</v>
      </c>
      <c r="J99" s="68">
        <v>30</v>
      </c>
      <c r="K99" s="68">
        <v>0</v>
      </c>
      <c r="L99" s="48" t="s">
        <v>1713</v>
      </c>
      <c r="M99" s="48" t="s">
        <v>1713</v>
      </c>
      <c r="N99" s="23">
        <v>500</v>
      </c>
      <c r="O99" s="48" t="s">
        <v>1713</v>
      </c>
    </row>
    <row r="100" spans="1:15" x14ac:dyDescent="0.25">
      <c r="A100" s="23">
        <v>98</v>
      </c>
      <c r="B100" s="369">
        <v>2560096.2999999998</v>
      </c>
      <c r="C100" s="48" t="s">
        <v>1713</v>
      </c>
      <c r="D100" s="97" t="s">
        <v>1713</v>
      </c>
      <c r="E100" s="97" t="s">
        <v>1795</v>
      </c>
      <c r="F100" s="325"/>
      <c r="G100" s="97" t="s">
        <v>1713</v>
      </c>
      <c r="H100" s="48" t="s">
        <v>647</v>
      </c>
      <c r="I100" s="68">
        <v>95000</v>
      </c>
      <c r="J100" s="68">
        <v>30</v>
      </c>
      <c r="K100" s="68">
        <v>0</v>
      </c>
      <c r="L100" s="48" t="s">
        <v>1713</v>
      </c>
      <c r="M100" s="48" t="s">
        <v>1713</v>
      </c>
      <c r="N100" s="23">
        <v>500</v>
      </c>
      <c r="O100" s="48" t="s">
        <v>1713</v>
      </c>
    </row>
    <row r="101" spans="1:15" x14ac:dyDescent="0.25">
      <c r="A101" s="23">
        <v>99</v>
      </c>
      <c r="B101" s="369">
        <v>2609617.2999999998</v>
      </c>
      <c r="C101" s="48" t="s">
        <v>1713</v>
      </c>
      <c r="D101" s="97" t="s">
        <v>1713</v>
      </c>
      <c r="E101" s="97"/>
      <c r="F101" s="325"/>
      <c r="G101" s="97" t="s">
        <v>1713</v>
      </c>
      <c r="H101" s="48" t="s">
        <v>647</v>
      </c>
      <c r="I101" s="68">
        <v>95000</v>
      </c>
      <c r="J101" s="68">
        <v>30</v>
      </c>
      <c r="K101" s="68">
        <v>0</v>
      </c>
      <c r="L101" s="48" t="s">
        <v>1713</v>
      </c>
      <c r="M101" s="48" t="s">
        <v>1713</v>
      </c>
      <c r="N101" s="23">
        <v>500</v>
      </c>
      <c r="O101" s="48" t="s">
        <v>1713</v>
      </c>
    </row>
    <row r="102" spans="1:15" s="380" customFormat="1" x14ac:dyDescent="0.25">
      <c r="A102" s="372">
        <v>100</v>
      </c>
      <c r="B102" s="373">
        <v>2664107.4</v>
      </c>
      <c r="C102" s="374" t="s">
        <v>1713</v>
      </c>
      <c r="D102" s="375" t="s">
        <v>1713</v>
      </c>
      <c r="E102" s="375" t="s">
        <v>1796</v>
      </c>
      <c r="F102" s="376"/>
      <c r="G102" s="375" t="s">
        <v>1713</v>
      </c>
      <c r="H102" s="374" t="s">
        <v>647</v>
      </c>
      <c r="I102" s="378">
        <v>100000</v>
      </c>
      <c r="J102" s="378">
        <v>50</v>
      </c>
      <c r="K102" s="378">
        <v>0</v>
      </c>
      <c r="L102" s="374" t="s">
        <v>1713</v>
      </c>
      <c r="M102" s="374" t="s">
        <v>1713</v>
      </c>
      <c r="N102" s="372">
        <v>500</v>
      </c>
      <c r="O102" s="374" t="s">
        <v>1830</v>
      </c>
    </row>
    <row r="103" spans="1:15" x14ac:dyDescent="0.25">
      <c r="A103" s="23">
        <v>101</v>
      </c>
      <c r="B103" s="369">
        <v>2795247</v>
      </c>
      <c r="C103" s="48" t="s">
        <v>1713</v>
      </c>
      <c r="D103" s="97" t="s">
        <v>1713</v>
      </c>
      <c r="E103" s="97" t="s">
        <v>1797</v>
      </c>
      <c r="F103" s="325"/>
      <c r="G103" s="97" t="s">
        <v>1798</v>
      </c>
      <c r="H103" s="48" t="s">
        <v>647</v>
      </c>
      <c r="I103" s="68">
        <v>100000</v>
      </c>
      <c r="J103" s="68">
        <v>50</v>
      </c>
      <c r="K103" s="68">
        <v>0</v>
      </c>
      <c r="L103" s="48" t="s">
        <v>1713</v>
      </c>
      <c r="M103" s="48" t="s">
        <v>1713</v>
      </c>
      <c r="N103" s="23">
        <v>1000</v>
      </c>
      <c r="O103" s="48" t="s">
        <v>1713</v>
      </c>
    </row>
    <row r="104" spans="1:15" x14ac:dyDescent="0.25">
      <c r="A104" s="23">
        <v>102</v>
      </c>
      <c r="B104" s="369">
        <v>2858455.25</v>
      </c>
      <c r="C104" s="48" t="s">
        <v>1713</v>
      </c>
      <c r="D104" s="97" t="s">
        <v>1713</v>
      </c>
      <c r="E104" s="97" t="s">
        <v>1799</v>
      </c>
      <c r="F104" s="325"/>
      <c r="G104" s="97" t="s">
        <v>1713</v>
      </c>
      <c r="H104" s="48" t="s">
        <v>647</v>
      </c>
      <c r="I104" s="68">
        <v>100000</v>
      </c>
      <c r="J104" s="68">
        <v>50</v>
      </c>
      <c r="K104" s="68">
        <v>0</v>
      </c>
      <c r="L104" s="48" t="s">
        <v>1713</v>
      </c>
      <c r="M104" s="48" t="s">
        <v>1713</v>
      </c>
      <c r="N104" s="23">
        <v>1000</v>
      </c>
      <c r="O104" s="48" t="s">
        <v>1713</v>
      </c>
    </row>
    <row r="105" spans="1:15" x14ac:dyDescent="0.25">
      <c r="A105" s="23">
        <v>103</v>
      </c>
      <c r="B105" s="369">
        <v>2912931</v>
      </c>
      <c r="C105" s="48" t="s">
        <v>1713</v>
      </c>
      <c r="D105" s="97" t="s">
        <v>1713</v>
      </c>
      <c r="E105" s="97" t="s">
        <v>1800</v>
      </c>
      <c r="F105" s="325"/>
      <c r="G105" s="97" t="s">
        <v>1713</v>
      </c>
      <c r="H105" s="48" t="s">
        <v>647</v>
      </c>
      <c r="I105" s="68">
        <v>100000</v>
      </c>
      <c r="J105" s="68">
        <v>50</v>
      </c>
      <c r="K105" s="68">
        <v>0</v>
      </c>
      <c r="L105" s="48" t="s">
        <v>1713</v>
      </c>
      <c r="M105" s="48" t="s">
        <v>1713</v>
      </c>
      <c r="N105" s="23">
        <v>1000</v>
      </c>
      <c r="O105" s="48" t="s">
        <v>1713</v>
      </c>
    </row>
    <row r="106" spans="1:15" x14ac:dyDescent="0.25">
      <c r="A106" s="23">
        <v>104</v>
      </c>
      <c r="B106" s="369">
        <v>2977920.75</v>
      </c>
      <c r="C106" s="48" t="s">
        <v>1713</v>
      </c>
      <c r="D106" s="97" t="s">
        <v>1713</v>
      </c>
      <c r="E106" s="97" t="s">
        <v>1801</v>
      </c>
      <c r="F106" s="325">
        <v>0</v>
      </c>
      <c r="G106" s="97" t="s">
        <v>1713</v>
      </c>
      <c r="H106" s="48" t="s">
        <v>647</v>
      </c>
      <c r="I106" s="68">
        <v>100000</v>
      </c>
      <c r="J106" s="68">
        <v>50</v>
      </c>
      <c r="K106" s="68">
        <v>0</v>
      </c>
      <c r="L106" s="48" t="s">
        <v>1713</v>
      </c>
      <c r="M106" s="48" t="s">
        <v>1713</v>
      </c>
      <c r="N106" s="23">
        <v>1000</v>
      </c>
      <c r="O106" s="48" t="s">
        <v>1713</v>
      </c>
    </row>
    <row r="107" spans="1:15" x14ac:dyDescent="0.25">
      <c r="A107" s="23">
        <v>105</v>
      </c>
      <c r="B107" s="369">
        <v>3034109.75</v>
      </c>
      <c r="C107" s="48" t="s">
        <v>1713</v>
      </c>
      <c r="D107" s="97" t="s">
        <v>1713</v>
      </c>
      <c r="E107" s="97" t="s">
        <v>1802</v>
      </c>
      <c r="F107" s="325"/>
      <c r="G107" s="97" t="s">
        <v>1713</v>
      </c>
      <c r="H107" s="48" t="s">
        <v>647</v>
      </c>
      <c r="I107" s="68">
        <v>120000</v>
      </c>
      <c r="J107" s="68">
        <v>50</v>
      </c>
      <c r="K107" s="68">
        <v>0</v>
      </c>
      <c r="L107" s="48" t="s">
        <v>1713</v>
      </c>
      <c r="M107" s="48" t="s">
        <v>1713</v>
      </c>
      <c r="N107" s="23">
        <v>1000</v>
      </c>
      <c r="O107" s="48" t="s">
        <v>1713</v>
      </c>
    </row>
    <row r="108" spans="1:15" x14ac:dyDescent="0.25">
      <c r="A108" s="23">
        <v>106</v>
      </c>
      <c r="B108" s="369">
        <v>3132228.75</v>
      </c>
      <c r="C108" s="48" t="s">
        <v>1803</v>
      </c>
      <c r="D108" s="97" t="s">
        <v>1713</v>
      </c>
      <c r="E108" s="97" t="s">
        <v>1804</v>
      </c>
      <c r="F108" s="325"/>
      <c r="G108" s="97" t="s">
        <v>1713</v>
      </c>
      <c r="H108" s="48" t="s">
        <v>647</v>
      </c>
      <c r="I108" s="68">
        <v>120000</v>
      </c>
      <c r="J108" s="68">
        <v>50</v>
      </c>
      <c r="K108" s="68">
        <v>0</v>
      </c>
      <c r="L108" s="48" t="s">
        <v>1713</v>
      </c>
      <c r="M108" s="48" t="s">
        <v>1713</v>
      </c>
      <c r="N108" s="23">
        <v>1000</v>
      </c>
      <c r="O108" s="48" t="s">
        <v>1713</v>
      </c>
    </row>
    <row r="109" spans="1:15" x14ac:dyDescent="0.25">
      <c r="A109" s="23">
        <v>107</v>
      </c>
      <c r="B109" s="369">
        <v>3177903.75</v>
      </c>
      <c r="C109" s="48" t="s">
        <v>1713</v>
      </c>
      <c r="D109" s="97" t="s">
        <v>1713</v>
      </c>
      <c r="E109" s="97" t="s">
        <v>1805</v>
      </c>
      <c r="F109" s="325"/>
      <c r="G109" s="97" t="s">
        <v>1713</v>
      </c>
      <c r="H109" s="48" t="s">
        <v>647</v>
      </c>
      <c r="I109" s="68">
        <v>120000</v>
      </c>
      <c r="J109" s="68">
        <v>50</v>
      </c>
      <c r="K109" s="68">
        <v>0</v>
      </c>
      <c r="L109" s="48" t="s">
        <v>1713</v>
      </c>
      <c r="M109" s="48" t="s">
        <v>1713</v>
      </c>
      <c r="N109" s="23">
        <v>1000</v>
      </c>
      <c r="O109" s="48" t="s">
        <v>1713</v>
      </c>
    </row>
    <row r="110" spans="1:15" x14ac:dyDescent="0.25">
      <c r="A110" s="23">
        <v>108</v>
      </c>
      <c r="B110" s="369">
        <v>3233930</v>
      </c>
      <c r="C110" s="48" t="s">
        <v>1713</v>
      </c>
      <c r="D110" s="97" t="s">
        <v>1713</v>
      </c>
      <c r="E110" s="97"/>
      <c r="F110" s="325"/>
      <c r="G110" s="97" t="s">
        <v>1713</v>
      </c>
      <c r="H110" s="48" t="s">
        <v>647</v>
      </c>
      <c r="I110" s="68">
        <v>120000</v>
      </c>
      <c r="J110" s="68">
        <v>50</v>
      </c>
      <c r="K110" s="68">
        <v>0</v>
      </c>
      <c r="L110" s="48" t="s">
        <v>1713</v>
      </c>
      <c r="M110" s="48" t="s">
        <v>1713</v>
      </c>
      <c r="N110" s="23">
        <v>1000</v>
      </c>
      <c r="O110" s="48" t="s">
        <v>1713</v>
      </c>
    </row>
    <row r="111" spans="1:15" x14ac:dyDescent="0.25">
      <c r="A111" s="23">
        <v>109</v>
      </c>
      <c r="B111" s="369">
        <v>3280593.75</v>
      </c>
      <c r="C111" s="48" t="s">
        <v>1713</v>
      </c>
      <c r="D111" s="97" t="s">
        <v>1713</v>
      </c>
      <c r="E111" s="97" t="s">
        <v>1806</v>
      </c>
      <c r="F111" s="325"/>
      <c r="G111" s="97" t="s">
        <v>1713</v>
      </c>
      <c r="H111" s="48" t="s">
        <v>647</v>
      </c>
      <c r="I111" s="68">
        <v>120000</v>
      </c>
      <c r="J111" s="68">
        <v>50</v>
      </c>
      <c r="K111" s="68">
        <v>0</v>
      </c>
      <c r="L111" s="48" t="s">
        <v>1713</v>
      </c>
      <c r="M111" s="48" t="s">
        <v>1713</v>
      </c>
      <c r="N111" s="23">
        <v>1000</v>
      </c>
      <c r="O111" s="48" t="s">
        <v>1713</v>
      </c>
    </row>
    <row r="112" spans="1:15" x14ac:dyDescent="0.25">
      <c r="A112" s="23">
        <v>110</v>
      </c>
      <c r="B112" s="369">
        <v>3342858.75</v>
      </c>
      <c r="C112" s="48" t="s">
        <v>1713</v>
      </c>
      <c r="D112" s="97" t="s">
        <v>1713</v>
      </c>
      <c r="E112" s="97"/>
      <c r="F112" s="325"/>
      <c r="G112" s="97" t="s">
        <v>1713</v>
      </c>
      <c r="H112" s="48" t="s">
        <v>647</v>
      </c>
      <c r="I112" s="68">
        <v>150000</v>
      </c>
      <c r="J112" s="68">
        <v>50</v>
      </c>
      <c r="K112" s="68">
        <v>0</v>
      </c>
      <c r="L112" s="48" t="s">
        <v>1713</v>
      </c>
      <c r="M112" s="48" t="s">
        <v>1713</v>
      </c>
      <c r="N112" s="23">
        <v>1000</v>
      </c>
      <c r="O112" s="48" t="s">
        <v>1713</v>
      </c>
    </row>
    <row r="113" spans="1:15" x14ac:dyDescent="0.25">
      <c r="A113" s="23">
        <v>111</v>
      </c>
      <c r="B113" s="369">
        <v>3390511.25</v>
      </c>
      <c r="C113" s="48" t="s">
        <v>1713</v>
      </c>
      <c r="D113" s="97" t="s">
        <v>1713</v>
      </c>
      <c r="E113" s="97" t="s">
        <v>1807</v>
      </c>
      <c r="F113" s="325"/>
      <c r="G113" s="97" t="s">
        <v>1713</v>
      </c>
      <c r="H113" s="48" t="s">
        <v>647</v>
      </c>
      <c r="I113" s="68">
        <v>150000</v>
      </c>
      <c r="J113" s="68">
        <v>50</v>
      </c>
      <c r="K113" s="68">
        <v>0</v>
      </c>
      <c r="L113" s="48" t="s">
        <v>1713</v>
      </c>
      <c r="M113" s="48" t="s">
        <v>1713</v>
      </c>
      <c r="N113" s="23">
        <v>1000</v>
      </c>
      <c r="O113" s="48" t="s">
        <v>1713</v>
      </c>
    </row>
    <row r="114" spans="1:15" x14ac:dyDescent="0.25">
      <c r="A114" s="23">
        <v>112</v>
      </c>
      <c r="B114" s="369">
        <v>3448515</v>
      </c>
      <c r="C114" s="48" t="s">
        <v>1713</v>
      </c>
      <c r="D114" s="97" t="s">
        <v>1713</v>
      </c>
      <c r="E114" s="97"/>
      <c r="F114" s="325"/>
      <c r="G114" s="97" t="s">
        <v>1713</v>
      </c>
      <c r="H114" s="48" t="s">
        <v>647</v>
      </c>
      <c r="I114" s="68">
        <v>150000</v>
      </c>
      <c r="J114" s="68">
        <v>50</v>
      </c>
      <c r="K114" s="68">
        <v>0</v>
      </c>
      <c r="L114" s="48" t="s">
        <v>1713</v>
      </c>
      <c r="M114" s="48" t="s">
        <v>1713</v>
      </c>
      <c r="N114" s="23">
        <v>1000</v>
      </c>
      <c r="O114" s="48" t="s">
        <v>1713</v>
      </c>
    </row>
    <row r="115" spans="1:15" x14ac:dyDescent="0.25">
      <c r="A115" s="23">
        <v>113</v>
      </c>
      <c r="B115" s="369">
        <v>3497156.25</v>
      </c>
      <c r="C115" s="48" t="s">
        <v>1713</v>
      </c>
      <c r="D115" s="97" t="s">
        <v>1713</v>
      </c>
      <c r="E115" s="97" t="s">
        <v>1808</v>
      </c>
      <c r="F115" s="325"/>
      <c r="G115" s="97" t="s">
        <v>1713</v>
      </c>
      <c r="H115" s="48" t="s">
        <v>647</v>
      </c>
      <c r="I115" s="68">
        <v>150000</v>
      </c>
      <c r="J115" s="68">
        <v>50</v>
      </c>
      <c r="K115" s="68">
        <v>0</v>
      </c>
      <c r="L115" s="48" t="s">
        <v>1713</v>
      </c>
      <c r="M115" s="48" t="s">
        <v>1713</v>
      </c>
      <c r="N115" s="23">
        <v>1000</v>
      </c>
      <c r="O115" s="48" t="s">
        <v>1713</v>
      </c>
    </row>
    <row r="116" spans="1:15" x14ac:dyDescent="0.25">
      <c r="A116" s="23">
        <v>114</v>
      </c>
      <c r="B116" s="369">
        <v>3556148.75</v>
      </c>
      <c r="C116" s="48" t="s">
        <v>1713</v>
      </c>
      <c r="D116" s="97" t="s">
        <v>1713</v>
      </c>
      <c r="E116" s="97" t="s">
        <v>1809</v>
      </c>
      <c r="F116" s="325"/>
      <c r="G116" s="97" t="s">
        <v>1713</v>
      </c>
      <c r="H116" s="48" t="s">
        <v>647</v>
      </c>
      <c r="I116" s="68">
        <v>150000</v>
      </c>
      <c r="J116" s="68">
        <v>50</v>
      </c>
      <c r="K116" s="68">
        <v>0</v>
      </c>
      <c r="L116" s="48" t="s">
        <v>1713</v>
      </c>
      <c r="M116" s="48" t="s">
        <v>1713</v>
      </c>
      <c r="N116" s="23">
        <v>1000</v>
      </c>
      <c r="O116" s="48" t="s">
        <v>1713</v>
      </c>
    </row>
    <row r="117" spans="1:15" x14ac:dyDescent="0.25">
      <c r="A117" s="23">
        <v>115</v>
      </c>
      <c r="B117" s="369">
        <v>3605778.75</v>
      </c>
      <c r="C117" s="48" t="s">
        <v>1713</v>
      </c>
      <c r="D117" s="97" t="s">
        <v>1713</v>
      </c>
      <c r="E117" s="97" t="s">
        <v>1810</v>
      </c>
      <c r="F117" s="325"/>
      <c r="G117" s="97" t="s">
        <v>1713</v>
      </c>
      <c r="H117" s="48" t="s">
        <v>647</v>
      </c>
      <c r="I117" s="68">
        <v>150000</v>
      </c>
      <c r="J117" s="68">
        <v>50</v>
      </c>
      <c r="K117" s="68">
        <v>0</v>
      </c>
      <c r="L117" s="48" t="s">
        <v>1713</v>
      </c>
      <c r="M117" s="48" t="s">
        <v>1713</v>
      </c>
      <c r="N117" s="23">
        <v>1000</v>
      </c>
      <c r="O117" s="48" t="s">
        <v>1713</v>
      </c>
    </row>
    <row r="118" spans="1:15" x14ac:dyDescent="0.25">
      <c r="A118" s="23">
        <v>116</v>
      </c>
      <c r="B118" s="369">
        <v>3665760</v>
      </c>
      <c r="C118" s="48" t="s">
        <v>1713</v>
      </c>
      <c r="D118" s="97" t="s">
        <v>1713</v>
      </c>
      <c r="E118" s="97"/>
      <c r="F118" s="325"/>
      <c r="G118" s="97" t="s">
        <v>1713</v>
      </c>
      <c r="H118" s="48" t="s">
        <v>647</v>
      </c>
      <c r="I118" s="68">
        <v>150000</v>
      </c>
      <c r="J118" s="68">
        <v>50</v>
      </c>
      <c r="K118" s="68">
        <v>0</v>
      </c>
      <c r="L118" s="48" t="s">
        <v>1713</v>
      </c>
      <c r="M118" s="48" t="s">
        <v>1713</v>
      </c>
      <c r="N118" s="23">
        <v>1000</v>
      </c>
      <c r="O118" s="48" t="s">
        <v>1713</v>
      </c>
    </row>
    <row r="119" spans="1:15" x14ac:dyDescent="0.25">
      <c r="A119" s="23">
        <v>117</v>
      </c>
      <c r="B119" s="369">
        <v>3716798.75</v>
      </c>
      <c r="C119" s="48" t="s">
        <v>1713</v>
      </c>
      <c r="D119" s="97" t="s">
        <v>1713</v>
      </c>
      <c r="E119" s="97" t="s">
        <v>1811</v>
      </c>
      <c r="F119" s="325"/>
      <c r="G119" s="97" t="s">
        <v>1713</v>
      </c>
      <c r="H119" s="48" t="s">
        <v>647</v>
      </c>
      <c r="I119" s="68">
        <v>150000</v>
      </c>
      <c r="J119" s="68">
        <v>50</v>
      </c>
      <c r="K119" s="68">
        <v>0</v>
      </c>
      <c r="L119" s="48" t="s">
        <v>1713</v>
      </c>
      <c r="M119" s="48" t="s">
        <v>1713</v>
      </c>
      <c r="N119" s="23">
        <v>1000</v>
      </c>
      <c r="O119" s="48" t="s">
        <v>1713</v>
      </c>
    </row>
    <row r="120" spans="1:15" x14ac:dyDescent="0.25">
      <c r="A120" s="23">
        <v>118</v>
      </c>
      <c r="B120" s="369">
        <v>3778188.75</v>
      </c>
      <c r="C120" s="48" t="s">
        <v>1713</v>
      </c>
      <c r="D120" s="97" t="s">
        <v>1713</v>
      </c>
      <c r="E120" s="97"/>
      <c r="F120" s="325"/>
      <c r="G120" s="97" t="s">
        <v>1713</v>
      </c>
      <c r="H120" s="48" t="s">
        <v>647</v>
      </c>
      <c r="I120" s="68">
        <v>150000</v>
      </c>
      <c r="J120" s="68">
        <v>50</v>
      </c>
      <c r="K120" s="68">
        <v>0</v>
      </c>
      <c r="L120" s="48" t="s">
        <v>1713</v>
      </c>
      <c r="M120" s="48" t="s">
        <v>1713</v>
      </c>
      <c r="N120" s="23">
        <v>1000</v>
      </c>
      <c r="O120" s="48" t="s">
        <v>1713</v>
      </c>
    </row>
    <row r="121" spans="1:15" x14ac:dyDescent="0.25">
      <c r="A121" s="23">
        <v>119</v>
      </c>
      <c r="B121" s="369">
        <v>3830636.25</v>
      </c>
      <c r="C121" s="48" t="s">
        <v>1713</v>
      </c>
      <c r="D121" s="97" t="s">
        <v>1713</v>
      </c>
      <c r="E121" s="97"/>
      <c r="F121" s="325"/>
      <c r="G121" s="97" t="s">
        <v>1713</v>
      </c>
      <c r="H121" s="48" t="s">
        <v>647</v>
      </c>
      <c r="I121" s="68">
        <v>150000</v>
      </c>
      <c r="J121" s="68">
        <v>50</v>
      </c>
      <c r="K121" s="68">
        <v>0</v>
      </c>
      <c r="L121" s="48" t="s">
        <v>1713</v>
      </c>
      <c r="M121" s="48" t="s">
        <v>1713</v>
      </c>
      <c r="N121" s="23">
        <v>1000</v>
      </c>
      <c r="O121" s="48" t="s">
        <v>1713</v>
      </c>
    </row>
    <row r="122" spans="1:15" s="380" customFormat="1" x14ac:dyDescent="0.25">
      <c r="A122" s="372">
        <v>120</v>
      </c>
      <c r="B122" s="373">
        <v>4004676</v>
      </c>
      <c r="C122" s="374" t="s">
        <v>1713</v>
      </c>
      <c r="D122" s="375" t="s">
        <v>1713</v>
      </c>
      <c r="E122" s="375" t="s">
        <v>1812</v>
      </c>
      <c r="F122" s="376"/>
      <c r="G122" s="375" t="s">
        <v>1713</v>
      </c>
      <c r="H122" s="374" t="s">
        <v>647</v>
      </c>
      <c r="I122" s="378">
        <v>150000</v>
      </c>
      <c r="J122" s="378">
        <v>50</v>
      </c>
      <c r="K122" s="378">
        <v>0</v>
      </c>
      <c r="L122" s="374" t="s">
        <v>1713</v>
      </c>
      <c r="M122" s="374" t="s">
        <v>1713</v>
      </c>
      <c r="N122" s="372">
        <v>1000</v>
      </c>
      <c r="O122" s="374" t="s">
        <v>1831</v>
      </c>
    </row>
    <row r="123" spans="1:15" x14ac:dyDescent="0.25">
      <c r="A123" s="23">
        <v>121</v>
      </c>
      <c r="B123" s="369">
        <v>4060071</v>
      </c>
      <c r="C123" s="48" t="s">
        <v>1713</v>
      </c>
      <c r="D123" s="97" t="s">
        <v>1713</v>
      </c>
      <c r="E123" s="97"/>
      <c r="F123" s="325"/>
      <c r="G123" s="97" t="s">
        <v>1713</v>
      </c>
      <c r="H123" s="48" t="s">
        <v>647</v>
      </c>
      <c r="I123" s="68">
        <v>150000</v>
      </c>
      <c r="J123" s="68">
        <v>50</v>
      </c>
      <c r="K123" s="68">
        <v>0</v>
      </c>
      <c r="L123" s="48" t="s">
        <v>1713</v>
      </c>
      <c r="M123" s="48" t="s">
        <v>1713</v>
      </c>
      <c r="N123" s="23">
        <v>1000</v>
      </c>
      <c r="O123" s="48" t="s">
        <v>1713</v>
      </c>
    </row>
    <row r="124" spans="1:15" x14ac:dyDescent="0.25">
      <c r="A124" s="23">
        <v>122</v>
      </c>
      <c r="B124" s="369">
        <v>4126113</v>
      </c>
      <c r="C124" s="48" t="s">
        <v>1713</v>
      </c>
      <c r="D124" s="97" t="s">
        <v>1713</v>
      </c>
      <c r="E124" s="97"/>
      <c r="F124" s="325"/>
      <c r="G124" s="97" t="s">
        <v>1713</v>
      </c>
      <c r="H124" s="48" t="s">
        <v>647</v>
      </c>
      <c r="I124" s="68">
        <v>150000</v>
      </c>
      <c r="J124" s="68">
        <v>50</v>
      </c>
      <c r="K124" s="68">
        <v>0</v>
      </c>
      <c r="L124" s="48" t="s">
        <v>1713</v>
      </c>
      <c r="M124" s="48" t="s">
        <v>1713</v>
      </c>
      <c r="N124" s="23">
        <v>1000</v>
      </c>
      <c r="O124" s="48" t="s">
        <v>1713</v>
      </c>
    </row>
    <row r="125" spans="1:15" x14ac:dyDescent="0.25">
      <c r="A125" s="23">
        <v>123</v>
      </c>
      <c r="B125" s="369">
        <v>4182957</v>
      </c>
      <c r="C125" s="48" t="s">
        <v>1713</v>
      </c>
      <c r="D125" s="97" t="s">
        <v>1713</v>
      </c>
      <c r="E125" s="97"/>
      <c r="F125" s="325"/>
      <c r="G125" s="97" t="s">
        <v>1713</v>
      </c>
      <c r="H125" s="48" t="s">
        <v>647</v>
      </c>
      <c r="I125" s="68">
        <v>150000</v>
      </c>
      <c r="J125" s="68">
        <v>50</v>
      </c>
      <c r="K125" s="68">
        <v>0</v>
      </c>
      <c r="L125" s="48" t="s">
        <v>1713</v>
      </c>
      <c r="M125" s="48" t="s">
        <v>1713</v>
      </c>
      <c r="N125" s="23">
        <v>1000</v>
      </c>
      <c r="O125" s="48" t="s">
        <v>1713</v>
      </c>
    </row>
    <row r="126" spans="1:15" x14ac:dyDescent="0.25">
      <c r="A126" s="23">
        <v>124</v>
      </c>
      <c r="B126" s="369">
        <v>4250448</v>
      </c>
      <c r="C126" s="48" t="s">
        <v>1713</v>
      </c>
      <c r="D126" s="97" t="s">
        <v>1713</v>
      </c>
      <c r="E126" s="97" t="s">
        <v>1813</v>
      </c>
      <c r="F126" s="325"/>
      <c r="G126" s="97" t="s">
        <v>1713</v>
      </c>
      <c r="H126" s="48" t="s">
        <v>647</v>
      </c>
      <c r="I126" s="68">
        <v>150000</v>
      </c>
      <c r="J126" s="68">
        <v>50</v>
      </c>
      <c r="K126" s="68">
        <v>0</v>
      </c>
      <c r="L126" s="48" t="s">
        <v>1713</v>
      </c>
      <c r="M126" s="48" t="s">
        <v>1713</v>
      </c>
      <c r="N126" s="23">
        <v>1000</v>
      </c>
      <c r="O126" s="48" t="s">
        <v>1713</v>
      </c>
    </row>
    <row r="127" spans="1:15" x14ac:dyDescent="0.25">
      <c r="A127" s="23">
        <v>125</v>
      </c>
      <c r="B127" s="369">
        <v>4308741</v>
      </c>
      <c r="C127" s="48" t="s">
        <v>1713</v>
      </c>
      <c r="D127" s="97" t="s">
        <v>1713</v>
      </c>
      <c r="E127" s="97"/>
      <c r="F127" s="325"/>
      <c r="G127" s="97" t="s">
        <v>1713</v>
      </c>
      <c r="H127" s="48" t="s">
        <v>647</v>
      </c>
      <c r="I127" s="68">
        <v>150000</v>
      </c>
      <c r="J127" s="68">
        <v>50</v>
      </c>
      <c r="K127" s="68">
        <v>0</v>
      </c>
      <c r="L127" s="48" t="s">
        <v>1713</v>
      </c>
      <c r="M127" s="48" t="s">
        <v>1713</v>
      </c>
      <c r="N127" s="23">
        <v>1000</v>
      </c>
      <c r="O127" s="48" t="s">
        <v>1713</v>
      </c>
    </row>
    <row r="128" spans="1:15" x14ac:dyDescent="0.25">
      <c r="A128" s="23">
        <v>126</v>
      </c>
      <c r="B128" s="369">
        <v>4377681</v>
      </c>
      <c r="C128" s="48" t="s">
        <v>1713</v>
      </c>
      <c r="D128" s="97" t="s">
        <v>1713</v>
      </c>
      <c r="E128" s="97" t="s">
        <v>1814</v>
      </c>
      <c r="F128" s="325"/>
      <c r="G128" s="97" t="s">
        <v>1713</v>
      </c>
      <c r="H128" s="48" t="s">
        <v>647</v>
      </c>
      <c r="I128" s="68">
        <v>150000</v>
      </c>
      <c r="J128" s="68">
        <v>50</v>
      </c>
      <c r="K128" s="68">
        <v>0</v>
      </c>
      <c r="L128" s="48" t="s">
        <v>1713</v>
      </c>
      <c r="M128" s="48" t="s">
        <v>1713</v>
      </c>
      <c r="N128" s="23">
        <v>1000</v>
      </c>
      <c r="O128" s="48" t="s">
        <v>1713</v>
      </c>
    </row>
    <row r="129" spans="1:15" x14ac:dyDescent="0.25">
      <c r="A129" s="23">
        <v>127</v>
      </c>
      <c r="B129" s="369">
        <v>4437423</v>
      </c>
      <c r="C129" s="48" t="s">
        <v>1713</v>
      </c>
      <c r="D129" s="97" t="s">
        <v>1713</v>
      </c>
      <c r="E129" s="97"/>
      <c r="F129" s="325"/>
      <c r="G129" s="97" t="s">
        <v>1713</v>
      </c>
      <c r="H129" s="48" t="s">
        <v>647</v>
      </c>
      <c r="I129" s="68">
        <v>150000</v>
      </c>
      <c r="J129" s="68">
        <v>50</v>
      </c>
      <c r="K129" s="68">
        <v>0</v>
      </c>
      <c r="L129" s="48" t="s">
        <v>1713</v>
      </c>
      <c r="M129" s="48" t="s">
        <v>1713</v>
      </c>
      <c r="N129" s="23">
        <v>1000</v>
      </c>
      <c r="O129" s="48" t="s">
        <v>1713</v>
      </c>
    </row>
    <row r="130" spans="1:15" x14ac:dyDescent="0.25">
      <c r="A130" s="23">
        <v>128</v>
      </c>
      <c r="B130" s="369">
        <v>4507812</v>
      </c>
      <c r="C130" s="48" t="s">
        <v>1713</v>
      </c>
      <c r="D130" s="97" t="s">
        <v>1713</v>
      </c>
      <c r="E130" s="97" t="s">
        <v>1815</v>
      </c>
      <c r="F130" s="325"/>
      <c r="G130" s="97" t="s">
        <v>1713</v>
      </c>
      <c r="H130" s="48" t="s">
        <v>647</v>
      </c>
      <c r="I130" s="68">
        <v>150000</v>
      </c>
      <c r="J130" s="68">
        <v>50</v>
      </c>
      <c r="K130" s="68">
        <v>0</v>
      </c>
      <c r="L130" s="48" t="s">
        <v>1713</v>
      </c>
      <c r="M130" s="48" t="s">
        <v>1713</v>
      </c>
      <c r="N130" s="23">
        <v>1000</v>
      </c>
      <c r="O130" s="48" t="s">
        <v>1713</v>
      </c>
    </row>
    <row r="131" spans="1:15" x14ac:dyDescent="0.25">
      <c r="A131" s="23">
        <v>129</v>
      </c>
      <c r="B131" s="369">
        <v>4569003</v>
      </c>
      <c r="C131" s="48" t="s">
        <v>1713</v>
      </c>
      <c r="D131" s="97" t="s">
        <v>1713</v>
      </c>
      <c r="E131" s="97"/>
      <c r="F131" s="325"/>
      <c r="G131" s="97" t="s">
        <v>1713</v>
      </c>
      <c r="H131" s="48" t="s">
        <v>647</v>
      </c>
      <c r="I131" s="68">
        <v>150000</v>
      </c>
      <c r="J131" s="68">
        <v>50</v>
      </c>
      <c r="K131" s="68">
        <v>0</v>
      </c>
      <c r="L131" s="48" t="s">
        <v>1713</v>
      </c>
      <c r="M131" s="48" t="s">
        <v>1713</v>
      </c>
      <c r="N131" s="23">
        <v>1000</v>
      </c>
      <c r="O131" s="48" t="s">
        <v>1713</v>
      </c>
    </row>
    <row r="132" spans="1:15" x14ac:dyDescent="0.25">
      <c r="A132" s="23">
        <v>130</v>
      </c>
      <c r="B132" s="369">
        <v>4640841</v>
      </c>
      <c r="C132" s="48" t="s">
        <v>1713</v>
      </c>
      <c r="D132" s="97" t="s">
        <v>1713</v>
      </c>
      <c r="E132" s="97"/>
      <c r="F132" s="325"/>
      <c r="G132" s="97" t="s">
        <v>1713</v>
      </c>
      <c r="H132" s="48" t="s">
        <v>647</v>
      </c>
      <c r="I132" s="68">
        <v>150000</v>
      </c>
      <c r="J132" s="68">
        <v>50</v>
      </c>
      <c r="K132" s="68">
        <v>0</v>
      </c>
      <c r="L132" s="48" t="s">
        <v>1713</v>
      </c>
      <c r="M132" s="48" t="s">
        <v>1713</v>
      </c>
      <c r="N132" s="23">
        <v>1000</v>
      </c>
      <c r="O132" s="48" t="s">
        <v>1713</v>
      </c>
    </row>
    <row r="133" spans="1:15" x14ac:dyDescent="0.25">
      <c r="A133" s="23">
        <v>131</v>
      </c>
      <c r="B133" s="369">
        <v>4703481</v>
      </c>
      <c r="C133" s="48" t="s">
        <v>1713</v>
      </c>
      <c r="D133" s="97" t="s">
        <v>1713</v>
      </c>
      <c r="E133" s="97"/>
      <c r="F133" s="325"/>
      <c r="G133" s="97" t="s">
        <v>1713</v>
      </c>
      <c r="H133" s="48" t="s">
        <v>647</v>
      </c>
      <c r="I133" s="68">
        <v>200000</v>
      </c>
      <c r="J133" s="68">
        <v>50</v>
      </c>
      <c r="K133" s="68">
        <v>0</v>
      </c>
      <c r="L133" s="48" t="s">
        <v>1713</v>
      </c>
      <c r="M133" s="48" t="s">
        <v>1713</v>
      </c>
      <c r="N133" s="23">
        <v>1000</v>
      </c>
      <c r="O133" s="48" t="s">
        <v>1713</v>
      </c>
    </row>
    <row r="134" spans="1:15" x14ac:dyDescent="0.25">
      <c r="A134" s="23">
        <v>132</v>
      </c>
      <c r="B134" s="369">
        <v>4776768</v>
      </c>
      <c r="C134" s="48" t="s">
        <v>1713</v>
      </c>
      <c r="D134" s="97" t="s">
        <v>1713</v>
      </c>
      <c r="E134" s="97"/>
      <c r="F134" s="325"/>
      <c r="G134" s="97" t="s">
        <v>1713</v>
      </c>
      <c r="H134" s="48" t="s">
        <v>647</v>
      </c>
      <c r="I134" s="68">
        <v>200000</v>
      </c>
      <c r="J134" s="68">
        <v>50</v>
      </c>
      <c r="K134" s="68">
        <v>0</v>
      </c>
      <c r="L134" s="48" t="s">
        <v>1713</v>
      </c>
      <c r="M134" s="48" t="s">
        <v>1713</v>
      </c>
      <c r="N134" s="23">
        <v>1000</v>
      </c>
      <c r="O134" s="48" t="s">
        <v>1713</v>
      </c>
    </row>
    <row r="135" spans="1:15" x14ac:dyDescent="0.25">
      <c r="A135" s="23">
        <v>133</v>
      </c>
      <c r="B135" s="369">
        <v>4840857</v>
      </c>
      <c r="C135" s="48" t="s">
        <v>1713</v>
      </c>
      <c r="D135" s="97" t="s">
        <v>1713</v>
      </c>
      <c r="E135" s="97"/>
      <c r="F135" s="325"/>
      <c r="G135" s="97" t="s">
        <v>1713</v>
      </c>
      <c r="H135" s="48" t="s">
        <v>647</v>
      </c>
      <c r="I135" s="68">
        <v>200000</v>
      </c>
      <c r="J135" s="68">
        <v>50</v>
      </c>
      <c r="K135" s="68">
        <v>0</v>
      </c>
      <c r="L135" s="48" t="s">
        <v>1713</v>
      </c>
      <c r="M135" s="48" t="s">
        <v>1713</v>
      </c>
      <c r="N135" s="23">
        <v>1000</v>
      </c>
      <c r="O135" s="48" t="s">
        <v>1713</v>
      </c>
    </row>
    <row r="136" spans="1:15" x14ac:dyDescent="0.25">
      <c r="A136" s="23">
        <v>134</v>
      </c>
      <c r="B136" s="369">
        <v>4915593</v>
      </c>
      <c r="C136" s="48" t="s">
        <v>1713</v>
      </c>
      <c r="D136" s="97" t="s">
        <v>1713</v>
      </c>
      <c r="E136" s="97"/>
      <c r="F136" s="325"/>
      <c r="G136" s="97" t="s">
        <v>1713</v>
      </c>
      <c r="H136" s="48" t="s">
        <v>647</v>
      </c>
      <c r="I136" s="68">
        <v>200000</v>
      </c>
      <c r="J136" s="68">
        <v>50</v>
      </c>
      <c r="K136" s="68">
        <v>0</v>
      </c>
      <c r="L136" s="48" t="s">
        <v>1713</v>
      </c>
      <c r="M136" s="48" t="s">
        <v>1713</v>
      </c>
      <c r="N136" s="23">
        <v>1000</v>
      </c>
      <c r="O136" s="48" t="s">
        <v>1713</v>
      </c>
    </row>
    <row r="137" spans="1:15" x14ac:dyDescent="0.25">
      <c r="A137" s="23">
        <v>135</v>
      </c>
      <c r="B137" s="369">
        <v>4981248</v>
      </c>
      <c r="C137" s="48" t="s">
        <v>1713</v>
      </c>
      <c r="D137" s="97" t="s">
        <v>1713</v>
      </c>
      <c r="E137" s="97" t="s">
        <v>1816</v>
      </c>
      <c r="F137" s="325"/>
      <c r="G137" s="97" t="s">
        <v>1713</v>
      </c>
      <c r="H137" s="48" t="s">
        <v>647</v>
      </c>
      <c r="I137" s="68">
        <v>200000</v>
      </c>
      <c r="J137" s="68">
        <v>50</v>
      </c>
      <c r="K137" s="68">
        <v>0</v>
      </c>
      <c r="L137" s="48" t="s">
        <v>1713</v>
      </c>
      <c r="M137" s="48" t="s">
        <v>1713</v>
      </c>
      <c r="N137" s="23">
        <v>1000</v>
      </c>
      <c r="O137" s="48" t="s">
        <v>1713</v>
      </c>
    </row>
    <row r="138" spans="1:15" x14ac:dyDescent="0.25">
      <c r="A138" s="23">
        <v>136</v>
      </c>
      <c r="B138" s="369">
        <v>5057550</v>
      </c>
      <c r="C138" s="48" t="s">
        <v>1713</v>
      </c>
      <c r="D138" s="97" t="s">
        <v>1713</v>
      </c>
      <c r="E138" s="97"/>
      <c r="F138" s="325"/>
      <c r="G138" s="97" t="s">
        <v>1713</v>
      </c>
      <c r="H138" s="48" t="s">
        <v>647</v>
      </c>
      <c r="I138" s="68">
        <v>200000</v>
      </c>
      <c r="J138" s="68">
        <v>50</v>
      </c>
      <c r="K138" s="68">
        <v>0</v>
      </c>
      <c r="L138" s="48" t="s">
        <v>1713</v>
      </c>
      <c r="M138" s="48" t="s">
        <v>1713</v>
      </c>
      <c r="N138" s="23">
        <v>1000</v>
      </c>
      <c r="O138" s="48" t="s">
        <v>1713</v>
      </c>
    </row>
    <row r="139" spans="1:15" x14ac:dyDescent="0.25">
      <c r="A139" s="23">
        <v>137</v>
      </c>
      <c r="B139" s="369">
        <v>5124771</v>
      </c>
      <c r="C139" s="48" t="s">
        <v>1713</v>
      </c>
      <c r="D139" s="97" t="s">
        <v>1713</v>
      </c>
      <c r="E139" s="97"/>
      <c r="F139" s="325"/>
      <c r="G139" s="97" t="s">
        <v>1713</v>
      </c>
      <c r="H139" s="48" t="s">
        <v>647</v>
      </c>
      <c r="I139" s="68">
        <v>200000</v>
      </c>
      <c r="J139" s="68">
        <v>50</v>
      </c>
      <c r="K139" s="68">
        <v>0</v>
      </c>
      <c r="L139" s="48" t="s">
        <v>1713</v>
      </c>
      <c r="M139" s="48" t="s">
        <v>1713</v>
      </c>
      <c r="N139" s="23">
        <v>1000</v>
      </c>
      <c r="O139" s="48" t="s">
        <v>1713</v>
      </c>
    </row>
    <row r="140" spans="1:15" x14ac:dyDescent="0.25">
      <c r="A140" s="23">
        <v>138</v>
      </c>
      <c r="B140" s="369">
        <v>5202639</v>
      </c>
      <c r="C140" s="48" t="s">
        <v>1713</v>
      </c>
      <c r="D140" s="97" t="s">
        <v>1713</v>
      </c>
      <c r="E140" s="97"/>
      <c r="F140" s="325"/>
      <c r="G140" s="97" t="s">
        <v>1713</v>
      </c>
      <c r="H140" s="48" t="s">
        <v>647</v>
      </c>
      <c r="I140" s="68">
        <v>200000</v>
      </c>
      <c r="J140" s="68">
        <v>50</v>
      </c>
      <c r="K140" s="68">
        <v>0</v>
      </c>
      <c r="L140" s="48" t="s">
        <v>1713</v>
      </c>
      <c r="M140" s="48" t="s">
        <v>1713</v>
      </c>
      <c r="N140" s="23">
        <v>1000</v>
      </c>
      <c r="O140" s="48" t="s">
        <v>1713</v>
      </c>
    </row>
    <row r="141" spans="1:15" x14ac:dyDescent="0.25">
      <c r="A141" s="23">
        <v>139</v>
      </c>
      <c r="B141" s="369">
        <v>5271426</v>
      </c>
      <c r="C141" s="48" t="s">
        <v>1713</v>
      </c>
      <c r="D141" s="97" t="s">
        <v>1713</v>
      </c>
      <c r="E141" s="97"/>
      <c r="F141" s="325"/>
      <c r="G141" s="97" t="s">
        <v>1713</v>
      </c>
      <c r="H141" s="48" t="s">
        <v>647</v>
      </c>
      <c r="I141" s="68">
        <v>200000</v>
      </c>
      <c r="J141" s="68">
        <v>50</v>
      </c>
      <c r="K141" s="68">
        <v>0</v>
      </c>
      <c r="L141" s="48" t="s">
        <v>1713</v>
      </c>
      <c r="M141" s="48" t="s">
        <v>1713</v>
      </c>
      <c r="N141" s="23">
        <v>1000</v>
      </c>
      <c r="O141" s="48" t="s">
        <v>1713</v>
      </c>
    </row>
    <row r="142" spans="1:15" x14ac:dyDescent="0.25">
      <c r="A142" s="23">
        <v>140</v>
      </c>
      <c r="B142" s="369">
        <v>5350860</v>
      </c>
      <c r="C142" s="48" t="s">
        <v>1713</v>
      </c>
      <c r="D142" s="97" t="s">
        <v>1713</v>
      </c>
      <c r="E142" s="97"/>
      <c r="F142" s="325"/>
      <c r="G142" s="97" t="s">
        <v>1713</v>
      </c>
      <c r="H142" s="48" t="s">
        <v>647</v>
      </c>
      <c r="I142" s="68">
        <v>200000</v>
      </c>
      <c r="J142" s="68">
        <v>50</v>
      </c>
      <c r="K142" s="68">
        <v>0</v>
      </c>
      <c r="L142" s="48" t="s">
        <v>1713</v>
      </c>
      <c r="M142" s="48" t="s">
        <v>1713</v>
      </c>
      <c r="N142" s="23">
        <v>1000</v>
      </c>
      <c r="O142" s="48" t="s">
        <v>1713</v>
      </c>
    </row>
    <row r="143" spans="1:15" x14ac:dyDescent="0.25">
      <c r="A143" s="23">
        <v>141</v>
      </c>
      <c r="B143" s="369">
        <v>5421213</v>
      </c>
      <c r="C143" s="48" t="s">
        <v>1713</v>
      </c>
      <c r="D143" s="97" t="s">
        <v>1713</v>
      </c>
      <c r="E143" s="97"/>
      <c r="F143" s="325"/>
      <c r="G143" s="97" t="s">
        <v>1713</v>
      </c>
      <c r="H143" s="48" t="s">
        <v>647</v>
      </c>
      <c r="I143" s="68">
        <v>200000</v>
      </c>
      <c r="J143" s="68">
        <v>50</v>
      </c>
      <c r="K143" s="68">
        <v>0</v>
      </c>
      <c r="L143" s="48" t="s">
        <v>1713</v>
      </c>
      <c r="M143" s="48" t="s">
        <v>1713</v>
      </c>
      <c r="N143" s="23">
        <v>1000</v>
      </c>
      <c r="O143" s="48" t="s">
        <v>1713</v>
      </c>
    </row>
    <row r="144" spans="1:15" x14ac:dyDescent="0.25">
      <c r="A144" s="23">
        <v>142</v>
      </c>
      <c r="B144" s="369">
        <v>5502213</v>
      </c>
      <c r="C144" s="48" t="s">
        <v>1713</v>
      </c>
      <c r="D144" s="97" t="s">
        <v>1713</v>
      </c>
      <c r="E144" s="97"/>
      <c r="F144" s="325"/>
      <c r="G144" s="97" t="s">
        <v>1713</v>
      </c>
      <c r="H144" s="48" t="s">
        <v>647</v>
      </c>
      <c r="I144" s="68">
        <v>200000</v>
      </c>
      <c r="J144" s="68">
        <v>50</v>
      </c>
      <c r="K144" s="68">
        <v>0</v>
      </c>
      <c r="L144" s="48" t="s">
        <v>1713</v>
      </c>
      <c r="M144" s="48" t="s">
        <v>1713</v>
      </c>
      <c r="N144" s="23">
        <v>1000</v>
      </c>
      <c r="O144" s="48" t="s">
        <v>1713</v>
      </c>
    </row>
    <row r="145" spans="1:15" x14ac:dyDescent="0.25">
      <c r="A145" s="23">
        <v>143</v>
      </c>
      <c r="B145" s="369">
        <v>5574132</v>
      </c>
      <c r="C145" s="48" t="s">
        <v>1713</v>
      </c>
      <c r="D145" s="97" t="s">
        <v>1713</v>
      </c>
      <c r="E145" s="97"/>
      <c r="F145" s="325"/>
      <c r="G145" s="97" t="s">
        <v>1713</v>
      </c>
      <c r="H145" s="48" t="s">
        <v>647</v>
      </c>
      <c r="I145" s="68">
        <v>200000</v>
      </c>
      <c r="J145" s="68">
        <v>50</v>
      </c>
      <c r="K145" s="68">
        <v>0</v>
      </c>
      <c r="L145" s="48" t="s">
        <v>1713</v>
      </c>
      <c r="M145" s="48" t="s">
        <v>1713</v>
      </c>
      <c r="N145" s="23">
        <v>1000</v>
      </c>
      <c r="O145" s="48" t="s">
        <v>1713</v>
      </c>
    </row>
    <row r="146" spans="1:15" x14ac:dyDescent="0.25">
      <c r="A146" s="23">
        <v>144</v>
      </c>
      <c r="B146" s="369">
        <v>5656698</v>
      </c>
      <c r="C146" s="48" t="s">
        <v>1713</v>
      </c>
      <c r="D146" s="97" t="s">
        <v>1713</v>
      </c>
      <c r="E146" s="97"/>
      <c r="F146" s="325"/>
      <c r="G146" s="97" t="s">
        <v>1713</v>
      </c>
      <c r="H146" s="48" t="s">
        <v>647</v>
      </c>
      <c r="I146" s="68">
        <v>200000</v>
      </c>
      <c r="J146" s="68">
        <v>50</v>
      </c>
      <c r="K146" s="68">
        <v>0</v>
      </c>
      <c r="L146" s="48" t="s">
        <v>1713</v>
      </c>
      <c r="M146" s="48" t="s">
        <v>1713</v>
      </c>
      <c r="N146" s="23">
        <v>1000</v>
      </c>
      <c r="O146" s="48" t="s">
        <v>1713</v>
      </c>
    </row>
    <row r="147" spans="1:15" x14ac:dyDescent="0.25">
      <c r="A147" s="23">
        <v>145</v>
      </c>
      <c r="B147" s="369">
        <v>5730183</v>
      </c>
      <c r="C147" s="48" t="s">
        <v>1713</v>
      </c>
      <c r="D147" s="97" t="s">
        <v>1713</v>
      </c>
      <c r="E147" s="97"/>
      <c r="F147" s="325"/>
      <c r="G147" s="97" t="s">
        <v>1713</v>
      </c>
      <c r="H147" s="48" t="s">
        <v>647</v>
      </c>
      <c r="I147" s="68">
        <v>200000</v>
      </c>
      <c r="J147" s="68">
        <v>50</v>
      </c>
      <c r="K147" s="68">
        <v>0</v>
      </c>
      <c r="L147" s="48" t="s">
        <v>1713</v>
      </c>
      <c r="M147" s="48" t="s">
        <v>1713</v>
      </c>
      <c r="N147" s="23">
        <v>1000</v>
      </c>
      <c r="O147" s="48" t="s">
        <v>1713</v>
      </c>
    </row>
    <row r="148" spans="1:15" x14ac:dyDescent="0.25">
      <c r="A148" s="23">
        <v>146</v>
      </c>
      <c r="B148" s="369">
        <v>5814315</v>
      </c>
      <c r="C148" s="48" t="s">
        <v>1713</v>
      </c>
      <c r="D148" s="97" t="s">
        <v>1713</v>
      </c>
      <c r="E148" s="97"/>
      <c r="F148" s="325"/>
      <c r="G148" s="97" t="s">
        <v>1713</v>
      </c>
      <c r="H148" s="48" t="s">
        <v>647</v>
      </c>
      <c r="I148" s="68">
        <v>200000</v>
      </c>
      <c r="J148" s="68">
        <v>50</v>
      </c>
      <c r="K148" s="68">
        <v>0</v>
      </c>
      <c r="L148" s="48" t="s">
        <v>1713</v>
      </c>
      <c r="M148" s="48" t="s">
        <v>1713</v>
      </c>
      <c r="N148" s="23">
        <v>1000</v>
      </c>
      <c r="O148" s="48" t="s">
        <v>1713</v>
      </c>
    </row>
    <row r="149" spans="1:15" x14ac:dyDescent="0.25">
      <c r="A149" s="23">
        <v>147</v>
      </c>
      <c r="B149" s="369">
        <v>5889366</v>
      </c>
      <c r="C149" s="48" t="s">
        <v>1713</v>
      </c>
      <c r="D149" s="97" t="s">
        <v>1713</v>
      </c>
      <c r="E149" s="97"/>
      <c r="F149" s="325"/>
      <c r="G149" s="97" t="s">
        <v>1713</v>
      </c>
      <c r="H149" s="48" t="s">
        <v>647</v>
      </c>
      <c r="I149" s="68">
        <v>200000</v>
      </c>
      <c r="J149" s="68">
        <v>50</v>
      </c>
      <c r="K149" s="68">
        <v>0</v>
      </c>
      <c r="L149" s="48" t="s">
        <v>1713</v>
      </c>
      <c r="M149" s="48" t="s">
        <v>1713</v>
      </c>
      <c r="N149" s="23">
        <v>1000</v>
      </c>
      <c r="O149" s="48" t="s">
        <v>1713</v>
      </c>
    </row>
    <row r="150" spans="1:15" x14ac:dyDescent="0.25">
      <c r="A150" s="23">
        <v>148</v>
      </c>
      <c r="B150" s="369">
        <v>5975064</v>
      </c>
      <c r="C150" s="48" t="s">
        <v>1713</v>
      </c>
      <c r="D150" s="97" t="s">
        <v>1713</v>
      </c>
      <c r="E150" s="97"/>
      <c r="F150" s="325"/>
      <c r="G150" s="97" t="s">
        <v>1713</v>
      </c>
      <c r="H150" s="48" t="s">
        <v>647</v>
      </c>
      <c r="I150" s="68">
        <v>200000</v>
      </c>
      <c r="J150" s="68">
        <v>50</v>
      </c>
      <c r="K150" s="68">
        <v>0</v>
      </c>
      <c r="L150" s="48" t="s">
        <v>1713</v>
      </c>
      <c r="M150" s="48" t="s">
        <v>1713</v>
      </c>
      <c r="N150" s="23">
        <v>1000</v>
      </c>
      <c r="O150" s="48" t="s">
        <v>1713</v>
      </c>
    </row>
    <row r="151" spans="1:15" x14ac:dyDescent="0.25">
      <c r="A151" s="23">
        <v>149</v>
      </c>
      <c r="B151" s="369">
        <v>6051681</v>
      </c>
      <c r="C151" s="48" t="s">
        <v>1713</v>
      </c>
      <c r="D151" s="97" t="s">
        <v>1713</v>
      </c>
      <c r="E151" s="97"/>
      <c r="F151" s="325"/>
      <c r="G151" s="97" t="s">
        <v>1713</v>
      </c>
      <c r="H151" s="48" t="s">
        <v>647</v>
      </c>
      <c r="I151" s="68">
        <v>200000</v>
      </c>
      <c r="J151" s="68">
        <v>50</v>
      </c>
      <c r="K151" s="68">
        <v>0</v>
      </c>
      <c r="L151" s="48" t="s">
        <v>1713</v>
      </c>
      <c r="M151" s="48" t="s">
        <v>1713</v>
      </c>
      <c r="N151" s="23">
        <v>1000</v>
      </c>
      <c r="O151" s="48" t="s">
        <v>1713</v>
      </c>
    </row>
    <row r="152" spans="1:15" s="380" customFormat="1" x14ac:dyDescent="0.25">
      <c r="A152" s="372">
        <v>150</v>
      </c>
      <c r="B152" s="373">
        <v>6138945</v>
      </c>
      <c r="C152" s="374" t="s">
        <v>1713</v>
      </c>
      <c r="D152" s="375" t="s">
        <v>1713</v>
      </c>
      <c r="E152" s="375"/>
      <c r="F152" s="376"/>
      <c r="G152" s="375" t="s">
        <v>1713</v>
      </c>
      <c r="H152" s="374" t="s">
        <v>647</v>
      </c>
      <c r="I152" s="378">
        <v>200000</v>
      </c>
      <c r="J152" s="378">
        <v>100</v>
      </c>
      <c r="K152" s="378">
        <v>0</v>
      </c>
      <c r="L152" s="374" t="s">
        <v>1713</v>
      </c>
      <c r="M152" s="374" t="s">
        <v>1713</v>
      </c>
      <c r="N152" s="372">
        <v>1000</v>
      </c>
      <c r="O152" s="374" t="s">
        <v>1713</v>
      </c>
    </row>
    <row r="153" spans="1:15" x14ac:dyDescent="0.25">
      <c r="A153" s="23">
        <v>151</v>
      </c>
      <c r="B153" s="369">
        <v>6217128</v>
      </c>
      <c r="C153" s="48" t="s">
        <v>1713</v>
      </c>
      <c r="D153" s="97" t="s">
        <v>1713</v>
      </c>
      <c r="E153" s="97"/>
      <c r="F153" s="325"/>
      <c r="G153" s="97" t="s">
        <v>1713</v>
      </c>
      <c r="H153" s="48" t="s">
        <v>647</v>
      </c>
      <c r="I153" s="68">
        <v>250000</v>
      </c>
      <c r="J153" s="68">
        <v>100</v>
      </c>
      <c r="K153" s="68">
        <v>0</v>
      </c>
      <c r="L153" s="48" t="s">
        <v>1713</v>
      </c>
      <c r="M153" s="48" t="s">
        <v>1713</v>
      </c>
      <c r="N153" s="23">
        <v>1000</v>
      </c>
      <c r="O153" s="48" t="s">
        <v>1713</v>
      </c>
    </row>
    <row r="154" spans="1:15" x14ac:dyDescent="0.25">
      <c r="A154" s="23">
        <v>152</v>
      </c>
      <c r="B154" s="369">
        <v>6305958</v>
      </c>
      <c r="C154" s="48" t="s">
        <v>1713</v>
      </c>
      <c r="D154" s="97" t="s">
        <v>1713</v>
      </c>
      <c r="E154" s="97"/>
      <c r="F154" s="325"/>
      <c r="G154" s="97" t="s">
        <v>1713</v>
      </c>
      <c r="H154" s="48" t="s">
        <v>647</v>
      </c>
      <c r="I154" s="68">
        <v>250000</v>
      </c>
      <c r="J154" s="68">
        <v>100</v>
      </c>
      <c r="K154" s="68">
        <v>0</v>
      </c>
      <c r="L154" s="48" t="s">
        <v>1713</v>
      </c>
      <c r="M154" s="48" t="s">
        <v>1713</v>
      </c>
      <c r="N154" s="23">
        <v>1000</v>
      </c>
      <c r="O154" s="48" t="s">
        <v>1713</v>
      </c>
    </row>
    <row r="155" spans="1:15" x14ac:dyDescent="0.25">
      <c r="A155" s="23">
        <v>153</v>
      </c>
      <c r="B155" s="369">
        <v>6385707</v>
      </c>
      <c r="C155" s="48" t="s">
        <v>1713</v>
      </c>
      <c r="D155" s="97" t="s">
        <v>1713</v>
      </c>
      <c r="E155" s="97"/>
      <c r="F155" s="325"/>
      <c r="G155" s="97" t="s">
        <v>1713</v>
      </c>
      <c r="H155" s="48" t="s">
        <v>647</v>
      </c>
      <c r="I155" s="68">
        <v>250000</v>
      </c>
      <c r="J155" s="68">
        <v>100</v>
      </c>
      <c r="K155" s="68">
        <v>0</v>
      </c>
      <c r="L155" s="48" t="s">
        <v>1713</v>
      </c>
      <c r="M155" s="48" t="s">
        <v>1713</v>
      </c>
      <c r="N155" s="23">
        <v>1000</v>
      </c>
      <c r="O155" s="48" t="s">
        <v>1713</v>
      </c>
    </row>
    <row r="156" spans="1:15" x14ac:dyDescent="0.25">
      <c r="A156" s="23">
        <v>154</v>
      </c>
      <c r="B156" s="369">
        <v>6476103</v>
      </c>
      <c r="C156" s="48" t="s">
        <v>1713</v>
      </c>
      <c r="D156" s="97" t="s">
        <v>1713</v>
      </c>
      <c r="E156" s="97"/>
      <c r="F156" s="325"/>
      <c r="G156" s="97" t="s">
        <v>1713</v>
      </c>
      <c r="H156" s="48" t="s">
        <v>647</v>
      </c>
      <c r="I156" s="68">
        <v>250000</v>
      </c>
      <c r="J156" s="68">
        <v>100</v>
      </c>
      <c r="K156" s="68">
        <v>0</v>
      </c>
      <c r="L156" s="48" t="s">
        <v>1713</v>
      </c>
      <c r="M156" s="48" t="s">
        <v>1713</v>
      </c>
      <c r="N156" s="23">
        <v>1000</v>
      </c>
      <c r="O156" s="48" t="s">
        <v>1713</v>
      </c>
    </row>
    <row r="157" spans="1:15" x14ac:dyDescent="0.25">
      <c r="A157" s="23">
        <v>155</v>
      </c>
      <c r="B157" s="369">
        <v>6557418</v>
      </c>
      <c r="C157" s="48" t="s">
        <v>1713</v>
      </c>
      <c r="D157" s="97" t="s">
        <v>1713</v>
      </c>
      <c r="E157" s="97"/>
      <c r="F157" s="325"/>
      <c r="G157" s="97" t="s">
        <v>1713</v>
      </c>
      <c r="H157" s="48" t="s">
        <v>647</v>
      </c>
      <c r="I157" s="68">
        <v>250000</v>
      </c>
      <c r="J157" s="68">
        <v>100</v>
      </c>
      <c r="K157" s="68">
        <v>0</v>
      </c>
      <c r="L157" s="48" t="s">
        <v>1713</v>
      </c>
      <c r="M157" s="48" t="s">
        <v>1713</v>
      </c>
      <c r="N157" s="23">
        <v>1000</v>
      </c>
      <c r="O157" s="48" t="s">
        <v>1713</v>
      </c>
    </row>
    <row r="158" spans="1:15" x14ac:dyDescent="0.25">
      <c r="A158" s="23">
        <v>156</v>
      </c>
      <c r="B158" s="369">
        <v>6649380</v>
      </c>
      <c r="C158" s="48" t="s">
        <v>1713</v>
      </c>
      <c r="D158" s="97" t="s">
        <v>1713</v>
      </c>
      <c r="E158" s="97"/>
      <c r="F158" s="325"/>
      <c r="G158" s="97" t="s">
        <v>1713</v>
      </c>
      <c r="H158" s="48" t="s">
        <v>647</v>
      </c>
      <c r="I158" s="68">
        <v>250000</v>
      </c>
      <c r="J158" s="68">
        <v>100</v>
      </c>
      <c r="K158" s="68">
        <v>0</v>
      </c>
      <c r="L158" s="48" t="s">
        <v>1713</v>
      </c>
      <c r="M158" s="48" t="s">
        <v>1713</v>
      </c>
      <c r="N158" s="23">
        <v>1000</v>
      </c>
      <c r="O158" s="48" t="s">
        <v>1713</v>
      </c>
    </row>
    <row r="159" spans="1:15" x14ac:dyDescent="0.25">
      <c r="A159" s="23">
        <v>157</v>
      </c>
      <c r="B159" s="369">
        <v>6732261</v>
      </c>
      <c r="C159" s="48" t="s">
        <v>1713</v>
      </c>
      <c r="D159" s="97" t="s">
        <v>1713</v>
      </c>
      <c r="E159" s="97"/>
      <c r="F159" s="325"/>
      <c r="G159" s="97" t="s">
        <v>1713</v>
      </c>
      <c r="H159" s="48" t="s">
        <v>647</v>
      </c>
      <c r="I159" s="68">
        <v>250000</v>
      </c>
      <c r="J159" s="68">
        <v>100</v>
      </c>
      <c r="K159" s="68">
        <v>0</v>
      </c>
      <c r="L159" s="48" t="s">
        <v>1713</v>
      </c>
      <c r="M159" s="48" t="s">
        <v>1713</v>
      </c>
      <c r="N159" s="23">
        <v>1000</v>
      </c>
      <c r="O159" s="48" t="s">
        <v>1713</v>
      </c>
    </row>
    <row r="160" spans="1:15" x14ac:dyDescent="0.25">
      <c r="A160" s="23">
        <v>158</v>
      </c>
      <c r="B160" s="369">
        <v>6825789</v>
      </c>
      <c r="C160" s="48" t="s">
        <v>1713</v>
      </c>
      <c r="D160" s="97" t="s">
        <v>1713</v>
      </c>
      <c r="E160" s="97"/>
      <c r="F160" s="325"/>
      <c r="G160" s="97" t="s">
        <v>1713</v>
      </c>
      <c r="H160" s="48" t="s">
        <v>647</v>
      </c>
      <c r="I160" s="68">
        <v>250000</v>
      </c>
      <c r="J160" s="68">
        <v>100</v>
      </c>
      <c r="K160" s="68">
        <v>0</v>
      </c>
      <c r="L160" s="48" t="s">
        <v>1713</v>
      </c>
      <c r="M160" s="48" t="s">
        <v>1713</v>
      </c>
      <c r="N160" s="23">
        <v>1000</v>
      </c>
      <c r="O160" s="48" t="s">
        <v>1713</v>
      </c>
    </row>
    <row r="161" spans="1:15" x14ac:dyDescent="0.25">
      <c r="A161" s="23">
        <v>159</v>
      </c>
      <c r="B161" s="369">
        <v>6910236</v>
      </c>
      <c r="C161" s="48" t="s">
        <v>1713</v>
      </c>
      <c r="D161" s="97" t="s">
        <v>1713</v>
      </c>
      <c r="E161" s="97"/>
      <c r="F161" s="325"/>
      <c r="G161" s="97" t="s">
        <v>1713</v>
      </c>
      <c r="H161" s="48" t="s">
        <v>647</v>
      </c>
      <c r="I161" s="68">
        <v>250000</v>
      </c>
      <c r="J161" s="68">
        <v>100</v>
      </c>
      <c r="K161" s="68">
        <v>0</v>
      </c>
      <c r="L161" s="48" t="s">
        <v>1713</v>
      </c>
      <c r="M161" s="48" t="s">
        <v>1713</v>
      </c>
      <c r="N161" s="23">
        <v>1000</v>
      </c>
      <c r="O161" s="48" t="s">
        <v>1713</v>
      </c>
    </row>
    <row r="162" spans="1:15" x14ac:dyDescent="0.25">
      <c r="A162" s="23">
        <v>160</v>
      </c>
      <c r="B162" s="369">
        <v>7005330</v>
      </c>
      <c r="C162" s="48" t="s">
        <v>1713</v>
      </c>
      <c r="D162" s="97" t="s">
        <v>1713</v>
      </c>
      <c r="E162" s="97"/>
      <c r="F162" s="325"/>
      <c r="G162" s="97" t="s">
        <v>1713</v>
      </c>
      <c r="H162" s="48" t="s">
        <v>647</v>
      </c>
      <c r="I162" s="68">
        <v>250000</v>
      </c>
      <c r="J162" s="68">
        <v>100</v>
      </c>
      <c r="K162" s="68">
        <v>0</v>
      </c>
      <c r="L162" s="48" t="s">
        <v>1713</v>
      </c>
      <c r="M162" s="48" t="s">
        <v>1713</v>
      </c>
      <c r="N162" s="23">
        <v>1000</v>
      </c>
      <c r="O162" s="48" t="s">
        <v>1713</v>
      </c>
    </row>
    <row r="163" spans="1:15" x14ac:dyDescent="0.25">
      <c r="A163" s="23">
        <v>161</v>
      </c>
      <c r="B163" s="369">
        <v>7091343</v>
      </c>
      <c r="C163" s="48" t="s">
        <v>1713</v>
      </c>
      <c r="D163" s="97" t="s">
        <v>1713</v>
      </c>
      <c r="E163" s="97"/>
      <c r="F163" s="325"/>
      <c r="G163" s="97" t="s">
        <v>1713</v>
      </c>
      <c r="H163" s="48" t="s">
        <v>647</v>
      </c>
      <c r="I163" s="68">
        <v>250000</v>
      </c>
      <c r="J163" s="68">
        <v>100</v>
      </c>
      <c r="K163" s="68">
        <v>0</v>
      </c>
      <c r="L163" s="48" t="s">
        <v>1713</v>
      </c>
      <c r="M163" s="48" t="s">
        <v>1713</v>
      </c>
      <c r="N163" s="23">
        <v>1000</v>
      </c>
      <c r="O163" s="48" t="s">
        <v>1713</v>
      </c>
    </row>
    <row r="164" spans="1:15" x14ac:dyDescent="0.25">
      <c r="A164" s="23">
        <v>162</v>
      </c>
      <c r="B164" s="369">
        <v>7188003</v>
      </c>
      <c r="C164" s="48" t="s">
        <v>1713</v>
      </c>
      <c r="D164" s="97" t="s">
        <v>1713</v>
      </c>
      <c r="E164" s="97"/>
      <c r="F164" s="325"/>
      <c r="G164" s="97" t="s">
        <v>1713</v>
      </c>
      <c r="H164" s="48" t="s">
        <v>647</v>
      </c>
      <c r="I164" s="68">
        <v>250000</v>
      </c>
      <c r="J164" s="68">
        <v>100</v>
      </c>
      <c r="K164" s="68">
        <v>0</v>
      </c>
      <c r="L164" s="48" t="s">
        <v>1713</v>
      </c>
      <c r="M164" s="48" t="s">
        <v>1713</v>
      </c>
      <c r="N164" s="23">
        <v>1000</v>
      </c>
      <c r="O164" s="48" t="s">
        <v>1713</v>
      </c>
    </row>
    <row r="165" spans="1:15" x14ac:dyDescent="0.25">
      <c r="A165" s="23">
        <v>163</v>
      </c>
      <c r="B165" s="369">
        <v>7275582</v>
      </c>
      <c r="C165" s="48" t="s">
        <v>1713</v>
      </c>
      <c r="D165" s="97" t="s">
        <v>1713</v>
      </c>
      <c r="E165" s="97"/>
      <c r="F165" s="325"/>
      <c r="G165" s="97" t="s">
        <v>1713</v>
      </c>
      <c r="H165" s="48" t="s">
        <v>647</v>
      </c>
      <c r="I165" s="68">
        <v>250000</v>
      </c>
      <c r="J165" s="68">
        <v>100</v>
      </c>
      <c r="K165" s="68">
        <v>0</v>
      </c>
      <c r="L165" s="48" t="s">
        <v>1713</v>
      </c>
      <c r="M165" s="48" t="s">
        <v>1713</v>
      </c>
      <c r="N165" s="23">
        <v>1000</v>
      </c>
      <c r="O165" s="48" t="s">
        <v>1713</v>
      </c>
    </row>
    <row r="166" spans="1:15" x14ac:dyDescent="0.25">
      <c r="A166" s="23">
        <v>164</v>
      </c>
      <c r="B166" s="369">
        <v>7373808</v>
      </c>
      <c r="C166" s="48" t="s">
        <v>1713</v>
      </c>
      <c r="D166" s="97" t="s">
        <v>1713</v>
      </c>
      <c r="E166" s="97"/>
      <c r="F166" s="325"/>
      <c r="G166" s="97" t="s">
        <v>1713</v>
      </c>
      <c r="H166" s="48" t="s">
        <v>647</v>
      </c>
      <c r="I166" s="68">
        <v>250000</v>
      </c>
      <c r="J166" s="68">
        <v>100</v>
      </c>
      <c r="K166" s="68">
        <v>0</v>
      </c>
      <c r="L166" s="48" t="s">
        <v>1713</v>
      </c>
      <c r="M166" s="48" t="s">
        <v>1713</v>
      </c>
      <c r="N166" s="23">
        <v>1000</v>
      </c>
      <c r="O166" s="48" t="s">
        <v>1713</v>
      </c>
    </row>
    <row r="167" spans="1:15" x14ac:dyDescent="0.25">
      <c r="A167" s="23">
        <v>165</v>
      </c>
      <c r="B167" s="369">
        <v>7462953</v>
      </c>
      <c r="C167" s="48" t="s">
        <v>1713</v>
      </c>
      <c r="D167" s="97" t="s">
        <v>1713</v>
      </c>
      <c r="E167" s="97"/>
      <c r="F167" s="325"/>
      <c r="G167" s="97" t="s">
        <v>1713</v>
      </c>
      <c r="H167" s="48" t="s">
        <v>647</v>
      </c>
      <c r="I167" s="68">
        <v>250000</v>
      </c>
      <c r="J167" s="68">
        <v>100</v>
      </c>
      <c r="K167" s="68">
        <v>0</v>
      </c>
      <c r="L167" s="48" t="s">
        <v>1713</v>
      </c>
      <c r="M167" s="48" t="s">
        <v>1713</v>
      </c>
      <c r="N167" s="23">
        <v>1000</v>
      </c>
      <c r="O167" s="48" t="s">
        <v>1713</v>
      </c>
    </row>
    <row r="168" spans="1:15" x14ac:dyDescent="0.25">
      <c r="A168" s="23">
        <v>166</v>
      </c>
      <c r="B168" s="369">
        <v>7562745</v>
      </c>
      <c r="C168" s="48" t="s">
        <v>1713</v>
      </c>
      <c r="D168" s="97" t="s">
        <v>1713</v>
      </c>
      <c r="E168" s="97"/>
      <c r="F168" s="325"/>
      <c r="G168" s="97" t="s">
        <v>1713</v>
      </c>
      <c r="H168" s="48" t="s">
        <v>647</v>
      </c>
      <c r="I168" s="68">
        <v>250000</v>
      </c>
      <c r="J168" s="68">
        <v>100</v>
      </c>
      <c r="K168" s="68">
        <v>0</v>
      </c>
      <c r="L168" s="48" t="s">
        <v>1713</v>
      </c>
      <c r="M168" s="48" t="s">
        <v>1713</v>
      </c>
      <c r="N168" s="23">
        <v>1000</v>
      </c>
      <c r="O168" s="48" t="s">
        <v>1713</v>
      </c>
    </row>
    <row r="169" spans="1:15" x14ac:dyDescent="0.25">
      <c r="A169" s="23">
        <v>167</v>
      </c>
      <c r="B169" s="369">
        <v>7653456</v>
      </c>
      <c r="C169" s="48" t="s">
        <v>1713</v>
      </c>
      <c r="D169" s="97" t="s">
        <v>1713</v>
      </c>
      <c r="E169" s="97"/>
      <c r="F169" s="325"/>
      <c r="G169" s="97" t="s">
        <v>1713</v>
      </c>
      <c r="H169" s="48" t="s">
        <v>647</v>
      </c>
      <c r="I169" s="68">
        <v>250000</v>
      </c>
      <c r="J169" s="68">
        <v>100</v>
      </c>
      <c r="K169" s="68">
        <v>0</v>
      </c>
      <c r="L169" s="48" t="s">
        <v>1713</v>
      </c>
      <c r="M169" s="48" t="s">
        <v>1713</v>
      </c>
      <c r="N169" s="23">
        <v>1000</v>
      </c>
      <c r="O169" s="48" t="s">
        <v>1713</v>
      </c>
    </row>
    <row r="170" spans="1:15" x14ac:dyDescent="0.25">
      <c r="A170" s="23">
        <v>168</v>
      </c>
      <c r="B170" s="369">
        <v>7754814</v>
      </c>
      <c r="C170" s="48" t="s">
        <v>1713</v>
      </c>
      <c r="D170" s="97" t="s">
        <v>1713</v>
      </c>
      <c r="E170" s="97"/>
      <c r="F170" s="325"/>
      <c r="G170" s="97" t="s">
        <v>1713</v>
      </c>
      <c r="H170" s="48" t="s">
        <v>647</v>
      </c>
      <c r="I170" s="68">
        <v>250000</v>
      </c>
      <c r="J170" s="68">
        <v>100</v>
      </c>
      <c r="K170" s="68">
        <v>0</v>
      </c>
      <c r="L170" s="48" t="s">
        <v>1713</v>
      </c>
      <c r="M170" s="48" t="s">
        <v>1713</v>
      </c>
      <c r="N170" s="23">
        <v>1000</v>
      </c>
      <c r="O170" s="48" t="s">
        <v>1713</v>
      </c>
    </row>
    <row r="171" spans="1:15" x14ac:dyDescent="0.25">
      <c r="A171" s="23">
        <v>169</v>
      </c>
      <c r="B171" s="369">
        <v>7847091</v>
      </c>
      <c r="C171" s="48" t="s">
        <v>1713</v>
      </c>
      <c r="D171" s="97" t="s">
        <v>1713</v>
      </c>
      <c r="E171" s="97"/>
      <c r="F171" s="325"/>
      <c r="G171" s="97" t="s">
        <v>1713</v>
      </c>
      <c r="H171" s="48" t="s">
        <v>647</v>
      </c>
      <c r="I171" s="68">
        <v>250000</v>
      </c>
      <c r="J171" s="68">
        <v>100</v>
      </c>
      <c r="K171" s="68">
        <v>0</v>
      </c>
      <c r="L171" s="48" t="s">
        <v>1713</v>
      </c>
      <c r="M171" s="48" t="s">
        <v>1713</v>
      </c>
      <c r="N171" s="23">
        <v>1000</v>
      </c>
      <c r="O171" s="48" t="s">
        <v>1713</v>
      </c>
    </row>
    <row r="172" spans="1:15" x14ac:dyDescent="0.25">
      <c r="A172" s="23">
        <v>170</v>
      </c>
      <c r="B172" s="369">
        <v>7950015</v>
      </c>
      <c r="C172" s="48" t="s">
        <v>1713</v>
      </c>
      <c r="D172" s="97" t="s">
        <v>1713</v>
      </c>
      <c r="E172" s="97"/>
      <c r="F172" s="325"/>
      <c r="G172" s="97" t="s">
        <v>1713</v>
      </c>
      <c r="H172" s="48" t="s">
        <v>647</v>
      </c>
      <c r="I172" s="68">
        <v>250000</v>
      </c>
      <c r="J172" s="68">
        <v>100</v>
      </c>
      <c r="K172" s="68">
        <v>0</v>
      </c>
      <c r="L172" s="48" t="s">
        <v>1713</v>
      </c>
      <c r="M172" s="48" t="s">
        <v>1713</v>
      </c>
      <c r="N172" s="23">
        <v>1000</v>
      </c>
      <c r="O172" s="48" t="s">
        <v>1713</v>
      </c>
    </row>
    <row r="173" spans="1:15" x14ac:dyDescent="0.25">
      <c r="A173" s="23">
        <v>171</v>
      </c>
      <c r="B173" s="369">
        <v>8043858</v>
      </c>
      <c r="C173" s="48" t="s">
        <v>1713</v>
      </c>
      <c r="D173" s="97" t="s">
        <v>1713</v>
      </c>
      <c r="E173" s="97"/>
      <c r="F173" s="325"/>
      <c r="G173" s="97" t="s">
        <v>1713</v>
      </c>
      <c r="H173" s="48" t="s">
        <v>647</v>
      </c>
      <c r="I173" s="68">
        <v>300000</v>
      </c>
      <c r="J173" s="68">
        <v>100</v>
      </c>
      <c r="K173" s="68">
        <v>0</v>
      </c>
      <c r="L173" s="48" t="s">
        <v>1713</v>
      </c>
      <c r="M173" s="48" t="s">
        <v>1713</v>
      </c>
      <c r="N173" s="23">
        <v>1000</v>
      </c>
      <c r="O173" s="48" t="s">
        <v>1713</v>
      </c>
    </row>
    <row r="174" spans="1:15" x14ac:dyDescent="0.25">
      <c r="A174" s="23">
        <v>172</v>
      </c>
      <c r="B174" s="369">
        <v>8148348</v>
      </c>
      <c r="C174" s="48" t="s">
        <v>1713</v>
      </c>
      <c r="D174" s="97" t="s">
        <v>1713</v>
      </c>
      <c r="E174" s="97"/>
      <c r="F174" s="325"/>
      <c r="G174" s="97" t="s">
        <v>1713</v>
      </c>
      <c r="H174" s="48" t="s">
        <v>647</v>
      </c>
      <c r="I174" s="68">
        <v>300000</v>
      </c>
      <c r="J174" s="68">
        <v>100</v>
      </c>
      <c r="K174" s="68">
        <v>0</v>
      </c>
      <c r="L174" s="48" t="s">
        <v>1713</v>
      </c>
      <c r="M174" s="48" t="s">
        <v>1713</v>
      </c>
      <c r="N174" s="23">
        <v>1000</v>
      </c>
      <c r="O174" s="48" t="s">
        <v>1713</v>
      </c>
    </row>
    <row r="175" spans="1:15" x14ac:dyDescent="0.25">
      <c r="A175" s="23">
        <v>173</v>
      </c>
      <c r="B175" s="369">
        <v>8243757</v>
      </c>
      <c r="C175" s="48" t="s">
        <v>1713</v>
      </c>
      <c r="D175" s="97" t="s">
        <v>1713</v>
      </c>
      <c r="E175" s="97"/>
      <c r="F175" s="325"/>
      <c r="G175" s="97" t="s">
        <v>1713</v>
      </c>
      <c r="H175" s="48" t="s">
        <v>647</v>
      </c>
      <c r="I175" s="68">
        <v>300000</v>
      </c>
      <c r="J175" s="68">
        <v>100</v>
      </c>
      <c r="K175" s="68">
        <v>0</v>
      </c>
      <c r="L175" s="48" t="s">
        <v>1713</v>
      </c>
      <c r="M175" s="48" t="s">
        <v>1713</v>
      </c>
      <c r="N175" s="23">
        <v>1000</v>
      </c>
      <c r="O175" s="48" t="s">
        <v>1713</v>
      </c>
    </row>
    <row r="176" spans="1:15" x14ac:dyDescent="0.25">
      <c r="A176" s="23">
        <v>174</v>
      </c>
      <c r="B176" s="369">
        <v>8349813</v>
      </c>
      <c r="C176" s="48" t="s">
        <v>1713</v>
      </c>
      <c r="D176" s="97" t="s">
        <v>1713</v>
      </c>
      <c r="E176" s="97"/>
      <c r="F176" s="325"/>
      <c r="G176" s="97" t="s">
        <v>1713</v>
      </c>
      <c r="H176" s="48" t="s">
        <v>647</v>
      </c>
      <c r="I176" s="68">
        <v>300000</v>
      </c>
      <c r="J176" s="68">
        <v>100</v>
      </c>
      <c r="K176" s="68">
        <v>0</v>
      </c>
      <c r="L176" s="48" t="s">
        <v>1713</v>
      </c>
      <c r="M176" s="48" t="s">
        <v>1713</v>
      </c>
      <c r="N176" s="23">
        <v>1000</v>
      </c>
      <c r="O176" s="48" t="s">
        <v>1713</v>
      </c>
    </row>
    <row r="177" spans="1:15" x14ac:dyDescent="0.25">
      <c r="A177" s="23">
        <v>175</v>
      </c>
      <c r="B177" s="369">
        <v>8446788</v>
      </c>
      <c r="C177" s="48" t="s">
        <v>1713</v>
      </c>
      <c r="D177" s="97" t="s">
        <v>1713</v>
      </c>
      <c r="E177" s="97"/>
      <c r="F177" s="325"/>
      <c r="G177" s="97" t="s">
        <v>1713</v>
      </c>
      <c r="H177" s="48" t="s">
        <v>647</v>
      </c>
      <c r="I177" s="68">
        <v>300000</v>
      </c>
      <c r="J177" s="68">
        <v>100</v>
      </c>
      <c r="K177" s="68">
        <v>0</v>
      </c>
      <c r="L177" s="48" t="s">
        <v>1713</v>
      </c>
      <c r="M177" s="48" t="s">
        <v>1713</v>
      </c>
      <c r="N177" s="23">
        <v>1000</v>
      </c>
      <c r="O177" s="48" t="s">
        <v>1713</v>
      </c>
    </row>
    <row r="178" spans="1:15" x14ac:dyDescent="0.25">
      <c r="A178" s="23">
        <v>176</v>
      </c>
      <c r="B178" s="369">
        <v>8554410</v>
      </c>
      <c r="C178" s="48" t="s">
        <v>1713</v>
      </c>
      <c r="D178" s="97" t="s">
        <v>1713</v>
      </c>
      <c r="E178" s="97"/>
      <c r="F178" s="325"/>
      <c r="G178" s="97" t="s">
        <v>1713</v>
      </c>
      <c r="H178" s="48" t="s">
        <v>647</v>
      </c>
      <c r="I178" s="68">
        <v>300000</v>
      </c>
      <c r="J178" s="68">
        <v>100</v>
      </c>
      <c r="K178" s="68">
        <v>0</v>
      </c>
      <c r="L178" s="48" t="s">
        <v>1713</v>
      </c>
      <c r="M178" s="48" t="s">
        <v>1713</v>
      </c>
      <c r="N178" s="23">
        <v>1000</v>
      </c>
      <c r="O178" s="48" t="s">
        <v>1713</v>
      </c>
    </row>
    <row r="179" spans="1:15" x14ac:dyDescent="0.25">
      <c r="A179" s="23">
        <v>177</v>
      </c>
      <c r="B179" s="369">
        <v>8652951</v>
      </c>
      <c r="C179" s="48" t="s">
        <v>1713</v>
      </c>
      <c r="D179" s="97" t="s">
        <v>1713</v>
      </c>
      <c r="E179" s="97"/>
      <c r="F179" s="325"/>
      <c r="G179" s="97" t="s">
        <v>1713</v>
      </c>
      <c r="H179" s="48" t="s">
        <v>647</v>
      </c>
      <c r="I179" s="68">
        <v>300000</v>
      </c>
      <c r="J179" s="68">
        <v>100</v>
      </c>
      <c r="K179" s="68">
        <v>0</v>
      </c>
      <c r="L179" s="48" t="s">
        <v>1713</v>
      </c>
      <c r="M179" s="48" t="s">
        <v>1713</v>
      </c>
      <c r="N179" s="23">
        <v>1000</v>
      </c>
      <c r="O179" s="48" t="s">
        <v>1713</v>
      </c>
    </row>
    <row r="180" spans="1:15" x14ac:dyDescent="0.25">
      <c r="A180" s="23">
        <v>178</v>
      </c>
      <c r="B180" s="369">
        <v>8762688</v>
      </c>
      <c r="C180" s="48" t="s">
        <v>1713</v>
      </c>
      <c r="D180" s="97" t="s">
        <v>1713</v>
      </c>
      <c r="E180" s="97"/>
      <c r="F180" s="325"/>
      <c r="G180" s="97" t="s">
        <v>1713</v>
      </c>
      <c r="H180" s="48" t="s">
        <v>647</v>
      </c>
      <c r="I180" s="68">
        <v>300000</v>
      </c>
      <c r="J180" s="68">
        <v>100</v>
      </c>
      <c r="K180" s="68">
        <v>0</v>
      </c>
      <c r="L180" s="48" t="s">
        <v>1713</v>
      </c>
      <c r="M180" s="48" t="s">
        <v>1713</v>
      </c>
      <c r="N180" s="23">
        <v>1000</v>
      </c>
      <c r="O180" s="48" t="s">
        <v>1713</v>
      </c>
    </row>
    <row r="181" spans="1:15" x14ac:dyDescent="0.25">
      <c r="A181" s="23">
        <v>179</v>
      </c>
      <c r="B181" s="369">
        <v>8863344</v>
      </c>
      <c r="C181" s="48" t="s">
        <v>1713</v>
      </c>
      <c r="D181" s="97" t="s">
        <v>1713</v>
      </c>
      <c r="E181" s="97"/>
      <c r="F181" s="325"/>
      <c r="G181" s="97" t="s">
        <v>1713</v>
      </c>
      <c r="H181" s="48" t="s">
        <v>647</v>
      </c>
      <c r="I181" s="68">
        <v>300000</v>
      </c>
      <c r="J181" s="68">
        <v>100</v>
      </c>
      <c r="K181" s="68">
        <v>0</v>
      </c>
      <c r="L181" s="48" t="s">
        <v>1713</v>
      </c>
      <c r="M181" s="48" t="s">
        <v>1713</v>
      </c>
      <c r="N181" s="23">
        <v>1000</v>
      </c>
      <c r="O181" s="48" t="s">
        <v>1713</v>
      </c>
    </row>
    <row r="182" spans="1:15" x14ac:dyDescent="0.25">
      <c r="A182" s="23">
        <v>180</v>
      </c>
      <c r="B182" s="369">
        <v>8975196</v>
      </c>
      <c r="C182" s="48" t="s">
        <v>1713</v>
      </c>
      <c r="D182" s="97" t="s">
        <v>1713</v>
      </c>
      <c r="E182" s="97"/>
      <c r="F182" s="325"/>
      <c r="G182" s="97" t="s">
        <v>1713</v>
      </c>
      <c r="H182" s="48" t="s">
        <v>647</v>
      </c>
      <c r="I182" s="68">
        <v>300000</v>
      </c>
      <c r="J182" s="68">
        <v>100</v>
      </c>
      <c r="K182" s="68">
        <v>0</v>
      </c>
      <c r="L182" s="48" t="s">
        <v>1713</v>
      </c>
      <c r="M182" s="48" t="s">
        <v>1713</v>
      </c>
      <c r="N182" s="23">
        <v>1000</v>
      </c>
      <c r="O182" s="48" t="s">
        <v>1713</v>
      </c>
    </row>
    <row r="183" spans="1:15" x14ac:dyDescent="0.25">
      <c r="A183" s="23">
        <v>181</v>
      </c>
      <c r="B183" s="369">
        <v>9077967</v>
      </c>
      <c r="C183" s="48" t="s">
        <v>1713</v>
      </c>
      <c r="D183" s="97" t="s">
        <v>1713</v>
      </c>
      <c r="E183" s="97"/>
      <c r="F183" s="325"/>
      <c r="G183" s="97" t="s">
        <v>1713</v>
      </c>
      <c r="H183" s="48" t="s">
        <v>647</v>
      </c>
      <c r="I183" s="68">
        <v>300000</v>
      </c>
      <c r="J183" s="68">
        <v>100</v>
      </c>
      <c r="K183" s="68">
        <v>0</v>
      </c>
      <c r="L183" s="48" t="s">
        <v>1713</v>
      </c>
      <c r="M183" s="48" t="s">
        <v>1713</v>
      </c>
      <c r="N183" s="23">
        <v>1000</v>
      </c>
      <c r="O183" s="48" t="s">
        <v>1713</v>
      </c>
    </row>
    <row r="184" spans="1:15" x14ac:dyDescent="0.25">
      <c r="A184" s="23">
        <v>182</v>
      </c>
      <c r="B184" s="369">
        <v>9191934</v>
      </c>
      <c r="C184" s="48" t="s">
        <v>1713</v>
      </c>
      <c r="D184" s="97" t="s">
        <v>1713</v>
      </c>
      <c r="E184" s="97"/>
      <c r="F184" s="325"/>
      <c r="G184" s="97" t="s">
        <v>1713</v>
      </c>
      <c r="H184" s="48" t="s">
        <v>647</v>
      </c>
      <c r="I184" s="68">
        <v>300000</v>
      </c>
      <c r="J184" s="68">
        <v>100</v>
      </c>
      <c r="K184" s="68">
        <v>0</v>
      </c>
      <c r="L184" s="48" t="s">
        <v>1713</v>
      </c>
      <c r="M184" s="48" t="s">
        <v>1713</v>
      </c>
      <c r="N184" s="23">
        <v>1000</v>
      </c>
      <c r="O184" s="48" t="s">
        <v>1713</v>
      </c>
    </row>
    <row r="185" spans="1:15" x14ac:dyDescent="0.25">
      <c r="A185" s="23">
        <v>183</v>
      </c>
      <c r="B185" s="369">
        <v>9296820</v>
      </c>
      <c r="C185" s="48" t="s">
        <v>1713</v>
      </c>
      <c r="D185" s="97" t="s">
        <v>1713</v>
      </c>
      <c r="E185" s="97"/>
      <c r="F185" s="325"/>
      <c r="G185" s="97" t="s">
        <v>1713</v>
      </c>
      <c r="H185" s="48" t="s">
        <v>647</v>
      </c>
      <c r="I185" s="68">
        <v>300000</v>
      </c>
      <c r="J185" s="68">
        <v>100</v>
      </c>
      <c r="K185" s="68">
        <v>0</v>
      </c>
      <c r="L185" s="48" t="s">
        <v>1713</v>
      </c>
      <c r="M185" s="48" t="s">
        <v>1713</v>
      </c>
      <c r="N185" s="23">
        <v>1000</v>
      </c>
      <c r="O185" s="48" t="s">
        <v>1713</v>
      </c>
    </row>
    <row r="186" spans="1:15" x14ac:dyDescent="0.25">
      <c r="A186" s="23">
        <v>184</v>
      </c>
      <c r="B186" s="369">
        <v>9413829</v>
      </c>
      <c r="C186" s="48" t="s">
        <v>1713</v>
      </c>
      <c r="D186" s="97" t="s">
        <v>1713</v>
      </c>
      <c r="E186" s="97"/>
      <c r="F186" s="325"/>
      <c r="G186" s="97" t="s">
        <v>1713</v>
      </c>
      <c r="H186" s="48" t="s">
        <v>647</v>
      </c>
      <c r="I186" s="68">
        <v>300000</v>
      </c>
      <c r="J186" s="68">
        <v>100</v>
      </c>
      <c r="K186" s="68">
        <v>0</v>
      </c>
      <c r="L186" s="48" t="s">
        <v>1713</v>
      </c>
      <c r="M186" s="48" t="s">
        <v>1713</v>
      </c>
      <c r="N186" s="23">
        <v>1000</v>
      </c>
      <c r="O186" s="48" t="s">
        <v>1713</v>
      </c>
    </row>
    <row r="187" spans="1:15" x14ac:dyDescent="0.25">
      <c r="A187" s="23">
        <v>185</v>
      </c>
      <c r="B187" s="369">
        <v>9521757</v>
      </c>
      <c r="C187" s="48" t="s">
        <v>1713</v>
      </c>
      <c r="D187" s="97" t="s">
        <v>1713</v>
      </c>
      <c r="E187" s="97"/>
      <c r="F187" s="325"/>
      <c r="G187" s="97" t="s">
        <v>1713</v>
      </c>
      <c r="H187" s="48" t="s">
        <v>647</v>
      </c>
      <c r="I187" s="68">
        <v>300000</v>
      </c>
      <c r="J187" s="68">
        <v>100</v>
      </c>
      <c r="K187" s="68">
        <v>0</v>
      </c>
      <c r="L187" s="48" t="s">
        <v>1713</v>
      </c>
      <c r="M187" s="48" t="s">
        <v>1713</v>
      </c>
      <c r="N187" s="23">
        <v>1000</v>
      </c>
      <c r="O187" s="48" t="s">
        <v>1713</v>
      </c>
    </row>
    <row r="188" spans="1:15" x14ac:dyDescent="0.25">
      <c r="A188" s="23">
        <v>186</v>
      </c>
      <c r="B188" s="369">
        <v>9641808</v>
      </c>
      <c r="C188" s="48" t="s">
        <v>1713</v>
      </c>
      <c r="D188" s="97" t="s">
        <v>1713</v>
      </c>
      <c r="E188" s="97"/>
      <c r="F188" s="325"/>
      <c r="G188" s="97" t="s">
        <v>1713</v>
      </c>
      <c r="H188" s="48" t="s">
        <v>647</v>
      </c>
      <c r="I188" s="68">
        <v>300000</v>
      </c>
      <c r="J188" s="68">
        <v>100</v>
      </c>
      <c r="K188" s="68">
        <v>0</v>
      </c>
      <c r="L188" s="48" t="s">
        <v>1713</v>
      </c>
      <c r="M188" s="48" t="s">
        <v>1713</v>
      </c>
      <c r="N188" s="23">
        <v>1000</v>
      </c>
      <c r="O188" s="48" t="s">
        <v>1713</v>
      </c>
    </row>
    <row r="189" spans="1:15" x14ac:dyDescent="0.25">
      <c r="A189" s="23">
        <v>187</v>
      </c>
      <c r="B189" s="369">
        <v>9752778</v>
      </c>
      <c r="C189" s="48" t="s">
        <v>1713</v>
      </c>
      <c r="D189" s="97" t="s">
        <v>1713</v>
      </c>
      <c r="E189" s="97"/>
      <c r="F189" s="325"/>
      <c r="G189" s="97" t="s">
        <v>1713</v>
      </c>
      <c r="H189" s="48" t="s">
        <v>647</v>
      </c>
      <c r="I189" s="68">
        <v>300000</v>
      </c>
      <c r="J189" s="68">
        <v>100</v>
      </c>
      <c r="K189" s="68">
        <v>0</v>
      </c>
      <c r="L189" s="48" t="s">
        <v>1713</v>
      </c>
      <c r="M189" s="48" t="s">
        <v>1713</v>
      </c>
      <c r="N189" s="23">
        <v>1000</v>
      </c>
      <c r="O189" s="48" t="s">
        <v>1713</v>
      </c>
    </row>
    <row r="190" spans="1:15" x14ac:dyDescent="0.25">
      <c r="A190" s="23">
        <v>188</v>
      </c>
      <c r="B190" s="369">
        <v>9875871</v>
      </c>
      <c r="C190" s="48" t="s">
        <v>1713</v>
      </c>
      <c r="D190" s="97" t="s">
        <v>1713</v>
      </c>
      <c r="E190" s="97"/>
      <c r="F190" s="325"/>
      <c r="G190" s="97" t="s">
        <v>1713</v>
      </c>
      <c r="H190" s="48" t="s">
        <v>647</v>
      </c>
      <c r="I190" s="68">
        <v>300000</v>
      </c>
      <c r="J190" s="68">
        <v>100</v>
      </c>
      <c r="K190" s="68">
        <v>0</v>
      </c>
      <c r="L190" s="48" t="s">
        <v>1713</v>
      </c>
      <c r="M190" s="48" t="s">
        <v>1713</v>
      </c>
      <c r="N190" s="23">
        <v>1000</v>
      </c>
      <c r="O190" s="48" t="s">
        <v>1713</v>
      </c>
    </row>
    <row r="191" spans="1:15" x14ac:dyDescent="0.25">
      <c r="A191" s="23">
        <v>189</v>
      </c>
      <c r="B191" s="369">
        <v>9935883</v>
      </c>
      <c r="C191" s="48" t="s">
        <v>1713</v>
      </c>
      <c r="D191" s="97" t="s">
        <v>1713</v>
      </c>
      <c r="E191" s="97"/>
      <c r="F191" s="325"/>
      <c r="G191" s="97" t="s">
        <v>1713</v>
      </c>
      <c r="H191" s="48" t="s">
        <v>647</v>
      </c>
      <c r="I191" s="68">
        <v>300000</v>
      </c>
      <c r="J191" s="68">
        <v>100</v>
      </c>
      <c r="K191" s="68">
        <v>0</v>
      </c>
      <c r="L191" s="48" t="s">
        <v>1713</v>
      </c>
      <c r="M191" s="48" t="s">
        <v>1713</v>
      </c>
      <c r="N191" s="23">
        <v>1000</v>
      </c>
      <c r="O191" s="48" t="s">
        <v>1713</v>
      </c>
    </row>
    <row r="192" spans="1:15" x14ac:dyDescent="0.25">
      <c r="A192" s="23">
        <v>190</v>
      </c>
      <c r="B192" s="369">
        <v>10062018</v>
      </c>
      <c r="C192" s="48" t="s">
        <v>1713</v>
      </c>
      <c r="D192" s="97" t="s">
        <v>1713</v>
      </c>
      <c r="E192" s="97"/>
      <c r="F192" s="325"/>
      <c r="G192" s="97" t="s">
        <v>1713</v>
      </c>
      <c r="H192" s="48" t="s">
        <v>647</v>
      </c>
      <c r="I192" s="68">
        <v>300000</v>
      </c>
      <c r="J192" s="68">
        <v>100</v>
      </c>
      <c r="K192" s="68">
        <v>0</v>
      </c>
      <c r="L192" s="48" t="s">
        <v>1713</v>
      </c>
      <c r="M192" s="48" t="s">
        <v>1713</v>
      </c>
      <c r="N192" s="23">
        <v>1000</v>
      </c>
      <c r="O192" s="48" t="s">
        <v>1713</v>
      </c>
    </row>
    <row r="193" spans="1:15" x14ac:dyDescent="0.25">
      <c r="A193" s="23">
        <v>191</v>
      </c>
      <c r="B193" s="369">
        <v>10180881</v>
      </c>
      <c r="C193" s="48" t="s">
        <v>1713</v>
      </c>
      <c r="D193" s="97" t="s">
        <v>1713</v>
      </c>
      <c r="E193" s="97"/>
      <c r="F193" s="325"/>
      <c r="G193" s="97" t="s">
        <v>1713</v>
      </c>
      <c r="H193" s="48" t="s">
        <v>647</v>
      </c>
      <c r="I193" s="68">
        <v>300000</v>
      </c>
      <c r="J193" s="68">
        <v>100</v>
      </c>
      <c r="K193" s="68">
        <v>0</v>
      </c>
      <c r="L193" s="48" t="s">
        <v>1713</v>
      </c>
      <c r="M193" s="48" t="s">
        <v>1713</v>
      </c>
      <c r="N193" s="23">
        <v>1000</v>
      </c>
      <c r="O193" s="48" t="s">
        <v>1713</v>
      </c>
    </row>
    <row r="194" spans="1:15" x14ac:dyDescent="0.25">
      <c r="A194" s="23">
        <v>192</v>
      </c>
      <c r="B194" s="369">
        <v>10312650</v>
      </c>
      <c r="C194" s="48" t="s">
        <v>1713</v>
      </c>
      <c r="D194" s="97" t="s">
        <v>1713</v>
      </c>
      <c r="E194" s="97"/>
      <c r="F194" s="325"/>
      <c r="G194" s="97" t="s">
        <v>1713</v>
      </c>
      <c r="H194" s="48" t="s">
        <v>647</v>
      </c>
      <c r="I194" s="68">
        <v>300000</v>
      </c>
      <c r="J194" s="68">
        <v>100</v>
      </c>
      <c r="K194" s="68">
        <v>0</v>
      </c>
      <c r="L194" s="48" t="s">
        <v>1713</v>
      </c>
      <c r="M194" s="48" t="s">
        <v>1713</v>
      </c>
      <c r="N194" s="23">
        <v>1000</v>
      </c>
      <c r="O194" s="48" t="s">
        <v>1713</v>
      </c>
    </row>
    <row r="195" spans="1:15" x14ac:dyDescent="0.25">
      <c r="A195" s="23">
        <v>193</v>
      </c>
      <c r="B195" s="369">
        <v>10437147</v>
      </c>
      <c r="C195" s="48" t="s">
        <v>1713</v>
      </c>
      <c r="D195" s="97" t="s">
        <v>1713</v>
      </c>
      <c r="E195" s="97"/>
      <c r="F195" s="325"/>
      <c r="G195" s="97" t="s">
        <v>1713</v>
      </c>
      <c r="H195" s="48" t="s">
        <v>647</v>
      </c>
      <c r="I195" s="68">
        <v>300000</v>
      </c>
      <c r="J195" s="68">
        <v>100</v>
      </c>
      <c r="K195" s="68">
        <v>0</v>
      </c>
      <c r="L195" s="48" t="s">
        <v>1713</v>
      </c>
      <c r="M195" s="48" t="s">
        <v>1713</v>
      </c>
      <c r="N195" s="23">
        <v>1000</v>
      </c>
      <c r="O195" s="48" t="s">
        <v>1713</v>
      </c>
    </row>
    <row r="196" spans="1:15" x14ac:dyDescent="0.25">
      <c r="A196" s="23">
        <v>194</v>
      </c>
      <c r="B196" s="369">
        <v>10574550</v>
      </c>
      <c r="C196" s="48" t="s">
        <v>1713</v>
      </c>
      <c r="D196" s="97" t="s">
        <v>1713</v>
      </c>
      <c r="E196" s="97"/>
      <c r="F196" s="325"/>
      <c r="G196" s="97" t="s">
        <v>1713</v>
      </c>
      <c r="H196" s="48" t="s">
        <v>647</v>
      </c>
      <c r="I196" s="68">
        <v>300000</v>
      </c>
      <c r="J196" s="68">
        <v>100</v>
      </c>
      <c r="K196" s="68">
        <v>0</v>
      </c>
      <c r="L196" s="48" t="s">
        <v>1713</v>
      </c>
      <c r="M196" s="48" t="s">
        <v>1713</v>
      </c>
      <c r="N196" s="23">
        <v>1000</v>
      </c>
      <c r="O196" s="48" t="s">
        <v>1713</v>
      </c>
    </row>
    <row r="197" spans="1:15" x14ac:dyDescent="0.25">
      <c r="A197" s="23">
        <v>195</v>
      </c>
      <c r="B197" s="369">
        <v>10704681</v>
      </c>
      <c r="C197" s="48" t="s">
        <v>1713</v>
      </c>
      <c r="D197" s="97" t="s">
        <v>1713</v>
      </c>
      <c r="E197" s="97"/>
      <c r="F197" s="325"/>
      <c r="G197" s="97" t="s">
        <v>1713</v>
      </c>
      <c r="H197" s="48" t="s">
        <v>647</v>
      </c>
      <c r="I197" s="68">
        <v>300000</v>
      </c>
      <c r="J197" s="68">
        <v>100</v>
      </c>
      <c r="K197" s="68">
        <v>0</v>
      </c>
      <c r="L197" s="48" t="s">
        <v>1713</v>
      </c>
      <c r="M197" s="48" t="s">
        <v>1713</v>
      </c>
      <c r="N197" s="23">
        <v>1000</v>
      </c>
      <c r="O197" s="48" t="s">
        <v>1713</v>
      </c>
    </row>
    <row r="198" spans="1:15" x14ac:dyDescent="0.25">
      <c r="A198" s="23">
        <v>196</v>
      </c>
      <c r="B198" s="369">
        <v>10848924</v>
      </c>
      <c r="C198" s="48" t="s">
        <v>1713</v>
      </c>
      <c r="D198" s="97" t="s">
        <v>1713</v>
      </c>
      <c r="E198" s="97"/>
      <c r="F198" s="325"/>
      <c r="G198" s="97" t="s">
        <v>1713</v>
      </c>
      <c r="H198" s="48" t="s">
        <v>647</v>
      </c>
      <c r="I198" s="68">
        <v>300000</v>
      </c>
      <c r="J198" s="68">
        <v>100</v>
      </c>
      <c r="K198" s="68">
        <v>0</v>
      </c>
      <c r="L198" s="48" t="s">
        <v>1713</v>
      </c>
      <c r="M198" s="48" t="s">
        <v>1713</v>
      </c>
      <c r="N198" s="23">
        <v>1000</v>
      </c>
      <c r="O198" s="48" t="s">
        <v>1713</v>
      </c>
    </row>
    <row r="199" spans="1:15" x14ac:dyDescent="0.25">
      <c r="A199" s="23">
        <v>197</v>
      </c>
      <c r="B199" s="369">
        <v>10985895</v>
      </c>
      <c r="C199" s="48" t="s">
        <v>1713</v>
      </c>
      <c r="D199" s="97" t="s">
        <v>1713</v>
      </c>
      <c r="E199" s="97"/>
      <c r="F199" s="325"/>
      <c r="G199" s="97" t="s">
        <v>1713</v>
      </c>
      <c r="H199" s="48" t="s">
        <v>647</v>
      </c>
      <c r="I199" s="68">
        <v>300000</v>
      </c>
      <c r="J199" s="68">
        <v>100</v>
      </c>
      <c r="K199" s="68">
        <v>0</v>
      </c>
      <c r="L199" s="48" t="s">
        <v>1713</v>
      </c>
      <c r="M199" s="48" t="s">
        <v>1713</v>
      </c>
      <c r="N199" s="23">
        <v>1000</v>
      </c>
      <c r="O199" s="48" t="s">
        <v>1713</v>
      </c>
    </row>
    <row r="200" spans="1:15" x14ac:dyDescent="0.25">
      <c r="A200" s="23">
        <v>198</v>
      </c>
      <c r="B200" s="369">
        <v>11179818</v>
      </c>
      <c r="C200" s="48" t="s">
        <v>1713</v>
      </c>
      <c r="D200" s="97" t="s">
        <v>1713</v>
      </c>
      <c r="E200" s="97"/>
      <c r="F200" s="325"/>
      <c r="G200" s="97" t="s">
        <v>1713</v>
      </c>
      <c r="H200" s="48" t="s">
        <v>647</v>
      </c>
      <c r="I200" s="68">
        <v>300000</v>
      </c>
      <c r="J200" s="68">
        <v>100</v>
      </c>
      <c r="K200" s="68">
        <v>0</v>
      </c>
      <c r="L200" s="48" t="s">
        <v>1713</v>
      </c>
      <c r="M200" s="48" t="s">
        <v>1713</v>
      </c>
      <c r="N200" s="23">
        <v>1000</v>
      </c>
      <c r="O200" s="48" t="s">
        <v>1713</v>
      </c>
    </row>
    <row r="201" spans="1:15" x14ac:dyDescent="0.25">
      <c r="A201" s="23">
        <v>199</v>
      </c>
      <c r="B201" s="369">
        <v>11366469</v>
      </c>
      <c r="C201" s="48" t="s">
        <v>1713</v>
      </c>
      <c r="D201" s="97" t="s">
        <v>1713</v>
      </c>
      <c r="E201" s="97"/>
      <c r="F201" s="325"/>
      <c r="G201" s="97" t="s">
        <v>1713</v>
      </c>
      <c r="H201" s="48" t="s">
        <v>647</v>
      </c>
      <c r="I201" s="68">
        <v>300000</v>
      </c>
      <c r="J201" s="68">
        <v>100</v>
      </c>
      <c r="K201" s="68">
        <v>0</v>
      </c>
      <c r="L201" s="48" t="s">
        <v>1713</v>
      </c>
      <c r="M201" s="48" t="s">
        <v>1713</v>
      </c>
      <c r="N201" s="23">
        <v>1000</v>
      </c>
      <c r="O201" s="48" t="s">
        <v>1713</v>
      </c>
    </row>
    <row r="202" spans="1:15" x14ac:dyDescent="0.25">
      <c r="A202" s="23">
        <v>200</v>
      </c>
      <c r="B202" s="369">
        <v>11593798.380000001</v>
      </c>
      <c r="C202" s="48" t="s">
        <v>1713</v>
      </c>
      <c r="D202" s="97" t="s">
        <v>1713</v>
      </c>
      <c r="E202" s="97"/>
      <c r="F202" s="325"/>
      <c r="G202" s="97" t="s">
        <v>1713</v>
      </c>
      <c r="H202" s="48" t="s">
        <v>647</v>
      </c>
      <c r="I202" s="68">
        <v>300000</v>
      </c>
      <c r="J202" s="68">
        <v>150</v>
      </c>
      <c r="K202" s="68">
        <v>0</v>
      </c>
      <c r="L202" s="48" t="s">
        <v>1713</v>
      </c>
      <c r="M202" s="48" t="s">
        <v>1713</v>
      </c>
      <c r="N202" s="23">
        <v>1000</v>
      </c>
      <c r="O202" s="48" t="s">
        <v>1713</v>
      </c>
    </row>
    <row r="203" spans="1:15" x14ac:dyDescent="0.25">
      <c r="A203" s="23">
        <v>201</v>
      </c>
      <c r="B203" s="369">
        <v>11825674.347600002</v>
      </c>
      <c r="C203" s="48" t="s">
        <v>1713</v>
      </c>
      <c r="D203" s="97" t="s">
        <v>1713</v>
      </c>
      <c r="E203" s="97"/>
      <c r="F203" s="325"/>
      <c r="G203" s="97" t="s">
        <v>1713</v>
      </c>
      <c r="H203" s="48" t="s">
        <v>647</v>
      </c>
      <c r="I203" s="68">
        <v>300000</v>
      </c>
      <c r="J203" s="68">
        <v>150</v>
      </c>
      <c r="K203" s="68">
        <v>0</v>
      </c>
      <c r="L203" s="48" t="s">
        <v>1713</v>
      </c>
      <c r="M203" s="48" t="s">
        <v>1713</v>
      </c>
      <c r="N203" s="23">
        <v>1000</v>
      </c>
      <c r="O203" s="48" t="s">
        <v>1713</v>
      </c>
    </row>
    <row r="204" spans="1:15" x14ac:dyDescent="0.25">
      <c r="A204" s="23">
        <v>202</v>
      </c>
      <c r="B204" s="370">
        <v>12062187.834552001</v>
      </c>
      <c r="C204" s="48" t="s">
        <v>1713</v>
      </c>
      <c r="D204" s="371" t="s">
        <v>1713</v>
      </c>
      <c r="E204" s="97"/>
      <c r="F204" s="325"/>
      <c r="G204" s="97" t="s">
        <v>1713</v>
      </c>
      <c r="H204" s="48" t="s">
        <v>647</v>
      </c>
      <c r="I204" s="69">
        <v>350000</v>
      </c>
      <c r="J204" s="68">
        <v>150</v>
      </c>
      <c r="K204" s="68">
        <v>0</v>
      </c>
      <c r="L204" s="48" t="s">
        <v>1713</v>
      </c>
      <c r="M204" s="48" t="s">
        <v>1713</v>
      </c>
      <c r="N204" s="23">
        <v>1000</v>
      </c>
      <c r="O204" s="48" t="s">
        <v>1713</v>
      </c>
    </row>
    <row r="205" spans="1:15" x14ac:dyDescent="0.25">
      <c r="A205" s="23">
        <v>203</v>
      </c>
      <c r="B205" s="370">
        <v>12303431.591243042</v>
      </c>
      <c r="C205" s="48" t="s">
        <v>1713</v>
      </c>
      <c r="D205" s="371" t="s">
        <v>1713</v>
      </c>
      <c r="E205" s="97"/>
      <c r="F205" s="325"/>
      <c r="G205" s="97" t="s">
        <v>1713</v>
      </c>
      <c r="H205" s="48" t="s">
        <v>647</v>
      </c>
      <c r="I205" s="69">
        <v>350000</v>
      </c>
      <c r="J205" s="68">
        <v>150</v>
      </c>
      <c r="K205" s="68">
        <v>0</v>
      </c>
      <c r="L205" s="48" t="s">
        <v>1713</v>
      </c>
      <c r="M205" s="48" t="s">
        <v>1713</v>
      </c>
      <c r="N205" s="23">
        <v>1000</v>
      </c>
      <c r="O205" s="48" t="s">
        <v>1713</v>
      </c>
    </row>
    <row r="206" spans="1:15" x14ac:dyDescent="0.25">
      <c r="A206" s="23">
        <v>204</v>
      </c>
      <c r="B206" s="370">
        <v>12549500.223067904</v>
      </c>
      <c r="C206" s="48" t="s">
        <v>1713</v>
      </c>
      <c r="D206" s="371" t="s">
        <v>1713</v>
      </c>
      <c r="E206" s="97"/>
      <c r="F206" s="325"/>
      <c r="G206" s="97" t="s">
        <v>1713</v>
      </c>
      <c r="H206" s="48" t="s">
        <v>647</v>
      </c>
      <c r="I206" s="69">
        <v>350000</v>
      </c>
      <c r="J206" s="68">
        <v>150</v>
      </c>
      <c r="K206" s="68">
        <v>0</v>
      </c>
      <c r="L206" s="48" t="s">
        <v>1713</v>
      </c>
      <c r="M206" s="48" t="s">
        <v>1713</v>
      </c>
      <c r="N206" s="23">
        <v>1000</v>
      </c>
      <c r="O206" s="48" t="s">
        <v>1713</v>
      </c>
    </row>
    <row r="207" spans="1:15" x14ac:dyDescent="0.25">
      <c r="A207" s="23">
        <v>205</v>
      </c>
      <c r="B207" s="370">
        <v>12800490.227529263</v>
      </c>
      <c r="C207" s="48" t="s">
        <v>1713</v>
      </c>
      <c r="D207" s="371" t="s">
        <v>1713</v>
      </c>
      <c r="E207" s="97"/>
      <c r="F207" s="325"/>
      <c r="G207" s="97" t="s">
        <v>1713</v>
      </c>
      <c r="H207" s="48" t="s">
        <v>647</v>
      </c>
      <c r="I207" s="69">
        <v>350000</v>
      </c>
      <c r="J207" s="68">
        <v>150</v>
      </c>
      <c r="K207" s="68">
        <v>0</v>
      </c>
      <c r="L207" s="48" t="s">
        <v>1713</v>
      </c>
      <c r="M207" s="48" t="s">
        <v>1713</v>
      </c>
      <c r="N207" s="23">
        <v>1000</v>
      </c>
      <c r="O207" s="48" t="s">
        <v>1713</v>
      </c>
    </row>
    <row r="208" spans="1:15" x14ac:dyDescent="0.25">
      <c r="A208" s="23">
        <v>206</v>
      </c>
      <c r="B208" s="370">
        <v>13056500.032079849</v>
      </c>
      <c r="C208" s="48" t="s">
        <v>1713</v>
      </c>
      <c r="D208" s="371" t="s">
        <v>1713</v>
      </c>
      <c r="E208" s="97"/>
      <c r="F208" s="325"/>
      <c r="G208" s="97" t="s">
        <v>1713</v>
      </c>
      <c r="H208" s="48" t="s">
        <v>647</v>
      </c>
      <c r="I208" s="69">
        <v>350000</v>
      </c>
      <c r="J208" s="68">
        <v>150</v>
      </c>
      <c r="K208" s="68">
        <v>0</v>
      </c>
      <c r="L208" s="48" t="s">
        <v>1713</v>
      </c>
      <c r="M208" s="48" t="s">
        <v>1713</v>
      </c>
      <c r="N208" s="23">
        <v>1000</v>
      </c>
      <c r="O208" s="48" t="s">
        <v>1713</v>
      </c>
    </row>
    <row r="209" spans="1:15" x14ac:dyDescent="0.25">
      <c r="A209" s="23">
        <v>207</v>
      </c>
      <c r="B209" s="370">
        <v>13317630.032721447</v>
      </c>
      <c r="C209" s="48" t="s">
        <v>1713</v>
      </c>
      <c r="D209" s="371" t="s">
        <v>1713</v>
      </c>
      <c r="E209" s="97"/>
      <c r="F209" s="325"/>
      <c r="G209" s="97" t="s">
        <v>1713</v>
      </c>
      <c r="H209" s="48" t="s">
        <v>647</v>
      </c>
      <c r="I209" s="69">
        <v>350000</v>
      </c>
      <c r="J209" s="68">
        <v>150</v>
      </c>
      <c r="K209" s="68">
        <v>0</v>
      </c>
      <c r="L209" s="48" t="s">
        <v>1713</v>
      </c>
      <c r="M209" s="48" t="s">
        <v>1713</v>
      </c>
      <c r="N209" s="23">
        <v>1000</v>
      </c>
      <c r="O209" s="48" t="s">
        <v>1713</v>
      </c>
    </row>
    <row r="210" spans="1:15" x14ac:dyDescent="0.25">
      <c r="A210" s="23">
        <v>208</v>
      </c>
      <c r="B210" s="370">
        <v>13583982.633375876</v>
      </c>
      <c r="C210" s="48" t="s">
        <v>1713</v>
      </c>
      <c r="D210" s="371" t="s">
        <v>1713</v>
      </c>
      <c r="E210" s="97"/>
      <c r="F210" s="325"/>
      <c r="G210" s="97" t="s">
        <v>1713</v>
      </c>
      <c r="H210" s="48" t="s">
        <v>647</v>
      </c>
      <c r="I210" s="69">
        <v>350000</v>
      </c>
      <c r="J210" s="68">
        <v>150</v>
      </c>
      <c r="K210" s="68">
        <v>0</v>
      </c>
      <c r="L210" s="48" t="s">
        <v>1713</v>
      </c>
      <c r="M210" s="48" t="s">
        <v>1713</v>
      </c>
      <c r="N210" s="23">
        <v>1000</v>
      </c>
      <c r="O210" s="48" t="s">
        <v>1713</v>
      </c>
    </row>
    <row r="211" spans="1:15" x14ac:dyDescent="0.25">
      <c r="A211" s="23">
        <v>209</v>
      </c>
      <c r="B211" s="370">
        <v>13855662.286043392</v>
      </c>
      <c r="C211" s="48" t="s">
        <v>1713</v>
      </c>
      <c r="D211" s="371" t="s">
        <v>1713</v>
      </c>
      <c r="E211" s="97"/>
      <c r="F211" s="325"/>
      <c r="G211" s="97" t="s">
        <v>1713</v>
      </c>
      <c r="H211" s="48" t="s">
        <v>647</v>
      </c>
      <c r="I211" s="69">
        <v>350000</v>
      </c>
      <c r="J211" s="68">
        <v>150</v>
      </c>
      <c r="K211" s="68">
        <v>0</v>
      </c>
      <c r="L211" s="48" t="s">
        <v>1713</v>
      </c>
      <c r="M211" s="48" t="s">
        <v>1713</v>
      </c>
      <c r="N211" s="23">
        <v>1000</v>
      </c>
      <c r="O211" s="48" t="s">
        <v>1713</v>
      </c>
    </row>
    <row r="212" spans="1:15" x14ac:dyDescent="0.25">
      <c r="A212" s="23">
        <v>210</v>
      </c>
      <c r="B212" s="370">
        <v>14132775.531764261</v>
      </c>
      <c r="C212" s="48" t="s">
        <v>1713</v>
      </c>
      <c r="D212" s="371" t="s">
        <v>1713</v>
      </c>
      <c r="E212" s="97"/>
      <c r="F212" s="325"/>
      <c r="G212" s="97" t="s">
        <v>1713</v>
      </c>
      <c r="H212" s="48" t="s">
        <v>647</v>
      </c>
      <c r="I212" s="69">
        <v>350000</v>
      </c>
      <c r="J212" s="68">
        <v>150</v>
      </c>
      <c r="K212" s="68">
        <v>0</v>
      </c>
      <c r="L212" s="48" t="s">
        <v>1713</v>
      </c>
      <c r="M212" s="48" t="s">
        <v>1713</v>
      </c>
      <c r="N212" s="23">
        <v>1000</v>
      </c>
      <c r="O212" s="48" t="s">
        <v>1713</v>
      </c>
    </row>
    <row r="213" spans="1:15" x14ac:dyDescent="0.25">
      <c r="A213" s="23">
        <v>211</v>
      </c>
      <c r="B213" s="370">
        <v>14415431.042399546</v>
      </c>
      <c r="C213" s="48" t="s">
        <v>1713</v>
      </c>
      <c r="D213" s="371" t="s">
        <v>1713</v>
      </c>
      <c r="E213" s="97"/>
      <c r="F213" s="325"/>
      <c r="G213" s="97" t="s">
        <v>1713</v>
      </c>
      <c r="H213" s="48" t="s">
        <v>647</v>
      </c>
      <c r="I213" s="69">
        <v>350000</v>
      </c>
      <c r="J213" s="68">
        <v>150</v>
      </c>
      <c r="K213" s="68">
        <v>0</v>
      </c>
      <c r="L213" s="48" t="s">
        <v>1713</v>
      </c>
      <c r="M213" s="48" t="s">
        <v>1713</v>
      </c>
      <c r="N213" s="23">
        <v>1000</v>
      </c>
      <c r="O213" s="48" t="s">
        <v>1713</v>
      </c>
    </row>
    <row r="214" spans="1:15" x14ac:dyDescent="0.25">
      <c r="A214" s="23">
        <v>212</v>
      </c>
      <c r="B214" s="370">
        <v>14703739.663247539</v>
      </c>
      <c r="C214" s="48" t="s">
        <v>1713</v>
      </c>
      <c r="D214" s="371" t="s">
        <v>1713</v>
      </c>
      <c r="E214" s="97"/>
      <c r="F214" s="325"/>
      <c r="G214" s="97" t="s">
        <v>1713</v>
      </c>
      <c r="H214" s="48" t="s">
        <v>647</v>
      </c>
      <c r="I214" s="69">
        <v>350000</v>
      </c>
      <c r="J214" s="68">
        <v>150</v>
      </c>
      <c r="K214" s="68">
        <v>0</v>
      </c>
      <c r="L214" s="48" t="s">
        <v>1713</v>
      </c>
      <c r="M214" s="48" t="s">
        <v>1713</v>
      </c>
      <c r="N214" s="23">
        <v>1000</v>
      </c>
      <c r="O214" s="48" t="s">
        <v>1713</v>
      </c>
    </row>
    <row r="215" spans="1:15" x14ac:dyDescent="0.25">
      <c r="A215" s="23">
        <v>213</v>
      </c>
      <c r="B215" s="370">
        <v>14997814.45651249</v>
      </c>
      <c r="C215" s="48" t="s">
        <v>1713</v>
      </c>
      <c r="D215" s="371" t="s">
        <v>1713</v>
      </c>
      <c r="E215" s="97"/>
      <c r="F215" s="325"/>
      <c r="G215" s="97" t="s">
        <v>1713</v>
      </c>
      <c r="H215" s="48" t="s">
        <v>647</v>
      </c>
      <c r="I215" s="69">
        <v>350000</v>
      </c>
      <c r="J215" s="68">
        <v>150</v>
      </c>
      <c r="K215" s="68">
        <v>0</v>
      </c>
      <c r="L215" s="48" t="s">
        <v>1713</v>
      </c>
      <c r="M215" s="48" t="s">
        <v>1713</v>
      </c>
      <c r="N215" s="23">
        <v>1000</v>
      </c>
      <c r="O215" s="48" t="s">
        <v>1713</v>
      </c>
    </row>
    <row r="216" spans="1:15" x14ac:dyDescent="0.25">
      <c r="A216" s="23">
        <v>214</v>
      </c>
      <c r="B216" s="370">
        <v>15297770.745642738</v>
      </c>
      <c r="C216" s="48" t="s">
        <v>1713</v>
      </c>
      <c r="D216" s="371" t="s">
        <v>1713</v>
      </c>
      <c r="E216" s="97"/>
      <c r="F216" s="325"/>
      <c r="G216" s="97" t="s">
        <v>1713</v>
      </c>
      <c r="H216" s="48" t="s">
        <v>647</v>
      </c>
      <c r="I216" s="69">
        <v>350000</v>
      </c>
      <c r="J216" s="68">
        <v>150</v>
      </c>
      <c r="K216" s="68">
        <v>0</v>
      </c>
      <c r="L216" s="48" t="s">
        <v>1713</v>
      </c>
      <c r="M216" s="48" t="s">
        <v>1713</v>
      </c>
      <c r="N216" s="23">
        <v>1000</v>
      </c>
      <c r="O216" s="48" t="s">
        <v>1713</v>
      </c>
    </row>
    <row r="217" spans="1:15" x14ac:dyDescent="0.25">
      <c r="A217" s="23">
        <v>215</v>
      </c>
      <c r="B217" s="370">
        <v>15603726.160555592</v>
      </c>
      <c r="C217" s="48" t="s">
        <v>1713</v>
      </c>
      <c r="D217" s="371" t="s">
        <v>1713</v>
      </c>
      <c r="E217" s="97"/>
      <c r="F217" s="325"/>
      <c r="G217" s="97" t="s">
        <v>1713</v>
      </c>
      <c r="H217" s="48" t="s">
        <v>647</v>
      </c>
      <c r="I217" s="69">
        <v>350000</v>
      </c>
      <c r="J217" s="68">
        <v>150</v>
      </c>
      <c r="K217" s="68">
        <v>0</v>
      </c>
      <c r="L217" s="48" t="s">
        <v>1713</v>
      </c>
      <c r="M217" s="48" t="s">
        <v>1713</v>
      </c>
      <c r="N217" s="23">
        <v>1000</v>
      </c>
      <c r="O217" s="48" t="s">
        <v>1713</v>
      </c>
    </row>
    <row r="218" spans="1:15" x14ac:dyDescent="0.25">
      <c r="A218" s="23">
        <v>216</v>
      </c>
      <c r="B218" s="370">
        <v>15915800.683766704</v>
      </c>
      <c r="C218" s="48" t="s">
        <v>1713</v>
      </c>
      <c r="D218" s="371" t="s">
        <v>1713</v>
      </c>
      <c r="E218" s="97"/>
      <c r="F218" s="325"/>
      <c r="G218" s="97" t="s">
        <v>1713</v>
      </c>
      <c r="H218" s="48" t="s">
        <v>647</v>
      </c>
      <c r="I218" s="69">
        <v>350000</v>
      </c>
      <c r="J218" s="68">
        <v>150</v>
      </c>
      <c r="K218" s="68">
        <v>0</v>
      </c>
      <c r="L218" s="48" t="s">
        <v>1713</v>
      </c>
      <c r="M218" s="48" t="s">
        <v>1713</v>
      </c>
      <c r="N218" s="23">
        <v>1000</v>
      </c>
      <c r="O218" s="48" t="s">
        <v>1713</v>
      </c>
    </row>
    <row r="219" spans="1:15" x14ac:dyDescent="0.25">
      <c r="A219" s="23">
        <v>217</v>
      </c>
      <c r="B219" s="370">
        <v>16234116.697442038</v>
      </c>
      <c r="C219" s="48" t="s">
        <v>1713</v>
      </c>
      <c r="D219" s="371" t="s">
        <v>1713</v>
      </c>
      <c r="E219" s="97"/>
      <c r="F219" s="325"/>
      <c r="G219" s="97" t="s">
        <v>1713</v>
      </c>
      <c r="H219" s="48" t="s">
        <v>647</v>
      </c>
      <c r="I219" s="69">
        <v>350000</v>
      </c>
      <c r="J219" s="68">
        <v>150</v>
      </c>
      <c r="K219" s="68">
        <v>0</v>
      </c>
      <c r="L219" s="48" t="s">
        <v>1713</v>
      </c>
      <c r="M219" s="48" t="s">
        <v>1713</v>
      </c>
      <c r="N219" s="23">
        <v>1000</v>
      </c>
      <c r="O219" s="48" t="s">
        <v>1713</v>
      </c>
    </row>
    <row r="220" spans="1:15" x14ac:dyDescent="0.25">
      <c r="A220" s="23">
        <v>218</v>
      </c>
      <c r="B220" s="370">
        <v>16558799.031390879</v>
      </c>
      <c r="C220" s="48" t="s">
        <v>1713</v>
      </c>
      <c r="D220" s="371" t="s">
        <v>1713</v>
      </c>
      <c r="E220" s="97"/>
      <c r="F220" s="325"/>
      <c r="G220" s="97" t="s">
        <v>1713</v>
      </c>
      <c r="H220" s="48" t="s">
        <v>647</v>
      </c>
      <c r="I220" s="69">
        <v>350000</v>
      </c>
      <c r="J220" s="68">
        <v>150</v>
      </c>
      <c r="K220" s="68">
        <v>0</v>
      </c>
      <c r="L220" s="48" t="s">
        <v>1713</v>
      </c>
      <c r="M220" s="48" t="s">
        <v>1713</v>
      </c>
      <c r="N220" s="23">
        <v>1000</v>
      </c>
      <c r="O220" s="48" t="s">
        <v>1713</v>
      </c>
    </row>
    <row r="221" spans="1:15" x14ac:dyDescent="0.25">
      <c r="A221" s="23">
        <v>219</v>
      </c>
      <c r="B221" s="370">
        <v>16889975.012018695</v>
      </c>
      <c r="C221" s="48" t="s">
        <v>1713</v>
      </c>
      <c r="D221" s="371" t="s">
        <v>1713</v>
      </c>
      <c r="E221" s="97"/>
      <c r="F221" s="325"/>
      <c r="G221" s="97" t="s">
        <v>1713</v>
      </c>
      <c r="H221" s="48" t="s">
        <v>647</v>
      </c>
      <c r="I221" s="69">
        <v>350000</v>
      </c>
      <c r="J221" s="68">
        <v>150</v>
      </c>
      <c r="K221" s="68">
        <v>0</v>
      </c>
      <c r="L221" s="48" t="s">
        <v>1713</v>
      </c>
      <c r="M221" s="48" t="s">
        <v>1713</v>
      </c>
      <c r="N221" s="23">
        <v>1000</v>
      </c>
      <c r="O221" s="48" t="s">
        <v>1713</v>
      </c>
    </row>
    <row r="222" spans="1:15" x14ac:dyDescent="0.25">
      <c r="A222" s="23">
        <v>220</v>
      </c>
      <c r="B222" s="370">
        <v>17227774.51225907</v>
      </c>
      <c r="C222" s="48" t="s">
        <v>1713</v>
      </c>
      <c r="D222" s="371" t="s">
        <v>1713</v>
      </c>
      <c r="E222" s="97"/>
      <c r="F222" s="325"/>
      <c r="G222" s="97" t="s">
        <v>1713</v>
      </c>
      <c r="H222" s="48" t="s">
        <v>647</v>
      </c>
      <c r="I222" s="69">
        <v>350000</v>
      </c>
      <c r="J222" s="68">
        <v>150</v>
      </c>
      <c r="K222" s="68">
        <v>0</v>
      </c>
      <c r="L222" s="48" t="s">
        <v>1713</v>
      </c>
      <c r="M222" s="48" t="s">
        <v>1713</v>
      </c>
      <c r="N222" s="23">
        <v>1000</v>
      </c>
      <c r="O222" s="48" t="s">
        <v>1713</v>
      </c>
    </row>
    <row r="223" spans="1:15" x14ac:dyDescent="0.25">
      <c r="A223" s="23">
        <v>221</v>
      </c>
      <c r="B223" s="370">
        <v>17572330.002504252</v>
      </c>
      <c r="C223" s="48" t="s">
        <v>1713</v>
      </c>
      <c r="D223" s="371" t="s">
        <v>1713</v>
      </c>
      <c r="E223" s="97"/>
      <c r="F223" s="325"/>
      <c r="G223" s="97" t="s">
        <v>1713</v>
      </c>
      <c r="H223" s="48" t="s">
        <v>647</v>
      </c>
      <c r="I223" s="69">
        <v>350000</v>
      </c>
      <c r="J223" s="68">
        <v>150</v>
      </c>
      <c r="K223" s="68">
        <v>0</v>
      </c>
      <c r="L223" s="48" t="s">
        <v>1713</v>
      </c>
      <c r="M223" s="48" t="s">
        <v>1713</v>
      </c>
      <c r="N223" s="23">
        <v>1000</v>
      </c>
      <c r="O223" s="48" t="s">
        <v>1713</v>
      </c>
    </row>
    <row r="224" spans="1:15" x14ac:dyDescent="0.25">
      <c r="A224" s="23">
        <v>222</v>
      </c>
      <c r="B224" s="370">
        <v>17923776.602554336</v>
      </c>
      <c r="C224" s="48" t="s">
        <v>1713</v>
      </c>
      <c r="D224" s="371" t="s">
        <v>1713</v>
      </c>
      <c r="E224" s="97"/>
      <c r="F224" s="325"/>
      <c r="G224" s="97" t="s">
        <v>1713</v>
      </c>
      <c r="H224" s="48" t="s">
        <v>647</v>
      </c>
      <c r="I224" s="69">
        <v>350000</v>
      </c>
      <c r="J224" s="68">
        <v>150</v>
      </c>
      <c r="K224" s="68">
        <v>0</v>
      </c>
      <c r="L224" s="48" t="s">
        <v>1713</v>
      </c>
      <c r="M224" s="48" t="s">
        <v>1713</v>
      </c>
      <c r="N224" s="23">
        <v>1000</v>
      </c>
      <c r="O224" s="48" t="s">
        <v>1713</v>
      </c>
    </row>
    <row r="225" spans="1:15" x14ac:dyDescent="0.25">
      <c r="A225" s="23">
        <v>223</v>
      </c>
      <c r="B225" s="370">
        <v>18282252.134605426</v>
      </c>
      <c r="C225" s="48" t="s">
        <v>1713</v>
      </c>
      <c r="D225" s="371" t="s">
        <v>1713</v>
      </c>
      <c r="E225" s="97"/>
      <c r="F225" s="325"/>
      <c r="G225" s="97" t="s">
        <v>1713</v>
      </c>
      <c r="H225" s="48" t="s">
        <v>647</v>
      </c>
      <c r="I225" s="69">
        <v>350000</v>
      </c>
      <c r="J225" s="68">
        <v>150</v>
      </c>
      <c r="K225" s="68">
        <v>0</v>
      </c>
      <c r="L225" s="48" t="s">
        <v>1713</v>
      </c>
      <c r="M225" s="48" t="s">
        <v>1713</v>
      </c>
      <c r="N225" s="23">
        <v>1000</v>
      </c>
      <c r="O225" s="48" t="s">
        <v>1713</v>
      </c>
    </row>
    <row r="226" spans="1:15" x14ac:dyDescent="0.25">
      <c r="A226" s="23">
        <v>224</v>
      </c>
      <c r="B226" s="370">
        <v>18647897.177297533</v>
      </c>
      <c r="C226" s="48" t="s">
        <v>1713</v>
      </c>
      <c r="D226" s="371" t="s">
        <v>1713</v>
      </c>
      <c r="E226" s="97"/>
      <c r="F226" s="325"/>
      <c r="G226" s="97" t="s">
        <v>1713</v>
      </c>
      <c r="H226" s="48" t="s">
        <v>647</v>
      </c>
      <c r="I226" s="69">
        <v>350000</v>
      </c>
      <c r="J226" s="68">
        <v>150</v>
      </c>
      <c r="K226" s="68">
        <v>0</v>
      </c>
      <c r="L226" s="48" t="s">
        <v>1713</v>
      </c>
      <c r="M226" s="48" t="s">
        <v>1713</v>
      </c>
      <c r="N226" s="23">
        <v>1000</v>
      </c>
      <c r="O226" s="48" t="s">
        <v>1713</v>
      </c>
    </row>
    <row r="227" spans="1:15" x14ac:dyDescent="0.25">
      <c r="A227" s="23">
        <v>225</v>
      </c>
      <c r="B227" s="370">
        <v>19020855.120843485</v>
      </c>
      <c r="C227" s="48" t="s">
        <v>1713</v>
      </c>
      <c r="D227" s="371" t="s">
        <v>1713</v>
      </c>
      <c r="E227" s="97"/>
      <c r="F227" s="325"/>
      <c r="G227" s="97" t="s">
        <v>1713</v>
      </c>
      <c r="H227" s="48" t="s">
        <v>647</v>
      </c>
      <c r="I227" s="69">
        <v>350000</v>
      </c>
      <c r="J227" s="68">
        <v>150</v>
      </c>
      <c r="K227" s="68">
        <v>0</v>
      </c>
      <c r="L227" s="48" t="s">
        <v>1713</v>
      </c>
      <c r="M227" s="48" t="s">
        <v>1713</v>
      </c>
      <c r="N227" s="23">
        <v>1000</v>
      </c>
      <c r="O227" s="48" t="s">
        <v>1713</v>
      </c>
    </row>
    <row r="228" spans="1:15" x14ac:dyDescent="0.25">
      <c r="A228" s="23">
        <v>226</v>
      </c>
      <c r="B228" s="370">
        <v>19401272.223260354</v>
      </c>
      <c r="C228" s="48" t="s">
        <v>1713</v>
      </c>
      <c r="D228" s="371" t="s">
        <v>1713</v>
      </c>
      <c r="E228" s="97"/>
      <c r="F228" s="325"/>
      <c r="G228" s="97" t="s">
        <v>1713</v>
      </c>
      <c r="H228" s="48" t="s">
        <v>647</v>
      </c>
      <c r="I228" s="69">
        <v>350000</v>
      </c>
      <c r="J228" s="68">
        <v>150</v>
      </c>
      <c r="K228" s="68">
        <v>0</v>
      </c>
      <c r="L228" s="48" t="s">
        <v>1713</v>
      </c>
      <c r="M228" s="48" t="s">
        <v>1713</v>
      </c>
      <c r="N228" s="23">
        <v>1000</v>
      </c>
      <c r="O228" s="48" t="s">
        <v>1713</v>
      </c>
    </row>
    <row r="229" spans="1:15" x14ac:dyDescent="0.25">
      <c r="A229" s="23">
        <v>227</v>
      </c>
      <c r="B229" s="370">
        <v>19789297.667725559</v>
      </c>
      <c r="C229" s="48" t="s">
        <v>1713</v>
      </c>
      <c r="D229" s="371" t="s">
        <v>1713</v>
      </c>
      <c r="E229" s="97"/>
      <c r="F229" s="325"/>
      <c r="G229" s="97" t="s">
        <v>1713</v>
      </c>
      <c r="H229" s="48" t="s">
        <v>647</v>
      </c>
      <c r="I229" s="69">
        <v>350000</v>
      </c>
      <c r="J229" s="68">
        <v>150</v>
      </c>
      <c r="K229" s="68">
        <v>0</v>
      </c>
      <c r="L229" s="48" t="s">
        <v>1713</v>
      </c>
      <c r="M229" s="48" t="s">
        <v>1713</v>
      </c>
      <c r="N229" s="23">
        <v>1000</v>
      </c>
      <c r="O229" s="48" t="s">
        <v>1713</v>
      </c>
    </row>
    <row r="230" spans="1:15" x14ac:dyDescent="0.25">
      <c r="A230" s="23">
        <v>228</v>
      </c>
      <c r="B230" s="370">
        <v>20185083.621080071</v>
      </c>
      <c r="C230" s="48" t="s">
        <v>1713</v>
      </c>
      <c r="D230" s="371" t="s">
        <v>1713</v>
      </c>
      <c r="E230" s="97"/>
      <c r="F230" s="325"/>
      <c r="G230" s="97" t="s">
        <v>1713</v>
      </c>
      <c r="H230" s="48" t="s">
        <v>647</v>
      </c>
      <c r="I230" s="69">
        <v>350000</v>
      </c>
      <c r="J230" s="68">
        <v>150</v>
      </c>
      <c r="K230" s="68">
        <v>0</v>
      </c>
      <c r="L230" s="48" t="s">
        <v>1713</v>
      </c>
      <c r="M230" s="48" t="s">
        <v>1713</v>
      </c>
      <c r="N230" s="23">
        <v>1000</v>
      </c>
      <c r="O230" s="48" t="s">
        <v>1713</v>
      </c>
    </row>
    <row r="231" spans="1:15" x14ac:dyDescent="0.25">
      <c r="A231" s="23">
        <v>229</v>
      </c>
      <c r="B231" s="370">
        <v>20588785.293501671</v>
      </c>
      <c r="C231" s="48" t="s">
        <v>1713</v>
      </c>
      <c r="D231" s="371" t="s">
        <v>1713</v>
      </c>
      <c r="E231" s="97"/>
      <c r="F231" s="325"/>
      <c r="G231" s="97" t="s">
        <v>1713</v>
      </c>
      <c r="H231" s="48" t="s">
        <v>647</v>
      </c>
      <c r="I231" s="69">
        <v>350000</v>
      </c>
      <c r="J231" s="68">
        <v>150</v>
      </c>
      <c r="K231" s="68">
        <v>0</v>
      </c>
      <c r="L231" s="48" t="s">
        <v>1713</v>
      </c>
      <c r="M231" s="48" t="s">
        <v>1713</v>
      </c>
      <c r="N231" s="23">
        <v>1000</v>
      </c>
      <c r="O231" s="48" t="s">
        <v>1713</v>
      </c>
    </row>
    <row r="232" spans="1:15" x14ac:dyDescent="0.25">
      <c r="A232" s="23">
        <v>230</v>
      </c>
      <c r="B232" s="370">
        <v>21000560.999371707</v>
      </c>
      <c r="C232" s="48" t="s">
        <v>1713</v>
      </c>
      <c r="D232" s="371" t="s">
        <v>1713</v>
      </c>
      <c r="E232" s="97"/>
      <c r="F232" s="325"/>
      <c r="G232" s="97" t="s">
        <v>1713</v>
      </c>
      <c r="H232" s="48" t="s">
        <v>647</v>
      </c>
      <c r="I232" s="69">
        <v>350000</v>
      </c>
      <c r="J232" s="68">
        <v>150</v>
      </c>
      <c r="K232" s="68">
        <v>0</v>
      </c>
      <c r="L232" s="48" t="s">
        <v>1713</v>
      </c>
      <c r="M232" s="48" t="s">
        <v>1713</v>
      </c>
      <c r="N232" s="23">
        <v>1000</v>
      </c>
      <c r="O232" s="48" t="s">
        <v>1713</v>
      </c>
    </row>
    <row r="233" spans="1:15" x14ac:dyDescent="0.25">
      <c r="A233" s="23">
        <v>231</v>
      </c>
      <c r="B233" s="370">
        <v>21420572.219359141</v>
      </c>
      <c r="C233" s="48" t="s">
        <v>1713</v>
      </c>
      <c r="D233" s="371" t="s">
        <v>1713</v>
      </c>
      <c r="E233" s="97"/>
      <c r="F233" s="325"/>
      <c r="G233" s="97" t="s">
        <v>1713</v>
      </c>
      <c r="H233" s="48" t="s">
        <v>647</v>
      </c>
      <c r="I233" s="69">
        <v>350000</v>
      </c>
      <c r="J233" s="68">
        <v>150</v>
      </c>
      <c r="K233" s="68">
        <v>0</v>
      </c>
      <c r="L233" s="48" t="s">
        <v>1713</v>
      </c>
      <c r="M233" s="48" t="s">
        <v>1713</v>
      </c>
      <c r="N233" s="23">
        <v>1000</v>
      </c>
      <c r="O233" s="48" t="s">
        <v>1713</v>
      </c>
    </row>
    <row r="234" spans="1:15" x14ac:dyDescent="0.25">
      <c r="A234" s="23">
        <v>232</v>
      </c>
      <c r="B234" s="370">
        <v>21848983.663746323</v>
      </c>
      <c r="C234" s="48" t="s">
        <v>1713</v>
      </c>
      <c r="D234" s="371" t="s">
        <v>1713</v>
      </c>
      <c r="E234" s="97"/>
      <c r="F234" s="325"/>
      <c r="G234" s="97" t="s">
        <v>1713</v>
      </c>
      <c r="H234" s="48" t="s">
        <v>647</v>
      </c>
      <c r="I234" s="69">
        <v>350000</v>
      </c>
      <c r="J234" s="68">
        <v>150</v>
      </c>
      <c r="K234" s="68">
        <v>0</v>
      </c>
      <c r="L234" s="48" t="s">
        <v>1713</v>
      </c>
      <c r="M234" s="48" t="s">
        <v>1713</v>
      </c>
      <c r="N234" s="23">
        <v>1000</v>
      </c>
      <c r="O234" s="48" t="s">
        <v>1713</v>
      </c>
    </row>
    <row r="235" spans="1:15" x14ac:dyDescent="0.25">
      <c r="A235" s="23">
        <v>233</v>
      </c>
      <c r="B235" s="370">
        <v>22285963.33702125</v>
      </c>
      <c r="C235" s="48" t="s">
        <v>1713</v>
      </c>
      <c r="D235" s="371" t="s">
        <v>1713</v>
      </c>
      <c r="E235" s="97"/>
      <c r="F235" s="325"/>
      <c r="G235" s="97" t="s">
        <v>1713</v>
      </c>
      <c r="H235" s="48" t="s">
        <v>647</v>
      </c>
      <c r="I235" s="69">
        <v>350000</v>
      </c>
      <c r="J235" s="68">
        <v>150</v>
      </c>
      <c r="K235" s="68">
        <v>0</v>
      </c>
      <c r="L235" s="48" t="s">
        <v>1713</v>
      </c>
      <c r="M235" s="48" t="s">
        <v>1713</v>
      </c>
      <c r="N235" s="23">
        <v>1000</v>
      </c>
      <c r="O235" s="48" t="s">
        <v>1713</v>
      </c>
    </row>
    <row r="236" spans="1:15" x14ac:dyDescent="0.25">
      <c r="A236" s="23">
        <v>234</v>
      </c>
      <c r="B236" s="370">
        <v>22731682.603761677</v>
      </c>
      <c r="C236" s="48" t="s">
        <v>1713</v>
      </c>
      <c r="D236" s="371" t="s">
        <v>1713</v>
      </c>
      <c r="E236" s="97"/>
      <c r="F236" s="325"/>
      <c r="G236" s="97" t="s">
        <v>1713</v>
      </c>
      <c r="H236" s="48" t="s">
        <v>647</v>
      </c>
      <c r="I236" s="69">
        <v>350000</v>
      </c>
      <c r="J236" s="68">
        <v>150</v>
      </c>
      <c r="K236" s="68">
        <v>0</v>
      </c>
      <c r="L236" s="48" t="s">
        <v>1713</v>
      </c>
      <c r="M236" s="48" t="s">
        <v>1713</v>
      </c>
      <c r="N236" s="23">
        <v>1000</v>
      </c>
      <c r="O236" s="48" t="s">
        <v>1713</v>
      </c>
    </row>
    <row r="237" spans="1:15" x14ac:dyDescent="0.25">
      <c r="A237" s="23">
        <v>235</v>
      </c>
      <c r="B237" s="370">
        <v>23186316.255836911</v>
      </c>
      <c r="C237" s="48" t="s">
        <v>1713</v>
      </c>
      <c r="D237" s="371" t="s">
        <v>1713</v>
      </c>
      <c r="E237" s="97"/>
      <c r="F237" s="325"/>
      <c r="G237" s="97" t="s">
        <v>1713</v>
      </c>
      <c r="H237" s="48" t="s">
        <v>647</v>
      </c>
      <c r="I237" s="69">
        <v>350000</v>
      </c>
      <c r="J237" s="68">
        <v>150</v>
      </c>
      <c r="K237" s="68">
        <v>0</v>
      </c>
      <c r="L237" s="48" t="s">
        <v>1713</v>
      </c>
      <c r="M237" s="48" t="s">
        <v>1713</v>
      </c>
      <c r="N237" s="23">
        <v>1000</v>
      </c>
      <c r="O237" s="48" t="s">
        <v>1713</v>
      </c>
    </row>
    <row r="238" spans="1:15" x14ac:dyDescent="0.25">
      <c r="A238" s="23">
        <v>236</v>
      </c>
      <c r="B238" s="370">
        <v>23650042.58095365</v>
      </c>
      <c r="C238" s="48" t="s">
        <v>1713</v>
      </c>
      <c r="D238" s="371" t="s">
        <v>1713</v>
      </c>
      <c r="E238" s="97"/>
      <c r="F238" s="325"/>
      <c r="G238" s="97" t="s">
        <v>1713</v>
      </c>
      <c r="H238" s="48" t="s">
        <v>647</v>
      </c>
      <c r="I238" s="69">
        <v>350000</v>
      </c>
      <c r="J238" s="68">
        <v>150</v>
      </c>
      <c r="K238" s="68">
        <v>0</v>
      </c>
      <c r="L238" s="48" t="s">
        <v>1713</v>
      </c>
      <c r="M238" s="48" t="s">
        <v>1713</v>
      </c>
      <c r="N238" s="23">
        <v>1000</v>
      </c>
      <c r="O238" s="48" t="s">
        <v>1713</v>
      </c>
    </row>
    <row r="239" spans="1:15" x14ac:dyDescent="0.25">
      <c r="A239" s="23">
        <v>237</v>
      </c>
      <c r="B239" s="370">
        <v>24123043.432572719</v>
      </c>
      <c r="C239" s="48" t="s">
        <v>1713</v>
      </c>
      <c r="D239" s="371" t="s">
        <v>1713</v>
      </c>
      <c r="E239" s="97"/>
      <c r="F239" s="325"/>
      <c r="G239" s="97" t="s">
        <v>1713</v>
      </c>
      <c r="H239" s="48" t="s">
        <v>647</v>
      </c>
      <c r="I239" s="69">
        <v>350000</v>
      </c>
      <c r="J239" s="68">
        <v>150</v>
      </c>
      <c r="K239" s="68">
        <v>0</v>
      </c>
      <c r="L239" s="48" t="s">
        <v>1713</v>
      </c>
      <c r="M239" s="48" t="s">
        <v>1713</v>
      </c>
      <c r="N239" s="23">
        <v>1000</v>
      </c>
      <c r="O239" s="48" t="s">
        <v>1713</v>
      </c>
    </row>
    <row r="240" spans="1:15" x14ac:dyDescent="0.25">
      <c r="A240" s="23">
        <v>238</v>
      </c>
      <c r="B240" s="370">
        <v>24605504.301224176</v>
      </c>
      <c r="C240" s="48" t="s">
        <v>1713</v>
      </c>
      <c r="D240" s="371" t="s">
        <v>1713</v>
      </c>
      <c r="E240" s="97"/>
      <c r="F240" s="325"/>
      <c r="G240" s="97" t="s">
        <v>1713</v>
      </c>
      <c r="H240" s="48" t="s">
        <v>647</v>
      </c>
      <c r="I240" s="69">
        <v>350000</v>
      </c>
      <c r="J240" s="68">
        <v>150</v>
      </c>
      <c r="K240" s="68">
        <v>0</v>
      </c>
      <c r="L240" s="48" t="s">
        <v>1713</v>
      </c>
      <c r="M240" s="48" t="s">
        <v>1713</v>
      </c>
      <c r="N240" s="23">
        <v>1000</v>
      </c>
      <c r="O240" s="48" t="s">
        <v>1713</v>
      </c>
    </row>
    <row r="241" spans="1:15" x14ac:dyDescent="0.25">
      <c r="A241" s="23">
        <v>239</v>
      </c>
      <c r="B241" s="370">
        <v>25097614.387248661</v>
      </c>
      <c r="C241" s="48" t="s">
        <v>1713</v>
      </c>
      <c r="D241" s="371" t="s">
        <v>1713</v>
      </c>
      <c r="E241" s="97"/>
      <c r="F241" s="325"/>
      <c r="G241" s="97" t="s">
        <v>1713</v>
      </c>
      <c r="H241" s="48" t="s">
        <v>647</v>
      </c>
      <c r="I241" s="69">
        <v>350000</v>
      </c>
      <c r="J241" s="68">
        <v>150</v>
      </c>
      <c r="K241" s="68">
        <v>0</v>
      </c>
      <c r="L241" s="48" t="s">
        <v>1713</v>
      </c>
      <c r="M241" s="48" t="s">
        <v>1713</v>
      </c>
      <c r="N241" s="23">
        <v>1000</v>
      </c>
      <c r="O241" s="48" t="s">
        <v>1713</v>
      </c>
    </row>
    <row r="242" spans="1:15" x14ac:dyDescent="0.25">
      <c r="A242" s="23">
        <v>240</v>
      </c>
      <c r="B242" s="370">
        <v>25599566.67499363</v>
      </c>
      <c r="C242" s="48" t="s">
        <v>1713</v>
      </c>
      <c r="D242" s="371" t="s">
        <v>1713</v>
      </c>
      <c r="E242" s="97"/>
      <c r="F242" s="325"/>
      <c r="G242" s="97" t="s">
        <v>1713</v>
      </c>
      <c r="H242" s="48" t="s">
        <v>647</v>
      </c>
      <c r="I242" s="69">
        <v>350000</v>
      </c>
      <c r="J242" s="68">
        <v>150</v>
      </c>
      <c r="K242" s="68">
        <v>0</v>
      </c>
      <c r="L242" s="48" t="s">
        <v>1713</v>
      </c>
      <c r="M242" s="48" t="s">
        <v>1713</v>
      </c>
      <c r="N242" s="23">
        <v>1000</v>
      </c>
      <c r="O242" s="48" t="s">
        <v>1713</v>
      </c>
    </row>
    <row r="243" spans="1:15" x14ac:dyDescent="0.25">
      <c r="A243" s="23">
        <v>241</v>
      </c>
      <c r="B243" s="370">
        <v>26111558.008493505</v>
      </c>
      <c r="C243" s="48" t="s">
        <v>1713</v>
      </c>
      <c r="D243" s="371" t="s">
        <v>1713</v>
      </c>
      <c r="E243" s="97"/>
      <c r="F243" s="325"/>
      <c r="G243" s="97" t="s">
        <v>1713</v>
      </c>
      <c r="H243" s="48" t="s">
        <v>647</v>
      </c>
      <c r="I243" s="69">
        <v>350000</v>
      </c>
      <c r="J243" s="68">
        <v>150</v>
      </c>
      <c r="K243" s="68">
        <v>0</v>
      </c>
      <c r="L243" s="48" t="s">
        <v>1713</v>
      </c>
      <c r="M243" s="48" t="s">
        <v>1713</v>
      </c>
      <c r="N243" s="23">
        <v>1000</v>
      </c>
      <c r="O243" s="48" t="s">
        <v>1713</v>
      </c>
    </row>
    <row r="244" spans="1:15" x14ac:dyDescent="0.25">
      <c r="A244" s="23">
        <v>242</v>
      </c>
      <c r="B244" s="370">
        <v>26633789.168663375</v>
      </c>
      <c r="C244" s="48" t="s">
        <v>1713</v>
      </c>
      <c r="D244" s="371" t="s">
        <v>1713</v>
      </c>
      <c r="E244" s="97"/>
      <c r="F244" s="325"/>
      <c r="G244" s="97" t="s">
        <v>1713</v>
      </c>
      <c r="H244" s="48" t="s">
        <v>647</v>
      </c>
      <c r="I244" s="69">
        <v>350000</v>
      </c>
      <c r="J244" s="68">
        <v>150</v>
      </c>
      <c r="K244" s="68">
        <v>0</v>
      </c>
      <c r="L244" s="48" t="s">
        <v>1713</v>
      </c>
      <c r="M244" s="48" t="s">
        <v>1713</v>
      </c>
      <c r="N244" s="23">
        <v>1000</v>
      </c>
      <c r="O244" s="48" t="s">
        <v>1713</v>
      </c>
    </row>
    <row r="245" spans="1:15" x14ac:dyDescent="0.25">
      <c r="A245" s="23">
        <v>243</v>
      </c>
      <c r="B245" s="370">
        <v>27166464.952036642</v>
      </c>
      <c r="C245" s="48" t="s">
        <v>1713</v>
      </c>
      <c r="D245" s="371" t="s">
        <v>1713</v>
      </c>
      <c r="E245" s="97"/>
      <c r="F245" s="325"/>
      <c r="G245" s="97" t="s">
        <v>1713</v>
      </c>
      <c r="H245" s="48" t="s">
        <v>647</v>
      </c>
      <c r="I245" s="69">
        <v>350000</v>
      </c>
      <c r="J245" s="68">
        <v>150</v>
      </c>
      <c r="K245" s="68">
        <v>0</v>
      </c>
      <c r="L245" s="48" t="s">
        <v>1713</v>
      </c>
      <c r="M245" s="48" t="s">
        <v>1713</v>
      </c>
      <c r="N245" s="23">
        <v>1000</v>
      </c>
      <c r="O245" s="48" t="s">
        <v>1713</v>
      </c>
    </row>
    <row r="246" spans="1:15" x14ac:dyDescent="0.25">
      <c r="A246" s="23">
        <v>244</v>
      </c>
      <c r="B246" s="370">
        <v>27709794.251077376</v>
      </c>
      <c r="C246" s="48" t="s">
        <v>1713</v>
      </c>
      <c r="D246" s="371" t="s">
        <v>1713</v>
      </c>
      <c r="E246" s="97"/>
      <c r="F246" s="325"/>
      <c r="G246" s="97" t="s">
        <v>1713</v>
      </c>
      <c r="H246" s="48" t="s">
        <v>647</v>
      </c>
      <c r="I246" s="69">
        <v>350000</v>
      </c>
      <c r="J246" s="68">
        <v>150</v>
      </c>
      <c r="K246" s="68">
        <v>0</v>
      </c>
      <c r="L246" s="48" t="s">
        <v>1713</v>
      </c>
      <c r="M246" s="48" t="s">
        <v>1713</v>
      </c>
      <c r="N246" s="23">
        <v>1000</v>
      </c>
      <c r="O246" s="48" t="s">
        <v>1713</v>
      </c>
    </row>
    <row r="247" spans="1:15" x14ac:dyDescent="0.25">
      <c r="A247" s="23">
        <v>245</v>
      </c>
      <c r="B247" s="370">
        <v>28263990.136098921</v>
      </c>
      <c r="C247" s="48" t="s">
        <v>1713</v>
      </c>
      <c r="D247" s="371" t="s">
        <v>1713</v>
      </c>
      <c r="E247" s="97"/>
      <c r="F247" s="325"/>
      <c r="G247" s="97" t="s">
        <v>1713</v>
      </c>
      <c r="H247" s="48" t="s">
        <v>647</v>
      </c>
      <c r="I247" s="69">
        <v>350000</v>
      </c>
      <c r="J247" s="68">
        <v>150</v>
      </c>
      <c r="K247" s="68">
        <v>0</v>
      </c>
      <c r="L247" s="48" t="s">
        <v>1713</v>
      </c>
      <c r="M247" s="48" t="s">
        <v>1713</v>
      </c>
      <c r="N247" s="23">
        <v>1000</v>
      </c>
      <c r="O247" s="48" t="s">
        <v>1713</v>
      </c>
    </row>
    <row r="248" spans="1:15" x14ac:dyDescent="0.25">
      <c r="A248" s="23">
        <v>246</v>
      </c>
      <c r="B248" s="370">
        <v>28829269.938820902</v>
      </c>
      <c r="C248" s="48" t="s">
        <v>1713</v>
      </c>
      <c r="D248" s="371" t="s">
        <v>1713</v>
      </c>
      <c r="E248" s="97"/>
      <c r="F248" s="325"/>
      <c r="G248" s="97" t="s">
        <v>1713</v>
      </c>
      <c r="H248" s="48" t="s">
        <v>647</v>
      </c>
      <c r="I248" s="69">
        <v>350000</v>
      </c>
      <c r="J248" s="68">
        <v>150</v>
      </c>
      <c r="K248" s="68">
        <v>0</v>
      </c>
      <c r="L248" s="48" t="s">
        <v>1713</v>
      </c>
      <c r="M248" s="48" t="s">
        <v>1713</v>
      </c>
      <c r="N248" s="23">
        <v>1000</v>
      </c>
      <c r="O248" s="48" t="s">
        <v>1713</v>
      </c>
    </row>
    <row r="249" spans="1:15" x14ac:dyDescent="0.25">
      <c r="A249" s="23">
        <v>247</v>
      </c>
      <c r="B249" s="370">
        <v>29405855.337597322</v>
      </c>
      <c r="C249" s="48" t="s">
        <v>1713</v>
      </c>
      <c r="D249" s="371" t="s">
        <v>1713</v>
      </c>
      <c r="E249" s="97"/>
      <c r="F249" s="325"/>
      <c r="G249" s="97" t="s">
        <v>1713</v>
      </c>
      <c r="H249" s="48" t="s">
        <v>647</v>
      </c>
      <c r="I249" s="69">
        <v>350000</v>
      </c>
      <c r="J249" s="68">
        <v>150</v>
      </c>
      <c r="K249" s="68">
        <v>0</v>
      </c>
      <c r="L249" s="48" t="s">
        <v>1713</v>
      </c>
      <c r="M249" s="48" t="s">
        <v>1713</v>
      </c>
      <c r="N249" s="23">
        <v>1000</v>
      </c>
      <c r="O249" s="48" t="s">
        <v>1713</v>
      </c>
    </row>
    <row r="250" spans="1:15" x14ac:dyDescent="0.25">
      <c r="A250" s="23">
        <v>248</v>
      </c>
      <c r="B250" s="370">
        <v>29993972.44434927</v>
      </c>
      <c r="C250" s="48" t="s">
        <v>1713</v>
      </c>
      <c r="D250" s="371" t="s">
        <v>1713</v>
      </c>
      <c r="E250" s="97"/>
      <c r="F250" s="325"/>
      <c r="G250" s="97" t="s">
        <v>1713</v>
      </c>
      <c r="H250" s="48" t="s">
        <v>647</v>
      </c>
      <c r="I250" s="69">
        <v>350000</v>
      </c>
      <c r="J250" s="68">
        <v>150</v>
      </c>
      <c r="K250" s="68">
        <v>0</v>
      </c>
      <c r="L250" s="48" t="s">
        <v>1713</v>
      </c>
      <c r="M250" s="48" t="s">
        <v>1713</v>
      </c>
      <c r="N250" s="23">
        <v>1000</v>
      </c>
      <c r="O250" s="48" t="s">
        <v>1713</v>
      </c>
    </row>
    <row r="251" spans="1:15" x14ac:dyDescent="0.25">
      <c r="A251" s="23">
        <v>249</v>
      </c>
      <c r="B251" s="370">
        <v>30593851.893236261</v>
      </c>
      <c r="C251" s="48" t="s">
        <v>1713</v>
      </c>
      <c r="D251" s="371" t="s">
        <v>1713</v>
      </c>
      <c r="E251" s="97"/>
      <c r="F251" s="325"/>
      <c r="G251" s="97" t="s">
        <v>1713</v>
      </c>
      <c r="H251" s="48" t="s">
        <v>647</v>
      </c>
      <c r="I251" s="69">
        <v>350000</v>
      </c>
      <c r="J251" s="68">
        <v>150</v>
      </c>
      <c r="K251" s="68">
        <v>0</v>
      </c>
      <c r="L251" s="48" t="s">
        <v>1713</v>
      </c>
      <c r="M251" s="48" t="s">
        <v>1713</v>
      </c>
      <c r="N251" s="23">
        <v>1000</v>
      </c>
      <c r="O251" s="48" t="s">
        <v>1713</v>
      </c>
    </row>
    <row r="252" spans="1:15" x14ac:dyDescent="0.25">
      <c r="A252" s="23">
        <v>250</v>
      </c>
      <c r="B252" s="370">
        <v>33041360.044695161</v>
      </c>
      <c r="C252" s="48" t="s">
        <v>1713</v>
      </c>
      <c r="D252" s="371" t="s">
        <v>1713</v>
      </c>
      <c r="E252" s="97"/>
      <c r="F252" s="325"/>
      <c r="G252" s="97" t="s">
        <v>1713</v>
      </c>
      <c r="H252" s="48" t="s">
        <v>647</v>
      </c>
      <c r="I252" s="69">
        <v>350000</v>
      </c>
      <c r="J252" s="68">
        <v>200</v>
      </c>
      <c r="K252" s="68">
        <v>0</v>
      </c>
      <c r="L252" s="48" t="s">
        <v>1713</v>
      </c>
      <c r="M252" s="48" t="s">
        <v>1713</v>
      </c>
      <c r="N252" s="23">
        <v>1000</v>
      </c>
      <c r="O252" s="48" t="s">
        <v>1713</v>
      </c>
    </row>
    <row r="253" spans="1:15" x14ac:dyDescent="0.25">
      <c r="A253" s="4">
        <v>251</v>
      </c>
      <c r="B253" s="370">
        <v>35684668.848270781</v>
      </c>
      <c r="C253" s="48" t="s">
        <v>1713</v>
      </c>
      <c r="D253" s="371" t="s">
        <v>1713</v>
      </c>
      <c r="E253" s="97"/>
      <c r="F253" s="325"/>
      <c r="G253" s="97" t="s">
        <v>1713</v>
      </c>
      <c r="H253" s="48" t="s">
        <v>647</v>
      </c>
      <c r="I253" s="69">
        <v>350000</v>
      </c>
      <c r="J253" s="68">
        <v>200</v>
      </c>
      <c r="K253" s="68">
        <v>0</v>
      </c>
      <c r="L253" s="48" t="s">
        <v>1713</v>
      </c>
      <c r="M253" s="48" t="s">
        <v>1713</v>
      </c>
      <c r="N253" s="23">
        <v>1000</v>
      </c>
      <c r="O253" s="48" t="s">
        <v>1713</v>
      </c>
    </row>
    <row r="254" spans="1:15" x14ac:dyDescent="0.25">
      <c r="A254" s="4">
        <v>252</v>
      </c>
      <c r="B254" s="370">
        <v>38539442.35613244</v>
      </c>
      <c r="C254" s="48" t="s">
        <v>1713</v>
      </c>
      <c r="D254" s="371" t="s">
        <v>1713</v>
      </c>
      <c r="E254" s="97"/>
      <c r="F254" s="325"/>
      <c r="G254" s="97" t="s">
        <v>1713</v>
      </c>
      <c r="H254" s="48" t="s">
        <v>647</v>
      </c>
      <c r="I254" s="69">
        <v>350000</v>
      </c>
      <c r="J254" s="68">
        <v>200</v>
      </c>
      <c r="K254" s="68">
        <v>0</v>
      </c>
      <c r="L254" s="48" t="s">
        <v>1713</v>
      </c>
      <c r="M254" s="48" t="s">
        <v>1713</v>
      </c>
      <c r="N254" s="23">
        <v>1000</v>
      </c>
      <c r="O254" s="48" t="s">
        <v>1713</v>
      </c>
    </row>
    <row r="255" spans="1:15" x14ac:dyDescent="0.25">
      <c r="A255" s="4">
        <v>253</v>
      </c>
      <c r="B255" s="370">
        <v>41622597.744623043</v>
      </c>
      <c r="C255" s="48" t="s">
        <v>1713</v>
      </c>
      <c r="D255" s="371" t="s">
        <v>1713</v>
      </c>
      <c r="E255" s="97"/>
      <c r="F255" s="325"/>
      <c r="G255" s="97" t="s">
        <v>1713</v>
      </c>
      <c r="H255" s="48" t="s">
        <v>647</v>
      </c>
      <c r="I255" s="69">
        <v>350000</v>
      </c>
      <c r="J255" s="68">
        <v>200</v>
      </c>
      <c r="K255" s="68">
        <v>0</v>
      </c>
      <c r="L255" s="48" t="s">
        <v>1713</v>
      </c>
      <c r="M255" s="48" t="s">
        <v>1713</v>
      </c>
      <c r="N255" s="23">
        <v>1000</v>
      </c>
      <c r="O255" s="48" t="s">
        <v>1713</v>
      </c>
    </row>
    <row r="256" spans="1:15" x14ac:dyDescent="0.25">
      <c r="A256" s="4">
        <v>254</v>
      </c>
      <c r="B256" s="370">
        <v>44952405.564192891</v>
      </c>
      <c r="C256" s="48" t="s">
        <v>1713</v>
      </c>
      <c r="D256" s="371" t="s">
        <v>1713</v>
      </c>
      <c r="E256" s="97"/>
      <c r="F256" s="325"/>
      <c r="G256" s="97" t="s">
        <v>1713</v>
      </c>
      <c r="H256" s="48" t="s">
        <v>647</v>
      </c>
      <c r="I256" s="69">
        <v>350000</v>
      </c>
      <c r="J256" s="68">
        <v>200</v>
      </c>
      <c r="K256" s="68">
        <v>0</v>
      </c>
      <c r="L256" s="48" t="s">
        <v>1713</v>
      </c>
      <c r="M256" s="48" t="s">
        <v>1713</v>
      </c>
      <c r="N256" s="23">
        <v>1000</v>
      </c>
      <c r="O256" s="48" t="s">
        <v>1713</v>
      </c>
    </row>
    <row r="257" spans="1:15" x14ac:dyDescent="0.25">
      <c r="A257" s="4">
        <v>255</v>
      </c>
      <c r="B257" s="370">
        <v>48548598.009328321</v>
      </c>
      <c r="C257" s="48" t="s">
        <v>1713</v>
      </c>
      <c r="D257" s="371" t="s">
        <v>1713</v>
      </c>
      <c r="E257" s="97"/>
      <c r="F257" s="325"/>
      <c r="G257" s="97" t="s">
        <v>1713</v>
      </c>
      <c r="H257" s="48" t="s">
        <v>647</v>
      </c>
      <c r="I257" s="69">
        <v>350000</v>
      </c>
      <c r="J257" s="68">
        <v>200</v>
      </c>
      <c r="K257" s="68">
        <v>0</v>
      </c>
      <c r="L257" s="48" t="s">
        <v>1713</v>
      </c>
      <c r="M257" s="48" t="s">
        <v>1713</v>
      </c>
      <c r="N257" s="23">
        <v>1000</v>
      </c>
      <c r="O257" s="48" t="s">
        <v>1713</v>
      </c>
    </row>
    <row r="258" spans="1:15" x14ac:dyDescent="0.25">
      <c r="A258" s="4">
        <v>256</v>
      </c>
      <c r="B258" s="370">
        <v>52432485.850074589</v>
      </c>
      <c r="C258" s="48" t="s">
        <v>1713</v>
      </c>
      <c r="D258" s="371" t="s">
        <v>1713</v>
      </c>
      <c r="E258" s="97"/>
      <c r="F258" s="325"/>
      <c r="G258" s="97" t="s">
        <v>1713</v>
      </c>
      <c r="H258" s="48" t="s">
        <v>647</v>
      </c>
      <c r="I258" s="69">
        <v>350000</v>
      </c>
      <c r="J258" s="68">
        <v>200</v>
      </c>
      <c r="K258" s="68">
        <v>0</v>
      </c>
      <c r="L258" s="48" t="s">
        <v>1713</v>
      </c>
      <c r="M258" s="48" t="s">
        <v>1713</v>
      </c>
      <c r="N258" s="23">
        <v>1000</v>
      </c>
      <c r="O258" s="48" t="s">
        <v>1713</v>
      </c>
    </row>
    <row r="259" spans="1:15" x14ac:dyDescent="0.25">
      <c r="A259" s="4">
        <v>257</v>
      </c>
      <c r="B259" s="370">
        <v>56627084.718080558</v>
      </c>
      <c r="C259" s="48" t="s">
        <v>1713</v>
      </c>
      <c r="D259" s="371" t="s">
        <v>1713</v>
      </c>
      <c r="E259" s="97"/>
      <c r="F259" s="325"/>
      <c r="G259" s="97" t="s">
        <v>1713</v>
      </c>
      <c r="H259" s="48" t="s">
        <v>647</v>
      </c>
      <c r="I259" s="69">
        <v>350000</v>
      </c>
      <c r="J259" s="68">
        <v>200</v>
      </c>
      <c r="K259" s="68">
        <v>0</v>
      </c>
      <c r="L259" s="48" t="s">
        <v>1713</v>
      </c>
      <c r="M259" s="48" t="s">
        <v>1713</v>
      </c>
      <c r="N259" s="23">
        <v>1000</v>
      </c>
      <c r="O259" s="48" t="s">
        <v>1713</v>
      </c>
    </row>
    <row r="260" spans="1:15" x14ac:dyDescent="0.25">
      <c r="A260" s="4">
        <v>258</v>
      </c>
      <c r="B260" s="370">
        <v>61157251.495527007</v>
      </c>
      <c r="C260" s="48" t="s">
        <v>1713</v>
      </c>
      <c r="D260" s="371" t="s">
        <v>1713</v>
      </c>
      <c r="E260" s="97"/>
      <c r="F260" s="325"/>
      <c r="G260" s="97" t="s">
        <v>1713</v>
      </c>
      <c r="H260" s="48" t="s">
        <v>647</v>
      </c>
      <c r="I260" s="69">
        <v>350000</v>
      </c>
      <c r="J260" s="68">
        <v>200</v>
      </c>
      <c r="K260" s="68">
        <v>0</v>
      </c>
      <c r="L260" s="48" t="s">
        <v>1713</v>
      </c>
      <c r="M260" s="48" t="s">
        <v>1713</v>
      </c>
      <c r="N260" s="23">
        <v>1000</v>
      </c>
      <c r="O260" s="48" t="s">
        <v>1713</v>
      </c>
    </row>
    <row r="261" spans="1:15" x14ac:dyDescent="0.25">
      <c r="A261" s="4">
        <v>259</v>
      </c>
      <c r="B261" s="370">
        <v>66049831.615169168</v>
      </c>
      <c r="C261" s="48" t="s">
        <v>1713</v>
      </c>
      <c r="D261" s="371" t="s">
        <v>1713</v>
      </c>
      <c r="E261" s="97"/>
      <c r="F261" s="325"/>
      <c r="G261" s="97" t="s">
        <v>1713</v>
      </c>
      <c r="H261" s="48" t="s">
        <v>647</v>
      </c>
      <c r="I261" s="69">
        <v>350000</v>
      </c>
      <c r="J261" s="68">
        <v>200</v>
      </c>
      <c r="K261" s="68">
        <v>0</v>
      </c>
      <c r="L261" s="48" t="s">
        <v>1713</v>
      </c>
      <c r="M261" s="48" t="s">
        <v>1713</v>
      </c>
      <c r="N261" s="23">
        <v>1000</v>
      </c>
      <c r="O261" s="48" t="s">
        <v>1713</v>
      </c>
    </row>
    <row r="262" spans="1:15" x14ac:dyDescent="0.25">
      <c r="A262" s="4">
        <v>260</v>
      </c>
      <c r="B262" s="370">
        <v>100909464.96761957</v>
      </c>
      <c r="C262" s="48" t="s">
        <v>1713</v>
      </c>
      <c r="D262" s="371" t="s">
        <v>1713</v>
      </c>
      <c r="E262" s="97"/>
      <c r="F262" s="325"/>
      <c r="G262" s="97" t="s">
        <v>1713</v>
      </c>
      <c r="H262" s="48" t="s">
        <v>647</v>
      </c>
      <c r="I262" s="69">
        <v>350000</v>
      </c>
      <c r="J262" s="68">
        <v>200</v>
      </c>
      <c r="K262" s="68">
        <v>0</v>
      </c>
      <c r="L262" s="48" t="s">
        <v>1713</v>
      </c>
      <c r="M262" s="48" t="s">
        <v>1713</v>
      </c>
      <c r="N262" s="23">
        <v>1000</v>
      </c>
      <c r="O262" s="48" t="s">
        <v>1713</v>
      </c>
    </row>
    <row r="263" spans="1:15" x14ac:dyDescent="0.25">
      <c r="A263" s="4">
        <v>261</v>
      </c>
      <c r="B263" s="370">
        <v>151364197.45142937</v>
      </c>
      <c r="C263" s="48" t="s">
        <v>1713</v>
      </c>
      <c r="D263" s="371" t="s">
        <v>1713</v>
      </c>
      <c r="E263" s="97"/>
      <c r="F263" s="325"/>
      <c r="G263" s="97" t="s">
        <v>1713</v>
      </c>
      <c r="H263" s="48" t="s">
        <v>647</v>
      </c>
      <c r="I263" s="69">
        <v>350000</v>
      </c>
      <c r="J263" s="68">
        <v>200</v>
      </c>
      <c r="K263" s="68">
        <v>0</v>
      </c>
      <c r="L263" s="48" t="s">
        <v>1713</v>
      </c>
      <c r="M263" s="48" t="s">
        <v>1713</v>
      </c>
      <c r="N263" s="23">
        <v>1000</v>
      </c>
      <c r="O263" s="48" t="s">
        <v>1713</v>
      </c>
    </row>
    <row r="264" spans="1:15" x14ac:dyDescent="0.25">
      <c r="A264" s="4">
        <v>262</v>
      </c>
      <c r="B264" s="370">
        <v>227046296.17714405</v>
      </c>
      <c r="C264" s="48" t="s">
        <v>1713</v>
      </c>
      <c r="D264" s="371" t="s">
        <v>1713</v>
      </c>
      <c r="E264" s="97"/>
      <c r="F264" s="325"/>
      <c r="G264" s="97" t="s">
        <v>1713</v>
      </c>
      <c r="H264" s="48" t="s">
        <v>647</v>
      </c>
      <c r="I264" s="69">
        <v>350000</v>
      </c>
      <c r="J264" s="68">
        <v>200</v>
      </c>
      <c r="K264" s="68">
        <v>0</v>
      </c>
      <c r="L264" s="48" t="s">
        <v>1713</v>
      </c>
      <c r="M264" s="48" t="s">
        <v>1713</v>
      </c>
      <c r="N264" s="23">
        <v>1000</v>
      </c>
      <c r="O264" s="48" t="s">
        <v>1713</v>
      </c>
    </row>
    <row r="265" spans="1:15" x14ac:dyDescent="0.25">
      <c r="A265" s="4">
        <v>263</v>
      </c>
      <c r="B265" s="370">
        <v>340569444.26571608</v>
      </c>
      <c r="C265" s="48" t="s">
        <v>1713</v>
      </c>
      <c r="D265" s="371" t="s">
        <v>1713</v>
      </c>
      <c r="E265" s="97"/>
      <c r="F265" s="325"/>
      <c r="G265" s="97" t="s">
        <v>1713</v>
      </c>
      <c r="H265" s="48" t="s">
        <v>647</v>
      </c>
      <c r="I265" s="69">
        <v>350000</v>
      </c>
      <c r="J265" s="68">
        <v>200</v>
      </c>
      <c r="K265" s="68">
        <v>0</v>
      </c>
      <c r="L265" s="48" t="s">
        <v>1713</v>
      </c>
      <c r="M265" s="48" t="s">
        <v>1713</v>
      </c>
      <c r="N265" s="23">
        <v>1000</v>
      </c>
      <c r="O265" s="48" t="s">
        <v>1713</v>
      </c>
    </row>
    <row r="266" spans="1:15" x14ac:dyDescent="0.25">
      <c r="A266" s="4">
        <v>264</v>
      </c>
      <c r="B266" s="370">
        <v>510854166.39857411</v>
      </c>
      <c r="C266" s="48" t="s">
        <v>1713</v>
      </c>
      <c r="D266" s="371" t="s">
        <v>1713</v>
      </c>
      <c r="E266" s="97"/>
      <c r="F266" s="325"/>
      <c r="G266" s="97" t="s">
        <v>1713</v>
      </c>
      <c r="H266" s="48" t="s">
        <v>647</v>
      </c>
      <c r="I266" s="69">
        <v>350000</v>
      </c>
      <c r="J266" s="68">
        <v>200</v>
      </c>
      <c r="K266" s="68">
        <v>0</v>
      </c>
      <c r="L266" s="48" t="s">
        <v>1713</v>
      </c>
      <c r="M266" s="48" t="s">
        <v>1713</v>
      </c>
      <c r="N266" s="23">
        <v>1000</v>
      </c>
      <c r="O266" s="48" t="s">
        <v>1713</v>
      </c>
    </row>
    <row r="267" spans="1:15" x14ac:dyDescent="0.25">
      <c r="A267" s="4">
        <v>265</v>
      </c>
      <c r="B267" s="370">
        <v>766281249.59786117</v>
      </c>
      <c r="C267" s="48" t="s">
        <v>1713</v>
      </c>
      <c r="D267" s="371" t="s">
        <v>1713</v>
      </c>
      <c r="E267" s="97"/>
      <c r="F267" s="325"/>
      <c r="G267" s="97" t="s">
        <v>1713</v>
      </c>
      <c r="H267" s="48" t="s">
        <v>647</v>
      </c>
      <c r="I267" s="69">
        <v>400000</v>
      </c>
      <c r="J267" s="68">
        <v>200</v>
      </c>
      <c r="K267" s="68">
        <v>0</v>
      </c>
      <c r="L267" s="48" t="s">
        <v>1713</v>
      </c>
      <c r="M267" s="48" t="s">
        <v>1713</v>
      </c>
      <c r="N267" s="23">
        <v>1000</v>
      </c>
      <c r="O267" s="48" t="s">
        <v>1713</v>
      </c>
    </row>
    <row r="268" spans="1:15" x14ac:dyDescent="0.25">
      <c r="A268" s="4">
        <v>266</v>
      </c>
      <c r="B268" s="370">
        <v>1149421874.3967917</v>
      </c>
      <c r="C268" s="48" t="s">
        <v>1713</v>
      </c>
      <c r="D268" s="371" t="s">
        <v>1713</v>
      </c>
      <c r="E268" s="97"/>
      <c r="F268" s="325"/>
      <c r="G268" s="97" t="s">
        <v>1713</v>
      </c>
      <c r="H268" s="48" t="s">
        <v>647</v>
      </c>
      <c r="I268" s="69">
        <v>400000</v>
      </c>
      <c r="J268" s="68">
        <v>200</v>
      </c>
      <c r="K268" s="68">
        <v>0</v>
      </c>
      <c r="L268" s="48" t="s">
        <v>1713</v>
      </c>
      <c r="M268" s="48" t="s">
        <v>1713</v>
      </c>
      <c r="N268" s="23">
        <v>1000</v>
      </c>
      <c r="O268" s="48" t="s">
        <v>1713</v>
      </c>
    </row>
    <row r="269" spans="1:15" x14ac:dyDescent="0.25">
      <c r="A269" s="4">
        <v>267</v>
      </c>
      <c r="B269" s="370">
        <v>1724132811.5951877</v>
      </c>
      <c r="C269" s="48" t="s">
        <v>1713</v>
      </c>
      <c r="D269" s="371" t="s">
        <v>1713</v>
      </c>
      <c r="E269" s="97"/>
      <c r="F269" s="325"/>
      <c r="G269" s="97" t="s">
        <v>1713</v>
      </c>
      <c r="H269" s="48" t="s">
        <v>647</v>
      </c>
      <c r="I269" s="69">
        <v>400000</v>
      </c>
      <c r="J269" s="68">
        <v>200</v>
      </c>
      <c r="K269" s="68">
        <v>0</v>
      </c>
      <c r="L269" s="48" t="s">
        <v>1713</v>
      </c>
      <c r="M269" s="48" t="s">
        <v>1713</v>
      </c>
      <c r="N269" s="23">
        <v>1000</v>
      </c>
      <c r="O269" s="48" t="s">
        <v>1713</v>
      </c>
    </row>
    <row r="270" spans="1:15" x14ac:dyDescent="0.25">
      <c r="A270" s="4">
        <v>268</v>
      </c>
      <c r="B270" s="370">
        <v>2586199217.3927813</v>
      </c>
      <c r="C270" s="48" t="s">
        <v>1713</v>
      </c>
      <c r="D270" s="371" t="s">
        <v>1713</v>
      </c>
      <c r="E270" s="97"/>
      <c r="F270" s="325"/>
      <c r="G270" s="97" t="s">
        <v>1713</v>
      </c>
      <c r="H270" s="48" t="s">
        <v>647</v>
      </c>
      <c r="I270" s="69">
        <v>400000</v>
      </c>
      <c r="J270" s="68">
        <v>200</v>
      </c>
      <c r="K270" s="68">
        <v>0</v>
      </c>
      <c r="L270" s="48" t="s">
        <v>1713</v>
      </c>
      <c r="M270" s="48" t="s">
        <v>1713</v>
      </c>
      <c r="N270" s="23">
        <v>1000</v>
      </c>
      <c r="O270" s="48" t="s">
        <v>1713</v>
      </c>
    </row>
    <row r="271" spans="1:15" x14ac:dyDescent="0.25">
      <c r="A271" s="4">
        <v>269</v>
      </c>
      <c r="B271" s="370">
        <v>3879298826.0891719</v>
      </c>
      <c r="C271" s="48" t="s">
        <v>1713</v>
      </c>
      <c r="D271" s="371" t="s">
        <v>1713</v>
      </c>
      <c r="E271" s="97"/>
      <c r="F271" s="325"/>
      <c r="G271" s="97" t="s">
        <v>1713</v>
      </c>
      <c r="H271" s="48" t="s">
        <v>647</v>
      </c>
      <c r="I271" s="69">
        <v>400000</v>
      </c>
      <c r="J271" s="68">
        <v>200</v>
      </c>
      <c r="K271" s="68">
        <v>0</v>
      </c>
      <c r="L271" s="48" t="s">
        <v>1713</v>
      </c>
      <c r="M271" s="48" t="s">
        <v>1713</v>
      </c>
      <c r="N271" s="23">
        <v>1000</v>
      </c>
      <c r="O271" s="48" t="s">
        <v>1713</v>
      </c>
    </row>
    <row r="272" spans="1:15" x14ac:dyDescent="0.25">
      <c r="A272" s="4">
        <v>270</v>
      </c>
      <c r="B272" s="370">
        <v>5818948239.1337576</v>
      </c>
      <c r="C272" s="48" t="s">
        <v>1713</v>
      </c>
      <c r="D272" s="371" t="s">
        <v>1713</v>
      </c>
      <c r="E272" s="97"/>
      <c r="F272" s="325"/>
      <c r="G272" s="97" t="s">
        <v>1713</v>
      </c>
      <c r="H272" s="48" t="s">
        <v>647</v>
      </c>
      <c r="I272" s="69">
        <v>400000</v>
      </c>
      <c r="J272" s="68">
        <v>200</v>
      </c>
      <c r="K272" s="68">
        <v>0</v>
      </c>
      <c r="L272" s="48" t="s">
        <v>1713</v>
      </c>
      <c r="M272" s="48" t="s">
        <v>1713</v>
      </c>
      <c r="N272" s="23">
        <v>1000</v>
      </c>
      <c r="O272" s="48" t="s">
        <v>1713</v>
      </c>
    </row>
    <row r="273" spans="1:15" x14ac:dyDescent="0.25">
      <c r="A273" s="4">
        <v>271</v>
      </c>
      <c r="B273" s="370">
        <v>8728422358.7006359</v>
      </c>
      <c r="C273" s="48" t="s">
        <v>1713</v>
      </c>
      <c r="D273" s="371" t="s">
        <v>1713</v>
      </c>
      <c r="E273" s="97"/>
      <c r="F273" s="325"/>
      <c r="G273" s="97" t="s">
        <v>1713</v>
      </c>
      <c r="H273" s="48" t="s">
        <v>647</v>
      </c>
      <c r="I273" s="69">
        <v>400000</v>
      </c>
      <c r="J273" s="68">
        <v>200</v>
      </c>
      <c r="K273" s="68">
        <v>0</v>
      </c>
      <c r="L273" s="48" t="s">
        <v>1713</v>
      </c>
      <c r="M273" s="48" t="s">
        <v>1713</v>
      </c>
      <c r="N273" s="23">
        <v>1000</v>
      </c>
      <c r="O273" s="48" t="s">
        <v>1713</v>
      </c>
    </row>
    <row r="274" spans="1:15" x14ac:dyDescent="0.25">
      <c r="A274" s="4">
        <v>272</v>
      </c>
      <c r="B274" s="370">
        <v>13092633538.050953</v>
      </c>
      <c r="C274" s="48" t="s">
        <v>1713</v>
      </c>
      <c r="D274" s="371" t="s">
        <v>1713</v>
      </c>
      <c r="E274" s="97"/>
      <c r="F274" s="325"/>
      <c r="G274" s="97" t="s">
        <v>1713</v>
      </c>
      <c r="H274" s="48" t="s">
        <v>647</v>
      </c>
      <c r="I274" s="69">
        <v>400000</v>
      </c>
      <c r="J274" s="68">
        <v>200</v>
      </c>
      <c r="K274" s="68">
        <v>0</v>
      </c>
      <c r="L274" s="48" t="s">
        <v>1713</v>
      </c>
      <c r="M274" s="48" t="s">
        <v>1713</v>
      </c>
      <c r="N274" s="23">
        <v>1000</v>
      </c>
      <c r="O274" s="48" t="s">
        <v>1713</v>
      </c>
    </row>
    <row r="275" spans="1:15" x14ac:dyDescent="0.25">
      <c r="A275" s="4">
        <v>273</v>
      </c>
      <c r="B275" s="370">
        <v>19638950307.076431</v>
      </c>
      <c r="C275" s="48" t="s">
        <v>1713</v>
      </c>
      <c r="D275" s="371" t="s">
        <v>1713</v>
      </c>
      <c r="E275" s="97"/>
      <c r="F275" s="325"/>
      <c r="G275" s="97" t="s">
        <v>1713</v>
      </c>
      <c r="H275" s="48" t="s">
        <v>647</v>
      </c>
      <c r="I275" s="69">
        <v>400000</v>
      </c>
      <c r="J275" s="68">
        <v>200</v>
      </c>
      <c r="K275" s="68">
        <v>0</v>
      </c>
      <c r="L275" s="48" t="s">
        <v>1713</v>
      </c>
      <c r="M275" s="48" t="s">
        <v>1713</v>
      </c>
      <c r="N275" s="23">
        <v>1000</v>
      </c>
      <c r="O275" s="48" t="s">
        <v>1713</v>
      </c>
    </row>
    <row r="276" spans="1:15" x14ac:dyDescent="0.25">
      <c r="A276" s="4">
        <v>274</v>
      </c>
      <c r="B276" s="370">
        <v>29458425460.614647</v>
      </c>
      <c r="C276" s="48" t="s">
        <v>1713</v>
      </c>
      <c r="D276" s="371" t="s">
        <v>1713</v>
      </c>
      <c r="E276" s="97"/>
      <c r="F276" s="325"/>
      <c r="G276" s="97" t="s">
        <v>1713</v>
      </c>
      <c r="H276" s="48" t="s">
        <v>647</v>
      </c>
      <c r="I276" s="69">
        <v>400000</v>
      </c>
      <c r="J276" s="68">
        <v>200</v>
      </c>
      <c r="K276" s="68">
        <v>0</v>
      </c>
      <c r="L276" s="48" t="s">
        <v>1713</v>
      </c>
      <c r="M276" s="48" t="s">
        <v>1713</v>
      </c>
      <c r="N276" s="23">
        <v>1000</v>
      </c>
      <c r="O276" s="48" t="s">
        <v>1713</v>
      </c>
    </row>
    <row r="277" spans="1:15" x14ac:dyDescent="0.25">
      <c r="A277" s="4">
        <v>275</v>
      </c>
      <c r="B277" s="370">
        <v>44187638190.921967</v>
      </c>
      <c r="C277" s="48" t="s">
        <v>1713</v>
      </c>
      <c r="D277" s="371" t="s">
        <v>1713</v>
      </c>
      <c r="E277" s="97"/>
      <c r="F277" s="325"/>
      <c r="G277" s="97" t="s">
        <v>1713</v>
      </c>
      <c r="H277" s="48" t="s">
        <v>647</v>
      </c>
      <c r="I277" s="69">
        <v>400000</v>
      </c>
      <c r="J277" s="68">
        <v>200</v>
      </c>
      <c r="K277" s="68">
        <v>0</v>
      </c>
      <c r="L277" s="48" t="s">
        <v>1713</v>
      </c>
      <c r="M277" s="48" t="s">
        <v>1713</v>
      </c>
      <c r="N277" s="23">
        <v>1000</v>
      </c>
      <c r="O277" s="48" t="s">
        <v>1713</v>
      </c>
    </row>
    <row r="278" spans="1:15" x14ac:dyDescent="0.25">
      <c r="A278" s="4">
        <v>276</v>
      </c>
      <c r="B278" s="370">
        <v>66281457286.38295</v>
      </c>
      <c r="C278" s="48" t="s">
        <v>1713</v>
      </c>
      <c r="D278" s="371" t="s">
        <v>1713</v>
      </c>
      <c r="E278" s="97"/>
      <c r="F278" s="325"/>
      <c r="G278" s="97" t="s">
        <v>1713</v>
      </c>
      <c r="H278" s="48" t="s">
        <v>647</v>
      </c>
      <c r="I278" s="69">
        <v>400000</v>
      </c>
      <c r="J278" s="68">
        <v>200</v>
      </c>
      <c r="K278" s="68">
        <v>0</v>
      </c>
      <c r="L278" s="48" t="s">
        <v>1713</v>
      </c>
      <c r="M278" s="48" t="s">
        <v>1713</v>
      </c>
      <c r="N278" s="23">
        <v>1000</v>
      </c>
      <c r="O278" s="48" t="s">
        <v>1713</v>
      </c>
    </row>
    <row r="279" spans="1:15" x14ac:dyDescent="0.25">
      <c r="A279" s="4">
        <v>277</v>
      </c>
      <c r="B279" s="370">
        <v>99422185929.574432</v>
      </c>
      <c r="C279" s="48" t="s">
        <v>1713</v>
      </c>
      <c r="D279" s="371" t="s">
        <v>1713</v>
      </c>
      <c r="E279" s="97"/>
      <c r="F279" s="325"/>
      <c r="G279" s="97" t="s">
        <v>1713</v>
      </c>
      <c r="H279" s="48" t="s">
        <v>647</v>
      </c>
      <c r="I279" s="69">
        <v>400000</v>
      </c>
      <c r="J279" s="68">
        <v>200</v>
      </c>
      <c r="K279" s="68">
        <v>0</v>
      </c>
      <c r="L279" s="48" t="s">
        <v>1713</v>
      </c>
      <c r="M279" s="48" t="s">
        <v>1713</v>
      </c>
      <c r="N279" s="23">
        <v>1000</v>
      </c>
      <c r="O279" s="48" t="s">
        <v>1713</v>
      </c>
    </row>
    <row r="280" spans="1:15" x14ac:dyDescent="0.25">
      <c r="A280" s="4">
        <v>278</v>
      </c>
      <c r="B280" s="370">
        <v>149133278894.36163</v>
      </c>
      <c r="C280" s="48" t="s">
        <v>1713</v>
      </c>
      <c r="D280" s="371" t="s">
        <v>1713</v>
      </c>
      <c r="E280" s="97"/>
      <c r="F280" s="325"/>
      <c r="G280" s="97" t="s">
        <v>1713</v>
      </c>
      <c r="H280" s="48" t="s">
        <v>647</v>
      </c>
      <c r="I280" s="69">
        <v>400000</v>
      </c>
      <c r="J280" s="68">
        <v>200</v>
      </c>
      <c r="K280" s="68">
        <v>0</v>
      </c>
      <c r="L280" s="48" t="s">
        <v>1713</v>
      </c>
      <c r="M280" s="48" t="s">
        <v>1713</v>
      </c>
      <c r="N280" s="23">
        <v>1000</v>
      </c>
      <c r="O280" s="48" t="s">
        <v>1713</v>
      </c>
    </row>
    <row r="281" spans="1:15" x14ac:dyDescent="0.25">
      <c r="A281" s="4">
        <v>279</v>
      </c>
      <c r="B281" s="370">
        <v>223699918341.54245</v>
      </c>
      <c r="C281" s="48" t="s">
        <v>1713</v>
      </c>
      <c r="D281" s="371" t="s">
        <v>1713</v>
      </c>
      <c r="E281" s="97"/>
      <c r="F281" s="325"/>
      <c r="G281" s="97" t="s">
        <v>1713</v>
      </c>
      <c r="H281" s="48" t="s">
        <v>647</v>
      </c>
      <c r="I281" s="69">
        <v>400000</v>
      </c>
      <c r="J281" s="68">
        <v>200</v>
      </c>
      <c r="K281" s="68">
        <v>0</v>
      </c>
      <c r="L281" s="48" t="s">
        <v>1713</v>
      </c>
      <c r="M281" s="48" t="s">
        <v>1713</v>
      </c>
      <c r="N281" s="23">
        <v>1000</v>
      </c>
      <c r="O281" s="48" t="s">
        <v>1713</v>
      </c>
    </row>
    <row r="282" spans="1:15" x14ac:dyDescent="0.25">
      <c r="I282" s="303">
        <f>SUM(I2:I281)</f>
        <v>53277400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26" sqref="G26"/>
    </sheetView>
  </sheetViews>
  <sheetFormatPr defaultRowHeight="15" x14ac:dyDescent="0.25"/>
  <cols>
    <col min="2" max="2" width="23.28515625" bestFit="1" customWidth="1"/>
    <col min="3" max="3" width="18" bestFit="1" customWidth="1"/>
    <col min="4" max="4" width="25" bestFit="1" customWidth="1"/>
    <col min="5" max="5" width="18.28515625" bestFit="1" customWidth="1"/>
    <col min="6" max="6" width="24.5703125" bestFit="1" customWidth="1"/>
    <col min="7" max="7" width="21" customWidth="1"/>
    <col min="8" max="8" width="41.28515625" customWidth="1"/>
    <col min="253" max="253" width="11.85546875" customWidth="1"/>
    <col min="254" max="254" width="2.85546875" bestFit="1" customWidth="1"/>
    <col min="255" max="255" width="9.140625" bestFit="1" customWidth="1"/>
    <col min="256" max="256" width="4.7109375" bestFit="1" customWidth="1"/>
    <col min="257" max="257" width="19.42578125" customWidth="1"/>
    <col min="258" max="258" width="16.42578125" bestFit="1" customWidth="1"/>
    <col min="259" max="259" width="16.140625" bestFit="1" customWidth="1"/>
    <col min="260" max="261" width="14.5703125" bestFit="1" customWidth="1"/>
    <col min="262" max="262" width="16.42578125" bestFit="1" customWidth="1"/>
    <col min="263" max="263" width="16.140625" customWidth="1"/>
    <col min="264" max="264" width="15.7109375" bestFit="1" customWidth="1"/>
    <col min="509" max="509" width="11.85546875" customWidth="1"/>
    <col min="510" max="510" width="2.85546875" bestFit="1" customWidth="1"/>
    <col min="511" max="511" width="9.140625" bestFit="1" customWidth="1"/>
    <col min="512" max="512" width="4.7109375" bestFit="1" customWidth="1"/>
    <col min="513" max="513" width="19.42578125" customWidth="1"/>
    <col min="514" max="514" width="16.42578125" bestFit="1" customWidth="1"/>
    <col min="515" max="515" width="16.140625" bestFit="1" customWidth="1"/>
    <col min="516" max="517" width="14.5703125" bestFit="1" customWidth="1"/>
    <col min="518" max="518" width="16.42578125" bestFit="1" customWidth="1"/>
    <col min="519" max="519" width="16.140625" customWidth="1"/>
    <col min="520" max="520" width="15.7109375" bestFit="1" customWidth="1"/>
    <col min="765" max="765" width="11.85546875" customWidth="1"/>
    <col min="766" max="766" width="2.85546875" bestFit="1" customWidth="1"/>
    <col min="767" max="767" width="9.140625" bestFit="1" customWidth="1"/>
    <col min="768" max="768" width="4.7109375" bestFit="1" customWidth="1"/>
    <col min="769" max="769" width="19.42578125" customWidth="1"/>
    <col min="770" max="770" width="16.42578125" bestFit="1" customWidth="1"/>
    <col min="771" max="771" width="16.140625" bestFit="1" customWidth="1"/>
    <col min="772" max="773" width="14.5703125" bestFit="1" customWidth="1"/>
    <col min="774" max="774" width="16.42578125" bestFit="1" customWidth="1"/>
    <col min="775" max="775" width="16.140625" customWidth="1"/>
    <col min="776" max="776" width="15.7109375" bestFit="1" customWidth="1"/>
    <col min="1021" max="1021" width="11.85546875" customWidth="1"/>
    <col min="1022" max="1022" width="2.85546875" bestFit="1" customWidth="1"/>
    <col min="1023" max="1023" width="9.140625" bestFit="1" customWidth="1"/>
    <col min="1024" max="1024" width="4.7109375" bestFit="1" customWidth="1"/>
    <col min="1025" max="1025" width="19.42578125" customWidth="1"/>
    <col min="1026" max="1026" width="16.42578125" bestFit="1" customWidth="1"/>
    <col min="1027" max="1027" width="16.140625" bestFit="1" customWidth="1"/>
    <col min="1028" max="1029" width="14.5703125" bestFit="1" customWidth="1"/>
    <col min="1030" max="1030" width="16.42578125" bestFit="1" customWidth="1"/>
    <col min="1031" max="1031" width="16.140625" customWidth="1"/>
    <col min="1032" max="1032" width="15.7109375" bestFit="1" customWidth="1"/>
    <col min="1277" max="1277" width="11.85546875" customWidth="1"/>
    <col min="1278" max="1278" width="2.85546875" bestFit="1" customWidth="1"/>
    <col min="1279" max="1279" width="9.140625" bestFit="1" customWidth="1"/>
    <col min="1280" max="1280" width="4.7109375" bestFit="1" customWidth="1"/>
    <col min="1281" max="1281" width="19.42578125" customWidth="1"/>
    <col min="1282" max="1282" width="16.42578125" bestFit="1" customWidth="1"/>
    <col min="1283" max="1283" width="16.140625" bestFit="1" customWidth="1"/>
    <col min="1284" max="1285" width="14.5703125" bestFit="1" customWidth="1"/>
    <col min="1286" max="1286" width="16.42578125" bestFit="1" customWidth="1"/>
    <col min="1287" max="1287" width="16.140625" customWidth="1"/>
    <col min="1288" max="1288" width="15.7109375" bestFit="1" customWidth="1"/>
    <col min="1533" max="1533" width="11.85546875" customWidth="1"/>
    <col min="1534" max="1534" width="2.85546875" bestFit="1" customWidth="1"/>
    <col min="1535" max="1535" width="9.140625" bestFit="1" customWidth="1"/>
    <col min="1536" max="1536" width="4.7109375" bestFit="1" customWidth="1"/>
    <col min="1537" max="1537" width="19.42578125" customWidth="1"/>
    <col min="1538" max="1538" width="16.42578125" bestFit="1" customWidth="1"/>
    <col min="1539" max="1539" width="16.140625" bestFit="1" customWidth="1"/>
    <col min="1540" max="1541" width="14.5703125" bestFit="1" customWidth="1"/>
    <col min="1542" max="1542" width="16.42578125" bestFit="1" customWidth="1"/>
    <col min="1543" max="1543" width="16.140625" customWidth="1"/>
    <col min="1544" max="1544" width="15.7109375" bestFit="1" customWidth="1"/>
    <col min="1789" max="1789" width="11.85546875" customWidth="1"/>
    <col min="1790" max="1790" width="2.85546875" bestFit="1" customWidth="1"/>
    <col min="1791" max="1791" width="9.140625" bestFit="1" customWidth="1"/>
    <col min="1792" max="1792" width="4.7109375" bestFit="1" customWidth="1"/>
    <col min="1793" max="1793" width="19.42578125" customWidth="1"/>
    <col min="1794" max="1794" width="16.42578125" bestFit="1" customWidth="1"/>
    <col min="1795" max="1795" width="16.140625" bestFit="1" customWidth="1"/>
    <col min="1796" max="1797" width="14.5703125" bestFit="1" customWidth="1"/>
    <col min="1798" max="1798" width="16.42578125" bestFit="1" customWidth="1"/>
    <col min="1799" max="1799" width="16.140625" customWidth="1"/>
    <col min="1800" max="1800" width="15.7109375" bestFit="1" customWidth="1"/>
    <col min="2045" max="2045" width="11.85546875" customWidth="1"/>
    <col min="2046" max="2046" width="2.85546875" bestFit="1" customWidth="1"/>
    <col min="2047" max="2047" width="9.140625" bestFit="1" customWidth="1"/>
    <col min="2048" max="2048" width="4.7109375" bestFit="1" customWidth="1"/>
    <col min="2049" max="2049" width="19.42578125" customWidth="1"/>
    <col min="2050" max="2050" width="16.42578125" bestFit="1" customWidth="1"/>
    <col min="2051" max="2051" width="16.140625" bestFit="1" customWidth="1"/>
    <col min="2052" max="2053" width="14.5703125" bestFit="1" customWidth="1"/>
    <col min="2054" max="2054" width="16.42578125" bestFit="1" customWidth="1"/>
    <col min="2055" max="2055" width="16.140625" customWidth="1"/>
    <col min="2056" max="2056" width="15.7109375" bestFit="1" customWidth="1"/>
    <col min="2301" max="2301" width="11.85546875" customWidth="1"/>
    <col min="2302" max="2302" width="2.85546875" bestFit="1" customWidth="1"/>
    <col min="2303" max="2303" width="9.140625" bestFit="1" customWidth="1"/>
    <col min="2304" max="2304" width="4.7109375" bestFit="1" customWidth="1"/>
    <col min="2305" max="2305" width="19.42578125" customWidth="1"/>
    <col min="2306" max="2306" width="16.42578125" bestFit="1" customWidth="1"/>
    <col min="2307" max="2307" width="16.140625" bestFit="1" customWidth="1"/>
    <col min="2308" max="2309" width="14.5703125" bestFit="1" customWidth="1"/>
    <col min="2310" max="2310" width="16.42578125" bestFit="1" customWidth="1"/>
    <col min="2311" max="2311" width="16.140625" customWidth="1"/>
    <col min="2312" max="2312" width="15.7109375" bestFit="1" customWidth="1"/>
    <col min="2557" max="2557" width="11.85546875" customWidth="1"/>
    <col min="2558" max="2558" width="2.85546875" bestFit="1" customWidth="1"/>
    <col min="2559" max="2559" width="9.140625" bestFit="1" customWidth="1"/>
    <col min="2560" max="2560" width="4.7109375" bestFit="1" customWidth="1"/>
    <col min="2561" max="2561" width="19.42578125" customWidth="1"/>
    <col min="2562" max="2562" width="16.42578125" bestFit="1" customWidth="1"/>
    <col min="2563" max="2563" width="16.140625" bestFit="1" customWidth="1"/>
    <col min="2564" max="2565" width="14.5703125" bestFit="1" customWidth="1"/>
    <col min="2566" max="2566" width="16.42578125" bestFit="1" customWidth="1"/>
    <col min="2567" max="2567" width="16.140625" customWidth="1"/>
    <col min="2568" max="2568" width="15.7109375" bestFit="1" customWidth="1"/>
    <col min="2813" max="2813" width="11.85546875" customWidth="1"/>
    <col min="2814" max="2814" width="2.85546875" bestFit="1" customWidth="1"/>
    <col min="2815" max="2815" width="9.140625" bestFit="1" customWidth="1"/>
    <col min="2816" max="2816" width="4.7109375" bestFit="1" customWidth="1"/>
    <col min="2817" max="2817" width="19.42578125" customWidth="1"/>
    <col min="2818" max="2818" width="16.42578125" bestFit="1" customWidth="1"/>
    <col min="2819" max="2819" width="16.140625" bestFit="1" customWidth="1"/>
    <col min="2820" max="2821" width="14.5703125" bestFit="1" customWidth="1"/>
    <col min="2822" max="2822" width="16.42578125" bestFit="1" customWidth="1"/>
    <col min="2823" max="2823" width="16.140625" customWidth="1"/>
    <col min="2824" max="2824" width="15.7109375" bestFit="1" customWidth="1"/>
    <col min="3069" max="3069" width="11.85546875" customWidth="1"/>
    <col min="3070" max="3070" width="2.85546875" bestFit="1" customWidth="1"/>
    <col min="3071" max="3071" width="9.140625" bestFit="1" customWidth="1"/>
    <col min="3072" max="3072" width="4.7109375" bestFit="1" customWidth="1"/>
    <col min="3073" max="3073" width="19.42578125" customWidth="1"/>
    <col min="3074" max="3074" width="16.42578125" bestFit="1" customWidth="1"/>
    <col min="3075" max="3075" width="16.140625" bestFit="1" customWidth="1"/>
    <col min="3076" max="3077" width="14.5703125" bestFit="1" customWidth="1"/>
    <col min="3078" max="3078" width="16.42578125" bestFit="1" customWidth="1"/>
    <col min="3079" max="3079" width="16.140625" customWidth="1"/>
    <col min="3080" max="3080" width="15.7109375" bestFit="1" customWidth="1"/>
    <col min="3325" max="3325" width="11.85546875" customWidth="1"/>
    <col min="3326" max="3326" width="2.85546875" bestFit="1" customWidth="1"/>
    <col min="3327" max="3327" width="9.140625" bestFit="1" customWidth="1"/>
    <col min="3328" max="3328" width="4.7109375" bestFit="1" customWidth="1"/>
    <col min="3329" max="3329" width="19.42578125" customWidth="1"/>
    <col min="3330" max="3330" width="16.42578125" bestFit="1" customWidth="1"/>
    <col min="3331" max="3331" width="16.140625" bestFit="1" customWidth="1"/>
    <col min="3332" max="3333" width="14.5703125" bestFit="1" customWidth="1"/>
    <col min="3334" max="3334" width="16.42578125" bestFit="1" customWidth="1"/>
    <col min="3335" max="3335" width="16.140625" customWidth="1"/>
    <col min="3336" max="3336" width="15.7109375" bestFit="1" customWidth="1"/>
    <col min="3581" max="3581" width="11.85546875" customWidth="1"/>
    <col min="3582" max="3582" width="2.85546875" bestFit="1" customWidth="1"/>
    <col min="3583" max="3583" width="9.140625" bestFit="1" customWidth="1"/>
    <col min="3584" max="3584" width="4.7109375" bestFit="1" customWidth="1"/>
    <col min="3585" max="3585" width="19.42578125" customWidth="1"/>
    <col min="3586" max="3586" width="16.42578125" bestFit="1" customWidth="1"/>
    <col min="3587" max="3587" width="16.140625" bestFit="1" customWidth="1"/>
    <col min="3588" max="3589" width="14.5703125" bestFit="1" customWidth="1"/>
    <col min="3590" max="3590" width="16.42578125" bestFit="1" customWidth="1"/>
    <col min="3591" max="3591" width="16.140625" customWidth="1"/>
    <col min="3592" max="3592" width="15.7109375" bestFit="1" customWidth="1"/>
    <col min="3837" max="3837" width="11.85546875" customWidth="1"/>
    <col min="3838" max="3838" width="2.85546875" bestFit="1" customWidth="1"/>
    <col min="3839" max="3839" width="9.140625" bestFit="1" customWidth="1"/>
    <col min="3840" max="3840" width="4.7109375" bestFit="1" customWidth="1"/>
    <col min="3841" max="3841" width="19.42578125" customWidth="1"/>
    <col min="3842" max="3842" width="16.42578125" bestFit="1" customWidth="1"/>
    <col min="3843" max="3843" width="16.140625" bestFit="1" customWidth="1"/>
    <col min="3844" max="3845" width="14.5703125" bestFit="1" customWidth="1"/>
    <col min="3846" max="3846" width="16.42578125" bestFit="1" customWidth="1"/>
    <col min="3847" max="3847" width="16.140625" customWidth="1"/>
    <col min="3848" max="3848" width="15.7109375" bestFit="1" customWidth="1"/>
    <col min="4093" max="4093" width="11.85546875" customWidth="1"/>
    <col min="4094" max="4094" width="2.85546875" bestFit="1" customWidth="1"/>
    <col min="4095" max="4095" width="9.140625" bestFit="1" customWidth="1"/>
    <col min="4096" max="4096" width="4.7109375" bestFit="1" customWidth="1"/>
    <col min="4097" max="4097" width="19.42578125" customWidth="1"/>
    <col min="4098" max="4098" width="16.42578125" bestFit="1" customWidth="1"/>
    <col min="4099" max="4099" width="16.140625" bestFit="1" customWidth="1"/>
    <col min="4100" max="4101" width="14.5703125" bestFit="1" customWidth="1"/>
    <col min="4102" max="4102" width="16.42578125" bestFit="1" customWidth="1"/>
    <col min="4103" max="4103" width="16.140625" customWidth="1"/>
    <col min="4104" max="4104" width="15.7109375" bestFit="1" customWidth="1"/>
    <col min="4349" max="4349" width="11.85546875" customWidth="1"/>
    <col min="4350" max="4350" width="2.85546875" bestFit="1" customWidth="1"/>
    <col min="4351" max="4351" width="9.140625" bestFit="1" customWidth="1"/>
    <col min="4352" max="4352" width="4.7109375" bestFit="1" customWidth="1"/>
    <col min="4353" max="4353" width="19.42578125" customWidth="1"/>
    <col min="4354" max="4354" width="16.42578125" bestFit="1" customWidth="1"/>
    <col min="4355" max="4355" width="16.140625" bestFit="1" customWidth="1"/>
    <col min="4356" max="4357" width="14.5703125" bestFit="1" customWidth="1"/>
    <col min="4358" max="4358" width="16.42578125" bestFit="1" customWidth="1"/>
    <col min="4359" max="4359" width="16.140625" customWidth="1"/>
    <col min="4360" max="4360" width="15.7109375" bestFit="1" customWidth="1"/>
    <col min="4605" max="4605" width="11.85546875" customWidth="1"/>
    <col min="4606" max="4606" width="2.85546875" bestFit="1" customWidth="1"/>
    <col min="4607" max="4607" width="9.140625" bestFit="1" customWidth="1"/>
    <col min="4608" max="4608" width="4.7109375" bestFit="1" customWidth="1"/>
    <col min="4609" max="4609" width="19.42578125" customWidth="1"/>
    <col min="4610" max="4610" width="16.42578125" bestFit="1" customWidth="1"/>
    <col min="4611" max="4611" width="16.140625" bestFit="1" customWidth="1"/>
    <col min="4612" max="4613" width="14.5703125" bestFit="1" customWidth="1"/>
    <col min="4614" max="4614" width="16.42578125" bestFit="1" customWidth="1"/>
    <col min="4615" max="4615" width="16.140625" customWidth="1"/>
    <col min="4616" max="4616" width="15.7109375" bestFit="1" customWidth="1"/>
    <col min="4861" max="4861" width="11.85546875" customWidth="1"/>
    <col min="4862" max="4862" width="2.85546875" bestFit="1" customWidth="1"/>
    <col min="4863" max="4863" width="9.140625" bestFit="1" customWidth="1"/>
    <col min="4864" max="4864" width="4.7109375" bestFit="1" customWidth="1"/>
    <col min="4865" max="4865" width="19.42578125" customWidth="1"/>
    <col min="4866" max="4866" width="16.42578125" bestFit="1" customWidth="1"/>
    <col min="4867" max="4867" width="16.140625" bestFit="1" customWidth="1"/>
    <col min="4868" max="4869" width="14.5703125" bestFit="1" customWidth="1"/>
    <col min="4870" max="4870" width="16.42578125" bestFit="1" customWidth="1"/>
    <col min="4871" max="4871" width="16.140625" customWidth="1"/>
    <col min="4872" max="4872" width="15.7109375" bestFit="1" customWidth="1"/>
    <col min="5117" max="5117" width="11.85546875" customWidth="1"/>
    <col min="5118" max="5118" width="2.85546875" bestFit="1" customWidth="1"/>
    <col min="5119" max="5119" width="9.140625" bestFit="1" customWidth="1"/>
    <col min="5120" max="5120" width="4.7109375" bestFit="1" customWidth="1"/>
    <col min="5121" max="5121" width="19.42578125" customWidth="1"/>
    <col min="5122" max="5122" width="16.42578125" bestFit="1" customWidth="1"/>
    <col min="5123" max="5123" width="16.140625" bestFit="1" customWidth="1"/>
    <col min="5124" max="5125" width="14.5703125" bestFit="1" customWidth="1"/>
    <col min="5126" max="5126" width="16.42578125" bestFit="1" customWidth="1"/>
    <col min="5127" max="5127" width="16.140625" customWidth="1"/>
    <col min="5128" max="5128" width="15.7109375" bestFit="1" customWidth="1"/>
    <col min="5373" max="5373" width="11.85546875" customWidth="1"/>
    <col min="5374" max="5374" width="2.85546875" bestFit="1" customWidth="1"/>
    <col min="5375" max="5375" width="9.140625" bestFit="1" customWidth="1"/>
    <col min="5376" max="5376" width="4.7109375" bestFit="1" customWidth="1"/>
    <col min="5377" max="5377" width="19.42578125" customWidth="1"/>
    <col min="5378" max="5378" width="16.42578125" bestFit="1" customWidth="1"/>
    <col min="5379" max="5379" width="16.140625" bestFit="1" customWidth="1"/>
    <col min="5380" max="5381" width="14.5703125" bestFit="1" customWidth="1"/>
    <col min="5382" max="5382" width="16.42578125" bestFit="1" customWidth="1"/>
    <col min="5383" max="5383" width="16.140625" customWidth="1"/>
    <col min="5384" max="5384" width="15.7109375" bestFit="1" customWidth="1"/>
    <col min="5629" max="5629" width="11.85546875" customWidth="1"/>
    <col min="5630" max="5630" width="2.85546875" bestFit="1" customWidth="1"/>
    <col min="5631" max="5631" width="9.140625" bestFit="1" customWidth="1"/>
    <col min="5632" max="5632" width="4.7109375" bestFit="1" customWidth="1"/>
    <col min="5633" max="5633" width="19.42578125" customWidth="1"/>
    <col min="5634" max="5634" width="16.42578125" bestFit="1" customWidth="1"/>
    <col min="5635" max="5635" width="16.140625" bestFit="1" customWidth="1"/>
    <col min="5636" max="5637" width="14.5703125" bestFit="1" customWidth="1"/>
    <col min="5638" max="5638" width="16.42578125" bestFit="1" customWidth="1"/>
    <col min="5639" max="5639" width="16.140625" customWidth="1"/>
    <col min="5640" max="5640" width="15.7109375" bestFit="1" customWidth="1"/>
    <col min="5885" max="5885" width="11.85546875" customWidth="1"/>
    <col min="5886" max="5886" width="2.85546875" bestFit="1" customWidth="1"/>
    <col min="5887" max="5887" width="9.140625" bestFit="1" customWidth="1"/>
    <col min="5888" max="5888" width="4.7109375" bestFit="1" customWidth="1"/>
    <col min="5889" max="5889" width="19.42578125" customWidth="1"/>
    <col min="5890" max="5890" width="16.42578125" bestFit="1" customWidth="1"/>
    <col min="5891" max="5891" width="16.140625" bestFit="1" customWidth="1"/>
    <col min="5892" max="5893" width="14.5703125" bestFit="1" customWidth="1"/>
    <col min="5894" max="5894" width="16.42578125" bestFit="1" customWidth="1"/>
    <col min="5895" max="5895" width="16.140625" customWidth="1"/>
    <col min="5896" max="5896" width="15.7109375" bestFit="1" customWidth="1"/>
    <col min="6141" max="6141" width="11.85546875" customWidth="1"/>
    <col min="6142" max="6142" width="2.85546875" bestFit="1" customWidth="1"/>
    <col min="6143" max="6143" width="9.140625" bestFit="1" customWidth="1"/>
    <col min="6144" max="6144" width="4.7109375" bestFit="1" customWidth="1"/>
    <col min="6145" max="6145" width="19.42578125" customWidth="1"/>
    <col min="6146" max="6146" width="16.42578125" bestFit="1" customWidth="1"/>
    <col min="6147" max="6147" width="16.140625" bestFit="1" customWidth="1"/>
    <col min="6148" max="6149" width="14.5703125" bestFit="1" customWidth="1"/>
    <col min="6150" max="6150" width="16.42578125" bestFit="1" customWidth="1"/>
    <col min="6151" max="6151" width="16.140625" customWidth="1"/>
    <col min="6152" max="6152" width="15.7109375" bestFit="1" customWidth="1"/>
    <col min="6397" max="6397" width="11.85546875" customWidth="1"/>
    <col min="6398" max="6398" width="2.85546875" bestFit="1" customWidth="1"/>
    <col min="6399" max="6399" width="9.140625" bestFit="1" customWidth="1"/>
    <col min="6400" max="6400" width="4.7109375" bestFit="1" customWidth="1"/>
    <col min="6401" max="6401" width="19.42578125" customWidth="1"/>
    <col min="6402" max="6402" width="16.42578125" bestFit="1" customWidth="1"/>
    <col min="6403" max="6403" width="16.140625" bestFit="1" customWidth="1"/>
    <col min="6404" max="6405" width="14.5703125" bestFit="1" customWidth="1"/>
    <col min="6406" max="6406" width="16.42578125" bestFit="1" customWidth="1"/>
    <col min="6407" max="6407" width="16.140625" customWidth="1"/>
    <col min="6408" max="6408" width="15.7109375" bestFit="1" customWidth="1"/>
    <col min="6653" max="6653" width="11.85546875" customWidth="1"/>
    <col min="6654" max="6654" width="2.85546875" bestFit="1" customWidth="1"/>
    <col min="6655" max="6655" width="9.140625" bestFit="1" customWidth="1"/>
    <col min="6656" max="6656" width="4.7109375" bestFit="1" customWidth="1"/>
    <col min="6657" max="6657" width="19.42578125" customWidth="1"/>
    <col min="6658" max="6658" width="16.42578125" bestFit="1" customWidth="1"/>
    <col min="6659" max="6659" width="16.140625" bestFit="1" customWidth="1"/>
    <col min="6660" max="6661" width="14.5703125" bestFit="1" customWidth="1"/>
    <col min="6662" max="6662" width="16.42578125" bestFit="1" customWidth="1"/>
    <col min="6663" max="6663" width="16.140625" customWidth="1"/>
    <col min="6664" max="6664" width="15.7109375" bestFit="1" customWidth="1"/>
    <col min="6909" max="6909" width="11.85546875" customWidth="1"/>
    <col min="6910" max="6910" width="2.85546875" bestFit="1" customWidth="1"/>
    <col min="6911" max="6911" width="9.140625" bestFit="1" customWidth="1"/>
    <col min="6912" max="6912" width="4.7109375" bestFit="1" customWidth="1"/>
    <col min="6913" max="6913" width="19.42578125" customWidth="1"/>
    <col min="6914" max="6914" width="16.42578125" bestFit="1" customWidth="1"/>
    <col min="6915" max="6915" width="16.140625" bestFit="1" customWidth="1"/>
    <col min="6916" max="6917" width="14.5703125" bestFit="1" customWidth="1"/>
    <col min="6918" max="6918" width="16.42578125" bestFit="1" customWidth="1"/>
    <col min="6919" max="6919" width="16.140625" customWidth="1"/>
    <col min="6920" max="6920" width="15.7109375" bestFit="1" customWidth="1"/>
    <col min="7165" max="7165" width="11.85546875" customWidth="1"/>
    <col min="7166" max="7166" width="2.85546875" bestFit="1" customWidth="1"/>
    <col min="7167" max="7167" width="9.140625" bestFit="1" customWidth="1"/>
    <col min="7168" max="7168" width="4.7109375" bestFit="1" customWidth="1"/>
    <col min="7169" max="7169" width="19.42578125" customWidth="1"/>
    <col min="7170" max="7170" width="16.42578125" bestFit="1" customWidth="1"/>
    <col min="7171" max="7171" width="16.140625" bestFit="1" customWidth="1"/>
    <col min="7172" max="7173" width="14.5703125" bestFit="1" customWidth="1"/>
    <col min="7174" max="7174" width="16.42578125" bestFit="1" customWidth="1"/>
    <col min="7175" max="7175" width="16.140625" customWidth="1"/>
    <col min="7176" max="7176" width="15.7109375" bestFit="1" customWidth="1"/>
    <col min="7421" max="7421" width="11.85546875" customWidth="1"/>
    <col min="7422" max="7422" width="2.85546875" bestFit="1" customWidth="1"/>
    <col min="7423" max="7423" width="9.140625" bestFit="1" customWidth="1"/>
    <col min="7424" max="7424" width="4.7109375" bestFit="1" customWidth="1"/>
    <col min="7425" max="7425" width="19.42578125" customWidth="1"/>
    <col min="7426" max="7426" width="16.42578125" bestFit="1" customWidth="1"/>
    <col min="7427" max="7427" width="16.140625" bestFit="1" customWidth="1"/>
    <col min="7428" max="7429" width="14.5703125" bestFit="1" customWidth="1"/>
    <col min="7430" max="7430" width="16.42578125" bestFit="1" customWidth="1"/>
    <col min="7431" max="7431" width="16.140625" customWidth="1"/>
    <col min="7432" max="7432" width="15.7109375" bestFit="1" customWidth="1"/>
    <col min="7677" max="7677" width="11.85546875" customWidth="1"/>
    <col min="7678" max="7678" width="2.85546875" bestFit="1" customWidth="1"/>
    <col min="7679" max="7679" width="9.140625" bestFit="1" customWidth="1"/>
    <col min="7680" max="7680" width="4.7109375" bestFit="1" customWidth="1"/>
    <col min="7681" max="7681" width="19.42578125" customWidth="1"/>
    <col min="7682" max="7682" width="16.42578125" bestFit="1" customWidth="1"/>
    <col min="7683" max="7683" width="16.140625" bestFit="1" customWidth="1"/>
    <col min="7684" max="7685" width="14.5703125" bestFit="1" customWidth="1"/>
    <col min="7686" max="7686" width="16.42578125" bestFit="1" customWidth="1"/>
    <col min="7687" max="7687" width="16.140625" customWidth="1"/>
    <col min="7688" max="7688" width="15.7109375" bestFit="1" customWidth="1"/>
    <col min="7933" max="7933" width="11.85546875" customWidth="1"/>
    <col min="7934" max="7934" width="2.85546875" bestFit="1" customWidth="1"/>
    <col min="7935" max="7935" width="9.140625" bestFit="1" customWidth="1"/>
    <col min="7936" max="7936" width="4.7109375" bestFit="1" customWidth="1"/>
    <col min="7937" max="7937" width="19.42578125" customWidth="1"/>
    <col min="7938" max="7938" width="16.42578125" bestFit="1" customWidth="1"/>
    <col min="7939" max="7939" width="16.140625" bestFit="1" customWidth="1"/>
    <col min="7940" max="7941" width="14.5703125" bestFit="1" customWidth="1"/>
    <col min="7942" max="7942" width="16.42578125" bestFit="1" customWidth="1"/>
    <col min="7943" max="7943" width="16.140625" customWidth="1"/>
    <col min="7944" max="7944" width="15.7109375" bestFit="1" customWidth="1"/>
    <col min="8189" max="8189" width="11.85546875" customWidth="1"/>
    <col min="8190" max="8190" width="2.85546875" bestFit="1" customWidth="1"/>
    <col min="8191" max="8191" width="9.140625" bestFit="1" customWidth="1"/>
    <col min="8192" max="8192" width="4.7109375" bestFit="1" customWidth="1"/>
    <col min="8193" max="8193" width="19.42578125" customWidth="1"/>
    <col min="8194" max="8194" width="16.42578125" bestFit="1" customWidth="1"/>
    <col min="8195" max="8195" width="16.140625" bestFit="1" customWidth="1"/>
    <col min="8196" max="8197" width="14.5703125" bestFit="1" customWidth="1"/>
    <col min="8198" max="8198" width="16.42578125" bestFit="1" customWidth="1"/>
    <col min="8199" max="8199" width="16.140625" customWidth="1"/>
    <col min="8200" max="8200" width="15.7109375" bestFit="1" customWidth="1"/>
    <col min="8445" max="8445" width="11.85546875" customWidth="1"/>
    <col min="8446" max="8446" width="2.85546875" bestFit="1" customWidth="1"/>
    <col min="8447" max="8447" width="9.140625" bestFit="1" customWidth="1"/>
    <col min="8448" max="8448" width="4.7109375" bestFit="1" customWidth="1"/>
    <col min="8449" max="8449" width="19.42578125" customWidth="1"/>
    <col min="8450" max="8450" width="16.42578125" bestFit="1" customWidth="1"/>
    <col min="8451" max="8451" width="16.140625" bestFit="1" customWidth="1"/>
    <col min="8452" max="8453" width="14.5703125" bestFit="1" customWidth="1"/>
    <col min="8454" max="8454" width="16.42578125" bestFit="1" customWidth="1"/>
    <col min="8455" max="8455" width="16.140625" customWidth="1"/>
    <col min="8456" max="8456" width="15.7109375" bestFit="1" customWidth="1"/>
    <col min="8701" max="8701" width="11.85546875" customWidth="1"/>
    <col min="8702" max="8702" width="2.85546875" bestFit="1" customWidth="1"/>
    <col min="8703" max="8703" width="9.140625" bestFit="1" customWidth="1"/>
    <col min="8704" max="8704" width="4.7109375" bestFit="1" customWidth="1"/>
    <col min="8705" max="8705" width="19.42578125" customWidth="1"/>
    <col min="8706" max="8706" width="16.42578125" bestFit="1" customWidth="1"/>
    <col min="8707" max="8707" width="16.140625" bestFit="1" customWidth="1"/>
    <col min="8708" max="8709" width="14.5703125" bestFit="1" customWidth="1"/>
    <col min="8710" max="8710" width="16.42578125" bestFit="1" customWidth="1"/>
    <col min="8711" max="8711" width="16.140625" customWidth="1"/>
    <col min="8712" max="8712" width="15.7109375" bestFit="1" customWidth="1"/>
    <col min="8957" max="8957" width="11.85546875" customWidth="1"/>
    <col min="8958" max="8958" width="2.85546875" bestFit="1" customWidth="1"/>
    <col min="8959" max="8959" width="9.140625" bestFit="1" customWidth="1"/>
    <col min="8960" max="8960" width="4.7109375" bestFit="1" customWidth="1"/>
    <col min="8961" max="8961" width="19.42578125" customWidth="1"/>
    <col min="8962" max="8962" width="16.42578125" bestFit="1" customWidth="1"/>
    <col min="8963" max="8963" width="16.140625" bestFit="1" customWidth="1"/>
    <col min="8964" max="8965" width="14.5703125" bestFit="1" customWidth="1"/>
    <col min="8966" max="8966" width="16.42578125" bestFit="1" customWidth="1"/>
    <col min="8967" max="8967" width="16.140625" customWidth="1"/>
    <col min="8968" max="8968" width="15.7109375" bestFit="1" customWidth="1"/>
    <col min="9213" max="9213" width="11.85546875" customWidth="1"/>
    <col min="9214" max="9214" width="2.85546875" bestFit="1" customWidth="1"/>
    <col min="9215" max="9215" width="9.140625" bestFit="1" customWidth="1"/>
    <col min="9216" max="9216" width="4.7109375" bestFit="1" customWidth="1"/>
    <col min="9217" max="9217" width="19.42578125" customWidth="1"/>
    <col min="9218" max="9218" width="16.42578125" bestFit="1" customWidth="1"/>
    <col min="9219" max="9219" width="16.140625" bestFit="1" customWidth="1"/>
    <col min="9220" max="9221" width="14.5703125" bestFit="1" customWidth="1"/>
    <col min="9222" max="9222" width="16.42578125" bestFit="1" customWidth="1"/>
    <col min="9223" max="9223" width="16.140625" customWidth="1"/>
    <col min="9224" max="9224" width="15.7109375" bestFit="1" customWidth="1"/>
    <col min="9469" max="9469" width="11.85546875" customWidth="1"/>
    <col min="9470" max="9470" width="2.85546875" bestFit="1" customWidth="1"/>
    <col min="9471" max="9471" width="9.140625" bestFit="1" customWidth="1"/>
    <col min="9472" max="9472" width="4.7109375" bestFit="1" customWidth="1"/>
    <col min="9473" max="9473" width="19.42578125" customWidth="1"/>
    <col min="9474" max="9474" width="16.42578125" bestFit="1" customWidth="1"/>
    <col min="9475" max="9475" width="16.140625" bestFit="1" customWidth="1"/>
    <col min="9476" max="9477" width="14.5703125" bestFit="1" customWidth="1"/>
    <col min="9478" max="9478" width="16.42578125" bestFit="1" customWidth="1"/>
    <col min="9479" max="9479" width="16.140625" customWidth="1"/>
    <col min="9480" max="9480" width="15.7109375" bestFit="1" customWidth="1"/>
    <col min="9725" max="9725" width="11.85546875" customWidth="1"/>
    <col min="9726" max="9726" width="2.85546875" bestFit="1" customWidth="1"/>
    <col min="9727" max="9727" width="9.140625" bestFit="1" customWidth="1"/>
    <col min="9728" max="9728" width="4.7109375" bestFit="1" customWidth="1"/>
    <col min="9729" max="9729" width="19.42578125" customWidth="1"/>
    <col min="9730" max="9730" width="16.42578125" bestFit="1" customWidth="1"/>
    <col min="9731" max="9731" width="16.140625" bestFit="1" customWidth="1"/>
    <col min="9732" max="9733" width="14.5703125" bestFit="1" customWidth="1"/>
    <col min="9734" max="9734" width="16.42578125" bestFit="1" customWidth="1"/>
    <col min="9735" max="9735" width="16.140625" customWidth="1"/>
    <col min="9736" max="9736" width="15.7109375" bestFit="1" customWidth="1"/>
    <col min="9981" max="9981" width="11.85546875" customWidth="1"/>
    <col min="9982" max="9982" width="2.85546875" bestFit="1" customWidth="1"/>
    <col min="9983" max="9983" width="9.140625" bestFit="1" customWidth="1"/>
    <col min="9984" max="9984" width="4.7109375" bestFit="1" customWidth="1"/>
    <col min="9985" max="9985" width="19.42578125" customWidth="1"/>
    <col min="9986" max="9986" width="16.42578125" bestFit="1" customWidth="1"/>
    <col min="9987" max="9987" width="16.140625" bestFit="1" customWidth="1"/>
    <col min="9988" max="9989" width="14.5703125" bestFit="1" customWidth="1"/>
    <col min="9990" max="9990" width="16.42578125" bestFit="1" customWidth="1"/>
    <col min="9991" max="9991" width="16.140625" customWidth="1"/>
    <col min="9992" max="9992" width="15.7109375" bestFit="1" customWidth="1"/>
    <col min="10237" max="10237" width="11.85546875" customWidth="1"/>
    <col min="10238" max="10238" width="2.85546875" bestFit="1" customWidth="1"/>
    <col min="10239" max="10239" width="9.140625" bestFit="1" customWidth="1"/>
    <col min="10240" max="10240" width="4.7109375" bestFit="1" customWidth="1"/>
    <col min="10241" max="10241" width="19.42578125" customWidth="1"/>
    <col min="10242" max="10242" width="16.42578125" bestFit="1" customWidth="1"/>
    <col min="10243" max="10243" width="16.140625" bestFit="1" customWidth="1"/>
    <col min="10244" max="10245" width="14.5703125" bestFit="1" customWidth="1"/>
    <col min="10246" max="10246" width="16.42578125" bestFit="1" customWidth="1"/>
    <col min="10247" max="10247" width="16.140625" customWidth="1"/>
    <col min="10248" max="10248" width="15.7109375" bestFit="1" customWidth="1"/>
    <col min="10493" max="10493" width="11.85546875" customWidth="1"/>
    <col min="10494" max="10494" width="2.85546875" bestFit="1" customWidth="1"/>
    <col min="10495" max="10495" width="9.140625" bestFit="1" customWidth="1"/>
    <col min="10496" max="10496" width="4.7109375" bestFit="1" customWidth="1"/>
    <col min="10497" max="10497" width="19.42578125" customWidth="1"/>
    <col min="10498" max="10498" width="16.42578125" bestFit="1" customWidth="1"/>
    <col min="10499" max="10499" width="16.140625" bestFit="1" customWidth="1"/>
    <col min="10500" max="10501" width="14.5703125" bestFit="1" customWidth="1"/>
    <col min="10502" max="10502" width="16.42578125" bestFit="1" customWidth="1"/>
    <col min="10503" max="10503" width="16.140625" customWidth="1"/>
    <col min="10504" max="10504" width="15.7109375" bestFit="1" customWidth="1"/>
    <col min="10749" max="10749" width="11.85546875" customWidth="1"/>
    <col min="10750" max="10750" width="2.85546875" bestFit="1" customWidth="1"/>
    <col min="10751" max="10751" width="9.140625" bestFit="1" customWidth="1"/>
    <col min="10752" max="10752" width="4.7109375" bestFit="1" customWidth="1"/>
    <col min="10753" max="10753" width="19.42578125" customWidth="1"/>
    <col min="10754" max="10754" width="16.42578125" bestFit="1" customWidth="1"/>
    <col min="10755" max="10755" width="16.140625" bestFit="1" customWidth="1"/>
    <col min="10756" max="10757" width="14.5703125" bestFit="1" customWidth="1"/>
    <col min="10758" max="10758" width="16.42578125" bestFit="1" customWidth="1"/>
    <col min="10759" max="10759" width="16.140625" customWidth="1"/>
    <col min="10760" max="10760" width="15.7109375" bestFit="1" customWidth="1"/>
    <col min="11005" max="11005" width="11.85546875" customWidth="1"/>
    <col min="11006" max="11006" width="2.85546875" bestFit="1" customWidth="1"/>
    <col min="11007" max="11007" width="9.140625" bestFit="1" customWidth="1"/>
    <col min="11008" max="11008" width="4.7109375" bestFit="1" customWidth="1"/>
    <col min="11009" max="11009" width="19.42578125" customWidth="1"/>
    <col min="11010" max="11010" width="16.42578125" bestFit="1" customWidth="1"/>
    <col min="11011" max="11011" width="16.140625" bestFit="1" customWidth="1"/>
    <col min="11012" max="11013" width="14.5703125" bestFit="1" customWidth="1"/>
    <col min="11014" max="11014" width="16.42578125" bestFit="1" customWidth="1"/>
    <col min="11015" max="11015" width="16.140625" customWidth="1"/>
    <col min="11016" max="11016" width="15.7109375" bestFit="1" customWidth="1"/>
    <col min="11261" max="11261" width="11.85546875" customWidth="1"/>
    <col min="11262" max="11262" width="2.85546875" bestFit="1" customWidth="1"/>
    <col min="11263" max="11263" width="9.140625" bestFit="1" customWidth="1"/>
    <col min="11264" max="11264" width="4.7109375" bestFit="1" customWidth="1"/>
    <col min="11265" max="11265" width="19.42578125" customWidth="1"/>
    <col min="11266" max="11266" width="16.42578125" bestFit="1" customWidth="1"/>
    <col min="11267" max="11267" width="16.140625" bestFit="1" customWidth="1"/>
    <col min="11268" max="11269" width="14.5703125" bestFit="1" customWidth="1"/>
    <col min="11270" max="11270" width="16.42578125" bestFit="1" customWidth="1"/>
    <col min="11271" max="11271" width="16.140625" customWidth="1"/>
    <col min="11272" max="11272" width="15.7109375" bestFit="1" customWidth="1"/>
    <col min="11517" max="11517" width="11.85546875" customWidth="1"/>
    <col min="11518" max="11518" width="2.85546875" bestFit="1" customWidth="1"/>
    <col min="11519" max="11519" width="9.140625" bestFit="1" customWidth="1"/>
    <col min="11520" max="11520" width="4.7109375" bestFit="1" customWidth="1"/>
    <col min="11521" max="11521" width="19.42578125" customWidth="1"/>
    <col min="11522" max="11522" width="16.42578125" bestFit="1" customWidth="1"/>
    <col min="11523" max="11523" width="16.140625" bestFit="1" customWidth="1"/>
    <col min="11524" max="11525" width="14.5703125" bestFit="1" customWidth="1"/>
    <col min="11526" max="11526" width="16.42578125" bestFit="1" customWidth="1"/>
    <col min="11527" max="11527" width="16.140625" customWidth="1"/>
    <col min="11528" max="11528" width="15.7109375" bestFit="1" customWidth="1"/>
    <col min="11773" max="11773" width="11.85546875" customWidth="1"/>
    <col min="11774" max="11774" width="2.85546875" bestFit="1" customWidth="1"/>
    <col min="11775" max="11775" width="9.140625" bestFit="1" customWidth="1"/>
    <col min="11776" max="11776" width="4.7109375" bestFit="1" customWidth="1"/>
    <col min="11777" max="11777" width="19.42578125" customWidth="1"/>
    <col min="11778" max="11778" width="16.42578125" bestFit="1" customWidth="1"/>
    <col min="11779" max="11779" width="16.140625" bestFit="1" customWidth="1"/>
    <col min="11780" max="11781" width="14.5703125" bestFit="1" customWidth="1"/>
    <col min="11782" max="11782" width="16.42578125" bestFit="1" customWidth="1"/>
    <col min="11783" max="11783" width="16.140625" customWidth="1"/>
    <col min="11784" max="11784" width="15.7109375" bestFit="1" customWidth="1"/>
    <col min="12029" max="12029" width="11.85546875" customWidth="1"/>
    <col min="12030" max="12030" width="2.85546875" bestFit="1" customWidth="1"/>
    <col min="12031" max="12031" width="9.140625" bestFit="1" customWidth="1"/>
    <col min="12032" max="12032" width="4.7109375" bestFit="1" customWidth="1"/>
    <col min="12033" max="12033" width="19.42578125" customWidth="1"/>
    <col min="12034" max="12034" width="16.42578125" bestFit="1" customWidth="1"/>
    <col min="12035" max="12035" width="16.140625" bestFit="1" customWidth="1"/>
    <col min="12036" max="12037" width="14.5703125" bestFit="1" customWidth="1"/>
    <col min="12038" max="12038" width="16.42578125" bestFit="1" customWidth="1"/>
    <col min="12039" max="12039" width="16.140625" customWidth="1"/>
    <col min="12040" max="12040" width="15.7109375" bestFit="1" customWidth="1"/>
    <col min="12285" max="12285" width="11.85546875" customWidth="1"/>
    <col min="12286" max="12286" width="2.85546875" bestFit="1" customWidth="1"/>
    <col min="12287" max="12287" width="9.140625" bestFit="1" customWidth="1"/>
    <col min="12288" max="12288" width="4.7109375" bestFit="1" customWidth="1"/>
    <col min="12289" max="12289" width="19.42578125" customWidth="1"/>
    <col min="12290" max="12290" width="16.42578125" bestFit="1" customWidth="1"/>
    <col min="12291" max="12291" width="16.140625" bestFit="1" customWidth="1"/>
    <col min="12292" max="12293" width="14.5703125" bestFit="1" customWidth="1"/>
    <col min="12294" max="12294" width="16.42578125" bestFit="1" customWidth="1"/>
    <col min="12295" max="12295" width="16.140625" customWidth="1"/>
    <col min="12296" max="12296" width="15.7109375" bestFit="1" customWidth="1"/>
    <col min="12541" max="12541" width="11.85546875" customWidth="1"/>
    <col min="12542" max="12542" width="2.85546875" bestFit="1" customWidth="1"/>
    <col min="12543" max="12543" width="9.140625" bestFit="1" customWidth="1"/>
    <col min="12544" max="12544" width="4.7109375" bestFit="1" customWidth="1"/>
    <col min="12545" max="12545" width="19.42578125" customWidth="1"/>
    <col min="12546" max="12546" width="16.42578125" bestFit="1" customWidth="1"/>
    <col min="12547" max="12547" width="16.140625" bestFit="1" customWidth="1"/>
    <col min="12548" max="12549" width="14.5703125" bestFit="1" customWidth="1"/>
    <col min="12550" max="12550" width="16.42578125" bestFit="1" customWidth="1"/>
    <col min="12551" max="12551" width="16.140625" customWidth="1"/>
    <col min="12552" max="12552" width="15.7109375" bestFit="1" customWidth="1"/>
    <col min="12797" max="12797" width="11.85546875" customWidth="1"/>
    <col min="12798" max="12798" width="2.85546875" bestFit="1" customWidth="1"/>
    <col min="12799" max="12799" width="9.140625" bestFit="1" customWidth="1"/>
    <col min="12800" max="12800" width="4.7109375" bestFit="1" customWidth="1"/>
    <col min="12801" max="12801" width="19.42578125" customWidth="1"/>
    <col min="12802" max="12802" width="16.42578125" bestFit="1" customWidth="1"/>
    <col min="12803" max="12803" width="16.140625" bestFit="1" customWidth="1"/>
    <col min="12804" max="12805" width="14.5703125" bestFit="1" customWidth="1"/>
    <col min="12806" max="12806" width="16.42578125" bestFit="1" customWidth="1"/>
    <col min="12807" max="12807" width="16.140625" customWidth="1"/>
    <col min="12808" max="12808" width="15.7109375" bestFit="1" customWidth="1"/>
    <col min="13053" max="13053" width="11.85546875" customWidth="1"/>
    <col min="13054" max="13054" width="2.85546875" bestFit="1" customWidth="1"/>
    <col min="13055" max="13055" width="9.140625" bestFit="1" customWidth="1"/>
    <col min="13056" max="13056" width="4.7109375" bestFit="1" customWidth="1"/>
    <col min="13057" max="13057" width="19.42578125" customWidth="1"/>
    <col min="13058" max="13058" width="16.42578125" bestFit="1" customWidth="1"/>
    <col min="13059" max="13059" width="16.140625" bestFit="1" customWidth="1"/>
    <col min="13060" max="13061" width="14.5703125" bestFit="1" customWidth="1"/>
    <col min="13062" max="13062" width="16.42578125" bestFit="1" customWidth="1"/>
    <col min="13063" max="13063" width="16.140625" customWidth="1"/>
    <col min="13064" max="13064" width="15.7109375" bestFit="1" customWidth="1"/>
    <col min="13309" max="13309" width="11.85546875" customWidth="1"/>
    <col min="13310" max="13310" width="2.85546875" bestFit="1" customWidth="1"/>
    <col min="13311" max="13311" width="9.140625" bestFit="1" customWidth="1"/>
    <col min="13312" max="13312" width="4.7109375" bestFit="1" customWidth="1"/>
    <col min="13313" max="13313" width="19.42578125" customWidth="1"/>
    <col min="13314" max="13314" width="16.42578125" bestFit="1" customWidth="1"/>
    <col min="13315" max="13315" width="16.140625" bestFit="1" customWidth="1"/>
    <col min="13316" max="13317" width="14.5703125" bestFit="1" customWidth="1"/>
    <col min="13318" max="13318" width="16.42578125" bestFit="1" customWidth="1"/>
    <col min="13319" max="13319" width="16.140625" customWidth="1"/>
    <col min="13320" max="13320" width="15.7109375" bestFit="1" customWidth="1"/>
    <col min="13565" max="13565" width="11.85546875" customWidth="1"/>
    <col min="13566" max="13566" width="2.85546875" bestFit="1" customWidth="1"/>
    <col min="13567" max="13567" width="9.140625" bestFit="1" customWidth="1"/>
    <col min="13568" max="13568" width="4.7109375" bestFit="1" customWidth="1"/>
    <col min="13569" max="13569" width="19.42578125" customWidth="1"/>
    <col min="13570" max="13570" width="16.42578125" bestFit="1" customWidth="1"/>
    <col min="13571" max="13571" width="16.140625" bestFit="1" customWidth="1"/>
    <col min="13572" max="13573" width="14.5703125" bestFit="1" customWidth="1"/>
    <col min="13574" max="13574" width="16.42578125" bestFit="1" customWidth="1"/>
    <col min="13575" max="13575" width="16.140625" customWidth="1"/>
    <col min="13576" max="13576" width="15.7109375" bestFit="1" customWidth="1"/>
    <col min="13821" max="13821" width="11.85546875" customWidth="1"/>
    <col min="13822" max="13822" width="2.85546875" bestFit="1" customWidth="1"/>
    <col min="13823" max="13823" width="9.140625" bestFit="1" customWidth="1"/>
    <col min="13824" max="13824" width="4.7109375" bestFit="1" customWidth="1"/>
    <col min="13825" max="13825" width="19.42578125" customWidth="1"/>
    <col min="13826" max="13826" width="16.42578125" bestFit="1" customWidth="1"/>
    <col min="13827" max="13827" width="16.140625" bestFit="1" customWidth="1"/>
    <col min="13828" max="13829" width="14.5703125" bestFit="1" customWidth="1"/>
    <col min="13830" max="13830" width="16.42578125" bestFit="1" customWidth="1"/>
    <col min="13831" max="13831" width="16.140625" customWidth="1"/>
    <col min="13832" max="13832" width="15.7109375" bestFit="1" customWidth="1"/>
    <col min="14077" max="14077" width="11.85546875" customWidth="1"/>
    <col min="14078" max="14078" width="2.85546875" bestFit="1" customWidth="1"/>
    <col min="14079" max="14079" width="9.140625" bestFit="1" customWidth="1"/>
    <col min="14080" max="14080" width="4.7109375" bestFit="1" customWidth="1"/>
    <col min="14081" max="14081" width="19.42578125" customWidth="1"/>
    <col min="14082" max="14082" width="16.42578125" bestFit="1" customWidth="1"/>
    <col min="14083" max="14083" width="16.140625" bestFit="1" customWidth="1"/>
    <col min="14084" max="14085" width="14.5703125" bestFit="1" customWidth="1"/>
    <col min="14086" max="14086" width="16.42578125" bestFit="1" customWidth="1"/>
    <col min="14087" max="14087" width="16.140625" customWidth="1"/>
    <col min="14088" max="14088" width="15.7109375" bestFit="1" customWidth="1"/>
    <col min="14333" max="14333" width="11.85546875" customWidth="1"/>
    <col min="14334" max="14334" width="2.85546875" bestFit="1" customWidth="1"/>
    <col min="14335" max="14335" width="9.140625" bestFit="1" customWidth="1"/>
    <col min="14336" max="14336" width="4.7109375" bestFit="1" customWidth="1"/>
    <col min="14337" max="14337" width="19.42578125" customWidth="1"/>
    <col min="14338" max="14338" width="16.42578125" bestFit="1" customWidth="1"/>
    <col min="14339" max="14339" width="16.140625" bestFit="1" customWidth="1"/>
    <col min="14340" max="14341" width="14.5703125" bestFit="1" customWidth="1"/>
    <col min="14342" max="14342" width="16.42578125" bestFit="1" customWidth="1"/>
    <col min="14343" max="14343" width="16.140625" customWidth="1"/>
    <col min="14344" max="14344" width="15.7109375" bestFit="1" customWidth="1"/>
    <col min="14589" max="14589" width="11.85546875" customWidth="1"/>
    <col min="14590" max="14590" width="2.85546875" bestFit="1" customWidth="1"/>
    <col min="14591" max="14591" width="9.140625" bestFit="1" customWidth="1"/>
    <col min="14592" max="14592" width="4.7109375" bestFit="1" customWidth="1"/>
    <col min="14593" max="14593" width="19.42578125" customWidth="1"/>
    <col min="14594" max="14594" width="16.42578125" bestFit="1" customWidth="1"/>
    <col min="14595" max="14595" width="16.140625" bestFit="1" customWidth="1"/>
    <col min="14596" max="14597" width="14.5703125" bestFit="1" customWidth="1"/>
    <col min="14598" max="14598" width="16.42578125" bestFit="1" customWidth="1"/>
    <col min="14599" max="14599" width="16.140625" customWidth="1"/>
    <col min="14600" max="14600" width="15.7109375" bestFit="1" customWidth="1"/>
    <col min="14845" max="14845" width="11.85546875" customWidth="1"/>
    <col min="14846" max="14846" width="2.85546875" bestFit="1" customWidth="1"/>
    <col min="14847" max="14847" width="9.140625" bestFit="1" customWidth="1"/>
    <col min="14848" max="14848" width="4.7109375" bestFit="1" customWidth="1"/>
    <col min="14849" max="14849" width="19.42578125" customWidth="1"/>
    <col min="14850" max="14850" width="16.42578125" bestFit="1" customWidth="1"/>
    <col min="14851" max="14851" width="16.140625" bestFit="1" customWidth="1"/>
    <col min="14852" max="14853" width="14.5703125" bestFit="1" customWidth="1"/>
    <col min="14854" max="14854" width="16.42578125" bestFit="1" customWidth="1"/>
    <col min="14855" max="14855" width="16.140625" customWidth="1"/>
    <col min="14856" max="14856" width="15.7109375" bestFit="1" customWidth="1"/>
    <col min="15101" max="15101" width="11.85546875" customWidth="1"/>
    <col min="15102" max="15102" width="2.85546875" bestFit="1" customWidth="1"/>
    <col min="15103" max="15103" width="9.140625" bestFit="1" customWidth="1"/>
    <col min="15104" max="15104" width="4.7109375" bestFit="1" customWidth="1"/>
    <col min="15105" max="15105" width="19.42578125" customWidth="1"/>
    <col min="15106" max="15106" width="16.42578125" bestFit="1" customWidth="1"/>
    <col min="15107" max="15107" width="16.140625" bestFit="1" customWidth="1"/>
    <col min="15108" max="15109" width="14.5703125" bestFit="1" customWidth="1"/>
    <col min="15110" max="15110" width="16.42578125" bestFit="1" customWidth="1"/>
    <col min="15111" max="15111" width="16.140625" customWidth="1"/>
    <col min="15112" max="15112" width="15.7109375" bestFit="1" customWidth="1"/>
    <col min="15357" max="15357" width="11.85546875" customWidth="1"/>
    <col min="15358" max="15358" width="2.85546875" bestFit="1" customWidth="1"/>
    <col min="15359" max="15359" width="9.140625" bestFit="1" customWidth="1"/>
    <col min="15360" max="15360" width="4.7109375" bestFit="1" customWidth="1"/>
    <col min="15361" max="15361" width="19.42578125" customWidth="1"/>
    <col min="15362" max="15362" width="16.42578125" bestFit="1" customWidth="1"/>
    <col min="15363" max="15363" width="16.140625" bestFit="1" customWidth="1"/>
    <col min="15364" max="15365" width="14.5703125" bestFit="1" customWidth="1"/>
    <col min="15366" max="15366" width="16.42578125" bestFit="1" customWidth="1"/>
    <col min="15367" max="15367" width="16.140625" customWidth="1"/>
    <col min="15368" max="15368" width="15.7109375" bestFit="1" customWidth="1"/>
    <col min="15613" max="15613" width="11.85546875" customWidth="1"/>
    <col min="15614" max="15614" width="2.85546875" bestFit="1" customWidth="1"/>
    <col min="15615" max="15615" width="9.140625" bestFit="1" customWidth="1"/>
    <col min="15616" max="15616" width="4.7109375" bestFit="1" customWidth="1"/>
    <col min="15617" max="15617" width="19.42578125" customWidth="1"/>
    <col min="15618" max="15618" width="16.42578125" bestFit="1" customWidth="1"/>
    <col min="15619" max="15619" width="16.140625" bestFit="1" customWidth="1"/>
    <col min="15620" max="15621" width="14.5703125" bestFit="1" customWidth="1"/>
    <col min="15622" max="15622" width="16.42578125" bestFit="1" customWidth="1"/>
    <col min="15623" max="15623" width="16.140625" customWidth="1"/>
    <col min="15624" max="15624" width="15.7109375" bestFit="1" customWidth="1"/>
    <col min="15869" max="15869" width="11.85546875" customWidth="1"/>
    <col min="15870" max="15870" width="2.85546875" bestFit="1" customWidth="1"/>
    <col min="15871" max="15871" width="9.140625" bestFit="1" customWidth="1"/>
    <col min="15872" max="15872" width="4.7109375" bestFit="1" customWidth="1"/>
    <col min="15873" max="15873" width="19.42578125" customWidth="1"/>
    <col min="15874" max="15874" width="16.42578125" bestFit="1" customWidth="1"/>
    <col min="15875" max="15875" width="16.140625" bestFit="1" customWidth="1"/>
    <col min="15876" max="15877" width="14.5703125" bestFit="1" customWidth="1"/>
    <col min="15878" max="15878" width="16.42578125" bestFit="1" customWidth="1"/>
    <col min="15879" max="15879" width="16.140625" customWidth="1"/>
    <col min="15880" max="15880" width="15.7109375" bestFit="1" customWidth="1"/>
    <col min="16125" max="16125" width="11.85546875" customWidth="1"/>
    <col min="16126" max="16126" width="2.85546875" bestFit="1" customWidth="1"/>
    <col min="16127" max="16127" width="9.140625" bestFit="1" customWidth="1"/>
    <col min="16128" max="16128" width="4.7109375" bestFit="1" customWidth="1"/>
    <col min="16129" max="16129" width="19.42578125" customWidth="1"/>
    <col min="16130" max="16130" width="16.42578125" bestFit="1" customWidth="1"/>
    <col min="16131" max="16131" width="16.140625" bestFit="1" customWidth="1"/>
    <col min="16132" max="16133" width="14.5703125" bestFit="1" customWidth="1"/>
    <col min="16134" max="16134" width="16.42578125" bestFit="1" customWidth="1"/>
    <col min="16135" max="16135" width="16.140625" customWidth="1"/>
    <col min="16136" max="16136" width="15.7109375" bestFit="1" customWidth="1"/>
  </cols>
  <sheetData>
    <row r="1" spans="1:8" s="181" customFormat="1" x14ac:dyDescent="0.25">
      <c r="A1" s="384" t="s">
        <v>1699</v>
      </c>
      <c r="B1" s="385" t="s">
        <v>1835</v>
      </c>
      <c r="C1" s="385" t="s">
        <v>1836</v>
      </c>
      <c r="D1" s="385" t="s">
        <v>1837</v>
      </c>
      <c r="E1" s="385" t="s">
        <v>1838</v>
      </c>
      <c r="F1" s="385" t="s">
        <v>1839</v>
      </c>
      <c r="G1" s="385" t="s">
        <v>1840</v>
      </c>
      <c r="H1" s="385" t="s">
        <v>1841</v>
      </c>
    </row>
    <row r="2" spans="1:8" x14ac:dyDescent="0.25">
      <c r="A2" s="54" t="s">
        <v>1452</v>
      </c>
      <c r="B2" s="2" t="s">
        <v>1842</v>
      </c>
      <c r="C2" s="2" t="s">
        <v>1226</v>
      </c>
      <c r="D2" s="334" t="s">
        <v>1847</v>
      </c>
      <c r="E2" s="2" t="s">
        <v>1843</v>
      </c>
      <c r="F2" s="334" t="s">
        <v>1848</v>
      </c>
      <c r="G2" s="2" t="s">
        <v>1844</v>
      </c>
      <c r="H2" s="54" t="s">
        <v>1845</v>
      </c>
    </row>
    <row r="3" spans="1:8" x14ac:dyDescent="0.25">
      <c r="A3" s="54" t="s">
        <v>651</v>
      </c>
      <c r="B3" s="2" t="s">
        <v>1842</v>
      </c>
      <c r="C3" s="2" t="s">
        <v>1226</v>
      </c>
      <c r="D3" s="334" t="s">
        <v>1847</v>
      </c>
      <c r="E3" s="2" t="s">
        <v>1843</v>
      </c>
      <c r="F3" s="334" t="s">
        <v>1848</v>
      </c>
      <c r="G3" s="2" t="s">
        <v>1844</v>
      </c>
      <c r="H3" s="54" t="s">
        <v>1845</v>
      </c>
    </row>
    <row r="4" spans="1:8" x14ac:dyDescent="0.25">
      <c r="A4" s="54" t="s">
        <v>660</v>
      </c>
      <c r="B4" s="2" t="s">
        <v>1842</v>
      </c>
      <c r="C4" s="2" t="s">
        <v>1226</v>
      </c>
      <c r="D4" s="334" t="s">
        <v>1847</v>
      </c>
      <c r="E4" s="2" t="s">
        <v>1843</v>
      </c>
      <c r="F4" s="334" t="s">
        <v>1848</v>
      </c>
      <c r="G4" s="2" t="s">
        <v>1844</v>
      </c>
      <c r="H4" s="54" t="s">
        <v>1845</v>
      </c>
    </row>
    <row r="5" spans="1:8" x14ac:dyDescent="0.25">
      <c r="A5" s="54" t="s">
        <v>668</v>
      </c>
      <c r="B5" s="2" t="s">
        <v>1842</v>
      </c>
      <c r="C5" s="2" t="s">
        <v>1226</v>
      </c>
      <c r="D5" s="334" t="s">
        <v>1847</v>
      </c>
      <c r="E5" s="2" t="s">
        <v>1843</v>
      </c>
      <c r="F5" s="334" t="s">
        <v>1848</v>
      </c>
      <c r="G5" s="2" t="s">
        <v>1844</v>
      </c>
      <c r="H5" s="54" t="s">
        <v>1845</v>
      </c>
    </row>
    <row r="6" spans="1:8" x14ac:dyDescent="0.25">
      <c r="A6" s="54" t="s">
        <v>1846</v>
      </c>
      <c r="B6" s="2" t="s">
        <v>1842</v>
      </c>
      <c r="C6" s="2" t="s">
        <v>1226</v>
      </c>
      <c r="D6" s="334" t="s">
        <v>1847</v>
      </c>
      <c r="E6" s="2" t="s">
        <v>1843</v>
      </c>
      <c r="F6" s="334" t="s">
        <v>1848</v>
      </c>
      <c r="G6" s="2" t="s">
        <v>1844</v>
      </c>
      <c r="H6" s="54" t="s">
        <v>1845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C282"/>
  <sheetViews>
    <sheetView zoomScaleNormal="100" workbookViewId="0">
      <pane xSplit="2" ySplit="1" topLeftCell="AS200" activePane="bottomRight" state="frozen"/>
      <selection pane="topRight" activeCell="C1" sqref="C1"/>
      <selection pane="bottomLeft" activeCell="A2" sqref="A2"/>
      <selection pane="bottomRight" activeCell="BB213" sqref="BB213"/>
    </sheetView>
  </sheetViews>
  <sheetFormatPr defaultRowHeight="15" x14ac:dyDescent="0.25"/>
  <cols>
    <col min="1" max="2" width="9.140625" style="31"/>
    <col min="3" max="3" width="17.28515625" style="31" hidden="1" customWidth="1"/>
    <col min="4" max="4" width="17.5703125" style="31" hidden="1" customWidth="1"/>
    <col min="5" max="5" width="23.85546875" style="31" hidden="1" customWidth="1"/>
    <col min="6" max="6" width="24.42578125" style="31" hidden="1" customWidth="1"/>
    <col min="7" max="7" width="24.140625" style="31" hidden="1" customWidth="1"/>
    <col min="8" max="8" width="23.140625" style="31" hidden="1" customWidth="1"/>
    <col min="9" max="9" width="35.42578125" style="461" hidden="1" customWidth="1"/>
    <col min="10" max="10" width="24.85546875" style="31" hidden="1" customWidth="1"/>
    <col min="11" max="11" width="18.42578125" style="31" hidden="1" customWidth="1"/>
    <col min="12" max="12" width="19.140625" style="31" hidden="1" customWidth="1"/>
    <col min="13" max="13" width="29.28515625" style="31" hidden="1" customWidth="1"/>
    <col min="14" max="14" width="30.28515625" style="31" hidden="1" customWidth="1"/>
    <col min="15" max="15" width="19.7109375" style="462" hidden="1" customWidth="1"/>
    <col min="16" max="16" width="24.7109375" style="31" hidden="1" customWidth="1"/>
    <col min="17" max="18" width="23" style="11" hidden="1" customWidth="1"/>
    <col min="19" max="19" width="25.7109375" style="31" hidden="1" customWidth="1"/>
    <col min="20" max="20" width="22.140625" style="31" hidden="1" customWidth="1"/>
    <col min="21" max="21" width="30.28515625" style="31" hidden="1" customWidth="1"/>
    <col min="22" max="22" width="33.140625" style="461" hidden="1" customWidth="1"/>
    <col min="23" max="23" width="31.5703125" style="461" hidden="1" customWidth="1"/>
    <col min="24" max="24" width="33.28515625" style="461" hidden="1" customWidth="1"/>
    <col min="25" max="25" width="31.7109375" style="461" hidden="1" customWidth="1"/>
    <col min="26" max="26" width="33.28515625" style="461" hidden="1" customWidth="1"/>
    <col min="27" max="27" width="29.140625" style="461" hidden="1" customWidth="1"/>
    <col min="28" max="29" width="27.140625" style="461" hidden="1" customWidth="1"/>
    <col min="30" max="30" width="26.42578125" style="31" hidden="1" customWidth="1"/>
    <col min="31" max="31" width="22.42578125" style="31" hidden="1" customWidth="1"/>
    <col min="32" max="32" width="22.42578125" style="31" bestFit="1" customWidth="1"/>
    <col min="33" max="33" width="24.140625" style="31" bestFit="1" customWidth="1"/>
    <col min="34" max="34" width="22.42578125" style="31" bestFit="1" customWidth="1"/>
    <col min="35" max="35" width="24" style="31" bestFit="1" customWidth="1"/>
    <col min="36" max="37" width="41.140625" style="31" bestFit="1" customWidth="1"/>
    <col min="38" max="38" width="86" style="463" customWidth="1"/>
    <col min="39" max="39" width="54.42578125" style="463" customWidth="1"/>
    <col min="40" max="40" width="255.7109375" style="463" bestFit="1" customWidth="1"/>
    <col min="41" max="41" width="38.28515625" style="31" bestFit="1" customWidth="1"/>
    <col min="42" max="42" width="38.7109375" style="31" bestFit="1" customWidth="1"/>
    <col min="43" max="43" width="38.28515625" style="31" bestFit="1" customWidth="1"/>
    <col min="44" max="44" width="38.7109375" style="31" bestFit="1" customWidth="1"/>
    <col min="45" max="45" width="38.28515625" style="31" bestFit="1" customWidth="1"/>
    <col min="46" max="46" width="38.7109375" style="31" bestFit="1" customWidth="1"/>
    <col min="47" max="47" width="20.7109375" style="31" bestFit="1" customWidth="1"/>
    <col min="48" max="48" width="20.7109375" style="31" customWidth="1"/>
    <col min="49" max="49" width="25.140625" style="464" bestFit="1" customWidth="1"/>
    <col min="50" max="50" width="23.85546875" style="11" hidden="1" customWidth="1"/>
    <col min="51" max="51" width="21.42578125" style="31" hidden="1" customWidth="1"/>
    <col min="52" max="52" width="16" style="31" hidden="1" customWidth="1"/>
    <col min="53" max="54" width="8.7109375" style="31" customWidth="1"/>
    <col min="55" max="55" width="9.140625" style="31"/>
    <col min="56" max="56" width="11" style="31" bestFit="1" customWidth="1"/>
    <col min="57" max="224" width="9.140625" style="31"/>
    <col min="225" max="225" width="17.5703125" style="31" bestFit="1" customWidth="1"/>
    <col min="226" max="226" width="25.7109375" style="31" bestFit="1" customWidth="1"/>
    <col min="227" max="227" width="22.140625" style="31" bestFit="1" customWidth="1"/>
    <col min="228" max="228" width="18.42578125" style="31" bestFit="1" customWidth="1"/>
    <col min="229" max="229" width="19.140625" style="31" bestFit="1" customWidth="1"/>
    <col min="230" max="230" width="18.42578125" style="31" bestFit="1" customWidth="1"/>
    <col min="231" max="231" width="26.42578125" style="31" bestFit="1" customWidth="1"/>
    <col min="232" max="232" width="23.85546875" style="31" bestFit="1" customWidth="1"/>
    <col min="233" max="233" width="21.42578125" style="31" bestFit="1" customWidth="1"/>
    <col min="234" max="234" width="16" style="31" bestFit="1" customWidth="1"/>
    <col min="235" max="236" width="23" style="31" customWidth="1"/>
    <col min="237" max="237" width="29.28515625" style="31" customWidth="1"/>
    <col min="238" max="238" width="30.28515625" style="31" customWidth="1"/>
    <col min="239" max="239" width="24.140625" style="31" customWidth="1"/>
    <col min="240" max="241" width="23.85546875" style="31" customWidth="1"/>
    <col min="242" max="242" width="30.28515625" style="31" customWidth="1"/>
    <col min="243" max="248" width="12.7109375" style="31" customWidth="1"/>
    <col min="249" max="249" width="33.140625" style="31" customWidth="1"/>
    <col min="250" max="250" width="31.5703125" style="31" customWidth="1"/>
    <col min="251" max="251" width="33.28515625" style="31" customWidth="1"/>
    <col min="252" max="252" width="31.7109375" style="31" customWidth="1"/>
    <col min="253" max="253" width="20" style="31" customWidth="1"/>
    <col min="254" max="254" width="19.28515625" style="31" bestFit="1" customWidth="1"/>
    <col min="255" max="255" width="19.7109375" style="31" bestFit="1" customWidth="1"/>
    <col min="256" max="256" width="33.28515625" style="31" bestFit="1" customWidth="1"/>
    <col min="257" max="257" width="24.140625" style="31" bestFit="1" customWidth="1"/>
    <col min="258" max="258" width="25.28515625" style="31" customWidth="1"/>
    <col min="259" max="259" width="24.42578125" style="31" customWidth="1"/>
    <col min="260" max="260" width="13.85546875" style="31" bestFit="1" customWidth="1"/>
    <col min="261" max="261" width="18.7109375" style="31" bestFit="1" customWidth="1"/>
    <col min="262" max="262" width="24.7109375" style="31" bestFit="1" customWidth="1"/>
    <col min="263" max="264" width="27.140625" style="31" bestFit="1" customWidth="1"/>
    <col min="265" max="265" width="24.7109375" style="31" bestFit="1" customWidth="1"/>
    <col min="266" max="268" width="22.42578125" style="31" bestFit="1" customWidth="1"/>
    <col min="269" max="269" width="24" style="31" bestFit="1" customWidth="1"/>
    <col min="270" max="271" width="41.140625" style="31" bestFit="1" customWidth="1"/>
    <col min="272" max="272" width="77.42578125" style="31" bestFit="1" customWidth="1"/>
    <col min="273" max="273" width="110.28515625" style="31" bestFit="1" customWidth="1"/>
    <col min="274" max="274" width="108.140625" style="31" bestFit="1" customWidth="1"/>
    <col min="275" max="275" width="38.28515625" style="31" bestFit="1" customWidth="1"/>
    <col min="276" max="276" width="38.7109375" style="31" bestFit="1" customWidth="1"/>
    <col min="277" max="277" width="38.28515625" style="31" bestFit="1" customWidth="1"/>
    <col min="278" max="278" width="38.7109375" style="31" bestFit="1" customWidth="1"/>
    <col min="279" max="279" width="38.28515625" style="31" bestFit="1" customWidth="1"/>
    <col min="280" max="280" width="38.7109375" style="31" bestFit="1" customWidth="1"/>
    <col min="281" max="281" width="22.85546875" style="31" bestFit="1" customWidth="1"/>
    <col min="282" max="282" width="31.85546875" style="31" customWidth="1"/>
    <col min="283" max="283" width="28" style="31" bestFit="1" customWidth="1"/>
    <col min="284" max="284" width="20.7109375" style="31" bestFit="1" customWidth="1"/>
    <col min="285" max="285" width="26.7109375" style="31" bestFit="1" customWidth="1"/>
    <col min="286" max="286" width="26.85546875" style="31" bestFit="1" customWidth="1"/>
    <col min="287" max="287" width="26.7109375" style="31" bestFit="1" customWidth="1"/>
    <col min="288" max="288" width="26.85546875" style="31" bestFit="1" customWidth="1"/>
    <col min="289" max="289" width="28.85546875" style="31" bestFit="1" customWidth="1"/>
    <col min="290" max="290" width="27" style="31" bestFit="1" customWidth="1"/>
    <col min="291" max="291" width="23.42578125" style="31" bestFit="1" customWidth="1"/>
    <col min="292" max="293" width="31.42578125" style="31" bestFit="1" customWidth="1"/>
    <col min="294" max="294" width="31.42578125" style="31" customWidth="1"/>
    <col min="295" max="295" width="52.28515625" style="31" customWidth="1"/>
    <col min="296" max="296" width="31.42578125" style="31" customWidth="1"/>
    <col min="297" max="297" width="26.42578125" style="31" bestFit="1" customWidth="1"/>
    <col min="298" max="298" width="29.28515625" style="31" customWidth="1"/>
    <col min="299" max="299" width="30.28515625" style="31" customWidth="1"/>
    <col min="300" max="300" width="39" style="31" bestFit="1" customWidth="1"/>
    <col min="301" max="480" width="9.140625" style="31"/>
    <col min="481" max="481" width="17.5703125" style="31" bestFit="1" customWidth="1"/>
    <col min="482" max="482" width="25.7109375" style="31" bestFit="1" customWidth="1"/>
    <col min="483" max="483" width="22.140625" style="31" bestFit="1" customWidth="1"/>
    <col min="484" max="484" width="18.42578125" style="31" bestFit="1" customWidth="1"/>
    <col min="485" max="485" width="19.140625" style="31" bestFit="1" customWidth="1"/>
    <col min="486" max="486" width="18.42578125" style="31" bestFit="1" customWidth="1"/>
    <col min="487" max="487" width="26.42578125" style="31" bestFit="1" customWidth="1"/>
    <col min="488" max="488" width="23.85546875" style="31" bestFit="1" customWidth="1"/>
    <col min="489" max="489" width="21.42578125" style="31" bestFit="1" customWidth="1"/>
    <col min="490" max="490" width="16" style="31" bestFit="1" customWidth="1"/>
    <col min="491" max="492" width="23" style="31" customWidth="1"/>
    <col min="493" max="493" width="29.28515625" style="31" customWidth="1"/>
    <col min="494" max="494" width="30.28515625" style="31" customWidth="1"/>
    <col min="495" max="495" width="24.140625" style="31" customWidth="1"/>
    <col min="496" max="497" width="23.85546875" style="31" customWidth="1"/>
    <col min="498" max="498" width="30.28515625" style="31" customWidth="1"/>
    <col min="499" max="504" width="12.7109375" style="31" customWidth="1"/>
    <col min="505" max="505" width="33.140625" style="31" customWidth="1"/>
    <col min="506" max="506" width="31.5703125" style="31" customWidth="1"/>
    <col min="507" max="507" width="33.28515625" style="31" customWidth="1"/>
    <col min="508" max="508" width="31.7109375" style="31" customWidth="1"/>
    <col min="509" max="509" width="20" style="31" customWidth="1"/>
    <col min="510" max="510" width="19.28515625" style="31" bestFit="1" customWidth="1"/>
    <col min="511" max="511" width="19.7109375" style="31" bestFit="1" customWidth="1"/>
    <col min="512" max="512" width="33.28515625" style="31" bestFit="1" customWidth="1"/>
    <col min="513" max="513" width="24.140625" style="31" bestFit="1" customWidth="1"/>
    <col min="514" max="514" width="25.28515625" style="31" customWidth="1"/>
    <col min="515" max="515" width="24.42578125" style="31" customWidth="1"/>
    <col min="516" max="516" width="13.85546875" style="31" bestFit="1" customWidth="1"/>
    <col min="517" max="517" width="18.7109375" style="31" bestFit="1" customWidth="1"/>
    <col min="518" max="518" width="24.7109375" style="31" bestFit="1" customWidth="1"/>
    <col min="519" max="520" width="27.140625" style="31" bestFit="1" customWidth="1"/>
    <col min="521" max="521" width="24.7109375" style="31" bestFit="1" customWidth="1"/>
    <col min="522" max="524" width="22.42578125" style="31" bestFit="1" customWidth="1"/>
    <col min="525" max="525" width="24" style="31" bestFit="1" customWidth="1"/>
    <col min="526" max="527" width="41.140625" style="31" bestFit="1" customWidth="1"/>
    <col min="528" max="528" width="77.42578125" style="31" bestFit="1" customWidth="1"/>
    <col min="529" max="529" width="110.28515625" style="31" bestFit="1" customWidth="1"/>
    <col min="530" max="530" width="108.140625" style="31" bestFit="1" customWidth="1"/>
    <col min="531" max="531" width="38.28515625" style="31" bestFit="1" customWidth="1"/>
    <col min="532" max="532" width="38.7109375" style="31" bestFit="1" customWidth="1"/>
    <col min="533" max="533" width="38.28515625" style="31" bestFit="1" customWidth="1"/>
    <col min="534" max="534" width="38.7109375" style="31" bestFit="1" customWidth="1"/>
    <col min="535" max="535" width="38.28515625" style="31" bestFit="1" customWidth="1"/>
    <col min="536" max="536" width="38.7109375" style="31" bestFit="1" customWidth="1"/>
    <col min="537" max="537" width="22.85546875" style="31" bestFit="1" customWidth="1"/>
    <col min="538" max="538" width="31.85546875" style="31" customWidth="1"/>
    <col min="539" max="539" width="28" style="31" bestFit="1" customWidth="1"/>
    <col min="540" max="540" width="20.7109375" style="31" bestFit="1" customWidth="1"/>
    <col min="541" max="541" width="26.7109375" style="31" bestFit="1" customWidth="1"/>
    <col min="542" max="542" width="26.85546875" style="31" bestFit="1" customWidth="1"/>
    <col min="543" max="543" width="26.7109375" style="31" bestFit="1" customWidth="1"/>
    <col min="544" max="544" width="26.85546875" style="31" bestFit="1" customWidth="1"/>
    <col min="545" max="545" width="28.85546875" style="31" bestFit="1" customWidth="1"/>
    <col min="546" max="546" width="27" style="31" bestFit="1" customWidth="1"/>
    <col min="547" max="547" width="23.42578125" style="31" bestFit="1" customWidth="1"/>
    <col min="548" max="549" width="31.42578125" style="31" bestFit="1" customWidth="1"/>
    <col min="550" max="550" width="31.42578125" style="31" customWidth="1"/>
    <col min="551" max="551" width="52.28515625" style="31" customWidth="1"/>
    <col min="552" max="552" width="31.42578125" style="31" customWidth="1"/>
    <col min="553" max="553" width="26.42578125" style="31" bestFit="1" customWidth="1"/>
    <col min="554" max="554" width="29.28515625" style="31" customWidth="1"/>
    <col min="555" max="555" width="30.28515625" style="31" customWidth="1"/>
    <col min="556" max="556" width="39" style="31" bestFit="1" customWidth="1"/>
    <col min="557" max="736" width="9.140625" style="31"/>
    <col min="737" max="737" width="17.5703125" style="31" bestFit="1" customWidth="1"/>
    <col min="738" max="738" width="25.7109375" style="31" bestFit="1" customWidth="1"/>
    <col min="739" max="739" width="22.140625" style="31" bestFit="1" customWidth="1"/>
    <col min="740" max="740" width="18.42578125" style="31" bestFit="1" customWidth="1"/>
    <col min="741" max="741" width="19.140625" style="31" bestFit="1" customWidth="1"/>
    <col min="742" max="742" width="18.42578125" style="31" bestFit="1" customWidth="1"/>
    <col min="743" max="743" width="26.42578125" style="31" bestFit="1" customWidth="1"/>
    <col min="744" max="744" width="23.85546875" style="31" bestFit="1" customWidth="1"/>
    <col min="745" max="745" width="21.42578125" style="31" bestFit="1" customWidth="1"/>
    <col min="746" max="746" width="16" style="31" bestFit="1" customWidth="1"/>
    <col min="747" max="748" width="23" style="31" customWidth="1"/>
    <col min="749" max="749" width="29.28515625" style="31" customWidth="1"/>
    <col min="750" max="750" width="30.28515625" style="31" customWidth="1"/>
    <col min="751" max="751" width="24.140625" style="31" customWidth="1"/>
    <col min="752" max="753" width="23.85546875" style="31" customWidth="1"/>
    <col min="754" max="754" width="30.28515625" style="31" customWidth="1"/>
    <col min="755" max="760" width="12.7109375" style="31" customWidth="1"/>
    <col min="761" max="761" width="33.140625" style="31" customWidth="1"/>
    <col min="762" max="762" width="31.5703125" style="31" customWidth="1"/>
    <col min="763" max="763" width="33.28515625" style="31" customWidth="1"/>
    <col min="764" max="764" width="31.7109375" style="31" customWidth="1"/>
    <col min="765" max="765" width="20" style="31" customWidth="1"/>
    <col min="766" max="766" width="19.28515625" style="31" bestFit="1" customWidth="1"/>
    <col min="767" max="767" width="19.7109375" style="31" bestFit="1" customWidth="1"/>
    <col min="768" max="768" width="33.28515625" style="31" bestFit="1" customWidth="1"/>
    <col min="769" max="769" width="24.140625" style="31" bestFit="1" customWidth="1"/>
    <col min="770" max="770" width="25.28515625" style="31" customWidth="1"/>
    <col min="771" max="771" width="24.42578125" style="31" customWidth="1"/>
    <col min="772" max="772" width="13.85546875" style="31" bestFit="1" customWidth="1"/>
    <col min="773" max="773" width="18.7109375" style="31" bestFit="1" customWidth="1"/>
    <col min="774" max="774" width="24.7109375" style="31" bestFit="1" customWidth="1"/>
    <col min="775" max="776" width="27.140625" style="31" bestFit="1" customWidth="1"/>
    <col min="777" max="777" width="24.7109375" style="31" bestFit="1" customWidth="1"/>
    <col min="778" max="780" width="22.42578125" style="31" bestFit="1" customWidth="1"/>
    <col min="781" max="781" width="24" style="31" bestFit="1" customWidth="1"/>
    <col min="782" max="783" width="41.140625" style="31" bestFit="1" customWidth="1"/>
    <col min="784" max="784" width="77.42578125" style="31" bestFit="1" customWidth="1"/>
    <col min="785" max="785" width="110.28515625" style="31" bestFit="1" customWidth="1"/>
    <col min="786" max="786" width="108.140625" style="31" bestFit="1" customWidth="1"/>
    <col min="787" max="787" width="38.28515625" style="31" bestFit="1" customWidth="1"/>
    <col min="788" max="788" width="38.7109375" style="31" bestFit="1" customWidth="1"/>
    <col min="789" max="789" width="38.28515625" style="31" bestFit="1" customWidth="1"/>
    <col min="790" max="790" width="38.7109375" style="31" bestFit="1" customWidth="1"/>
    <col min="791" max="791" width="38.28515625" style="31" bestFit="1" customWidth="1"/>
    <col min="792" max="792" width="38.7109375" style="31" bestFit="1" customWidth="1"/>
    <col min="793" max="793" width="22.85546875" style="31" bestFit="1" customWidth="1"/>
    <col min="794" max="794" width="31.85546875" style="31" customWidth="1"/>
    <col min="795" max="795" width="28" style="31" bestFit="1" customWidth="1"/>
    <col min="796" max="796" width="20.7109375" style="31" bestFit="1" customWidth="1"/>
    <col min="797" max="797" width="26.7109375" style="31" bestFit="1" customWidth="1"/>
    <col min="798" max="798" width="26.85546875" style="31" bestFit="1" customWidth="1"/>
    <col min="799" max="799" width="26.7109375" style="31" bestFit="1" customWidth="1"/>
    <col min="800" max="800" width="26.85546875" style="31" bestFit="1" customWidth="1"/>
    <col min="801" max="801" width="28.85546875" style="31" bestFit="1" customWidth="1"/>
    <col min="802" max="802" width="27" style="31" bestFit="1" customWidth="1"/>
    <col min="803" max="803" width="23.42578125" style="31" bestFit="1" customWidth="1"/>
    <col min="804" max="805" width="31.42578125" style="31" bestFit="1" customWidth="1"/>
    <col min="806" max="806" width="31.42578125" style="31" customWidth="1"/>
    <col min="807" max="807" width="52.28515625" style="31" customWidth="1"/>
    <col min="808" max="808" width="31.42578125" style="31" customWidth="1"/>
    <col min="809" max="809" width="26.42578125" style="31" bestFit="1" customWidth="1"/>
    <col min="810" max="810" width="29.28515625" style="31" customWidth="1"/>
    <col min="811" max="811" width="30.28515625" style="31" customWidth="1"/>
    <col min="812" max="812" width="39" style="31" bestFit="1" customWidth="1"/>
    <col min="813" max="992" width="9.140625" style="31"/>
    <col min="993" max="993" width="17.5703125" style="31" bestFit="1" customWidth="1"/>
    <col min="994" max="994" width="25.7109375" style="31" bestFit="1" customWidth="1"/>
    <col min="995" max="995" width="22.140625" style="31" bestFit="1" customWidth="1"/>
    <col min="996" max="996" width="18.42578125" style="31" bestFit="1" customWidth="1"/>
    <col min="997" max="997" width="19.140625" style="31" bestFit="1" customWidth="1"/>
    <col min="998" max="998" width="18.42578125" style="31" bestFit="1" customWidth="1"/>
    <col min="999" max="999" width="26.42578125" style="31" bestFit="1" customWidth="1"/>
    <col min="1000" max="1000" width="23.85546875" style="31" bestFit="1" customWidth="1"/>
    <col min="1001" max="1001" width="21.42578125" style="31" bestFit="1" customWidth="1"/>
    <col min="1002" max="1002" width="16" style="31" bestFit="1" customWidth="1"/>
    <col min="1003" max="1004" width="23" style="31" customWidth="1"/>
    <col min="1005" max="1005" width="29.28515625" style="31" customWidth="1"/>
    <col min="1006" max="1006" width="30.28515625" style="31" customWidth="1"/>
    <col min="1007" max="1007" width="24.140625" style="31" customWidth="1"/>
    <col min="1008" max="1009" width="23.85546875" style="31" customWidth="1"/>
    <col min="1010" max="1010" width="30.28515625" style="31" customWidth="1"/>
    <col min="1011" max="1016" width="12.7109375" style="31" customWidth="1"/>
    <col min="1017" max="1017" width="33.140625" style="31" customWidth="1"/>
    <col min="1018" max="1018" width="31.5703125" style="31" customWidth="1"/>
    <col min="1019" max="1019" width="33.28515625" style="31" customWidth="1"/>
    <col min="1020" max="1020" width="31.7109375" style="31" customWidth="1"/>
    <col min="1021" max="1021" width="20" style="31" customWidth="1"/>
    <col min="1022" max="1022" width="19.28515625" style="31" bestFit="1" customWidth="1"/>
    <col min="1023" max="1023" width="19.7109375" style="31" bestFit="1" customWidth="1"/>
    <col min="1024" max="1024" width="33.28515625" style="31" bestFit="1" customWidth="1"/>
    <col min="1025" max="1025" width="24.140625" style="31" bestFit="1" customWidth="1"/>
    <col min="1026" max="1026" width="25.28515625" style="31" customWidth="1"/>
    <col min="1027" max="1027" width="24.42578125" style="31" customWidth="1"/>
    <col min="1028" max="1028" width="13.85546875" style="31" bestFit="1" customWidth="1"/>
    <col min="1029" max="1029" width="18.7109375" style="31" bestFit="1" customWidth="1"/>
    <col min="1030" max="1030" width="24.7109375" style="31" bestFit="1" customWidth="1"/>
    <col min="1031" max="1032" width="27.140625" style="31" bestFit="1" customWidth="1"/>
    <col min="1033" max="1033" width="24.7109375" style="31" bestFit="1" customWidth="1"/>
    <col min="1034" max="1036" width="22.42578125" style="31" bestFit="1" customWidth="1"/>
    <col min="1037" max="1037" width="24" style="31" bestFit="1" customWidth="1"/>
    <col min="1038" max="1039" width="41.140625" style="31" bestFit="1" customWidth="1"/>
    <col min="1040" max="1040" width="77.42578125" style="31" bestFit="1" customWidth="1"/>
    <col min="1041" max="1041" width="110.28515625" style="31" bestFit="1" customWidth="1"/>
    <col min="1042" max="1042" width="108.140625" style="31" bestFit="1" customWidth="1"/>
    <col min="1043" max="1043" width="38.28515625" style="31" bestFit="1" customWidth="1"/>
    <col min="1044" max="1044" width="38.7109375" style="31" bestFit="1" customWidth="1"/>
    <col min="1045" max="1045" width="38.28515625" style="31" bestFit="1" customWidth="1"/>
    <col min="1046" max="1046" width="38.7109375" style="31" bestFit="1" customWidth="1"/>
    <col min="1047" max="1047" width="38.28515625" style="31" bestFit="1" customWidth="1"/>
    <col min="1048" max="1048" width="38.7109375" style="31" bestFit="1" customWidth="1"/>
    <col min="1049" max="1049" width="22.85546875" style="31" bestFit="1" customWidth="1"/>
    <col min="1050" max="1050" width="31.85546875" style="31" customWidth="1"/>
    <col min="1051" max="1051" width="28" style="31" bestFit="1" customWidth="1"/>
    <col min="1052" max="1052" width="20.7109375" style="31" bestFit="1" customWidth="1"/>
    <col min="1053" max="1053" width="26.7109375" style="31" bestFit="1" customWidth="1"/>
    <col min="1054" max="1054" width="26.85546875" style="31" bestFit="1" customWidth="1"/>
    <col min="1055" max="1055" width="26.7109375" style="31" bestFit="1" customWidth="1"/>
    <col min="1056" max="1056" width="26.85546875" style="31" bestFit="1" customWidth="1"/>
    <col min="1057" max="1057" width="28.85546875" style="31" bestFit="1" customWidth="1"/>
    <col min="1058" max="1058" width="27" style="31" bestFit="1" customWidth="1"/>
    <col min="1059" max="1059" width="23.42578125" style="31" bestFit="1" customWidth="1"/>
    <col min="1060" max="1061" width="31.42578125" style="31" bestFit="1" customWidth="1"/>
    <col min="1062" max="1062" width="31.42578125" style="31" customWidth="1"/>
    <col min="1063" max="1063" width="52.28515625" style="31" customWidth="1"/>
    <col min="1064" max="1064" width="31.42578125" style="31" customWidth="1"/>
    <col min="1065" max="1065" width="26.42578125" style="31" bestFit="1" customWidth="1"/>
    <col min="1066" max="1066" width="29.28515625" style="31" customWidth="1"/>
    <col min="1067" max="1067" width="30.28515625" style="31" customWidth="1"/>
    <col min="1068" max="1068" width="39" style="31" bestFit="1" customWidth="1"/>
    <col min="1069" max="1248" width="9.140625" style="31"/>
    <col min="1249" max="1249" width="17.5703125" style="31" bestFit="1" customWidth="1"/>
    <col min="1250" max="1250" width="25.7109375" style="31" bestFit="1" customWidth="1"/>
    <col min="1251" max="1251" width="22.140625" style="31" bestFit="1" customWidth="1"/>
    <col min="1252" max="1252" width="18.42578125" style="31" bestFit="1" customWidth="1"/>
    <col min="1253" max="1253" width="19.140625" style="31" bestFit="1" customWidth="1"/>
    <col min="1254" max="1254" width="18.42578125" style="31" bestFit="1" customWidth="1"/>
    <col min="1255" max="1255" width="26.42578125" style="31" bestFit="1" customWidth="1"/>
    <col min="1256" max="1256" width="23.85546875" style="31" bestFit="1" customWidth="1"/>
    <col min="1257" max="1257" width="21.42578125" style="31" bestFit="1" customWidth="1"/>
    <col min="1258" max="1258" width="16" style="31" bestFit="1" customWidth="1"/>
    <col min="1259" max="1260" width="23" style="31" customWidth="1"/>
    <col min="1261" max="1261" width="29.28515625" style="31" customWidth="1"/>
    <col min="1262" max="1262" width="30.28515625" style="31" customWidth="1"/>
    <col min="1263" max="1263" width="24.140625" style="31" customWidth="1"/>
    <col min="1264" max="1265" width="23.85546875" style="31" customWidth="1"/>
    <col min="1266" max="1266" width="30.28515625" style="31" customWidth="1"/>
    <col min="1267" max="1272" width="12.7109375" style="31" customWidth="1"/>
    <col min="1273" max="1273" width="33.140625" style="31" customWidth="1"/>
    <col min="1274" max="1274" width="31.5703125" style="31" customWidth="1"/>
    <col min="1275" max="1275" width="33.28515625" style="31" customWidth="1"/>
    <col min="1276" max="1276" width="31.7109375" style="31" customWidth="1"/>
    <col min="1277" max="1277" width="20" style="31" customWidth="1"/>
    <col min="1278" max="1278" width="19.28515625" style="31" bestFit="1" customWidth="1"/>
    <col min="1279" max="1279" width="19.7109375" style="31" bestFit="1" customWidth="1"/>
    <col min="1280" max="1280" width="33.28515625" style="31" bestFit="1" customWidth="1"/>
    <col min="1281" max="1281" width="24.140625" style="31" bestFit="1" customWidth="1"/>
    <col min="1282" max="1282" width="25.28515625" style="31" customWidth="1"/>
    <col min="1283" max="1283" width="24.42578125" style="31" customWidth="1"/>
    <col min="1284" max="1284" width="13.85546875" style="31" bestFit="1" customWidth="1"/>
    <col min="1285" max="1285" width="18.7109375" style="31" bestFit="1" customWidth="1"/>
    <col min="1286" max="1286" width="24.7109375" style="31" bestFit="1" customWidth="1"/>
    <col min="1287" max="1288" width="27.140625" style="31" bestFit="1" customWidth="1"/>
    <col min="1289" max="1289" width="24.7109375" style="31" bestFit="1" customWidth="1"/>
    <col min="1290" max="1292" width="22.42578125" style="31" bestFit="1" customWidth="1"/>
    <col min="1293" max="1293" width="24" style="31" bestFit="1" customWidth="1"/>
    <col min="1294" max="1295" width="41.140625" style="31" bestFit="1" customWidth="1"/>
    <col min="1296" max="1296" width="77.42578125" style="31" bestFit="1" customWidth="1"/>
    <col min="1297" max="1297" width="110.28515625" style="31" bestFit="1" customWidth="1"/>
    <col min="1298" max="1298" width="108.140625" style="31" bestFit="1" customWidth="1"/>
    <col min="1299" max="1299" width="38.28515625" style="31" bestFit="1" customWidth="1"/>
    <col min="1300" max="1300" width="38.7109375" style="31" bestFit="1" customWidth="1"/>
    <col min="1301" max="1301" width="38.28515625" style="31" bestFit="1" customWidth="1"/>
    <col min="1302" max="1302" width="38.7109375" style="31" bestFit="1" customWidth="1"/>
    <col min="1303" max="1303" width="38.28515625" style="31" bestFit="1" customWidth="1"/>
    <col min="1304" max="1304" width="38.7109375" style="31" bestFit="1" customWidth="1"/>
    <col min="1305" max="1305" width="22.85546875" style="31" bestFit="1" customWidth="1"/>
    <col min="1306" max="1306" width="31.85546875" style="31" customWidth="1"/>
    <col min="1307" max="1307" width="28" style="31" bestFit="1" customWidth="1"/>
    <col min="1308" max="1308" width="20.7109375" style="31" bestFit="1" customWidth="1"/>
    <col min="1309" max="1309" width="26.7109375" style="31" bestFit="1" customWidth="1"/>
    <col min="1310" max="1310" width="26.85546875" style="31" bestFit="1" customWidth="1"/>
    <col min="1311" max="1311" width="26.7109375" style="31" bestFit="1" customWidth="1"/>
    <col min="1312" max="1312" width="26.85546875" style="31" bestFit="1" customWidth="1"/>
    <col min="1313" max="1313" width="28.85546875" style="31" bestFit="1" customWidth="1"/>
    <col min="1314" max="1314" width="27" style="31" bestFit="1" customWidth="1"/>
    <col min="1315" max="1315" width="23.42578125" style="31" bestFit="1" customWidth="1"/>
    <col min="1316" max="1317" width="31.42578125" style="31" bestFit="1" customWidth="1"/>
    <col min="1318" max="1318" width="31.42578125" style="31" customWidth="1"/>
    <col min="1319" max="1319" width="52.28515625" style="31" customWidth="1"/>
    <col min="1320" max="1320" width="31.42578125" style="31" customWidth="1"/>
    <col min="1321" max="1321" width="26.42578125" style="31" bestFit="1" customWidth="1"/>
    <col min="1322" max="1322" width="29.28515625" style="31" customWidth="1"/>
    <col min="1323" max="1323" width="30.28515625" style="31" customWidth="1"/>
    <col min="1324" max="1324" width="39" style="31" bestFit="1" customWidth="1"/>
    <col min="1325" max="1504" width="9.140625" style="31"/>
    <col min="1505" max="1505" width="17.5703125" style="31" bestFit="1" customWidth="1"/>
    <col min="1506" max="1506" width="25.7109375" style="31" bestFit="1" customWidth="1"/>
    <col min="1507" max="1507" width="22.140625" style="31" bestFit="1" customWidth="1"/>
    <col min="1508" max="1508" width="18.42578125" style="31" bestFit="1" customWidth="1"/>
    <col min="1509" max="1509" width="19.140625" style="31" bestFit="1" customWidth="1"/>
    <col min="1510" max="1510" width="18.42578125" style="31" bestFit="1" customWidth="1"/>
    <col min="1511" max="1511" width="26.42578125" style="31" bestFit="1" customWidth="1"/>
    <col min="1512" max="1512" width="23.85546875" style="31" bestFit="1" customWidth="1"/>
    <col min="1513" max="1513" width="21.42578125" style="31" bestFit="1" customWidth="1"/>
    <col min="1514" max="1514" width="16" style="31" bestFit="1" customWidth="1"/>
    <col min="1515" max="1516" width="23" style="31" customWidth="1"/>
    <col min="1517" max="1517" width="29.28515625" style="31" customWidth="1"/>
    <col min="1518" max="1518" width="30.28515625" style="31" customWidth="1"/>
    <col min="1519" max="1519" width="24.140625" style="31" customWidth="1"/>
    <col min="1520" max="1521" width="23.85546875" style="31" customWidth="1"/>
    <col min="1522" max="1522" width="30.28515625" style="31" customWidth="1"/>
    <col min="1523" max="1528" width="12.7109375" style="31" customWidth="1"/>
    <col min="1529" max="1529" width="33.140625" style="31" customWidth="1"/>
    <col min="1530" max="1530" width="31.5703125" style="31" customWidth="1"/>
    <col min="1531" max="1531" width="33.28515625" style="31" customWidth="1"/>
    <col min="1532" max="1532" width="31.7109375" style="31" customWidth="1"/>
    <col min="1533" max="1533" width="20" style="31" customWidth="1"/>
    <col min="1534" max="1534" width="19.28515625" style="31" bestFit="1" customWidth="1"/>
    <col min="1535" max="1535" width="19.7109375" style="31" bestFit="1" customWidth="1"/>
    <col min="1536" max="1536" width="33.28515625" style="31" bestFit="1" customWidth="1"/>
    <col min="1537" max="1537" width="24.140625" style="31" bestFit="1" customWidth="1"/>
    <col min="1538" max="1538" width="25.28515625" style="31" customWidth="1"/>
    <col min="1539" max="1539" width="24.42578125" style="31" customWidth="1"/>
    <col min="1540" max="1540" width="13.85546875" style="31" bestFit="1" customWidth="1"/>
    <col min="1541" max="1541" width="18.7109375" style="31" bestFit="1" customWidth="1"/>
    <col min="1542" max="1542" width="24.7109375" style="31" bestFit="1" customWidth="1"/>
    <col min="1543" max="1544" width="27.140625" style="31" bestFit="1" customWidth="1"/>
    <col min="1545" max="1545" width="24.7109375" style="31" bestFit="1" customWidth="1"/>
    <col min="1546" max="1548" width="22.42578125" style="31" bestFit="1" customWidth="1"/>
    <col min="1549" max="1549" width="24" style="31" bestFit="1" customWidth="1"/>
    <col min="1550" max="1551" width="41.140625" style="31" bestFit="1" customWidth="1"/>
    <col min="1552" max="1552" width="77.42578125" style="31" bestFit="1" customWidth="1"/>
    <col min="1553" max="1553" width="110.28515625" style="31" bestFit="1" customWidth="1"/>
    <col min="1554" max="1554" width="108.140625" style="31" bestFit="1" customWidth="1"/>
    <col min="1555" max="1555" width="38.28515625" style="31" bestFit="1" customWidth="1"/>
    <col min="1556" max="1556" width="38.7109375" style="31" bestFit="1" customWidth="1"/>
    <col min="1557" max="1557" width="38.28515625" style="31" bestFit="1" customWidth="1"/>
    <col min="1558" max="1558" width="38.7109375" style="31" bestFit="1" customWidth="1"/>
    <col min="1559" max="1559" width="38.28515625" style="31" bestFit="1" customWidth="1"/>
    <col min="1560" max="1560" width="38.7109375" style="31" bestFit="1" customWidth="1"/>
    <col min="1561" max="1561" width="22.85546875" style="31" bestFit="1" customWidth="1"/>
    <col min="1562" max="1562" width="31.85546875" style="31" customWidth="1"/>
    <col min="1563" max="1563" width="28" style="31" bestFit="1" customWidth="1"/>
    <col min="1564" max="1564" width="20.7109375" style="31" bestFit="1" customWidth="1"/>
    <col min="1565" max="1565" width="26.7109375" style="31" bestFit="1" customWidth="1"/>
    <col min="1566" max="1566" width="26.85546875" style="31" bestFit="1" customWidth="1"/>
    <col min="1567" max="1567" width="26.7109375" style="31" bestFit="1" customWidth="1"/>
    <col min="1568" max="1568" width="26.85546875" style="31" bestFit="1" customWidth="1"/>
    <col min="1569" max="1569" width="28.85546875" style="31" bestFit="1" customWidth="1"/>
    <col min="1570" max="1570" width="27" style="31" bestFit="1" customWidth="1"/>
    <col min="1571" max="1571" width="23.42578125" style="31" bestFit="1" customWidth="1"/>
    <col min="1572" max="1573" width="31.42578125" style="31" bestFit="1" customWidth="1"/>
    <col min="1574" max="1574" width="31.42578125" style="31" customWidth="1"/>
    <col min="1575" max="1575" width="52.28515625" style="31" customWidth="1"/>
    <col min="1576" max="1576" width="31.42578125" style="31" customWidth="1"/>
    <col min="1577" max="1577" width="26.42578125" style="31" bestFit="1" customWidth="1"/>
    <col min="1578" max="1578" width="29.28515625" style="31" customWidth="1"/>
    <col min="1579" max="1579" width="30.28515625" style="31" customWidth="1"/>
    <col min="1580" max="1580" width="39" style="31" bestFit="1" customWidth="1"/>
    <col min="1581" max="1760" width="9.140625" style="31"/>
    <col min="1761" max="1761" width="17.5703125" style="31" bestFit="1" customWidth="1"/>
    <col min="1762" max="1762" width="25.7109375" style="31" bestFit="1" customWidth="1"/>
    <col min="1763" max="1763" width="22.140625" style="31" bestFit="1" customWidth="1"/>
    <col min="1764" max="1764" width="18.42578125" style="31" bestFit="1" customWidth="1"/>
    <col min="1765" max="1765" width="19.140625" style="31" bestFit="1" customWidth="1"/>
    <col min="1766" max="1766" width="18.42578125" style="31" bestFit="1" customWidth="1"/>
    <col min="1767" max="1767" width="26.42578125" style="31" bestFit="1" customWidth="1"/>
    <col min="1768" max="1768" width="23.85546875" style="31" bestFit="1" customWidth="1"/>
    <col min="1769" max="1769" width="21.42578125" style="31" bestFit="1" customWidth="1"/>
    <col min="1770" max="1770" width="16" style="31" bestFit="1" customWidth="1"/>
    <col min="1771" max="1772" width="23" style="31" customWidth="1"/>
    <col min="1773" max="1773" width="29.28515625" style="31" customWidth="1"/>
    <col min="1774" max="1774" width="30.28515625" style="31" customWidth="1"/>
    <col min="1775" max="1775" width="24.140625" style="31" customWidth="1"/>
    <col min="1776" max="1777" width="23.85546875" style="31" customWidth="1"/>
    <col min="1778" max="1778" width="30.28515625" style="31" customWidth="1"/>
    <col min="1779" max="1784" width="12.7109375" style="31" customWidth="1"/>
    <col min="1785" max="1785" width="33.140625" style="31" customWidth="1"/>
    <col min="1786" max="1786" width="31.5703125" style="31" customWidth="1"/>
    <col min="1787" max="1787" width="33.28515625" style="31" customWidth="1"/>
    <col min="1788" max="1788" width="31.7109375" style="31" customWidth="1"/>
    <col min="1789" max="1789" width="20" style="31" customWidth="1"/>
    <col min="1790" max="1790" width="19.28515625" style="31" bestFit="1" customWidth="1"/>
    <col min="1791" max="1791" width="19.7109375" style="31" bestFit="1" customWidth="1"/>
    <col min="1792" max="1792" width="33.28515625" style="31" bestFit="1" customWidth="1"/>
    <col min="1793" max="1793" width="24.140625" style="31" bestFit="1" customWidth="1"/>
    <col min="1794" max="1794" width="25.28515625" style="31" customWidth="1"/>
    <col min="1795" max="1795" width="24.42578125" style="31" customWidth="1"/>
    <col min="1796" max="1796" width="13.85546875" style="31" bestFit="1" customWidth="1"/>
    <col min="1797" max="1797" width="18.7109375" style="31" bestFit="1" customWidth="1"/>
    <col min="1798" max="1798" width="24.7109375" style="31" bestFit="1" customWidth="1"/>
    <col min="1799" max="1800" width="27.140625" style="31" bestFit="1" customWidth="1"/>
    <col min="1801" max="1801" width="24.7109375" style="31" bestFit="1" customWidth="1"/>
    <col min="1802" max="1804" width="22.42578125" style="31" bestFit="1" customWidth="1"/>
    <col min="1805" max="1805" width="24" style="31" bestFit="1" customWidth="1"/>
    <col min="1806" max="1807" width="41.140625" style="31" bestFit="1" customWidth="1"/>
    <col min="1808" max="1808" width="77.42578125" style="31" bestFit="1" customWidth="1"/>
    <col min="1809" max="1809" width="110.28515625" style="31" bestFit="1" customWidth="1"/>
    <col min="1810" max="1810" width="108.140625" style="31" bestFit="1" customWidth="1"/>
    <col min="1811" max="1811" width="38.28515625" style="31" bestFit="1" customWidth="1"/>
    <col min="1812" max="1812" width="38.7109375" style="31" bestFit="1" customWidth="1"/>
    <col min="1813" max="1813" width="38.28515625" style="31" bestFit="1" customWidth="1"/>
    <col min="1814" max="1814" width="38.7109375" style="31" bestFit="1" customWidth="1"/>
    <col min="1815" max="1815" width="38.28515625" style="31" bestFit="1" customWidth="1"/>
    <col min="1816" max="1816" width="38.7109375" style="31" bestFit="1" customWidth="1"/>
    <col min="1817" max="1817" width="22.85546875" style="31" bestFit="1" customWidth="1"/>
    <col min="1818" max="1818" width="31.85546875" style="31" customWidth="1"/>
    <col min="1819" max="1819" width="28" style="31" bestFit="1" customWidth="1"/>
    <col min="1820" max="1820" width="20.7109375" style="31" bestFit="1" customWidth="1"/>
    <col min="1821" max="1821" width="26.7109375" style="31" bestFit="1" customWidth="1"/>
    <col min="1822" max="1822" width="26.85546875" style="31" bestFit="1" customWidth="1"/>
    <col min="1823" max="1823" width="26.7109375" style="31" bestFit="1" customWidth="1"/>
    <col min="1824" max="1824" width="26.85546875" style="31" bestFit="1" customWidth="1"/>
    <col min="1825" max="1825" width="28.85546875" style="31" bestFit="1" customWidth="1"/>
    <col min="1826" max="1826" width="27" style="31" bestFit="1" customWidth="1"/>
    <col min="1827" max="1827" width="23.42578125" style="31" bestFit="1" customWidth="1"/>
    <col min="1828" max="1829" width="31.42578125" style="31" bestFit="1" customWidth="1"/>
    <col min="1830" max="1830" width="31.42578125" style="31" customWidth="1"/>
    <col min="1831" max="1831" width="52.28515625" style="31" customWidth="1"/>
    <col min="1832" max="1832" width="31.42578125" style="31" customWidth="1"/>
    <col min="1833" max="1833" width="26.42578125" style="31" bestFit="1" customWidth="1"/>
    <col min="1834" max="1834" width="29.28515625" style="31" customWidth="1"/>
    <col min="1835" max="1835" width="30.28515625" style="31" customWidth="1"/>
    <col min="1836" max="1836" width="39" style="31" bestFit="1" customWidth="1"/>
    <col min="1837" max="2016" width="9.140625" style="31"/>
    <col min="2017" max="2017" width="17.5703125" style="31" bestFit="1" customWidth="1"/>
    <col min="2018" max="2018" width="25.7109375" style="31" bestFit="1" customWidth="1"/>
    <col min="2019" max="2019" width="22.140625" style="31" bestFit="1" customWidth="1"/>
    <col min="2020" max="2020" width="18.42578125" style="31" bestFit="1" customWidth="1"/>
    <col min="2021" max="2021" width="19.140625" style="31" bestFit="1" customWidth="1"/>
    <col min="2022" max="2022" width="18.42578125" style="31" bestFit="1" customWidth="1"/>
    <col min="2023" max="2023" width="26.42578125" style="31" bestFit="1" customWidth="1"/>
    <col min="2024" max="2024" width="23.85546875" style="31" bestFit="1" customWidth="1"/>
    <col min="2025" max="2025" width="21.42578125" style="31" bestFit="1" customWidth="1"/>
    <col min="2026" max="2026" width="16" style="31" bestFit="1" customWidth="1"/>
    <col min="2027" max="2028" width="23" style="31" customWidth="1"/>
    <col min="2029" max="2029" width="29.28515625" style="31" customWidth="1"/>
    <col min="2030" max="2030" width="30.28515625" style="31" customWidth="1"/>
    <col min="2031" max="2031" width="24.140625" style="31" customWidth="1"/>
    <col min="2032" max="2033" width="23.85546875" style="31" customWidth="1"/>
    <col min="2034" max="2034" width="30.28515625" style="31" customWidth="1"/>
    <col min="2035" max="2040" width="12.7109375" style="31" customWidth="1"/>
    <col min="2041" max="2041" width="33.140625" style="31" customWidth="1"/>
    <col min="2042" max="2042" width="31.5703125" style="31" customWidth="1"/>
    <col min="2043" max="2043" width="33.28515625" style="31" customWidth="1"/>
    <col min="2044" max="2044" width="31.7109375" style="31" customWidth="1"/>
    <col min="2045" max="2045" width="20" style="31" customWidth="1"/>
    <col min="2046" max="2046" width="19.28515625" style="31" bestFit="1" customWidth="1"/>
    <col min="2047" max="2047" width="19.7109375" style="31" bestFit="1" customWidth="1"/>
    <col min="2048" max="2048" width="33.28515625" style="31" bestFit="1" customWidth="1"/>
    <col min="2049" max="2049" width="24.140625" style="31" bestFit="1" customWidth="1"/>
    <col min="2050" max="2050" width="25.28515625" style="31" customWidth="1"/>
    <col min="2051" max="2051" width="24.42578125" style="31" customWidth="1"/>
    <col min="2052" max="2052" width="13.85546875" style="31" bestFit="1" customWidth="1"/>
    <col min="2053" max="2053" width="18.7109375" style="31" bestFit="1" customWidth="1"/>
    <col min="2054" max="2054" width="24.7109375" style="31" bestFit="1" customWidth="1"/>
    <col min="2055" max="2056" width="27.140625" style="31" bestFit="1" customWidth="1"/>
    <col min="2057" max="2057" width="24.7109375" style="31" bestFit="1" customWidth="1"/>
    <col min="2058" max="2060" width="22.42578125" style="31" bestFit="1" customWidth="1"/>
    <col min="2061" max="2061" width="24" style="31" bestFit="1" customWidth="1"/>
    <col min="2062" max="2063" width="41.140625" style="31" bestFit="1" customWidth="1"/>
    <col min="2064" max="2064" width="77.42578125" style="31" bestFit="1" customWidth="1"/>
    <col min="2065" max="2065" width="110.28515625" style="31" bestFit="1" customWidth="1"/>
    <col min="2066" max="2066" width="108.140625" style="31" bestFit="1" customWidth="1"/>
    <col min="2067" max="2067" width="38.28515625" style="31" bestFit="1" customWidth="1"/>
    <col min="2068" max="2068" width="38.7109375" style="31" bestFit="1" customWidth="1"/>
    <col min="2069" max="2069" width="38.28515625" style="31" bestFit="1" customWidth="1"/>
    <col min="2070" max="2070" width="38.7109375" style="31" bestFit="1" customWidth="1"/>
    <col min="2071" max="2071" width="38.28515625" style="31" bestFit="1" customWidth="1"/>
    <col min="2072" max="2072" width="38.7109375" style="31" bestFit="1" customWidth="1"/>
    <col min="2073" max="2073" width="22.85546875" style="31" bestFit="1" customWidth="1"/>
    <col min="2074" max="2074" width="31.85546875" style="31" customWidth="1"/>
    <col min="2075" max="2075" width="28" style="31" bestFit="1" customWidth="1"/>
    <col min="2076" max="2076" width="20.7109375" style="31" bestFit="1" customWidth="1"/>
    <col min="2077" max="2077" width="26.7109375" style="31" bestFit="1" customWidth="1"/>
    <col min="2078" max="2078" width="26.85546875" style="31" bestFit="1" customWidth="1"/>
    <col min="2079" max="2079" width="26.7109375" style="31" bestFit="1" customWidth="1"/>
    <col min="2080" max="2080" width="26.85546875" style="31" bestFit="1" customWidth="1"/>
    <col min="2081" max="2081" width="28.85546875" style="31" bestFit="1" customWidth="1"/>
    <col min="2082" max="2082" width="27" style="31" bestFit="1" customWidth="1"/>
    <col min="2083" max="2083" width="23.42578125" style="31" bestFit="1" customWidth="1"/>
    <col min="2084" max="2085" width="31.42578125" style="31" bestFit="1" customWidth="1"/>
    <col min="2086" max="2086" width="31.42578125" style="31" customWidth="1"/>
    <col min="2087" max="2087" width="52.28515625" style="31" customWidth="1"/>
    <col min="2088" max="2088" width="31.42578125" style="31" customWidth="1"/>
    <col min="2089" max="2089" width="26.42578125" style="31" bestFit="1" customWidth="1"/>
    <col min="2090" max="2090" width="29.28515625" style="31" customWidth="1"/>
    <col min="2091" max="2091" width="30.28515625" style="31" customWidth="1"/>
    <col min="2092" max="2092" width="39" style="31" bestFit="1" customWidth="1"/>
    <col min="2093" max="2272" width="9.140625" style="31"/>
    <col min="2273" max="2273" width="17.5703125" style="31" bestFit="1" customWidth="1"/>
    <col min="2274" max="2274" width="25.7109375" style="31" bestFit="1" customWidth="1"/>
    <col min="2275" max="2275" width="22.140625" style="31" bestFit="1" customWidth="1"/>
    <col min="2276" max="2276" width="18.42578125" style="31" bestFit="1" customWidth="1"/>
    <col min="2277" max="2277" width="19.140625" style="31" bestFit="1" customWidth="1"/>
    <col min="2278" max="2278" width="18.42578125" style="31" bestFit="1" customWidth="1"/>
    <col min="2279" max="2279" width="26.42578125" style="31" bestFit="1" customWidth="1"/>
    <col min="2280" max="2280" width="23.85546875" style="31" bestFit="1" customWidth="1"/>
    <col min="2281" max="2281" width="21.42578125" style="31" bestFit="1" customWidth="1"/>
    <col min="2282" max="2282" width="16" style="31" bestFit="1" customWidth="1"/>
    <col min="2283" max="2284" width="23" style="31" customWidth="1"/>
    <col min="2285" max="2285" width="29.28515625" style="31" customWidth="1"/>
    <col min="2286" max="2286" width="30.28515625" style="31" customWidth="1"/>
    <col min="2287" max="2287" width="24.140625" style="31" customWidth="1"/>
    <col min="2288" max="2289" width="23.85546875" style="31" customWidth="1"/>
    <col min="2290" max="2290" width="30.28515625" style="31" customWidth="1"/>
    <col min="2291" max="2296" width="12.7109375" style="31" customWidth="1"/>
    <col min="2297" max="2297" width="33.140625" style="31" customWidth="1"/>
    <col min="2298" max="2298" width="31.5703125" style="31" customWidth="1"/>
    <col min="2299" max="2299" width="33.28515625" style="31" customWidth="1"/>
    <col min="2300" max="2300" width="31.7109375" style="31" customWidth="1"/>
    <col min="2301" max="2301" width="20" style="31" customWidth="1"/>
    <col min="2302" max="2302" width="19.28515625" style="31" bestFit="1" customWidth="1"/>
    <col min="2303" max="2303" width="19.7109375" style="31" bestFit="1" customWidth="1"/>
    <col min="2304" max="2304" width="33.28515625" style="31" bestFit="1" customWidth="1"/>
    <col min="2305" max="2305" width="24.140625" style="31" bestFit="1" customWidth="1"/>
    <col min="2306" max="2306" width="25.28515625" style="31" customWidth="1"/>
    <col min="2307" max="2307" width="24.42578125" style="31" customWidth="1"/>
    <col min="2308" max="2308" width="13.85546875" style="31" bestFit="1" customWidth="1"/>
    <col min="2309" max="2309" width="18.7109375" style="31" bestFit="1" customWidth="1"/>
    <col min="2310" max="2310" width="24.7109375" style="31" bestFit="1" customWidth="1"/>
    <col min="2311" max="2312" width="27.140625" style="31" bestFit="1" customWidth="1"/>
    <col min="2313" max="2313" width="24.7109375" style="31" bestFit="1" customWidth="1"/>
    <col min="2314" max="2316" width="22.42578125" style="31" bestFit="1" customWidth="1"/>
    <col min="2317" max="2317" width="24" style="31" bestFit="1" customWidth="1"/>
    <col min="2318" max="2319" width="41.140625" style="31" bestFit="1" customWidth="1"/>
    <col min="2320" max="2320" width="77.42578125" style="31" bestFit="1" customWidth="1"/>
    <col min="2321" max="2321" width="110.28515625" style="31" bestFit="1" customWidth="1"/>
    <col min="2322" max="2322" width="108.140625" style="31" bestFit="1" customWidth="1"/>
    <col min="2323" max="2323" width="38.28515625" style="31" bestFit="1" customWidth="1"/>
    <col min="2324" max="2324" width="38.7109375" style="31" bestFit="1" customWidth="1"/>
    <col min="2325" max="2325" width="38.28515625" style="31" bestFit="1" customWidth="1"/>
    <col min="2326" max="2326" width="38.7109375" style="31" bestFit="1" customWidth="1"/>
    <col min="2327" max="2327" width="38.28515625" style="31" bestFit="1" customWidth="1"/>
    <col min="2328" max="2328" width="38.7109375" style="31" bestFit="1" customWidth="1"/>
    <col min="2329" max="2329" width="22.85546875" style="31" bestFit="1" customWidth="1"/>
    <col min="2330" max="2330" width="31.85546875" style="31" customWidth="1"/>
    <col min="2331" max="2331" width="28" style="31" bestFit="1" customWidth="1"/>
    <col min="2332" max="2332" width="20.7109375" style="31" bestFit="1" customWidth="1"/>
    <col min="2333" max="2333" width="26.7109375" style="31" bestFit="1" customWidth="1"/>
    <col min="2334" max="2334" width="26.85546875" style="31" bestFit="1" customWidth="1"/>
    <col min="2335" max="2335" width="26.7109375" style="31" bestFit="1" customWidth="1"/>
    <col min="2336" max="2336" width="26.85546875" style="31" bestFit="1" customWidth="1"/>
    <col min="2337" max="2337" width="28.85546875" style="31" bestFit="1" customWidth="1"/>
    <col min="2338" max="2338" width="27" style="31" bestFit="1" customWidth="1"/>
    <col min="2339" max="2339" width="23.42578125" style="31" bestFit="1" customWidth="1"/>
    <col min="2340" max="2341" width="31.42578125" style="31" bestFit="1" customWidth="1"/>
    <col min="2342" max="2342" width="31.42578125" style="31" customWidth="1"/>
    <col min="2343" max="2343" width="52.28515625" style="31" customWidth="1"/>
    <col min="2344" max="2344" width="31.42578125" style="31" customWidth="1"/>
    <col min="2345" max="2345" width="26.42578125" style="31" bestFit="1" customWidth="1"/>
    <col min="2346" max="2346" width="29.28515625" style="31" customWidth="1"/>
    <col min="2347" max="2347" width="30.28515625" style="31" customWidth="1"/>
    <col min="2348" max="2348" width="39" style="31" bestFit="1" customWidth="1"/>
    <col min="2349" max="2528" width="9.140625" style="31"/>
    <col min="2529" max="2529" width="17.5703125" style="31" bestFit="1" customWidth="1"/>
    <col min="2530" max="2530" width="25.7109375" style="31" bestFit="1" customWidth="1"/>
    <col min="2531" max="2531" width="22.140625" style="31" bestFit="1" customWidth="1"/>
    <col min="2532" max="2532" width="18.42578125" style="31" bestFit="1" customWidth="1"/>
    <col min="2533" max="2533" width="19.140625" style="31" bestFit="1" customWidth="1"/>
    <col min="2534" max="2534" width="18.42578125" style="31" bestFit="1" customWidth="1"/>
    <col min="2535" max="2535" width="26.42578125" style="31" bestFit="1" customWidth="1"/>
    <col min="2536" max="2536" width="23.85546875" style="31" bestFit="1" customWidth="1"/>
    <col min="2537" max="2537" width="21.42578125" style="31" bestFit="1" customWidth="1"/>
    <col min="2538" max="2538" width="16" style="31" bestFit="1" customWidth="1"/>
    <col min="2539" max="2540" width="23" style="31" customWidth="1"/>
    <col min="2541" max="2541" width="29.28515625" style="31" customWidth="1"/>
    <col min="2542" max="2542" width="30.28515625" style="31" customWidth="1"/>
    <col min="2543" max="2543" width="24.140625" style="31" customWidth="1"/>
    <col min="2544" max="2545" width="23.85546875" style="31" customWidth="1"/>
    <col min="2546" max="2546" width="30.28515625" style="31" customWidth="1"/>
    <col min="2547" max="2552" width="12.7109375" style="31" customWidth="1"/>
    <col min="2553" max="2553" width="33.140625" style="31" customWidth="1"/>
    <col min="2554" max="2554" width="31.5703125" style="31" customWidth="1"/>
    <col min="2555" max="2555" width="33.28515625" style="31" customWidth="1"/>
    <col min="2556" max="2556" width="31.7109375" style="31" customWidth="1"/>
    <col min="2557" max="2557" width="20" style="31" customWidth="1"/>
    <col min="2558" max="2558" width="19.28515625" style="31" bestFit="1" customWidth="1"/>
    <col min="2559" max="2559" width="19.7109375" style="31" bestFit="1" customWidth="1"/>
    <col min="2560" max="2560" width="33.28515625" style="31" bestFit="1" customWidth="1"/>
    <col min="2561" max="2561" width="24.140625" style="31" bestFit="1" customWidth="1"/>
    <col min="2562" max="2562" width="25.28515625" style="31" customWidth="1"/>
    <col min="2563" max="2563" width="24.42578125" style="31" customWidth="1"/>
    <col min="2564" max="2564" width="13.85546875" style="31" bestFit="1" customWidth="1"/>
    <col min="2565" max="2565" width="18.7109375" style="31" bestFit="1" customWidth="1"/>
    <col min="2566" max="2566" width="24.7109375" style="31" bestFit="1" customWidth="1"/>
    <col min="2567" max="2568" width="27.140625" style="31" bestFit="1" customWidth="1"/>
    <col min="2569" max="2569" width="24.7109375" style="31" bestFit="1" customWidth="1"/>
    <col min="2570" max="2572" width="22.42578125" style="31" bestFit="1" customWidth="1"/>
    <col min="2573" max="2573" width="24" style="31" bestFit="1" customWidth="1"/>
    <col min="2574" max="2575" width="41.140625" style="31" bestFit="1" customWidth="1"/>
    <col min="2576" max="2576" width="77.42578125" style="31" bestFit="1" customWidth="1"/>
    <col min="2577" max="2577" width="110.28515625" style="31" bestFit="1" customWidth="1"/>
    <col min="2578" max="2578" width="108.140625" style="31" bestFit="1" customWidth="1"/>
    <col min="2579" max="2579" width="38.28515625" style="31" bestFit="1" customWidth="1"/>
    <col min="2580" max="2580" width="38.7109375" style="31" bestFit="1" customWidth="1"/>
    <col min="2581" max="2581" width="38.28515625" style="31" bestFit="1" customWidth="1"/>
    <col min="2582" max="2582" width="38.7109375" style="31" bestFit="1" customWidth="1"/>
    <col min="2583" max="2583" width="38.28515625" style="31" bestFit="1" customWidth="1"/>
    <col min="2584" max="2584" width="38.7109375" style="31" bestFit="1" customWidth="1"/>
    <col min="2585" max="2585" width="22.85546875" style="31" bestFit="1" customWidth="1"/>
    <col min="2586" max="2586" width="31.85546875" style="31" customWidth="1"/>
    <col min="2587" max="2587" width="28" style="31" bestFit="1" customWidth="1"/>
    <col min="2588" max="2588" width="20.7109375" style="31" bestFit="1" customWidth="1"/>
    <col min="2589" max="2589" width="26.7109375" style="31" bestFit="1" customWidth="1"/>
    <col min="2590" max="2590" width="26.85546875" style="31" bestFit="1" customWidth="1"/>
    <col min="2591" max="2591" width="26.7109375" style="31" bestFit="1" customWidth="1"/>
    <col min="2592" max="2592" width="26.85546875" style="31" bestFit="1" customWidth="1"/>
    <col min="2593" max="2593" width="28.85546875" style="31" bestFit="1" customWidth="1"/>
    <col min="2594" max="2594" width="27" style="31" bestFit="1" customWidth="1"/>
    <col min="2595" max="2595" width="23.42578125" style="31" bestFit="1" customWidth="1"/>
    <col min="2596" max="2597" width="31.42578125" style="31" bestFit="1" customWidth="1"/>
    <col min="2598" max="2598" width="31.42578125" style="31" customWidth="1"/>
    <col min="2599" max="2599" width="52.28515625" style="31" customWidth="1"/>
    <col min="2600" max="2600" width="31.42578125" style="31" customWidth="1"/>
    <col min="2601" max="2601" width="26.42578125" style="31" bestFit="1" customWidth="1"/>
    <col min="2602" max="2602" width="29.28515625" style="31" customWidth="1"/>
    <col min="2603" max="2603" width="30.28515625" style="31" customWidth="1"/>
    <col min="2604" max="2604" width="39" style="31" bestFit="1" customWidth="1"/>
    <col min="2605" max="2784" width="9.140625" style="31"/>
    <col min="2785" max="2785" width="17.5703125" style="31" bestFit="1" customWidth="1"/>
    <col min="2786" max="2786" width="25.7109375" style="31" bestFit="1" customWidth="1"/>
    <col min="2787" max="2787" width="22.140625" style="31" bestFit="1" customWidth="1"/>
    <col min="2788" max="2788" width="18.42578125" style="31" bestFit="1" customWidth="1"/>
    <col min="2789" max="2789" width="19.140625" style="31" bestFit="1" customWidth="1"/>
    <col min="2790" max="2790" width="18.42578125" style="31" bestFit="1" customWidth="1"/>
    <col min="2791" max="2791" width="26.42578125" style="31" bestFit="1" customWidth="1"/>
    <col min="2792" max="2792" width="23.85546875" style="31" bestFit="1" customWidth="1"/>
    <col min="2793" max="2793" width="21.42578125" style="31" bestFit="1" customWidth="1"/>
    <col min="2794" max="2794" width="16" style="31" bestFit="1" customWidth="1"/>
    <col min="2795" max="2796" width="23" style="31" customWidth="1"/>
    <col min="2797" max="2797" width="29.28515625" style="31" customWidth="1"/>
    <col min="2798" max="2798" width="30.28515625" style="31" customWidth="1"/>
    <col min="2799" max="2799" width="24.140625" style="31" customWidth="1"/>
    <col min="2800" max="2801" width="23.85546875" style="31" customWidth="1"/>
    <col min="2802" max="2802" width="30.28515625" style="31" customWidth="1"/>
    <col min="2803" max="2808" width="12.7109375" style="31" customWidth="1"/>
    <col min="2809" max="2809" width="33.140625" style="31" customWidth="1"/>
    <col min="2810" max="2810" width="31.5703125" style="31" customWidth="1"/>
    <col min="2811" max="2811" width="33.28515625" style="31" customWidth="1"/>
    <col min="2812" max="2812" width="31.7109375" style="31" customWidth="1"/>
    <col min="2813" max="2813" width="20" style="31" customWidth="1"/>
    <col min="2814" max="2814" width="19.28515625" style="31" bestFit="1" customWidth="1"/>
    <col min="2815" max="2815" width="19.7109375" style="31" bestFit="1" customWidth="1"/>
    <col min="2816" max="2816" width="33.28515625" style="31" bestFit="1" customWidth="1"/>
    <col min="2817" max="2817" width="24.140625" style="31" bestFit="1" customWidth="1"/>
    <col min="2818" max="2818" width="25.28515625" style="31" customWidth="1"/>
    <col min="2819" max="2819" width="24.42578125" style="31" customWidth="1"/>
    <col min="2820" max="2820" width="13.85546875" style="31" bestFit="1" customWidth="1"/>
    <col min="2821" max="2821" width="18.7109375" style="31" bestFit="1" customWidth="1"/>
    <col min="2822" max="2822" width="24.7109375" style="31" bestFit="1" customWidth="1"/>
    <col min="2823" max="2824" width="27.140625" style="31" bestFit="1" customWidth="1"/>
    <col min="2825" max="2825" width="24.7109375" style="31" bestFit="1" customWidth="1"/>
    <col min="2826" max="2828" width="22.42578125" style="31" bestFit="1" customWidth="1"/>
    <col min="2829" max="2829" width="24" style="31" bestFit="1" customWidth="1"/>
    <col min="2830" max="2831" width="41.140625" style="31" bestFit="1" customWidth="1"/>
    <col min="2832" max="2832" width="77.42578125" style="31" bestFit="1" customWidth="1"/>
    <col min="2833" max="2833" width="110.28515625" style="31" bestFit="1" customWidth="1"/>
    <col min="2834" max="2834" width="108.140625" style="31" bestFit="1" customWidth="1"/>
    <col min="2835" max="2835" width="38.28515625" style="31" bestFit="1" customWidth="1"/>
    <col min="2836" max="2836" width="38.7109375" style="31" bestFit="1" customWidth="1"/>
    <col min="2837" max="2837" width="38.28515625" style="31" bestFit="1" customWidth="1"/>
    <col min="2838" max="2838" width="38.7109375" style="31" bestFit="1" customWidth="1"/>
    <col min="2839" max="2839" width="38.28515625" style="31" bestFit="1" customWidth="1"/>
    <col min="2840" max="2840" width="38.7109375" style="31" bestFit="1" customWidth="1"/>
    <col min="2841" max="2841" width="22.85546875" style="31" bestFit="1" customWidth="1"/>
    <col min="2842" max="2842" width="31.85546875" style="31" customWidth="1"/>
    <col min="2843" max="2843" width="28" style="31" bestFit="1" customWidth="1"/>
    <col min="2844" max="2844" width="20.7109375" style="31" bestFit="1" customWidth="1"/>
    <col min="2845" max="2845" width="26.7109375" style="31" bestFit="1" customWidth="1"/>
    <col min="2846" max="2846" width="26.85546875" style="31" bestFit="1" customWidth="1"/>
    <col min="2847" max="2847" width="26.7109375" style="31" bestFit="1" customWidth="1"/>
    <col min="2848" max="2848" width="26.85546875" style="31" bestFit="1" customWidth="1"/>
    <col min="2849" max="2849" width="28.85546875" style="31" bestFit="1" customWidth="1"/>
    <col min="2850" max="2850" width="27" style="31" bestFit="1" customWidth="1"/>
    <col min="2851" max="2851" width="23.42578125" style="31" bestFit="1" customWidth="1"/>
    <col min="2852" max="2853" width="31.42578125" style="31" bestFit="1" customWidth="1"/>
    <col min="2854" max="2854" width="31.42578125" style="31" customWidth="1"/>
    <col min="2855" max="2855" width="52.28515625" style="31" customWidth="1"/>
    <col min="2856" max="2856" width="31.42578125" style="31" customWidth="1"/>
    <col min="2857" max="2857" width="26.42578125" style="31" bestFit="1" customWidth="1"/>
    <col min="2858" max="2858" width="29.28515625" style="31" customWidth="1"/>
    <col min="2859" max="2859" width="30.28515625" style="31" customWidth="1"/>
    <col min="2860" max="2860" width="39" style="31" bestFit="1" customWidth="1"/>
    <col min="2861" max="3040" width="9.140625" style="31"/>
    <col min="3041" max="3041" width="17.5703125" style="31" bestFit="1" customWidth="1"/>
    <col min="3042" max="3042" width="25.7109375" style="31" bestFit="1" customWidth="1"/>
    <col min="3043" max="3043" width="22.140625" style="31" bestFit="1" customWidth="1"/>
    <col min="3044" max="3044" width="18.42578125" style="31" bestFit="1" customWidth="1"/>
    <col min="3045" max="3045" width="19.140625" style="31" bestFit="1" customWidth="1"/>
    <col min="3046" max="3046" width="18.42578125" style="31" bestFit="1" customWidth="1"/>
    <col min="3047" max="3047" width="26.42578125" style="31" bestFit="1" customWidth="1"/>
    <col min="3048" max="3048" width="23.85546875" style="31" bestFit="1" customWidth="1"/>
    <col min="3049" max="3049" width="21.42578125" style="31" bestFit="1" customWidth="1"/>
    <col min="3050" max="3050" width="16" style="31" bestFit="1" customWidth="1"/>
    <col min="3051" max="3052" width="23" style="31" customWidth="1"/>
    <col min="3053" max="3053" width="29.28515625" style="31" customWidth="1"/>
    <col min="3054" max="3054" width="30.28515625" style="31" customWidth="1"/>
    <col min="3055" max="3055" width="24.140625" style="31" customWidth="1"/>
    <col min="3056" max="3057" width="23.85546875" style="31" customWidth="1"/>
    <col min="3058" max="3058" width="30.28515625" style="31" customWidth="1"/>
    <col min="3059" max="3064" width="12.7109375" style="31" customWidth="1"/>
    <col min="3065" max="3065" width="33.140625" style="31" customWidth="1"/>
    <col min="3066" max="3066" width="31.5703125" style="31" customWidth="1"/>
    <col min="3067" max="3067" width="33.28515625" style="31" customWidth="1"/>
    <col min="3068" max="3068" width="31.7109375" style="31" customWidth="1"/>
    <col min="3069" max="3069" width="20" style="31" customWidth="1"/>
    <col min="3070" max="3070" width="19.28515625" style="31" bestFit="1" customWidth="1"/>
    <col min="3071" max="3071" width="19.7109375" style="31" bestFit="1" customWidth="1"/>
    <col min="3072" max="3072" width="33.28515625" style="31" bestFit="1" customWidth="1"/>
    <col min="3073" max="3073" width="24.140625" style="31" bestFit="1" customWidth="1"/>
    <col min="3074" max="3074" width="25.28515625" style="31" customWidth="1"/>
    <col min="3075" max="3075" width="24.42578125" style="31" customWidth="1"/>
    <col min="3076" max="3076" width="13.85546875" style="31" bestFit="1" customWidth="1"/>
    <col min="3077" max="3077" width="18.7109375" style="31" bestFit="1" customWidth="1"/>
    <col min="3078" max="3078" width="24.7109375" style="31" bestFit="1" customWidth="1"/>
    <col min="3079" max="3080" width="27.140625" style="31" bestFit="1" customWidth="1"/>
    <col min="3081" max="3081" width="24.7109375" style="31" bestFit="1" customWidth="1"/>
    <col min="3082" max="3084" width="22.42578125" style="31" bestFit="1" customWidth="1"/>
    <col min="3085" max="3085" width="24" style="31" bestFit="1" customWidth="1"/>
    <col min="3086" max="3087" width="41.140625" style="31" bestFit="1" customWidth="1"/>
    <col min="3088" max="3088" width="77.42578125" style="31" bestFit="1" customWidth="1"/>
    <col min="3089" max="3089" width="110.28515625" style="31" bestFit="1" customWidth="1"/>
    <col min="3090" max="3090" width="108.140625" style="31" bestFit="1" customWidth="1"/>
    <col min="3091" max="3091" width="38.28515625" style="31" bestFit="1" customWidth="1"/>
    <col min="3092" max="3092" width="38.7109375" style="31" bestFit="1" customWidth="1"/>
    <col min="3093" max="3093" width="38.28515625" style="31" bestFit="1" customWidth="1"/>
    <col min="3094" max="3094" width="38.7109375" style="31" bestFit="1" customWidth="1"/>
    <col min="3095" max="3095" width="38.28515625" style="31" bestFit="1" customWidth="1"/>
    <col min="3096" max="3096" width="38.7109375" style="31" bestFit="1" customWidth="1"/>
    <col min="3097" max="3097" width="22.85546875" style="31" bestFit="1" customWidth="1"/>
    <col min="3098" max="3098" width="31.85546875" style="31" customWidth="1"/>
    <col min="3099" max="3099" width="28" style="31" bestFit="1" customWidth="1"/>
    <col min="3100" max="3100" width="20.7109375" style="31" bestFit="1" customWidth="1"/>
    <col min="3101" max="3101" width="26.7109375" style="31" bestFit="1" customWidth="1"/>
    <col min="3102" max="3102" width="26.85546875" style="31" bestFit="1" customWidth="1"/>
    <col min="3103" max="3103" width="26.7109375" style="31" bestFit="1" customWidth="1"/>
    <col min="3104" max="3104" width="26.85546875" style="31" bestFit="1" customWidth="1"/>
    <col min="3105" max="3105" width="28.85546875" style="31" bestFit="1" customWidth="1"/>
    <col min="3106" max="3106" width="27" style="31" bestFit="1" customWidth="1"/>
    <col min="3107" max="3107" width="23.42578125" style="31" bestFit="1" customWidth="1"/>
    <col min="3108" max="3109" width="31.42578125" style="31" bestFit="1" customWidth="1"/>
    <col min="3110" max="3110" width="31.42578125" style="31" customWidth="1"/>
    <col min="3111" max="3111" width="52.28515625" style="31" customWidth="1"/>
    <col min="3112" max="3112" width="31.42578125" style="31" customWidth="1"/>
    <col min="3113" max="3113" width="26.42578125" style="31" bestFit="1" customWidth="1"/>
    <col min="3114" max="3114" width="29.28515625" style="31" customWidth="1"/>
    <col min="3115" max="3115" width="30.28515625" style="31" customWidth="1"/>
    <col min="3116" max="3116" width="39" style="31" bestFit="1" customWidth="1"/>
    <col min="3117" max="3296" width="9.140625" style="31"/>
    <col min="3297" max="3297" width="17.5703125" style="31" bestFit="1" customWidth="1"/>
    <col min="3298" max="3298" width="25.7109375" style="31" bestFit="1" customWidth="1"/>
    <col min="3299" max="3299" width="22.140625" style="31" bestFit="1" customWidth="1"/>
    <col min="3300" max="3300" width="18.42578125" style="31" bestFit="1" customWidth="1"/>
    <col min="3301" max="3301" width="19.140625" style="31" bestFit="1" customWidth="1"/>
    <col min="3302" max="3302" width="18.42578125" style="31" bestFit="1" customWidth="1"/>
    <col min="3303" max="3303" width="26.42578125" style="31" bestFit="1" customWidth="1"/>
    <col min="3304" max="3304" width="23.85546875" style="31" bestFit="1" customWidth="1"/>
    <col min="3305" max="3305" width="21.42578125" style="31" bestFit="1" customWidth="1"/>
    <col min="3306" max="3306" width="16" style="31" bestFit="1" customWidth="1"/>
    <col min="3307" max="3308" width="23" style="31" customWidth="1"/>
    <col min="3309" max="3309" width="29.28515625" style="31" customWidth="1"/>
    <col min="3310" max="3310" width="30.28515625" style="31" customWidth="1"/>
    <col min="3311" max="3311" width="24.140625" style="31" customWidth="1"/>
    <col min="3312" max="3313" width="23.85546875" style="31" customWidth="1"/>
    <col min="3314" max="3314" width="30.28515625" style="31" customWidth="1"/>
    <col min="3315" max="3320" width="12.7109375" style="31" customWidth="1"/>
    <col min="3321" max="3321" width="33.140625" style="31" customWidth="1"/>
    <col min="3322" max="3322" width="31.5703125" style="31" customWidth="1"/>
    <col min="3323" max="3323" width="33.28515625" style="31" customWidth="1"/>
    <col min="3324" max="3324" width="31.7109375" style="31" customWidth="1"/>
    <col min="3325" max="3325" width="20" style="31" customWidth="1"/>
    <col min="3326" max="3326" width="19.28515625" style="31" bestFit="1" customWidth="1"/>
    <col min="3327" max="3327" width="19.7109375" style="31" bestFit="1" customWidth="1"/>
    <col min="3328" max="3328" width="33.28515625" style="31" bestFit="1" customWidth="1"/>
    <col min="3329" max="3329" width="24.140625" style="31" bestFit="1" customWidth="1"/>
    <col min="3330" max="3330" width="25.28515625" style="31" customWidth="1"/>
    <col min="3331" max="3331" width="24.42578125" style="31" customWidth="1"/>
    <col min="3332" max="3332" width="13.85546875" style="31" bestFit="1" customWidth="1"/>
    <col min="3333" max="3333" width="18.7109375" style="31" bestFit="1" customWidth="1"/>
    <col min="3334" max="3334" width="24.7109375" style="31" bestFit="1" customWidth="1"/>
    <col min="3335" max="3336" width="27.140625" style="31" bestFit="1" customWidth="1"/>
    <col min="3337" max="3337" width="24.7109375" style="31" bestFit="1" customWidth="1"/>
    <col min="3338" max="3340" width="22.42578125" style="31" bestFit="1" customWidth="1"/>
    <col min="3341" max="3341" width="24" style="31" bestFit="1" customWidth="1"/>
    <col min="3342" max="3343" width="41.140625" style="31" bestFit="1" customWidth="1"/>
    <col min="3344" max="3344" width="77.42578125" style="31" bestFit="1" customWidth="1"/>
    <col min="3345" max="3345" width="110.28515625" style="31" bestFit="1" customWidth="1"/>
    <col min="3346" max="3346" width="108.140625" style="31" bestFit="1" customWidth="1"/>
    <col min="3347" max="3347" width="38.28515625" style="31" bestFit="1" customWidth="1"/>
    <col min="3348" max="3348" width="38.7109375" style="31" bestFit="1" customWidth="1"/>
    <col min="3349" max="3349" width="38.28515625" style="31" bestFit="1" customWidth="1"/>
    <col min="3350" max="3350" width="38.7109375" style="31" bestFit="1" customWidth="1"/>
    <col min="3351" max="3351" width="38.28515625" style="31" bestFit="1" customWidth="1"/>
    <col min="3352" max="3352" width="38.7109375" style="31" bestFit="1" customWidth="1"/>
    <col min="3353" max="3353" width="22.85546875" style="31" bestFit="1" customWidth="1"/>
    <col min="3354" max="3354" width="31.85546875" style="31" customWidth="1"/>
    <col min="3355" max="3355" width="28" style="31" bestFit="1" customWidth="1"/>
    <col min="3356" max="3356" width="20.7109375" style="31" bestFit="1" customWidth="1"/>
    <col min="3357" max="3357" width="26.7109375" style="31" bestFit="1" customWidth="1"/>
    <col min="3358" max="3358" width="26.85546875" style="31" bestFit="1" customWidth="1"/>
    <col min="3359" max="3359" width="26.7109375" style="31" bestFit="1" customWidth="1"/>
    <col min="3360" max="3360" width="26.85546875" style="31" bestFit="1" customWidth="1"/>
    <col min="3361" max="3361" width="28.85546875" style="31" bestFit="1" customWidth="1"/>
    <col min="3362" max="3362" width="27" style="31" bestFit="1" customWidth="1"/>
    <col min="3363" max="3363" width="23.42578125" style="31" bestFit="1" customWidth="1"/>
    <col min="3364" max="3365" width="31.42578125" style="31" bestFit="1" customWidth="1"/>
    <col min="3366" max="3366" width="31.42578125" style="31" customWidth="1"/>
    <col min="3367" max="3367" width="52.28515625" style="31" customWidth="1"/>
    <col min="3368" max="3368" width="31.42578125" style="31" customWidth="1"/>
    <col min="3369" max="3369" width="26.42578125" style="31" bestFit="1" customWidth="1"/>
    <col min="3370" max="3370" width="29.28515625" style="31" customWidth="1"/>
    <col min="3371" max="3371" width="30.28515625" style="31" customWidth="1"/>
    <col min="3372" max="3372" width="39" style="31" bestFit="1" customWidth="1"/>
    <col min="3373" max="3552" width="9.140625" style="31"/>
    <col min="3553" max="3553" width="17.5703125" style="31" bestFit="1" customWidth="1"/>
    <col min="3554" max="3554" width="25.7109375" style="31" bestFit="1" customWidth="1"/>
    <col min="3555" max="3555" width="22.140625" style="31" bestFit="1" customWidth="1"/>
    <col min="3556" max="3556" width="18.42578125" style="31" bestFit="1" customWidth="1"/>
    <col min="3557" max="3557" width="19.140625" style="31" bestFit="1" customWidth="1"/>
    <col min="3558" max="3558" width="18.42578125" style="31" bestFit="1" customWidth="1"/>
    <col min="3559" max="3559" width="26.42578125" style="31" bestFit="1" customWidth="1"/>
    <col min="3560" max="3560" width="23.85546875" style="31" bestFit="1" customWidth="1"/>
    <col min="3561" max="3561" width="21.42578125" style="31" bestFit="1" customWidth="1"/>
    <col min="3562" max="3562" width="16" style="31" bestFit="1" customWidth="1"/>
    <col min="3563" max="3564" width="23" style="31" customWidth="1"/>
    <col min="3565" max="3565" width="29.28515625" style="31" customWidth="1"/>
    <col min="3566" max="3566" width="30.28515625" style="31" customWidth="1"/>
    <col min="3567" max="3567" width="24.140625" style="31" customWidth="1"/>
    <col min="3568" max="3569" width="23.85546875" style="31" customWidth="1"/>
    <col min="3570" max="3570" width="30.28515625" style="31" customWidth="1"/>
    <col min="3571" max="3576" width="12.7109375" style="31" customWidth="1"/>
    <col min="3577" max="3577" width="33.140625" style="31" customWidth="1"/>
    <col min="3578" max="3578" width="31.5703125" style="31" customWidth="1"/>
    <col min="3579" max="3579" width="33.28515625" style="31" customWidth="1"/>
    <col min="3580" max="3580" width="31.7109375" style="31" customWidth="1"/>
    <col min="3581" max="3581" width="20" style="31" customWidth="1"/>
    <col min="3582" max="3582" width="19.28515625" style="31" bestFit="1" customWidth="1"/>
    <col min="3583" max="3583" width="19.7109375" style="31" bestFit="1" customWidth="1"/>
    <col min="3584" max="3584" width="33.28515625" style="31" bestFit="1" customWidth="1"/>
    <col min="3585" max="3585" width="24.140625" style="31" bestFit="1" customWidth="1"/>
    <col min="3586" max="3586" width="25.28515625" style="31" customWidth="1"/>
    <col min="3587" max="3587" width="24.42578125" style="31" customWidth="1"/>
    <col min="3588" max="3588" width="13.85546875" style="31" bestFit="1" customWidth="1"/>
    <col min="3589" max="3589" width="18.7109375" style="31" bestFit="1" customWidth="1"/>
    <col min="3590" max="3590" width="24.7109375" style="31" bestFit="1" customWidth="1"/>
    <col min="3591" max="3592" width="27.140625" style="31" bestFit="1" customWidth="1"/>
    <col min="3593" max="3593" width="24.7109375" style="31" bestFit="1" customWidth="1"/>
    <col min="3594" max="3596" width="22.42578125" style="31" bestFit="1" customWidth="1"/>
    <col min="3597" max="3597" width="24" style="31" bestFit="1" customWidth="1"/>
    <col min="3598" max="3599" width="41.140625" style="31" bestFit="1" customWidth="1"/>
    <col min="3600" max="3600" width="77.42578125" style="31" bestFit="1" customWidth="1"/>
    <col min="3601" max="3601" width="110.28515625" style="31" bestFit="1" customWidth="1"/>
    <col min="3602" max="3602" width="108.140625" style="31" bestFit="1" customWidth="1"/>
    <col min="3603" max="3603" width="38.28515625" style="31" bestFit="1" customWidth="1"/>
    <col min="3604" max="3604" width="38.7109375" style="31" bestFit="1" customWidth="1"/>
    <col min="3605" max="3605" width="38.28515625" style="31" bestFit="1" customWidth="1"/>
    <col min="3606" max="3606" width="38.7109375" style="31" bestFit="1" customWidth="1"/>
    <col min="3607" max="3607" width="38.28515625" style="31" bestFit="1" customWidth="1"/>
    <col min="3608" max="3608" width="38.7109375" style="31" bestFit="1" customWidth="1"/>
    <col min="3609" max="3609" width="22.85546875" style="31" bestFit="1" customWidth="1"/>
    <col min="3610" max="3610" width="31.85546875" style="31" customWidth="1"/>
    <col min="3611" max="3611" width="28" style="31" bestFit="1" customWidth="1"/>
    <col min="3612" max="3612" width="20.7109375" style="31" bestFit="1" customWidth="1"/>
    <col min="3613" max="3613" width="26.7109375" style="31" bestFit="1" customWidth="1"/>
    <col min="3614" max="3614" width="26.85546875" style="31" bestFit="1" customWidth="1"/>
    <col min="3615" max="3615" width="26.7109375" style="31" bestFit="1" customWidth="1"/>
    <col min="3616" max="3616" width="26.85546875" style="31" bestFit="1" customWidth="1"/>
    <col min="3617" max="3617" width="28.85546875" style="31" bestFit="1" customWidth="1"/>
    <col min="3618" max="3618" width="27" style="31" bestFit="1" customWidth="1"/>
    <col min="3619" max="3619" width="23.42578125" style="31" bestFit="1" customWidth="1"/>
    <col min="3620" max="3621" width="31.42578125" style="31" bestFit="1" customWidth="1"/>
    <col min="3622" max="3622" width="31.42578125" style="31" customWidth="1"/>
    <col min="3623" max="3623" width="52.28515625" style="31" customWidth="1"/>
    <col min="3624" max="3624" width="31.42578125" style="31" customWidth="1"/>
    <col min="3625" max="3625" width="26.42578125" style="31" bestFit="1" customWidth="1"/>
    <col min="3626" max="3626" width="29.28515625" style="31" customWidth="1"/>
    <col min="3627" max="3627" width="30.28515625" style="31" customWidth="1"/>
    <col min="3628" max="3628" width="39" style="31" bestFit="1" customWidth="1"/>
    <col min="3629" max="3808" width="9.140625" style="31"/>
    <col min="3809" max="3809" width="17.5703125" style="31" bestFit="1" customWidth="1"/>
    <col min="3810" max="3810" width="25.7109375" style="31" bestFit="1" customWidth="1"/>
    <col min="3811" max="3811" width="22.140625" style="31" bestFit="1" customWidth="1"/>
    <col min="3812" max="3812" width="18.42578125" style="31" bestFit="1" customWidth="1"/>
    <col min="3813" max="3813" width="19.140625" style="31" bestFit="1" customWidth="1"/>
    <col min="3814" max="3814" width="18.42578125" style="31" bestFit="1" customWidth="1"/>
    <col min="3815" max="3815" width="26.42578125" style="31" bestFit="1" customWidth="1"/>
    <col min="3816" max="3816" width="23.85546875" style="31" bestFit="1" customWidth="1"/>
    <col min="3817" max="3817" width="21.42578125" style="31" bestFit="1" customWidth="1"/>
    <col min="3818" max="3818" width="16" style="31" bestFit="1" customWidth="1"/>
    <col min="3819" max="3820" width="23" style="31" customWidth="1"/>
    <col min="3821" max="3821" width="29.28515625" style="31" customWidth="1"/>
    <col min="3822" max="3822" width="30.28515625" style="31" customWidth="1"/>
    <col min="3823" max="3823" width="24.140625" style="31" customWidth="1"/>
    <col min="3824" max="3825" width="23.85546875" style="31" customWidth="1"/>
    <col min="3826" max="3826" width="30.28515625" style="31" customWidth="1"/>
    <col min="3827" max="3832" width="12.7109375" style="31" customWidth="1"/>
    <col min="3833" max="3833" width="33.140625" style="31" customWidth="1"/>
    <col min="3834" max="3834" width="31.5703125" style="31" customWidth="1"/>
    <col min="3835" max="3835" width="33.28515625" style="31" customWidth="1"/>
    <col min="3836" max="3836" width="31.7109375" style="31" customWidth="1"/>
    <col min="3837" max="3837" width="20" style="31" customWidth="1"/>
    <col min="3838" max="3838" width="19.28515625" style="31" bestFit="1" customWidth="1"/>
    <col min="3839" max="3839" width="19.7109375" style="31" bestFit="1" customWidth="1"/>
    <col min="3840" max="3840" width="33.28515625" style="31" bestFit="1" customWidth="1"/>
    <col min="3841" max="3841" width="24.140625" style="31" bestFit="1" customWidth="1"/>
    <col min="3842" max="3842" width="25.28515625" style="31" customWidth="1"/>
    <col min="3843" max="3843" width="24.42578125" style="31" customWidth="1"/>
    <col min="3844" max="3844" width="13.85546875" style="31" bestFit="1" customWidth="1"/>
    <col min="3845" max="3845" width="18.7109375" style="31" bestFit="1" customWidth="1"/>
    <col min="3846" max="3846" width="24.7109375" style="31" bestFit="1" customWidth="1"/>
    <col min="3847" max="3848" width="27.140625" style="31" bestFit="1" customWidth="1"/>
    <col min="3849" max="3849" width="24.7109375" style="31" bestFit="1" customWidth="1"/>
    <col min="3850" max="3852" width="22.42578125" style="31" bestFit="1" customWidth="1"/>
    <col min="3853" max="3853" width="24" style="31" bestFit="1" customWidth="1"/>
    <col min="3854" max="3855" width="41.140625" style="31" bestFit="1" customWidth="1"/>
    <col min="3856" max="3856" width="77.42578125" style="31" bestFit="1" customWidth="1"/>
    <col min="3857" max="3857" width="110.28515625" style="31" bestFit="1" customWidth="1"/>
    <col min="3858" max="3858" width="108.140625" style="31" bestFit="1" customWidth="1"/>
    <col min="3859" max="3859" width="38.28515625" style="31" bestFit="1" customWidth="1"/>
    <col min="3860" max="3860" width="38.7109375" style="31" bestFit="1" customWidth="1"/>
    <col min="3861" max="3861" width="38.28515625" style="31" bestFit="1" customWidth="1"/>
    <col min="3862" max="3862" width="38.7109375" style="31" bestFit="1" customWidth="1"/>
    <col min="3863" max="3863" width="38.28515625" style="31" bestFit="1" customWidth="1"/>
    <col min="3864" max="3864" width="38.7109375" style="31" bestFit="1" customWidth="1"/>
    <col min="3865" max="3865" width="22.85546875" style="31" bestFit="1" customWidth="1"/>
    <col min="3866" max="3866" width="31.85546875" style="31" customWidth="1"/>
    <col min="3867" max="3867" width="28" style="31" bestFit="1" customWidth="1"/>
    <col min="3868" max="3868" width="20.7109375" style="31" bestFit="1" customWidth="1"/>
    <col min="3869" max="3869" width="26.7109375" style="31" bestFit="1" customWidth="1"/>
    <col min="3870" max="3870" width="26.85546875" style="31" bestFit="1" customWidth="1"/>
    <col min="3871" max="3871" width="26.7109375" style="31" bestFit="1" customWidth="1"/>
    <col min="3872" max="3872" width="26.85546875" style="31" bestFit="1" customWidth="1"/>
    <col min="3873" max="3873" width="28.85546875" style="31" bestFit="1" customWidth="1"/>
    <col min="3874" max="3874" width="27" style="31" bestFit="1" customWidth="1"/>
    <col min="3875" max="3875" width="23.42578125" style="31" bestFit="1" customWidth="1"/>
    <col min="3876" max="3877" width="31.42578125" style="31" bestFit="1" customWidth="1"/>
    <col min="3878" max="3878" width="31.42578125" style="31" customWidth="1"/>
    <col min="3879" max="3879" width="52.28515625" style="31" customWidth="1"/>
    <col min="3880" max="3880" width="31.42578125" style="31" customWidth="1"/>
    <col min="3881" max="3881" width="26.42578125" style="31" bestFit="1" customWidth="1"/>
    <col min="3882" max="3882" width="29.28515625" style="31" customWidth="1"/>
    <col min="3883" max="3883" width="30.28515625" style="31" customWidth="1"/>
    <col min="3884" max="3884" width="39" style="31" bestFit="1" customWidth="1"/>
    <col min="3885" max="4064" width="9.140625" style="31"/>
    <col min="4065" max="4065" width="17.5703125" style="31" bestFit="1" customWidth="1"/>
    <col min="4066" max="4066" width="25.7109375" style="31" bestFit="1" customWidth="1"/>
    <col min="4067" max="4067" width="22.140625" style="31" bestFit="1" customWidth="1"/>
    <col min="4068" max="4068" width="18.42578125" style="31" bestFit="1" customWidth="1"/>
    <col min="4069" max="4069" width="19.140625" style="31" bestFit="1" customWidth="1"/>
    <col min="4070" max="4070" width="18.42578125" style="31" bestFit="1" customWidth="1"/>
    <col min="4071" max="4071" width="26.42578125" style="31" bestFit="1" customWidth="1"/>
    <col min="4072" max="4072" width="23.85546875" style="31" bestFit="1" customWidth="1"/>
    <col min="4073" max="4073" width="21.42578125" style="31" bestFit="1" customWidth="1"/>
    <col min="4074" max="4074" width="16" style="31" bestFit="1" customWidth="1"/>
    <col min="4075" max="4076" width="23" style="31" customWidth="1"/>
    <col min="4077" max="4077" width="29.28515625" style="31" customWidth="1"/>
    <col min="4078" max="4078" width="30.28515625" style="31" customWidth="1"/>
    <col min="4079" max="4079" width="24.140625" style="31" customWidth="1"/>
    <col min="4080" max="4081" width="23.85546875" style="31" customWidth="1"/>
    <col min="4082" max="4082" width="30.28515625" style="31" customWidth="1"/>
    <col min="4083" max="4088" width="12.7109375" style="31" customWidth="1"/>
    <col min="4089" max="4089" width="33.140625" style="31" customWidth="1"/>
    <col min="4090" max="4090" width="31.5703125" style="31" customWidth="1"/>
    <col min="4091" max="4091" width="33.28515625" style="31" customWidth="1"/>
    <col min="4092" max="4092" width="31.7109375" style="31" customWidth="1"/>
    <col min="4093" max="4093" width="20" style="31" customWidth="1"/>
    <col min="4094" max="4094" width="19.28515625" style="31" bestFit="1" customWidth="1"/>
    <col min="4095" max="4095" width="19.7109375" style="31" bestFit="1" customWidth="1"/>
    <col min="4096" max="4096" width="33.28515625" style="31" bestFit="1" customWidth="1"/>
    <col min="4097" max="4097" width="24.140625" style="31" bestFit="1" customWidth="1"/>
    <col min="4098" max="4098" width="25.28515625" style="31" customWidth="1"/>
    <col min="4099" max="4099" width="24.42578125" style="31" customWidth="1"/>
    <col min="4100" max="4100" width="13.85546875" style="31" bestFit="1" customWidth="1"/>
    <col min="4101" max="4101" width="18.7109375" style="31" bestFit="1" customWidth="1"/>
    <col min="4102" max="4102" width="24.7109375" style="31" bestFit="1" customWidth="1"/>
    <col min="4103" max="4104" width="27.140625" style="31" bestFit="1" customWidth="1"/>
    <col min="4105" max="4105" width="24.7109375" style="31" bestFit="1" customWidth="1"/>
    <col min="4106" max="4108" width="22.42578125" style="31" bestFit="1" customWidth="1"/>
    <col min="4109" max="4109" width="24" style="31" bestFit="1" customWidth="1"/>
    <col min="4110" max="4111" width="41.140625" style="31" bestFit="1" customWidth="1"/>
    <col min="4112" max="4112" width="77.42578125" style="31" bestFit="1" customWidth="1"/>
    <col min="4113" max="4113" width="110.28515625" style="31" bestFit="1" customWidth="1"/>
    <col min="4114" max="4114" width="108.140625" style="31" bestFit="1" customWidth="1"/>
    <col min="4115" max="4115" width="38.28515625" style="31" bestFit="1" customWidth="1"/>
    <col min="4116" max="4116" width="38.7109375" style="31" bestFit="1" customWidth="1"/>
    <col min="4117" max="4117" width="38.28515625" style="31" bestFit="1" customWidth="1"/>
    <col min="4118" max="4118" width="38.7109375" style="31" bestFit="1" customWidth="1"/>
    <col min="4119" max="4119" width="38.28515625" style="31" bestFit="1" customWidth="1"/>
    <col min="4120" max="4120" width="38.7109375" style="31" bestFit="1" customWidth="1"/>
    <col min="4121" max="4121" width="22.85546875" style="31" bestFit="1" customWidth="1"/>
    <col min="4122" max="4122" width="31.85546875" style="31" customWidth="1"/>
    <col min="4123" max="4123" width="28" style="31" bestFit="1" customWidth="1"/>
    <col min="4124" max="4124" width="20.7109375" style="31" bestFit="1" customWidth="1"/>
    <col min="4125" max="4125" width="26.7109375" style="31" bestFit="1" customWidth="1"/>
    <col min="4126" max="4126" width="26.85546875" style="31" bestFit="1" customWidth="1"/>
    <col min="4127" max="4127" width="26.7109375" style="31" bestFit="1" customWidth="1"/>
    <col min="4128" max="4128" width="26.85546875" style="31" bestFit="1" customWidth="1"/>
    <col min="4129" max="4129" width="28.85546875" style="31" bestFit="1" customWidth="1"/>
    <col min="4130" max="4130" width="27" style="31" bestFit="1" customWidth="1"/>
    <col min="4131" max="4131" width="23.42578125" style="31" bestFit="1" customWidth="1"/>
    <col min="4132" max="4133" width="31.42578125" style="31" bestFit="1" customWidth="1"/>
    <col min="4134" max="4134" width="31.42578125" style="31" customWidth="1"/>
    <col min="4135" max="4135" width="52.28515625" style="31" customWidth="1"/>
    <col min="4136" max="4136" width="31.42578125" style="31" customWidth="1"/>
    <col min="4137" max="4137" width="26.42578125" style="31" bestFit="1" customWidth="1"/>
    <col min="4138" max="4138" width="29.28515625" style="31" customWidth="1"/>
    <col min="4139" max="4139" width="30.28515625" style="31" customWidth="1"/>
    <col min="4140" max="4140" width="39" style="31" bestFit="1" customWidth="1"/>
    <col min="4141" max="4320" width="9.140625" style="31"/>
    <col min="4321" max="4321" width="17.5703125" style="31" bestFit="1" customWidth="1"/>
    <col min="4322" max="4322" width="25.7109375" style="31" bestFit="1" customWidth="1"/>
    <col min="4323" max="4323" width="22.140625" style="31" bestFit="1" customWidth="1"/>
    <col min="4324" max="4324" width="18.42578125" style="31" bestFit="1" customWidth="1"/>
    <col min="4325" max="4325" width="19.140625" style="31" bestFit="1" customWidth="1"/>
    <col min="4326" max="4326" width="18.42578125" style="31" bestFit="1" customWidth="1"/>
    <col min="4327" max="4327" width="26.42578125" style="31" bestFit="1" customWidth="1"/>
    <col min="4328" max="4328" width="23.85546875" style="31" bestFit="1" customWidth="1"/>
    <col min="4329" max="4329" width="21.42578125" style="31" bestFit="1" customWidth="1"/>
    <col min="4330" max="4330" width="16" style="31" bestFit="1" customWidth="1"/>
    <col min="4331" max="4332" width="23" style="31" customWidth="1"/>
    <col min="4333" max="4333" width="29.28515625" style="31" customWidth="1"/>
    <col min="4334" max="4334" width="30.28515625" style="31" customWidth="1"/>
    <col min="4335" max="4335" width="24.140625" style="31" customWidth="1"/>
    <col min="4336" max="4337" width="23.85546875" style="31" customWidth="1"/>
    <col min="4338" max="4338" width="30.28515625" style="31" customWidth="1"/>
    <col min="4339" max="4344" width="12.7109375" style="31" customWidth="1"/>
    <col min="4345" max="4345" width="33.140625" style="31" customWidth="1"/>
    <col min="4346" max="4346" width="31.5703125" style="31" customWidth="1"/>
    <col min="4347" max="4347" width="33.28515625" style="31" customWidth="1"/>
    <col min="4348" max="4348" width="31.7109375" style="31" customWidth="1"/>
    <col min="4349" max="4349" width="20" style="31" customWidth="1"/>
    <col min="4350" max="4350" width="19.28515625" style="31" bestFit="1" customWidth="1"/>
    <col min="4351" max="4351" width="19.7109375" style="31" bestFit="1" customWidth="1"/>
    <col min="4352" max="4352" width="33.28515625" style="31" bestFit="1" customWidth="1"/>
    <col min="4353" max="4353" width="24.140625" style="31" bestFit="1" customWidth="1"/>
    <col min="4354" max="4354" width="25.28515625" style="31" customWidth="1"/>
    <col min="4355" max="4355" width="24.42578125" style="31" customWidth="1"/>
    <col min="4356" max="4356" width="13.85546875" style="31" bestFit="1" customWidth="1"/>
    <col min="4357" max="4357" width="18.7109375" style="31" bestFit="1" customWidth="1"/>
    <col min="4358" max="4358" width="24.7109375" style="31" bestFit="1" customWidth="1"/>
    <col min="4359" max="4360" width="27.140625" style="31" bestFit="1" customWidth="1"/>
    <col min="4361" max="4361" width="24.7109375" style="31" bestFit="1" customWidth="1"/>
    <col min="4362" max="4364" width="22.42578125" style="31" bestFit="1" customWidth="1"/>
    <col min="4365" max="4365" width="24" style="31" bestFit="1" customWidth="1"/>
    <col min="4366" max="4367" width="41.140625" style="31" bestFit="1" customWidth="1"/>
    <col min="4368" max="4368" width="77.42578125" style="31" bestFit="1" customWidth="1"/>
    <col min="4369" max="4369" width="110.28515625" style="31" bestFit="1" customWidth="1"/>
    <col min="4370" max="4370" width="108.140625" style="31" bestFit="1" customWidth="1"/>
    <col min="4371" max="4371" width="38.28515625" style="31" bestFit="1" customWidth="1"/>
    <col min="4372" max="4372" width="38.7109375" style="31" bestFit="1" customWidth="1"/>
    <col min="4373" max="4373" width="38.28515625" style="31" bestFit="1" customWidth="1"/>
    <col min="4374" max="4374" width="38.7109375" style="31" bestFit="1" customWidth="1"/>
    <col min="4375" max="4375" width="38.28515625" style="31" bestFit="1" customWidth="1"/>
    <col min="4376" max="4376" width="38.7109375" style="31" bestFit="1" customWidth="1"/>
    <col min="4377" max="4377" width="22.85546875" style="31" bestFit="1" customWidth="1"/>
    <col min="4378" max="4378" width="31.85546875" style="31" customWidth="1"/>
    <col min="4379" max="4379" width="28" style="31" bestFit="1" customWidth="1"/>
    <col min="4380" max="4380" width="20.7109375" style="31" bestFit="1" customWidth="1"/>
    <col min="4381" max="4381" width="26.7109375" style="31" bestFit="1" customWidth="1"/>
    <col min="4382" max="4382" width="26.85546875" style="31" bestFit="1" customWidth="1"/>
    <col min="4383" max="4383" width="26.7109375" style="31" bestFit="1" customWidth="1"/>
    <col min="4384" max="4384" width="26.85546875" style="31" bestFit="1" customWidth="1"/>
    <col min="4385" max="4385" width="28.85546875" style="31" bestFit="1" customWidth="1"/>
    <col min="4386" max="4386" width="27" style="31" bestFit="1" customWidth="1"/>
    <col min="4387" max="4387" width="23.42578125" style="31" bestFit="1" customWidth="1"/>
    <col min="4388" max="4389" width="31.42578125" style="31" bestFit="1" customWidth="1"/>
    <col min="4390" max="4390" width="31.42578125" style="31" customWidth="1"/>
    <col min="4391" max="4391" width="52.28515625" style="31" customWidth="1"/>
    <col min="4392" max="4392" width="31.42578125" style="31" customWidth="1"/>
    <col min="4393" max="4393" width="26.42578125" style="31" bestFit="1" customWidth="1"/>
    <col min="4394" max="4394" width="29.28515625" style="31" customWidth="1"/>
    <col min="4395" max="4395" width="30.28515625" style="31" customWidth="1"/>
    <col min="4396" max="4396" width="39" style="31" bestFit="1" customWidth="1"/>
    <col min="4397" max="4576" width="9.140625" style="31"/>
    <col min="4577" max="4577" width="17.5703125" style="31" bestFit="1" customWidth="1"/>
    <col min="4578" max="4578" width="25.7109375" style="31" bestFit="1" customWidth="1"/>
    <col min="4579" max="4579" width="22.140625" style="31" bestFit="1" customWidth="1"/>
    <col min="4580" max="4580" width="18.42578125" style="31" bestFit="1" customWidth="1"/>
    <col min="4581" max="4581" width="19.140625" style="31" bestFit="1" customWidth="1"/>
    <col min="4582" max="4582" width="18.42578125" style="31" bestFit="1" customWidth="1"/>
    <col min="4583" max="4583" width="26.42578125" style="31" bestFit="1" customWidth="1"/>
    <col min="4584" max="4584" width="23.85546875" style="31" bestFit="1" customWidth="1"/>
    <col min="4585" max="4585" width="21.42578125" style="31" bestFit="1" customWidth="1"/>
    <col min="4586" max="4586" width="16" style="31" bestFit="1" customWidth="1"/>
    <col min="4587" max="4588" width="23" style="31" customWidth="1"/>
    <col min="4589" max="4589" width="29.28515625" style="31" customWidth="1"/>
    <col min="4590" max="4590" width="30.28515625" style="31" customWidth="1"/>
    <col min="4591" max="4591" width="24.140625" style="31" customWidth="1"/>
    <col min="4592" max="4593" width="23.85546875" style="31" customWidth="1"/>
    <col min="4594" max="4594" width="30.28515625" style="31" customWidth="1"/>
    <col min="4595" max="4600" width="12.7109375" style="31" customWidth="1"/>
    <col min="4601" max="4601" width="33.140625" style="31" customWidth="1"/>
    <col min="4602" max="4602" width="31.5703125" style="31" customWidth="1"/>
    <col min="4603" max="4603" width="33.28515625" style="31" customWidth="1"/>
    <col min="4604" max="4604" width="31.7109375" style="31" customWidth="1"/>
    <col min="4605" max="4605" width="20" style="31" customWidth="1"/>
    <col min="4606" max="4606" width="19.28515625" style="31" bestFit="1" customWidth="1"/>
    <col min="4607" max="4607" width="19.7109375" style="31" bestFit="1" customWidth="1"/>
    <col min="4608" max="4608" width="33.28515625" style="31" bestFit="1" customWidth="1"/>
    <col min="4609" max="4609" width="24.140625" style="31" bestFit="1" customWidth="1"/>
    <col min="4610" max="4610" width="25.28515625" style="31" customWidth="1"/>
    <col min="4611" max="4611" width="24.42578125" style="31" customWidth="1"/>
    <col min="4612" max="4612" width="13.85546875" style="31" bestFit="1" customWidth="1"/>
    <col min="4613" max="4613" width="18.7109375" style="31" bestFit="1" customWidth="1"/>
    <col min="4614" max="4614" width="24.7109375" style="31" bestFit="1" customWidth="1"/>
    <col min="4615" max="4616" width="27.140625" style="31" bestFit="1" customWidth="1"/>
    <col min="4617" max="4617" width="24.7109375" style="31" bestFit="1" customWidth="1"/>
    <col min="4618" max="4620" width="22.42578125" style="31" bestFit="1" customWidth="1"/>
    <col min="4621" max="4621" width="24" style="31" bestFit="1" customWidth="1"/>
    <col min="4622" max="4623" width="41.140625" style="31" bestFit="1" customWidth="1"/>
    <col min="4624" max="4624" width="77.42578125" style="31" bestFit="1" customWidth="1"/>
    <col min="4625" max="4625" width="110.28515625" style="31" bestFit="1" customWidth="1"/>
    <col min="4626" max="4626" width="108.140625" style="31" bestFit="1" customWidth="1"/>
    <col min="4627" max="4627" width="38.28515625" style="31" bestFit="1" customWidth="1"/>
    <col min="4628" max="4628" width="38.7109375" style="31" bestFit="1" customWidth="1"/>
    <col min="4629" max="4629" width="38.28515625" style="31" bestFit="1" customWidth="1"/>
    <col min="4630" max="4630" width="38.7109375" style="31" bestFit="1" customWidth="1"/>
    <col min="4631" max="4631" width="38.28515625" style="31" bestFit="1" customWidth="1"/>
    <col min="4632" max="4632" width="38.7109375" style="31" bestFit="1" customWidth="1"/>
    <col min="4633" max="4633" width="22.85546875" style="31" bestFit="1" customWidth="1"/>
    <col min="4634" max="4634" width="31.85546875" style="31" customWidth="1"/>
    <col min="4635" max="4635" width="28" style="31" bestFit="1" customWidth="1"/>
    <col min="4636" max="4636" width="20.7109375" style="31" bestFit="1" customWidth="1"/>
    <col min="4637" max="4637" width="26.7109375" style="31" bestFit="1" customWidth="1"/>
    <col min="4638" max="4638" width="26.85546875" style="31" bestFit="1" customWidth="1"/>
    <col min="4639" max="4639" width="26.7109375" style="31" bestFit="1" customWidth="1"/>
    <col min="4640" max="4640" width="26.85546875" style="31" bestFit="1" customWidth="1"/>
    <col min="4641" max="4641" width="28.85546875" style="31" bestFit="1" customWidth="1"/>
    <col min="4642" max="4642" width="27" style="31" bestFit="1" customWidth="1"/>
    <col min="4643" max="4643" width="23.42578125" style="31" bestFit="1" customWidth="1"/>
    <col min="4644" max="4645" width="31.42578125" style="31" bestFit="1" customWidth="1"/>
    <col min="4646" max="4646" width="31.42578125" style="31" customWidth="1"/>
    <col min="4647" max="4647" width="52.28515625" style="31" customWidth="1"/>
    <col min="4648" max="4648" width="31.42578125" style="31" customWidth="1"/>
    <col min="4649" max="4649" width="26.42578125" style="31" bestFit="1" customWidth="1"/>
    <col min="4650" max="4650" width="29.28515625" style="31" customWidth="1"/>
    <col min="4651" max="4651" width="30.28515625" style="31" customWidth="1"/>
    <col min="4652" max="4652" width="39" style="31" bestFit="1" customWidth="1"/>
    <col min="4653" max="4832" width="9.140625" style="31"/>
    <col min="4833" max="4833" width="17.5703125" style="31" bestFit="1" customWidth="1"/>
    <col min="4834" max="4834" width="25.7109375" style="31" bestFit="1" customWidth="1"/>
    <col min="4835" max="4835" width="22.140625" style="31" bestFit="1" customWidth="1"/>
    <col min="4836" max="4836" width="18.42578125" style="31" bestFit="1" customWidth="1"/>
    <col min="4837" max="4837" width="19.140625" style="31" bestFit="1" customWidth="1"/>
    <col min="4838" max="4838" width="18.42578125" style="31" bestFit="1" customWidth="1"/>
    <col min="4839" max="4839" width="26.42578125" style="31" bestFit="1" customWidth="1"/>
    <col min="4840" max="4840" width="23.85546875" style="31" bestFit="1" customWidth="1"/>
    <col min="4841" max="4841" width="21.42578125" style="31" bestFit="1" customWidth="1"/>
    <col min="4842" max="4842" width="16" style="31" bestFit="1" customWidth="1"/>
    <col min="4843" max="4844" width="23" style="31" customWidth="1"/>
    <col min="4845" max="4845" width="29.28515625" style="31" customWidth="1"/>
    <col min="4846" max="4846" width="30.28515625" style="31" customWidth="1"/>
    <col min="4847" max="4847" width="24.140625" style="31" customWidth="1"/>
    <col min="4848" max="4849" width="23.85546875" style="31" customWidth="1"/>
    <col min="4850" max="4850" width="30.28515625" style="31" customWidth="1"/>
    <col min="4851" max="4856" width="12.7109375" style="31" customWidth="1"/>
    <col min="4857" max="4857" width="33.140625" style="31" customWidth="1"/>
    <col min="4858" max="4858" width="31.5703125" style="31" customWidth="1"/>
    <col min="4859" max="4859" width="33.28515625" style="31" customWidth="1"/>
    <col min="4860" max="4860" width="31.7109375" style="31" customWidth="1"/>
    <col min="4861" max="4861" width="20" style="31" customWidth="1"/>
    <col min="4862" max="4862" width="19.28515625" style="31" bestFit="1" customWidth="1"/>
    <col min="4863" max="4863" width="19.7109375" style="31" bestFit="1" customWidth="1"/>
    <col min="4864" max="4864" width="33.28515625" style="31" bestFit="1" customWidth="1"/>
    <col min="4865" max="4865" width="24.140625" style="31" bestFit="1" customWidth="1"/>
    <col min="4866" max="4866" width="25.28515625" style="31" customWidth="1"/>
    <col min="4867" max="4867" width="24.42578125" style="31" customWidth="1"/>
    <col min="4868" max="4868" width="13.85546875" style="31" bestFit="1" customWidth="1"/>
    <col min="4869" max="4869" width="18.7109375" style="31" bestFit="1" customWidth="1"/>
    <col min="4870" max="4870" width="24.7109375" style="31" bestFit="1" customWidth="1"/>
    <col min="4871" max="4872" width="27.140625" style="31" bestFit="1" customWidth="1"/>
    <col min="4873" max="4873" width="24.7109375" style="31" bestFit="1" customWidth="1"/>
    <col min="4874" max="4876" width="22.42578125" style="31" bestFit="1" customWidth="1"/>
    <col min="4877" max="4877" width="24" style="31" bestFit="1" customWidth="1"/>
    <col min="4878" max="4879" width="41.140625" style="31" bestFit="1" customWidth="1"/>
    <col min="4880" max="4880" width="77.42578125" style="31" bestFit="1" customWidth="1"/>
    <col min="4881" max="4881" width="110.28515625" style="31" bestFit="1" customWidth="1"/>
    <col min="4882" max="4882" width="108.140625" style="31" bestFit="1" customWidth="1"/>
    <col min="4883" max="4883" width="38.28515625" style="31" bestFit="1" customWidth="1"/>
    <col min="4884" max="4884" width="38.7109375" style="31" bestFit="1" customWidth="1"/>
    <col min="4885" max="4885" width="38.28515625" style="31" bestFit="1" customWidth="1"/>
    <col min="4886" max="4886" width="38.7109375" style="31" bestFit="1" customWidth="1"/>
    <col min="4887" max="4887" width="38.28515625" style="31" bestFit="1" customWidth="1"/>
    <col min="4888" max="4888" width="38.7109375" style="31" bestFit="1" customWidth="1"/>
    <col min="4889" max="4889" width="22.85546875" style="31" bestFit="1" customWidth="1"/>
    <col min="4890" max="4890" width="31.85546875" style="31" customWidth="1"/>
    <col min="4891" max="4891" width="28" style="31" bestFit="1" customWidth="1"/>
    <col min="4892" max="4892" width="20.7109375" style="31" bestFit="1" customWidth="1"/>
    <col min="4893" max="4893" width="26.7109375" style="31" bestFit="1" customWidth="1"/>
    <col min="4894" max="4894" width="26.85546875" style="31" bestFit="1" customWidth="1"/>
    <col min="4895" max="4895" width="26.7109375" style="31" bestFit="1" customWidth="1"/>
    <col min="4896" max="4896" width="26.85546875" style="31" bestFit="1" customWidth="1"/>
    <col min="4897" max="4897" width="28.85546875" style="31" bestFit="1" customWidth="1"/>
    <col min="4898" max="4898" width="27" style="31" bestFit="1" customWidth="1"/>
    <col min="4899" max="4899" width="23.42578125" style="31" bestFit="1" customWidth="1"/>
    <col min="4900" max="4901" width="31.42578125" style="31" bestFit="1" customWidth="1"/>
    <col min="4902" max="4902" width="31.42578125" style="31" customWidth="1"/>
    <col min="4903" max="4903" width="52.28515625" style="31" customWidth="1"/>
    <col min="4904" max="4904" width="31.42578125" style="31" customWidth="1"/>
    <col min="4905" max="4905" width="26.42578125" style="31" bestFit="1" customWidth="1"/>
    <col min="4906" max="4906" width="29.28515625" style="31" customWidth="1"/>
    <col min="4907" max="4907" width="30.28515625" style="31" customWidth="1"/>
    <col min="4908" max="4908" width="39" style="31" bestFit="1" customWidth="1"/>
    <col min="4909" max="5088" width="9.140625" style="31"/>
    <col min="5089" max="5089" width="17.5703125" style="31" bestFit="1" customWidth="1"/>
    <col min="5090" max="5090" width="25.7109375" style="31" bestFit="1" customWidth="1"/>
    <col min="5091" max="5091" width="22.140625" style="31" bestFit="1" customWidth="1"/>
    <col min="5092" max="5092" width="18.42578125" style="31" bestFit="1" customWidth="1"/>
    <col min="5093" max="5093" width="19.140625" style="31" bestFit="1" customWidth="1"/>
    <col min="5094" max="5094" width="18.42578125" style="31" bestFit="1" customWidth="1"/>
    <col min="5095" max="5095" width="26.42578125" style="31" bestFit="1" customWidth="1"/>
    <col min="5096" max="5096" width="23.85546875" style="31" bestFit="1" customWidth="1"/>
    <col min="5097" max="5097" width="21.42578125" style="31" bestFit="1" customWidth="1"/>
    <col min="5098" max="5098" width="16" style="31" bestFit="1" customWidth="1"/>
    <col min="5099" max="5100" width="23" style="31" customWidth="1"/>
    <col min="5101" max="5101" width="29.28515625" style="31" customWidth="1"/>
    <col min="5102" max="5102" width="30.28515625" style="31" customWidth="1"/>
    <col min="5103" max="5103" width="24.140625" style="31" customWidth="1"/>
    <col min="5104" max="5105" width="23.85546875" style="31" customWidth="1"/>
    <col min="5106" max="5106" width="30.28515625" style="31" customWidth="1"/>
    <col min="5107" max="5112" width="12.7109375" style="31" customWidth="1"/>
    <col min="5113" max="5113" width="33.140625" style="31" customWidth="1"/>
    <col min="5114" max="5114" width="31.5703125" style="31" customWidth="1"/>
    <col min="5115" max="5115" width="33.28515625" style="31" customWidth="1"/>
    <col min="5116" max="5116" width="31.7109375" style="31" customWidth="1"/>
    <col min="5117" max="5117" width="20" style="31" customWidth="1"/>
    <col min="5118" max="5118" width="19.28515625" style="31" bestFit="1" customWidth="1"/>
    <col min="5119" max="5119" width="19.7109375" style="31" bestFit="1" customWidth="1"/>
    <col min="5120" max="5120" width="33.28515625" style="31" bestFit="1" customWidth="1"/>
    <col min="5121" max="5121" width="24.140625" style="31" bestFit="1" customWidth="1"/>
    <col min="5122" max="5122" width="25.28515625" style="31" customWidth="1"/>
    <col min="5123" max="5123" width="24.42578125" style="31" customWidth="1"/>
    <col min="5124" max="5124" width="13.85546875" style="31" bestFit="1" customWidth="1"/>
    <col min="5125" max="5125" width="18.7109375" style="31" bestFit="1" customWidth="1"/>
    <col min="5126" max="5126" width="24.7109375" style="31" bestFit="1" customWidth="1"/>
    <col min="5127" max="5128" width="27.140625" style="31" bestFit="1" customWidth="1"/>
    <col min="5129" max="5129" width="24.7109375" style="31" bestFit="1" customWidth="1"/>
    <col min="5130" max="5132" width="22.42578125" style="31" bestFit="1" customWidth="1"/>
    <col min="5133" max="5133" width="24" style="31" bestFit="1" customWidth="1"/>
    <col min="5134" max="5135" width="41.140625" style="31" bestFit="1" customWidth="1"/>
    <col min="5136" max="5136" width="77.42578125" style="31" bestFit="1" customWidth="1"/>
    <col min="5137" max="5137" width="110.28515625" style="31" bestFit="1" customWidth="1"/>
    <col min="5138" max="5138" width="108.140625" style="31" bestFit="1" customWidth="1"/>
    <col min="5139" max="5139" width="38.28515625" style="31" bestFit="1" customWidth="1"/>
    <col min="5140" max="5140" width="38.7109375" style="31" bestFit="1" customWidth="1"/>
    <col min="5141" max="5141" width="38.28515625" style="31" bestFit="1" customWidth="1"/>
    <col min="5142" max="5142" width="38.7109375" style="31" bestFit="1" customWidth="1"/>
    <col min="5143" max="5143" width="38.28515625" style="31" bestFit="1" customWidth="1"/>
    <col min="5144" max="5144" width="38.7109375" style="31" bestFit="1" customWidth="1"/>
    <col min="5145" max="5145" width="22.85546875" style="31" bestFit="1" customWidth="1"/>
    <col min="5146" max="5146" width="31.85546875" style="31" customWidth="1"/>
    <col min="5147" max="5147" width="28" style="31" bestFit="1" customWidth="1"/>
    <col min="5148" max="5148" width="20.7109375" style="31" bestFit="1" customWidth="1"/>
    <col min="5149" max="5149" width="26.7109375" style="31" bestFit="1" customWidth="1"/>
    <col min="5150" max="5150" width="26.85546875" style="31" bestFit="1" customWidth="1"/>
    <col min="5151" max="5151" width="26.7109375" style="31" bestFit="1" customWidth="1"/>
    <col min="5152" max="5152" width="26.85546875" style="31" bestFit="1" customWidth="1"/>
    <col min="5153" max="5153" width="28.85546875" style="31" bestFit="1" customWidth="1"/>
    <col min="5154" max="5154" width="27" style="31" bestFit="1" customWidth="1"/>
    <col min="5155" max="5155" width="23.42578125" style="31" bestFit="1" customWidth="1"/>
    <col min="5156" max="5157" width="31.42578125" style="31" bestFit="1" customWidth="1"/>
    <col min="5158" max="5158" width="31.42578125" style="31" customWidth="1"/>
    <col min="5159" max="5159" width="52.28515625" style="31" customWidth="1"/>
    <col min="5160" max="5160" width="31.42578125" style="31" customWidth="1"/>
    <col min="5161" max="5161" width="26.42578125" style="31" bestFit="1" customWidth="1"/>
    <col min="5162" max="5162" width="29.28515625" style="31" customWidth="1"/>
    <col min="5163" max="5163" width="30.28515625" style="31" customWidth="1"/>
    <col min="5164" max="5164" width="39" style="31" bestFit="1" customWidth="1"/>
    <col min="5165" max="5344" width="9.140625" style="31"/>
    <col min="5345" max="5345" width="17.5703125" style="31" bestFit="1" customWidth="1"/>
    <col min="5346" max="5346" width="25.7109375" style="31" bestFit="1" customWidth="1"/>
    <col min="5347" max="5347" width="22.140625" style="31" bestFit="1" customWidth="1"/>
    <col min="5348" max="5348" width="18.42578125" style="31" bestFit="1" customWidth="1"/>
    <col min="5349" max="5349" width="19.140625" style="31" bestFit="1" customWidth="1"/>
    <col min="5350" max="5350" width="18.42578125" style="31" bestFit="1" customWidth="1"/>
    <col min="5351" max="5351" width="26.42578125" style="31" bestFit="1" customWidth="1"/>
    <col min="5352" max="5352" width="23.85546875" style="31" bestFit="1" customWidth="1"/>
    <col min="5353" max="5353" width="21.42578125" style="31" bestFit="1" customWidth="1"/>
    <col min="5354" max="5354" width="16" style="31" bestFit="1" customWidth="1"/>
    <col min="5355" max="5356" width="23" style="31" customWidth="1"/>
    <col min="5357" max="5357" width="29.28515625" style="31" customWidth="1"/>
    <col min="5358" max="5358" width="30.28515625" style="31" customWidth="1"/>
    <col min="5359" max="5359" width="24.140625" style="31" customWidth="1"/>
    <col min="5360" max="5361" width="23.85546875" style="31" customWidth="1"/>
    <col min="5362" max="5362" width="30.28515625" style="31" customWidth="1"/>
    <col min="5363" max="5368" width="12.7109375" style="31" customWidth="1"/>
    <col min="5369" max="5369" width="33.140625" style="31" customWidth="1"/>
    <col min="5370" max="5370" width="31.5703125" style="31" customWidth="1"/>
    <col min="5371" max="5371" width="33.28515625" style="31" customWidth="1"/>
    <col min="5372" max="5372" width="31.7109375" style="31" customWidth="1"/>
    <col min="5373" max="5373" width="20" style="31" customWidth="1"/>
    <col min="5374" max="5374" width="19.28515625" style="31" bestFit="1" customWidth="1"/>
    <col min="5375" max="5375" width="19.7109375" style="31" bestFit="1" customWidth="1"/>
    <col min="5376" max="5376" width="33.28515625" style="31" bestFit="1" customWidth="1"/>
    <col min="5377" max="5377" width="24.140625" style="31" bestFit="1" customWidth="1"/>
    <col min="5378" max="5378" width="25.28515625" style="31" customWidth="1"/>
    <col min="5379" max="5379" width="24.42578125" style="31" customWidth="1"/>
    <col min="5380" max="5380" width="13.85546875" style="31" bestFit="1" customWidth="1"/>
    <col min="5381" max="5381" width="18.7109375" style="31" bestFit="1" customWidth="1"/>
    <col min="5382" max="5382" width="24.7109375" style="31" bestFit="1" customWidth="1"/>
    <col min="5383" max="5384" width="27.140625" style="31" bestFit="1" customWidth="1"/>
    <col min="5385" max="5385" width="24.7109375" style="31" bestFit="1" customWidth="1"/>
    <col min="5386" max="5388" width="22.42578125" style="31" bestFit="1" customWidth="1"/>
    <col min="5389" max="5389" width="24" style="31" bestFit="1" customWidth="1"/>
    <col min="5390" max="5391" width="41.140625" style="31" bestFit="1" customWidth="1"/>
    <col min="5392" max="5392" width="77.42578125" style="31" bestFit="1" customWidth="1"/>
    <col min="5393" max="5393" width="110.28515625" style="31" bestFit="1" customWidth="1"/>
    <col min="5394" max="5394" width="108.140625" style="31" bestFit="1" customWidth="1"/>
    <col min="5395" max="5395" width="38.28515625" style="31" bestFit="1" customWidth="1"/>
    <col min="5396" max="5396" width="38.7109375" style="31" bestFit="1" customWidth="1"/>
    <col min="5397" max="5397" width="38.28515625" style="31" bestFit="1" customWidth="1"/>
    <col min="5398" max="5398" width="38.7109375" style="31" bestFit="1" customWidth="1"/>
    <col min="5399" max="5399" width="38.28515625" style="31" bestFit="1" customWidth="1"/>
    <col min="5400" max="5400" width="38.7109375" style="31" bestFit="1" customWidth="1"/>
    <col min="5401" max="5401" width="22.85546875" style="31" bestFit="1" customWidth="1"/>
    <col min="5402" max="5402" width="31.85546875" style="31" customWidth="1"/>
    <col min="5403" max="5403" width="28" style="31" bestFit="1" customWidth="1"/>
    <col min="5404" max="5404" width="20.7109375" style="31" bestFit="1" customWidth="1"/>
    <col min="5405" max="5405" width="26.7109375" style="31" bestFit="1" customWidth="1"/>
    <col min="5406" max="5406" width="26.85546875" style="31" bestFit="1" customWidth="1"/>
    <col min="5407" max="5407" width="26.7109375" style="31" bestFit="1" customWidth="1"/>
    <col min="5408" max="5408" width="26.85546875" style="31" bestFit="1" customWidth="1"/>
    <col min="5409" max="5409" width="28.85546875" style="31" bestFit="1" customWidth="1"/>
    <col min="5410" max="5410" width="27" style="31" bestFit="1" customWidth="1"/>
    <col min="5411" max="5411" width="23.42578125" style="31" bestFit="1" customWidth="1"/>
    <col min="5412" max="5413" width="31.42578125" style="31" bestFit="1" customWidth="1"/>
    <col min="5414" max="5414" width="31.42578125" style="31" customWidth="1"/>
    <col min="5415" max="5415" width="52.28515625" style="31" customWidth="1"/>
    <col min="5416" max="5416" width="31.42578125" style="31" customWidth="1"/>
    <col min="5417" max="5417" width="26.42578125" style="31" bestFit="1" customWidth="1"/>
    <col min="5418" max="5418" width="29.28515625" style="31" customWidth="1"/>
    <col min="5419" max="5419" width="30.28515625" style="31" customWidth="1"/>
    <col min="5420" max="5420" width="39" style="31" bestFit="1" customWidth="1"/>
    <col min="5421" max="5600" width="9.140625" style="31"/>
    <col min="5601" max="5601" width="17.5703125" style="31" bestFit="1" customWidth="1"/>
    <col min="5602" max="5602" width="25.7109375" style="31" bestFit="1" customWidth="1"/>
    <col min="5603" max="5603" width="22.140625" style="31" bestFit="1" customWidth="1"/>
    <col min="5604" max="5604" width="18.42578125" style="31" bestFit="1" customWidth="1"/>
    <col min="5605" max="5605" width="19.140625" style="31" bestFit="1" customWidth="1"/>
    <col min="5606" max="5606" width="18.42578125" style="31" bestFit="1" customWidth="1"/>
    <col min="5607" max="5607" width="26.42578125" style="31" bestFit="1" customWidth="1"/>
    <col min="5608" max="5608" width="23.85546875" style="31" bestFit="1" customWidth="1"/>
    <col min="5609" max="5609" width="21.42578125" style="31" bestFit="1" customWidth="1"/>
    <col min="5610" max="5610" width="16" style="31" bestFit="1" customWidth="1"/>
    <col min="5611" max="5612" width="23" style="31" customWidth="1"/>
    <col min="5613" max="5613" width="29.28515625" style="31" customWidth="1"/>
    <col min="5614" max="5614" width="30.28515625" style="31" customWidth="1"/>
    <col min="5615" max="5615" width="24.140625" style="31" customWidth="1"/>
    <col min="5616" max="5617" width="23.85546875" style="31" customWidth="1"/>
    <col min="5618" max="5618" width="30.28515625" style="31" customWidth="1"/>
    <col min="5619" max="5624" width="12.7109375" style="31" customWidth="1"/>
    <col min="5625" max="5625" width="33.140625" style="31" customWidth="1"/>
    <col min="5626" max="5626" width="31.5703125" style="31" customWidth="1"/>
    <col min="5627" max="5627" width="33.28515625" style="31" customWidth="1"/>
    <col min="5628" max="5628" width="31.7109375" style="31" customWidth="1"/>
    <col min="5629" max="5629" width="20" style="31" customWidth="1"/>
    <col min="5630" max="5630" width="19.28515625" style="31" bestFit="1" customWidth="1"/>
    <col min="5631" max="5631" width="19.7109375" style="31" bestFit="1" customWidth="1"/>
    <col min="5632" max="5632" width="33.28515625" style="31" bestFit="1" customWidth="1"/>
    <col min="5633" max="5633" width="24.140625" style="31" bestFit="1" customWidth="1"/>
    <col min="5634" max="5634" width="25.28515625" style="31" customWidth="1"/>
    <col min="5635" max="5635" width="24.42578125" style="31" customWidth="1"/>
    <col min="5636" max="5636" width="13.85546875" style="31" bestFit="1" customWidth="1"/>
    <col min="5637" max="5637" width="18.7109375" style="31" bestFit="1" customWidth="1"/>
    <col min="5638" max="5638" width="24.7109375" style="31" bestFit="1" customWidth="1"/>
    <col min="5639" max="5640" width="27.140625" style="31" bestFit="1" customWidth="1"/>
    <col min="5641" max="5641" width="24.7109375" style="31" bestFit="1" customWidth="1"/>
    <col min="5642" max="5644" width="22.42578125" style="31" bestFit="1" customWidth="1"/>
    <col min="5645" max="5645" width="24" style="31" bestFit="1" customWidth="1"/>
    <col min="5646" max="5647" width="41.140625" style="31" bestFit="1" customWidth="1"/>
    <col min="5648" max="5648" width="77.42578125" style="31" bestFit="1" customWidth="1"/>
    <col min="5649" max="5649" width="110.28515625" style="31" bestFit="1" customWidth="1"/>
    <col min="5650" max="5650" width="108.140625" style="31" bestFit="1" customWidth="1"/>
    <col min="5651" max="5651" width="38.28515625" style="31" bestFit="1" customWidth="1"/>
    <col min="5652" max="5652" width="38.7109375" style="31" bestFit="1" customWidth="1"/>
    <col min="5653" max="5653" width="38.28515625" style="31" bestFit="1" customWidth="1"/>
    <col min="5654" max="5654" width="38.7109375" style="31" bestFit="1" customWidth="1"/>
    <col min="5655" max="5655" width="38.28515625" style="31" bestFit="1" customWidth="1"/>
    <col min="5656" max="5656" width="38.7109375" style="31" bestFit="1" customWidth="1"/>
    <col min="5657" max="5657" width="22.85546875" style="31" bestFit="1" customWidth="1"/>
    <col min="5658" max="5658" width="31.85546875" style="31" customWidth="1"/>
    <col min="5659" max="5659" width="28" style="31" bestFit="1" customWidth="1"/>
    <col min="5660" max="5660" width="20.7109375" style="31" bestFit="1" customWidth="1"/>
    <col min="5661" max="5661" width="26.7109375" style="31" bestFit="1" customWidth="1"/>
    <col min="5662" max="5662" width="26.85546875" style="31" bestFit="1" customWidth="1"/>
    <col min="5663" max="5663" width="26.7109375" style="31" bestFit="1" customWidth="1"/>
    <col min="5664" max="5664" width="26.85546875" style="31" bestFit="1" customWidth="1"/>
    <col min="5665" max="5665" width="28.85546875" style="31" bestFit="1" customWidth="1"/>
    <col min="5666" max="5666" width="27" style="31" bestFit="1" customWidth="1"/>
    <col min="5667" max="5667" width="23.42578125" style="31" bestFit="1" customWidth="1"/>
    <col min="5668" max="5669" width="31.42578125" style="31" bestFit="1" customWidth="1"/>
    <col min="5670" max="5670" width="31.42578125" style="31" customWidth="1"/>
    <col min="5671" max="5671" width="52.28515625" style="31" customWidth="1"/>
    <col min="5672" max="5672" width="31.42578125" style="31" customWidth="1"/>
    <col min="5673" max="5673" width="26.42578125" style="31" bestFit="1" customWidth="1"/>
    <col min="5674" max="5674" width="29.28515625" style="31" customWidth="1"/>
    <col min="5675" max="5675" width="30.28515625" style="31" customWidth="1"/>
    <col min="5676" max="5676" width="39" style="31" bestFit="1" customWidth="1"/>
    <col min="5677" max="5856" width="9.140625" style="31"/>
    <col min="5857" max="5857" width="17.5703125" style="31" bestFit="1" customWidth="1"/>
    <col min="5858" max="5858" width="25.7109375" style="31" bestFit="1" customWidth="1"/>
    <col min="5859" max="5859" width="22.140625" style="31" bestFit="1" customWidth="1"/>
    <col min="5860" max="5860" width="18.42578125" style="31" bestFit="1" customWidth="1"/>
    <col min="5861" max="5861" width="19.140625" style="31" bestFit="1" customWidth="1"/>
    <col min="5862" max="5862" width="18.42578125" style="31" bestFit="1" customWidth="1"/>
    <col min="5863" max="5863" width="26.42578125" style="31" bestFit="1" customWidth="1"/>
    <col min="5864" max="5864" width="23.85546875" style="31" bestFit="1" customWidth="1"/>
    <col min="5865" max="5865" width="21.42578125" style="31" bestFit="1" customWidth="1"/>
    <col min="5866" max="5866" width="16" style="31" bestFit="1" customWidth="1"/>
    <col min="5867" max="5868" width="23" style="31" customWidth="1"/>
    <col min="5869" max="5869" width="29.28515625" style="31" customWidth="1"/>
    <col min="5870" max="5870" width="30.28515625" style="31" customWidth="1"/>
    <col min="5871" max="5871" width="24.140625" style="31" customWidth="1"/>
    <col min="5872" max="5873" width="23.85546875" style="31" customWidth="1"/>
    <col min="5874" max="5874" width="30.28515625" style="31" customWidth="1"/>
    <col min="5875" max="5880" width="12.7109375" style="31" customWidth="1"/>
    <col min="5881" max="5881" width="33.140625" style="31" customWidth="1"/>
    <col min="5882" max="5882" width="31.5703125" style="31" customWidth="1"/>
    <col min="5883" max="5883" width="33.28515625" style="31" customWidth="1"/>
    <col min="5884" max="5884" width="31.7109375" style="31" customWidth="1"/>
    <col min="5885" max="5885" width="20" style="31" customWidth="1"/>
    <col min="5886" max="5886" width="19.28515625" style="31" bestFit="1" customWidth="1"/>
    <col min="5887" max="5887" width="19.7109375" style="31" bestFit="1" customWidth="1"/>
    <col min="5888" max="5888" width="33.28515625" style="31" bestFit="1" customWidth="1"/>
    <col min="5889" max="5889" width="24.140625" style="31" bestFit="1" customWidth="1"/>
    <col min="5890" max="5890" width="25.28515625" style="31" customWidth="1"/>
    <col min="5891" max="5891" width="24.42578125" style="31" customWidth="1"/>
    <col min="5892" max="5892" width="13.85546875" style="31" bestFit="1" customWidth="1"/>
    <col min="5893" max="5893" width="18.7109375" style="31" bestFit="1" customWidth="1"/>
    <col min="5894" max="5894" width="24.7109375" style="31" bestFit="1" customWidth="1"/>
    <col min="5895" max="5896" width="27.140625" style="31" bestFit="1" customWidth="1"/>
    <col min="5897" max="5897" width="24.7109375" style="31" bestFit="1" customWidth="1"/>
    <col min="5898" max="5900" width="22.42578125" style="31" bestFit="1" customWidth="1"/>
    <col min="5901" max="5901" width="24" style="31" bestFit="1" customWidth="1"/>
    <col min="5902" max="5903" width="41.140625" style="31" bestFit="1" customWidth="1"/>
    <col min="5904" max="5904" width="77.42578125" style="31" bestFit="1" customWidth="1"/>
    <col min="5905" max="5905" width="110.28515625" style="31" bestFit="1" customWidth="1"/>
    <col min="5906" max="5906" width="108.140625" style="31" bestFit="1" customWidth="1"/>
    <col min="5907" max="5907" width="38.28515625" style="31" bestFit="1" customWidth="1"/>
    <col min="5908" max="5908" width="38.7109375" style="31" bestFit="1" customWidth="1"/>
    <col min="5909" max="5909" width="38.28515625" style="31" bestFit="1" customWidth="1"/>
    <col min="5910" max="5910" width="38.7109375" style="31" bestFit="1" customWidth="1"/>
    <col min="5911" max="5911" width="38.28515625" style="31" bestFit="1" customWidth="1"/>
    <col min="5912" max="5912" width="38.7109375" style="31" bestFit="1" customWidth="1"/>
    <col min="5913" max="5913" width="22.85546875" style="31" bestFit="1" customWidth="1"/>
    <col min="5914" max="5914" width="31.85546875" style="31" customWidth="1"/>
    <col min="5915" max="5915" width="28" style="31" bestFit="1" customWidth="1"/>
    <col min="5916" max="5916" width="20.7109375" style="31" bestFit="1" customWidth="1"/>
    <col min="5917" max="5917" width="26.7109375" style="31" bestFit="1" customWidth="1"/>
    <col min="5918" max="5918" width="26.85546875" style="31" bestFit="1" customWidth="1"/>
    <col min="5919" max="5919" width="26.7109375" style="31" bestFit="1" customWidth="1"/>
    <col min="5920" max="5920" width="26.85546875" style="31" bestFit="1" customWidth="1"/>
    <col min="5921" max="5921" width="28.85546875" style="31" bestFit="1" customWidth="1"/>
    <col min="5922" max="5922" width="27" style="31" bestFit="1" customWidth="1"/>
    <col min="5923" max="5923" width="23.42578125" style="31" bestFit="1" customWidth="1"/>
    <col min="5924" max="5925" width="31.42578125" style="31" bestFit="1" customWidth="1"/>
    <col min="5926" max="5926" width="31.42578125" style="31" customWidth="1"/>
    <col min="5927" max="5927" width="52.28515625" style="31" customWidth="1"/>
    <col min="5928" max="5928" width="31.42578125" style="31" customWidth="1"/>
    <col min="5929" max="5929" width="26.42578125" style="31" bestFit="1" customWidth="1"/>
    <col min="5930" max="5930" width="29.28515625" style="31" customWidth="1"/>
    <col min="5931" max="5931" width="30.28515625" style="31" customWidth="1"/>
    <col min="5932" max="5932" width="39" style="31" bestFit="1" customWidth="1"/>
    <col min="5933" max="6112" width="9.140625" style="31"/>
    <col min="6113" max="6113" width="17.5703125" style="31" bestFit="1" customWidth="1"/>
    <col min="6114" max="6114" width="25.7109375" style="31" bestFit="1" customWidth="1"/>
    <col min="6115" max="6115" width="22.140625" style="31" bestFit="1" customWidth="1"/>
    <col min="6116" max="6116" width="18.42578125" style="31" bestFit="1" customWidth="1"/>
    <col min="6117" max="6117" width="19.140625" style="31" bestFit="1" customWidth="1"/>
    <col min="6118" max="6118" width="18.42578125" style="31" bestFit="1" customWidth="1"/>
    <col min="6119" max="6119" width="26.42578125" style="31" bestFit="1" customWidth="1"/>
    <col min="6120" max="6120" width="23.85546875" style="31" bestFit="1" customWidth="1"/>
    <col min="6121" max="6121" width="21.42578125" style="31" bestFit="1" customWidth="1"/>
    <col min="6122" max="6122" width="16" style="31" bestFit="1" customWidth="1"/>
    <col min="6123" max="6124" width="23" style="31" customWidth="1"/>
    <col min="6125" max="6125" width="29.28515625" style="31" customWidth="1"/>
    <col min="6126" max="6126" width="30.28515625" style="31" customWidth="1"/>
    <col min="6127" max="6127" width="24.140625" style="31" customWidth="1"/>
    <col min="6128" max="6129" width="23.85546875" style="31" customWidth="1"/>
    <col min="6130" max="6130" width="30.28515625" style="31" customWidth="1"/>
    <col min="6131" max="6136" width="12.7109375" style="31" customWidth="1"/>
    <col min="6137" max="6137" width="33.140625" style="31" customWidth="1"/>
    <col min="6138" max="6138" width="31.5703125" style="31" customWidth="1"/>
    <col min="6139" max="6139" width="33.28515625" style="31" customWidth="1"/>
    <col min="6140" max="6140" width="31.7109375" style="31" customWidth="1"/>
    <col min="6141" max="6141" width="20" style="31" customWidth="1"/>
    <col min="6142" max="6142" width="19.28515625" style="31" bestFit="1" customWidth="1"/>
    <col min="6143" max="6143" width="19.7109375" style="31" bestFit="1" customWidth="1"/>
    <col min="6144" max="6144" width="33.28515625" style="31" bestFit="1" customWidth="1"/>
    <col min="6145" max="6145" width="24.140625" style="31" bestFit="1" customWidth="1"/>
    <col min="6146" max="6146" width="25.28515625" style="31" customWidth="1"/>
    <col min="6147" max="6147" width="24.42578125" style="31" customWidth="1"/>
    <col min="6148" max="6148" width="13.85546875" style="31" bestFit="1" customWidth="1"/>
    <col min="6149" max="6149" width="18.7109375" style="31" bestFit="1" customWidth="1"/>
    <col min="6150" max="6150" width="24.7109375" style="31" bestFit="1" customWidth="1"/>
    <col min="6151" max="6152" width="27.140625" style="31" bestFit="1" customWidth="1"/>
    <col min="6153" max="6153" width="24.7109375" style="31" bestFit="1" customWidth="1"/>
    <col min="6154" max="6156" width="22.42578125" style="31" bestFit="1" customWidth="1"/>
    <col min="6157" max="6157" width="24" style="31" bestFit="1" customWidth="1"/>
    <col min="6158" max="6159" width="41.140625" style="31" bestFit="1" customWidth="1"/>
    <col min="6160" max="6160" width="77.42578125" style="31" bestFit="1" customWidth="1"/>
    <col min="6161" max="6161" width="110.28515625" style="31" bestFit="1" customWidth="1"/>
    <col min="6162" max="6162" width="108.140625" style="31" bestFit="1" customWidth="1"/>
    <col min="6163" max="6163" width="38.28515625" style="31" bestFit="1" customWidth="1"/>
    <col min="6164" max="6164" width="38.7109375" style="31" bestFit="1" customWidth="1"/>
    <col min="6165" max="6165" width="38.28515625" style="31" bestFit="1" customWidth="1"/>
    <col min="6166" max="6166" width="38.7109375" style="31" bestFit="1" customWidth="1"/>
    <col min="6167" max="6167" width="38.28515625" style="31" bestFit="1" customWidth="1"/>
    <col min="6168" max="6168" width="38.7109375" style="31" bestFit="1" customWidth="1"/>
    <col min="6169" max="6169" width="22.85546875" style="31" bestFit="1" customWidth="1"/>
    <col min="6170" max="6170" width="31.85546875" style="31" customWidth="1"/>
    <col min="6171" max="6171" width="28" style="31" bestFit="1" customWidth="1"/>
    <col min="6172" max="6172" width="20.7109375" style="31" bestFit="1" customWidth="1"/>
    <col min="6173" max="6173" width="26.7109375" style="31" bestFit="1" customWidth="1"/>
    <col min="6174" max="6174" width="26.85546875" style="31" bestFit="1" customWidth="1"/>
    <col min="6175" max="6175" width="26.7109375" style="31" bestFit="1" customWidth="1"/>
    <col min="6176" max="6176" width="26.85546875" style="31" bestFit="1" customWidth="1"/>
    <col min="6177" max="6177" width="28.85546875" style="31" bestFit="1" customWidth="1"/>
    <col min="6178" max="6178" width="27" style="31" bestFit="1" customWidth="1"/>
    <col min="6179" max="6179" width="23.42578125" style="31" bestFit="1" customWidth="1"/>
    <col min="6180" max="6181" width="31.42578125" style="31" bestFit="1" customWidth="1"/>
    <col min="6182" max="6182" width="31.42578125" style="31" customWidth="1"/>
    <col min="6183" max="6183" width="52.28515625" style="31" customWidth="1"/>
    <col min="6184" max="6184" width="31.42578125" style="31" customWidth="1"/>
    <col min="6185" max="6185" width="26.42578125" style="31" bestFit="1" customWidth="1"/>
    <col min="6186" max="6186" width="29.28515625" style="31" customWidth="1"/>
    <col min="6187" max="6187" width="30.28515625" style="31" customWidth="1"/>
    <col min="6188" max="6188" width="39" style="31" bestFit="1" customWidth="1"/>
    <col min="6189" max="6368" width="9.140625" style="31"/>
    <col min="6369" max="6369" width="17.5703125" style="31" bestFit="1" customWidth="1"/>
    <col min="6370" max="6370" width="25.7109375" style="31" bestFit="1" customWidth="1"/>
    <col min="6371" max="6371" width="22.140625" style="31" bestFit="1" customWidth="1"/>
    <col min="6372" max="6372" width="18.42578125" style="31" bestFit="1" customWidth="1"/>
    <col min="6373" max="6373" width="19.140625" style="31" bestFit="1" customWidth="1"/>
    <col min="6374" max="6374" width="18.42578125" style="31" bestFit="1" customWidth="1"/>
    <col min="6375" max="6375" width="26.42578125" style="31" bestFit="1" customWidth="1"/>
    <col min="6376" max="6376" width="23.85546875" style="31" bestFit="1" customWidth="1"/>
    <col min="6377" max="6377" width="21.42578125" style="31" bestFit="1" customWidth="1"/>
    <col min="6378" max="6378" width="16" style="31" bestFit="1" customWidth="1"/>
    <col min="6379" max="6380" width="23" style="31" customWidth="1"/>
    <col min="6381" max="6381" width="29.28515625" style="31" customWidth="1"/>
    <col min="6382" max="6382" width="30.28515625" style="31" customWidth="1"/>
    <col min="6383" max="6383" width="24.140625" style="31" customWidth="1"/>
    <col min="6384" max="6385" width="23.85546875" style="31" customWidth="1"/>
    <col min="6386" max="6386" width="30.28515625" style="31" customWidth="1"/>
    <col min="6387" max="6392" width="12.7109375" style="31" customWidth="1"/>
    <col min="6393" max="6393" width="33.140625" style="31" customWidth="1"/>
    <col min="6394" max="6394" width="31.5703125" style="31" customWidth="1"/>
    <col min="6395" max="6395" width="33.28515625" style="31" customWidth="1"/>
    <col min="6396" max="6396" width="31.7109375" style="31" customWidth="1"/>
    <col min="6397" max="6397" width="20" style="31" customWidth="1"/>
    <col min="6398" max="6398" width="19.28515625" style="31" bestFit="1" customWidth="1"/>
    <col min="6399" max="6399" width="19.7109375" style="31" bestFit="1" customWidth="1"/>
    <col min="6400" max="6400" width="33.28515625" style="31" bestFit="1" customWidth="1"/>
    <col min="6401" max="6401" width="24.140625" style="31" bestFit="1" customWidth="1"/>
    <col min="6402" max="6402" width="25.28515625" style="31" customWidth="1"/>
    <col min="6403" max="6403" width="24.42578125" style="31" customWidth="1"/>
    <col min="6404" max="6404" width="13.85546875" style="31" bestFit="1" customWidth="1"/>
    <col min="6405" max="6405" width="18.7109375" style="31" bestFit="1" customWidth="1"/>
    <col min="6406" max="6406" width="24.7109375" style="31" bestFit="1" customWidth="1"/>
    <col min="6407" max="6408" width="27.140625" style="31" bestFit="1" customWidth="1"/>
    <col min="6409" max="6409" width="24.7109375" style="31" bestFit="1" customWidth="1"/>
    <col min="6410" max="6412" width="22.42578125" style="31" bestFit="1" customWidth="1"/>
    <col min="6413" max="6413" width="24" style="31" bestFit="1" customWidth="1"/>
    <col min="6414" max="6415" width="41.140625" style="31" bestFit="1" customWidth="1"/>
    <col min="6416" max="6416" width="77.42578125" style="31" bestFit="1" customWidth="1"/>
    <col min="6417" max="6417" width="110.28515625" style="31" bestFit="1" customWidth="1"/>
    <col min="6418" max="6418" width="108.140625" style="31" bestFit="1" customWidth="1"/>
    <col min="6419" max="6419" width="38.28515625" style="31" bestFit="1" customWidth="1"/>
    <col min="6420" max="6420" width="38.7109375" style="31" bestFit="1" customWidth="1"/>
    <col min="6421" max="6421" width="38.28515625" style="31" bestFit="1" customWidth="1"/>
    <col min="6422" max="6422" width="38.7109375" style="31" bestFit="1" customWidth="1"/>
    <col min="6423" max="6423" width="38.28515625" style="31" bestFit="1" customWidth="1"/>
    <col min="6424" max="6424" width="38.7109375" style="31" bestFit="1" customWidth="1"/>
    <col min="6425" max="6425" width="22.85546875" style="31" bestFit="1" customWidth="1"/>
    <col min="6426" max="6426" width="31.85546875" style="31" customWidth="1"/>
    <col min="6427" max="6427" width="28" style="31" bestFit="1" customWidth="1"/>
    <col min="6428" max="6428" width="20.7109375" style="31" bestFit="1" customWidth="1"/>
    <col min="6429" max="6429" width="26.7109375" style="31" bestFit="1" customWidth="1"/>
    <col min="6430" max="6430" width="26.85546875" style="31" bestFit="1" customWidth="1"/>
    <col min="6431" max="6431" width="26.7109375" style="31" bestFit="1" customWidth="1"/>
    <col min="6432" max="6432" width="26.85546875" style="31" bestFit="1" customWidth="1"/>
    <col min="6433" max="6433" width="28.85546875" style="31" bestFit="1" customWidth="1"/>
    <col min="6434" max="6434" width="27" style="31" bestFit="1" customWidth="1"/>
    <col min="6435" max="6435" width="23.42578125" style="31" bestFit="1" customWidth="1"/>
    <col min="6436" max="6437" width="31.42578125" style="31" bestFit="1" customWidth="1"/>
    <col min="6438" max="6438" width="31.42578125" style="31" customWidth="1"/>
    <col min="6439" max="6439" width="52.28515625" style="31" customWidth="1"/>
    <col min="6440" max="6440" width="31.42578125" style="31" customWidth="1"/>
    <col min="6441" max="6441" width="26.42578125" style="31" bestFit="1" customWidth="1"/>
    <col min="6442" max="6442" width="29.28515625" style="31" customWidth="1"/>
    <col min="6443" max="6443" width="30.28515625" style="31" customWidth="1"/>
    <col min="6444" max="6444" width="39" style="31" bestFit="1" customWidth="1"/>
    <col min="6445" max="6624" width="9.140625" style="31"/>
    <col min="6625" max="6625" width="17.5703125" style="31" bestFit="1" customWidth="1"/>
    <col min="6626" max="6626" width="25.7109375" style="31" bestFit="1" customWidth="1"/>
    <col min="6627" max="6627" width="22.140625" style="31" bestFit="1" customWidth="1"/>
    <col min="6628" max="6628" width="18.42578125" style="31" bestFit="1" customWidth="1"/>
    <col min="6629" max="6629" width="19.140625" style="31" bestFit="1" customWidth="1"/>
    <col min="6630" max="6630" width="18.42578125" style="31" bestFit="1" customWidth="1"/>
    <col min="6631" max="6631" width="26.42578125" style="31" bestFit="1" customWidth="1"/>
    <col min="6632" max="6632" width="23.85546875" style="31" bestFit="1" customWidth="1"/>
    <col min="6633" max="6633" width="21.42578125" style="31" bestFit="1" customWidth="1"/>
    <col min="6634" max="6634" width="16" style="31" bestFit="1" customWidth="1"/>
    <col min="6635" max="6636" width="23" style="31" customWidth="1"/>
    <col min="6637" max="6637" width="29.28515625" style="31" customWidth="1"/>
    <col min="6638" max="6638" width="30.28515625" style="31" customWidth="1"/>
    <col min="6639" max="6639" width="24.140625" style="31" customWidth="1"/>
    <col min="6640" max="6641" width="23.85546875" style="31" customWidth="1"/>
    <col min="6642" max="6642" width="30.28515625" style="31" customWidth="1"/>
    <col min="6643" max="6648" width="12.7109375" style="31" customWidth="1"/>
    <col min="6649" max="6649" width="33.140625" style="31" customWidth="1"/>
    <col min="6650" max="6650" width="31.5703125" style="31" customWidth="1"/>
    <col min="6651" max="6651" width="33.28515625" style="31" customWidth="1"/>
    <col min="6652" max="6652" width="31.7109375" style="31" customWidth="1"/>
    <col min="6653" max="6653" width="20" style="31" customWidth="1"/>
    <col min="6654" max="6654" width="19.28515625" style="31" bestFit="1" customWidth="1"/>
    <col min="6655" max="6655" width="19.7109375" style="31" bestFit="1" customWidth="1"/>
    <col min="6656" max="6656" width="33.28515625" style="31" bestFit="1" customWidth="1"/>
    <col min="6657" max="6657" width="24.140625" style="31" bestFit="1" customWidth="1"/>
    <col min="6658" max="6658" width="25.28515625" style="31" customWidth="1"/>
    <col min="6659" max="6659" width="24.42578125" style="31" customWidth="1"/>
    <col min="6660" max="6660" width="13.85546875" style="31" bestFit="1" customWidth="1"/>
    <col min="6661" max="6661" width="18.7109375" style="31" bestFit="1" customWidth="1"/>
    <col min="6662" max="6662" width="24.7109375" style="31" bestFit="1" customWidth="1"/>
    <col min="6663" max="6664" width="27.140625" style="31" bestFit="1" customWidth="1"/>
    <col min="6665" max="6665" width="24.7109375" style="31" bestFit="1" customWidth="1"/>
    <col min="6666" max="6668" width="22.42578125" style="31" bestFit="1" customWidth="1"/>
    <col min="6669" max="6669" width="24" style="31" bestFit="1" customWidth="1"/>
    <col min="6670" max="6671" width="41.140625" style="31" bestFit="1" customWidth="1"/>
    <col min="6672" max="6672" width="77.42578125" style="31" bestFit="1" customWidth="1"/>
    <col min="6673" max="6673" width="110.28515625" style="31" bestFit="1" customWidth="1"/>
    <col min="6674" max="6674" width="108.140625" style="31" bestFit="1" customWidth="1"/>
    <col min="6675" max="6675" width="38.28515625" style="31" bestFit="1" customWidth="1"/>
    <col min="6676" max="6676" width="38.7109375" style="31" bestFit="1" customWidth="1"/>
    <col min="6677" max="6677" width="38.28515625" style="31" bestFit="1" customWidth="1"/>
    <col min="6678" max="6678" width="38.7109375" style="31" bestFit="1" customWidth="1"/>
    <col min="6679" max="6679" width="38.28515625" style="31" bestFit="1" customWidth="1"/>
    <col min="6680" max="6680" width="38.7109375" style="31" bestFit="1" customWidth="1"/>
    <col min="6681" max="6681" width="22.85546875" style="31" bestFit="1" customWidth="1"/>
    <col min="6682" max="6682" width="31.85546875" style="31" customWidth="1"/>
    <col min="6683" max="6683" width="28" style="31" bestFit="1" customWidth="1"/>
    <col min="6684" max="6684" width="20.7109375" style="31" bestFit="1" customWidth="1"/>
    <col min="6685" max="6685" width="26.7109375" style="31" bestFit="1" customWidth="1"/>
    <col min="6686" max="6686" width="26.85546875" style="31" bestFit="1" customWidth="1"/>
    <col min="6687" max="6687" width="26.7109375" style="31" bestFit="1" customWidth="1"/>
    <col min="6688" max="6688" width="26.85546875" style="31" bestFit="1" customWidth="1"/>
    <col min="6689" max="6689" width="28.85546875" style="31" bestFit="1" customWidth="1"/>
    <col min="6690" max="6690" width="27" style="31" bestFit="1" customWidth="1"/>
    <col min="6691" max="6691" width="23.42578125" style="31" bestFit="1" customWidth="1"/>
    <col min="6692" max="6693" width="31.42578125" style="31" bestFit="1" customWidth="1"/>
    <col min="6694" max="6694" width="31.42578125" style="31" customWidth="1"/>
    <col min="6695" max="6695" width="52.28515625" style="31" customWidth="1"/>
    <col min="6696" max="6696" width="31.42578125" style="31" customWidth="1"/>
    <col min="6697" max="6697" width="26.42578125" style="31" bestFit="1" customWidth="1"/>
    <col min="6698" max="6698" width="29.28515625" style="31" customWidth="1"/>
    <col min="6699" max="6699" width="30.28515625" style="31" customWidth="1"/>
    <col min="6700" max="6700" width="39" style="31" bestFit="1" customWidth="1"/>
    <col min="6701" max="6880" width="9.140625" style="31"/>
    <col min="6881" max="6881" width="17.5703125" style="31" bestFit="1" customWidth="1"/>
    <col min="6882" max="6882" width="25.7109375" style="31" bestFit="1" customWidth="1"/>
    <col min="6883" max="6883" width="22.140625" style="31" bestFit="1" customWidth="1"/>
    <col min="6884" max="6884" width="18.42578125" style="31" bestFit="1" customWidth="1"/>
    <col min="6885" max="6885" width="19.140625" style="31" bestFit="1" customWidth="1"/>
    <col min="6886" max="6886" width="18.42578125" style="31" bestFit="1" customWidth="1"/>
    <col min="6887" max="6887" width="26.42578125" style="31" bestFit="1" customWidth="1"/>
    <col min="6888" max="6888" width="23.85546875" style="31" bestFit="1" customWidth="1"/>
    <col min="6889" max="6889" width="21.42578125" style="31" bestFit="1" customWidth="1"/>
    <col min="6890" max="6890" width="16" style="31" bestFit="1" customWidth="1"/>
    <col min="6891" max="6892" width="23" style="31" customWidth="1"/>
    <col min="6893" max="6893" width="29.28515625" style="31" customWidth="1"/>
    <col min="6894" max="6894" width="30.28515625" style="31" customWidth="1"/>
    <col min="6895" max="6895" width="24.140625" style="31" customWidth="1"/>
    <col min="6896" max="6897" width="23.85546875" style="31" customWidth="1"/>
    <col min="6898" max="6898" width="30.28515625" style="31" customWidth="1"/>
    <col min="6899" max="6904" width="12.7109375" style="31" customWidth="1"/>
    <col min="6905" max="6905" width="33.140625" style="31" customWidth="1"/>
    <col min="6906" max="6906" width="31.5703125" style="31" customWidth="1"/>
    <col min="6907" max="6907" width="33.28515625" style="31" customWidth="1"/>
    <col min="6908" max="6908" width="31.7109375" style="31" customWidth="1"/>
    <col min="6909" max="6909" width="20" style="31" customWidth="1"/>
    <col min="6910" max="6910" width="19.28515625" style="31" bestFit="1" customWidth="1"/>
    <col min="6911" max="6911" width="19.7109375" style="31" bestFit="1" customWidth="1"/>
    <col min="6912" max="6912" width="33.28515625" style="31" bestFit="1" customWidth="1"/>
    <col min="6913" max="6913" width="24.140625" style="31" bestFit="1" customWidth="1"/>
    <col min="6914" max="6914" width="25.28515625" style="31" customWidth="1"/>
    <col min="6915" max="6915" width="24.42578125" style="31" customWidth="1"/>
    <col min="6916" max="6916" width="13.85546875" style="31" bestFit="1" customWidth="1"/>
    <col min="6917" max="6917" width="18.7109375" style="31" bestFit="1" customWidth="1"/>
    <col min="6918" max="6918" width="24.7109375" style="31" bestFit="1" customWidth="1"/>
    <col min="6919" max="6920" width="27.140625" style="31" bestFit="1" customWidth="1"/>
    <col min="6921" max="6921" width="24.7109375" style="31" bestFit="1" customWidth="1"/>
    <col min="6922" max="6924" width="22.42578125" style="31" bestFit="1" customWidth="1"/>
    <col min="6925" max="6925" width="24" style="31" bestFit="1" customWidth="1"/>
    <col min="6926" max="6927" width="41.140625" style="31" bestFit="1" customWidth="1"/>
    <col min="6928" max="6928" width="77.42578125" style="31" bestFit="1" customWidth="1"/>
    <col min="6929" max="6929" width="110.28515625" style="31" bestFit="1" customWidth="1"/>
    <col min="6930" max="6930" width="108.140625" style="31" bestFit="1" customWidth="1"/>
    <col min="6931" max="6931" width="38.28515625" style="31" bestFit="1" customWidth="1"/>
    <col min="6932" max="6932" width="38.7109375" style="31" bestFit="1" customWidth="1"/>
    <col min="6933" max="6933" width="38.28515625" style="31" bestFit="1" customWidth="1"/>
    <col min="6934" max="6934" width="38.7109375" style="31" bestFit="1" customWidth="1"/>
    <col min="6935" max="6935" width="38.28515625" style="31" bestFit="1" customWidth="1"/>
    <col min="6936" max="6936" width="38.7109375" style="31" bestFit="1" customWidth="1"/>
    <col min="6937" max="6937" width="22.85546875" style="31" bestFit="1" customWidth="1"/>
    <col min="6938" max="6938" width="31.85546875" style="31" customWidth="1"/>
    <col min="6939" max="6939" width="28" style="31" bestFit="1" customWidth="1"/>
    <col min="6940" max="6940" width="20.7109375" style="31" bestFit="1" customWidth="1"/>
    <col min="6941" max="6941" width="26.7109375" style="31" bestFit="1" customWidth="1"/>
    <col min="6942" max="6942" width="26.85546875" style="31" bestFit="1" customWidth="1"/>
    <col min="6943" max="6943" width="26.7109375" style="31" bestFit="1" customWidth="1"/>
    <col min="6944" max="6944" width="26.85546875" style="31" bestFit="1" customWidth="1"/>
    <col min="6945" max="6945" width="28.85546875" style="31" bestFit="1" customWidth="1"/>
    <col min="6946" max="6946" width="27" style="31" bestFit="1" customWidth="1"/>
    <col min="6947" max="6947" width="23.42578125" style="31" bestFit="1" customWidth="1"/>
    <col min="6948" max="6949" width="31.42578125" style="31" bestFit="1" customWidth="1"/>
    <col min="6950" max="6950" width="31.42578125" style="31" customWidth="1"/>
    <col min="6951" max="6951" width="52.28515625" style="31" customWidth="1"/>
    <col min="6952" max="6952" width="31.42578125" style="31" customWidth="1"/>
    <col min="6953" max="6953" width="26.42578125" style="31" bestFit="1" customWidth="1"/>
    <col min="6954" max="6954" width="29.28515625" style="31" customWidth="1"/>
    <col min="6955" max="6955" width="30.28515625" style="31" customWidth="1"/>
    <col min="6956" max="6956" width="39" style="31" bestFit="1" customWidth="1"/>
    <col min="6957" max="7136" width="9.140625" style="31"/>
    <col min="7137" max="7137" width="17.5703125" style="31" bestFit="1" customWidth="1"/>
    <col min="7138" max="7138" width="25.7109375" style="31" bestFit="1" customWidth="1"/>
    <col min="7139" max="7139" width="22.140625" style="31" bestFit="1" customWidth="1"/>
    <col min="7140" max="7140" width="18.42578125" style="31" bestFit="1" customWidth="1"/>
    <col min="7141" max="7141" width="19.140625" style="31" bestFit="1" customWidth="1"/>
    <col min="7142" max="7142" width="18.42578125" style="31" bestFit="1" customWidth="1"/>
    <col min="7143" max="7143" width="26.42578125" style="31" bestFit="1" customWidth="1"/>
    <col min="7144" max="7144" width="23.85546875" style="31" bestFit="1" customWidth="1"/>
    <col min="7145" max="7145" width="21.42578125" style="31" bestFit="1" customWidth="1"/>
    <col min="7146" max="7146" width="16" style="31" bestFit="1" customWidth="1"/>
    <col min="7147" max="7148" width="23" style="31" customWidth="1"/>
    <col min="7149" max="7149" width="29.28515625" style="31" customWidth="1"/>
    <col min="7150" max="7150" width="30.28515625" style="31" customWidth="1"/>
    <col min="7151" max="7151" width="24.140625" style="31" customWidth="1"/>
    <col min="7152" max="7153" width="23.85546875" style="31" customWidth="1"/>
    <col min="7154" max="7154" width="30.28515625" style="31" customWidth="1"/>
    <col min="7155" max="7160" width="12.7109375" style="31" customWidth="1"/>
    <col min="7161" max="7161" width="33.140625" style="31" customWidth="1"/>
    <col min="7162" max="7162" width="31.5703125" style="31" customWidth="1"/>
    <col min="7163" max="7163" width="33.28515625" style="31" customWidth="1"/>
    <col min="7164" max="7164" width="31.7109375" style="31" customWidth="1"/>
    <col min="7165" max="7165" width="20" style="31" customWidth="1"/>
    <col min="7166" max="7166" width="19.28515625" style="31" bestFit="1" customWidth="1"/>
    <col min="7167" max="7167" width="19.7109375" style="31" bestFit="1" customWidth="1"/>
    <col min="7168" max="7168" width="33.28515625" style="31" bestFit="1" customWidth="1"/>
    <col min="7169" max="7169" width="24.140625" style="31" bestFit="1" customWidth="1"/>
    <col min="7170" max="7170" width="25.28515625" style="31" customWidth="1"/>
    <col min="7171" max="7171" width="24.42578125" style="31" customWidth="1"/>
    <col min="7172" max="7172" width="13.85546875" style="31" bestFit="1" customWidth="1"/>
    <col min="7173" max="7173" width="18.7109375" style="31" bestFit="1" customWidth="1"/>
    <col min="7174" max="7174" width="24.7109375" style="31" bestFit="1" customWidth="1"/>
    <col min="7175" max="7176" width="27.140625" style="31" bestFit="1" customWidth="1"/>
    <col min="7177" max="7177" width="24.7109375" style="31" bestFit="1" customWidth="1"/>
    <col min="7178" max="7180" width="22.42578125" style="31" bestFit="1" customWidth="1"/>
    <col min="7181" max="7181" width="24" style="31" bestFit="1" customWidth="1"/>
    <col min="7182" max="7183" width="41.140625" style="31" bestFit="1" customWidth="1"/>
    <col min="7184" max="7184" width="77.42578125" style="31" bestFit="1" customWidth="1"/>
    <col min="7185" max="7185" width="110.28515625" style="31" bestFit="1" customWidth="1"/>
    <col min="7186" max="7186" width="108.140625" style="31" bestFit="1" customWidth="1"/>
    <col min="7187" max="7187" width="38.28515625" style="31" bestFit="1" customWidth="1"/>
    <col min="7188" max="7188" width="38.7109375" style="31" bestFit="1" customWidth="1"/>
    <col min="7189" max="7189" width="38.28515625" style="31" bestFit="1" customWidth="1"/>
    <col min="7190" max="7190" width="38.7109375" style="31" bestFit="1" customWidth="1"/>
    <col min="7191" max="7191" width="38.28515625" style="31" bestFit="1" customWidth="1"/>
    <col min="7192" max="7192" width="38.7109375" style="31" bestFit="1" customWidth="1"/>
    <col min="7193" max="7193" width="22.85546875" style="31" bestFit="1" customWidth="1"/>
    <col min="7194" max="7194" width="31.85546875" style="31" customWidth="1"/>
    <col min="7195" max="7195" width="28" style="31" bestFit="1" customWidth="1"/>
    <col min="7196" max="7196" width="20.7109375" style="31" bestFit="1" customWidth="1"/>
    <col min="7197" max="7197" width="26.7109375" style="31" bestFit="1" customWidth="1"/>
    <col min="7198" max="7198" width="26.85546875" style="31" bestFit="1" customWidth="1"/>
    <col min="7199" max="7199" width="26.7109375" style="31" bestFit="1" customWidth="1"/>
    <col min="7200" max="7200" width="26.85546875" style="31" bestFit="1" customWidth="1"/>
    <col min="7201" max="7201" width="28.85546875" style="31" bestFit="1" customWidth="1"/>
    <col min="7202" max="7202" width="27" style="31" bestFit="1" customWidth="1"/>
    <col min="7203" max="7203" width="23.42578125" style="31" bestFit="1" customWidth="1"/>
    <col min="7204" max="7205" width="31.42578125" style="31" bestFit="1" customWidth="1"/>
    <col min="7206" max="7206" width="31.42578125" style="31" customWidth="1"/>
    <col min="7207" max="7207" width="52.28515625" style="31" customWidth="1"/>
    <col min="7208" max="7208" width="31.42578125" style="31" customWidth="1"/>
    <col min="7209" max="7209" width="26.42578125" style="31" bestFit="1" customWidth="1"/>
    <col min="7210" max="7210" width="29.28515625" style="31" customWidth="1"/>
    <col min="7211" max="7211" width="30.28515625" style="31" customWidth="1"/>
    <col min="7212" max="7212" width="39" style="31" bestFit="1" customWidth="1"/>
    <col min="7213" max="7392" width="9.140625" style="31"/>
    <col min="7393" max="7393" width="17.5703125" style="31" bestFit="1" customWidth="1"/>
    <col min="7394" max="7394" width="25.7109375" style="31" bestFit="1" customWidth="1"/>
    <col min="7395" max="7395" width="22.140625" style="31" bestFit="1" customWidth="1"/>
    <col min="7396" max="7396" width="18.42578125" style="31" bestFit="1" customWidth="1"/>
    <col min="7397" max="7397" width="19.140625" style="31" bestFit="1" customWidth="1"/>
    <col min="7398" max="7398" width="18.42578125" style="31" bestFit="1" customWidth="1"/>
    <col min="7399" max="7399" width="26.42578125" style="31" bestFit="1" customWidth="1"/>
    <col min="7400" max="7400" width="23.85546875" style="31" bestFit="1" customWidth="1"/>
    <col min="7401" max="7401" width="21.42578125" style="31" bestFit="1" customWidth="1"/>
    <col min="7402" max="7402" width="16" style="31" bestFit="1" customWidth="1"/>
    <col min="7403" max="7404" width="23" style="31" customWidth="1"/>
    <col min="7405" max="7405" width="29.28515625" style="31" customWidth="1"/>
    <col min="7406" max="7406" width="30.28515625" style="31" customWidth="1"/>
    <col min="7407" max="7407" width="24.140625" style="31" customWidth="1"/>
    <col min="7408" max="7409" width="23.85546875" style="31" customWidth="1"/>
    <col min="7410" max="7410" width="30.28515625" style="31" customWidth="1"/>
    <col min="7411" max="7416" width="12.7109375" style="31" customWidth="1"/>
    <col min="7417" max="7417" width="33.140625" style="31" customWidth="1"/>
    <col min="7418" max="7418" width="31.5703125" style="31" customWidth="1"/>
    <col min="7419" max="7419" width="33.28515625" style="31" customWidth="1"/>
    <col min="7420" max="7420" width="31.7109375" style="31" customWidth="1"/>
    <col min="7421" max="7421" width="20" style="31" customWidth="1"/>
    <col min="7422" max="7422" width="19.28515625" style="31" bestFit="1" customWidth="1"/>
    <col min="7423" max="7423" width="19.7109375" style="31" bestFit="1" customWidth="1"/>
    <col min="7424" max="7424" width="33.28515625" style="31" bestFit="1" customWidth="1"/>
    <col min="7425" max="7425" width="24.140625" style="31" bestFit="1" customWidth="1"/>
    <col min="7426" max="7426" width="25.28515625" style="31" customWidth="1"/>
    <col min="7427" max="7427" width="24.42578125" style="31" customWidth="1"/>
    <col min="7428" max="7428" width="13.85546875" style="31" bestFit="1" customWidth="1"/>
    <col min="7429" max="7429" width="18.7109375" style="31" bestFit="1" customWidth="1"/>
    <col min="7430" max="7430" width="24.7109375" style="31" bestFit="1" customWidth="1"/>
    <col min="7431" max="7432" width="27.140625" style="31" bestFit="1" customWidth="1"/>
    <col min="7433" max="7433" width="24.7109375" style="31" bestFit="1" customWidth="1"/>
    <col min="7434" max="7436" width="22.42578125" style="31" bestFit="1" customWidth="1"/>
    <col min="7437" max="7437" width="24" style="31" bestFit="1" customWidth="1"/>
    <col min="7438" max="7439" width="41.140625" style="31" bestFit="1" customWidth="1"/>
    <col min="7440" max="7440" width="77.42578125" style="31" bestFit="1" customWidth="1"/>
    <col min="7441" max="7441" width="110.28515625" style="31" bestFit="1" customWidth="1"/>
    <col min="7442" max="7442" width="108.140625" style="31" bestFit="1" customWidth="1"/>
    <col min="7443" max="7443" width="38.28515625" style="31" bestFit="1" customWidth="1"/>
    <col min="7444" max="7444" width="38.7109375" style="31" bestFit="1" customWidth="1"/>
    <col min="7445" max="7445" width="38.28515625" style="31" bestFit="1" customWidth="1"/>
    <col min="7446" max="7446" width="38.7109375" style="31" bestFit="1" customWidth="1"/>
    <col min="7447" max="7447" width="38.28515625" style="31" bestFit="1" customWidth="1"/>
    <col min="7448" max="7448" width="38.7109375" style="31" bestFit="1" customWidth="1"/>
    <col min="7449" max="7449" width="22.85546875" style="31" bestFit="1" customWidth="1"/>
    <col min="7450" max="7450" width="31.85546875" style="31" customWidth="1"/>
    <col min="7451" max="7451" width="28" style="31" bestFit="1" customWidth="1"/>
    <col min="7452" max="7452" width="20.7109375" style="31" bestFit="1" customWidth="1"/>
    <col min="7453" max="7453" width="26.7109375" style="31" bestFit="1" customWidth="1"/>
    <col min="7454" max="7454" width="26.85546875" style="31" bestFit="1" customWidth="1"/>
    <col min="7455" max="7455" width="26.7109375" style="31" bestFit="1" customWidth="1"/>
    <col min="7456" max="7456" width="26.85546875" style="31" bestFit="1" customWidth="1"/>
    <col min="7457" max="7457" width="28.85546875" style="31" bestFit="1" customWidth="1"/>
    <col min="7458" max="7458" width="27" style="31" bestFit="1" customWidth="1"/>
    <col min="7459" max="7459" width="23.42578125" style="31" bestFit="1" customWidth="1"/>
    <col min="7460" max="7461" width="31.42578125" style="31" bestFit="1" customWidth="1"/>
    <col min="7462" max="7462" width="31.42578125" style="31" customWidth="1"/>
    <col min="7463" max="7463" width="52.28515625" style="31" customWidth="1"/>
    <col min="7464" max="7464" width="31.42578125" style="31" customWidth="1"/>
    <col min="7465" max="7465" width="26.42578125" style="31" bestFit="1" customWidth="1"/>
    <col min="7466" max="7466" width="29.28515625" style="31" customWidth="1"/>
    <col min="7467" max="7467" width="30.28515625" style="31" customWidth="1"/>
    <col min="7468" max="7468" width="39" style="31" bestFit="1" customWidth="1"/>
    <col min="7469" max="7648" width="9.140625" style="31"/>
    <col min="7649" max="7649" width="17.5703125" style="31" bestFit="1" customWidth="1"/>
    <col min="7650" max="7650" width="25.7109375" style="31" bestFit="1" customWidth="1"/>
    <col min="7651" max="7651" width="22.140625" style="31" bestFit="1" customWidth="1"/>
    <col min="7652" max="7652" width="18.42578125" style="31" bestFit="1" customWidth="1"/>
    <col min="7653" max="7653" width="19.140625" style="31" bestFit="1" customWidth="1"/>
    <col min="7654" max="7654" width="18.42578125" style="31" bestFit="1" customWidth="1"/>
    <col min="7655" max="7655" width="26.42578125" style="31" bestFit="1" customWidth="1"/>
    <col min="7656" max="7656" width="23.85546875" style="31" bestFit="1" customWidth="1"/>
    <col min="7657" max="7657" width="21.42578125" style="31" bestFit="1" customWidth="1"/>
    <col min="7658" max="7658" width="16" style="31" bestFit="1" customWidth="1"/>
    <col min="7659" max="7660" width="23" style="31" customWidth="1"/>
    <col min="7661" max="7661" width="29.28515625" style="31" customWidth="1"/>
    <col min="7662" max="7662" width="30.28515625" style="31" customWidth="1"/>
    <col min="7663" max="7663" width="24.140625" style="31" customWidth="1"/>
    <col min="7664" max="7665" width="23.85546875" style="31" customWidth="1"/>
    <col min="7666" max="7666" width="30.28515625" style="31" customWidth="1"/>
    <col min="7667" max="7672" width="12.7109375" style="31" customWidth="1"/>
    <col min="7673" max="7673" width="33.140625" style="31" customWidth="1"/>
    <col min="7674" max="7674" width="31.5703125" style="31" customWidth="1"/>
    <col min="7675" max="7675" width="33.28515625" style="31" customWidth="1"/>
    <col min="7676" max="7676" width="31.7109375" style="31" customWidth="1"/>
    <col min="7677" max="7677" width="20" style="31" customWidth="1"/>
    <col min="7678" max="7678" width="19.28515625" style="31" bestFit="1" customWidth="1"/>
    <col min="7679" max="7679" width="19.7109375" style="31" bestFit="1" customWidth="1"/>
    <col min="7680" max="7680" width="33.28515625" style="31" bestFit="1" customWidth="1"/>
    <col min="7681" max="7681" width="24.140625" style="31" bestFit="1" customWidth="1"/>
    <col min="7682" max="7682" width="25.28515625" style="31" customWidth="1"/>
    <col min="7683" max="7683" width="24.42578125" style="31" customWidth="1"/>
    <col min="7684" max="7684" width="13.85546875" style="31" bestFit="1" customWidth="1"/>
    <col min="7685" max="7685" width="18.7109375" style="31" bestFit="1" customWidth="1"/>
    <col min="7686" max="7686" width="24.7109375" style="31" bestFit="1" customWidth="1"/>
    <col min="7687" max="7688" width="27.140625" style="31" bestFit="1" customWidth="1"/>
    <col min="7689" max="7689" width="24.7109375" style="31" bestFit="1" customWidth="1"/>
    <col min="7690" max="7692" width="22.42578125" style="31" bestFit="1" customWidth="1"/>
    <col min="7693" max="7693" width="24" style="31" bestFit="1" customWidth="1"/>
    <col min="7694" max="7695" width="41.140625" style="31" bestFit="1" customWidth="1"/>
    <col min="7696" max="7696" width="77.42578125" style="31" bestFit="1" customWidth="1"/>
    <col min="7697" max="7697" width="110.28515625" style="31" bestFit="1" customWidth="1"/>
    <col min="7698" max="7698" width="108.140625" style="31" bestFit="1" customWidth="1"/>
    <col min="7699" max="7699" width="38.28515625" style="31" bestFit="1" customWidth="1"/>
    <col min="7700" max="7700" width="38.7109375" style="31" bestFit="1" customWidth="1"/>
    <col min="7701" max="7701" width="38.28515625" style="31" bestFit="1" customWidth="1"/>
    <col min="7702" max="7702" width="38.7109375" style="31" bestFit="1" customWidth="1"/>
    <col min="7703" max="7703" width="38.28515625" style="31" bestFit="1" customWidth="1"/>
    <col min="7704" max="7704" width="38.7109375" style="31" bestFit="1" customWidth="1"/>
    <col min="7705" max="7705" width="22.85546875" style="31" bestFit="1" customWidth="1"/>
    <col min="7706" max="7706" width="31.85546875" style="31" customWidth="1"/>
    <col min="7707" max="7707" width="28" style="31" bestFit="1" customWidth="1"/>
    <col min="7708" max="7708" width="20.7109375" style="31" bestFit="1" customWidth="1"/>
    <col min="7709" max="7709" width="26.7109375" style="31" bestFit="1" customWidth="1"/>
    <col min="7710" max="7710" width="26.85546875" style="31" bestFit="1" customWidth="1"/>
    <col min="7711" max="7711" width="26.7109375" style="31" bestFit="1" customWidth="1"/>
    <col min="7712" max="7712" width="26.85546875" style="31" bestFit="1" customWidth="1"/>
    <col min="7713" max="7713" width="28.85546875" style="31" bestFit="1" customWidth="1"/>
    <col min="7714" max="7714" width="27" style="31" bestFit="1" customWidth="1"/>
    <col min="7715" max="7715" width="23.42578125" style="31" bestFit="1" customWidth="1"/>
    <col min="7716" max="7717" width="31.42578125" style="31" bestFit="1" customWidth="1"/>
    <col min="7718" max="7718" width="31.42578125" style="31" customWidth="1"/>
    <col min="7719" max="7719" width="52.28515625" style="31" customWidth="1"/>
    <col min="7720" max="7720" width="31.42578125" style="31" customWidth="1"/>
    <col min="7721" max="7721" width="26.42578125" style="31" bestFit="1" customWidth="1"/>
    <col min="7722" max="7722" width="29.28515625" style="31" customWidth="1"/>
    <col min="7723" max="7723" width="30.28515625" style="31" customWidth="1"/>
    <col min="7724" max="7724" width="39" style="31" bestFit="1" customWidth="1"/>
    <col min="7725" max="7904" width="9.140625" style="31"/>
    <col min="7905" max="7905" width="17.5703125" style="31" bestFit="1" customWidth="1"/>
    <col min="7906" max="7906" width="25.7109375" style="31" bestFit="1" customWidth="1"/>
    <col min="7907" max="7907" width="22.140625" style="31" bestFit="1" customWidth="1"/>
    <col min="7908" max="7908" width="18.42578125" style="31" bestFit="1" customWidth="1"/>
    <col min="7909" max="7909" width="19.140625" style="31" bestFit="1" customWidth="1"/>
    <col min="7910" max="7910" width="18.42578125" style="31" bestFit="1" customWidth="1"/>
    <col min="7911" max="7911" width="26.42578125" style="31" bestFit="1" customWidth="1"/>
    <col min="7912" max="7912" width="23.85546875" style="31" bestFit="1" customWidth="1"/>
    <col min="7913" max="7913" width="21.42578125" style="31" bestFit="1" customWidth="1"/>
    <col min="7914" max="7914" width="16" style="31" bestFit="1" customWidth="1"/>
    <col min="7915" max="7916" width="23" style="31" customWidth="1"/>
    <col min="7917" max="7917" width="29.28515625" style="31" customWidth="1"/>
    <col min="7918" max="7918" width="30.28515625" style="31" customWidth="1"/>
    <col min="7919" max="7919" width="24.140625" style="31" customWidth="1"/>
    <col min="7920" max="7921" width="23.85546875" style="31" customWidth="1"/>
    <col min="7922" max="7922" width="30.28515625" style="31" customWidth="1"/>
    <col min="7923" max="7928" width="12.7109375" style="31" customWidth="1"/>
    <col min="7929" max="7929" width="33.140625" style="31" customWidth="1"/>
    <col min="7930" max="7930" width="31.5703125" style="31" customWidth="1"/>
    <col min="7931" max="7931" width="33.28515625" style="31" customWidth="1"/>
    <col min="7932" max="7932" width="31.7109375" style="31" customWidth="1"/>
    <col min="7933" max="7933" width="20" style="31" customWidth="1"/>
    <col min="7934" max="7934" width="19.28515625" style="31" bestFit="1" customWidth="1"/>
    <col min="7935" max="7935" width="19.7109375" style="31" bestFit="1" customWidth="1"/>
    <col min="7936" max="7936" width="33.28515625" style="31" bestFit="1" customWidth="1"/>
    <col min="7937" max="7937" width="24.140625" style="31" bestFit="1" customWidth="1"/>
    <col min="7938" max="7938" width="25.28515625" style="31" customWidth="1"/>
    <col min="7939" max="7939" width="24.42578125" style="31" customWidth="1"/>
    <col min="7940" max="7940" width="13.85546875" style="31" bestFit="1" customWidth="1"/>
    <col min="7941" max="7941" width="18.7109375" style="31" bestFit="1" customWidth="1"/>
    <col min="7942" max="7942" width="24.7109375" style="31" bestFit="1" customWidth="1"/>
    <col min="7943" max="7944" width="27.140625" style="31" bestFit="1" customWidth="1"/>
    <col min="7945" max="7945" width="24.7109375" style="31" bestFit="1" customWidth="1"/>
    <col min="7946" max="7948" width="22.42578125" style="31" bestFit="1" customWidth="1"/>
    <col min="7949" max="7949" width="24" style="31" bestFit="1" customWidth="1"/>
    <col min="7950" max="7951" width="41.140625" style="31" bestFit="1" customWidth="1"/>
    <col min="7952" max="7952" width="77.42578125" style="31" bestFit="1" customWidth="1"/>
    <col min="7953" max="7953" width="110.28515625" style="31" bestFit="1" customWidth="1"/>
    <col min="7954" max="7954" width="108.140625" style="31" bestFit="1" customWidth="1"/>
    <col min="7955" max="7955" width="38.28515625" style="31" bestFit="1" customWidth="1"/>
    <col min="7956" max="7956" width="38.7109375" style="31" bestFit="1" customWidth="1"/>
    <col min="7957" max="7957" width="38.28515625" style="31" bestFit="1" customWidth="1"/>
    <col min="7958" max="7958" width="38.7109375" style="31" bestFit="1" customWidth="1"/>
    <col min="7959" max="7959" width="38.28515625" style="31" bestFit="1" customWidth="1"/>
    <col min="7960" max="7960" width="38.7109375" style="31" bestFit="1" customWidth="1"/>
    <col min="7961" max="7961" width="22.85546875" style="31" bestFit="1" customWidth="1"/>
    <col min="7962" max="7962" width="31.85546875" style="31" customWidth="1"/>
    <col min="7963" max="7963" width="28" style="31" bestFit="1" customWidth="1"/>
    <col min="7964" max="7964" width="20.7109375" style="31" bestFit="1" customWidth="1"/>
    <col min="7965" max="7965" width="26.7109375" style="31" bestFit="1" customWidth="1"/>
    <col min="7966" max="7966" width="26.85546875" style="31" bestFit="1" customWidth="1"/>
    <col min="7967" max="7967" width="26.7109375" style="31" bestFit="1" customWidth="1"/>
    <col min="7968" max="7968" width="26.85546875" style="31" bestFit="1" customWidth="1"/>
    <col min="7969" max="7969" width="28.85546875" style="31" bestFit="1" customWidth="1"/>
    <col min="7970" max="7970" width="27" style="31" bestFit="1" customWidth="1"/>
    <col min="7971" max="7971" width="23.42578125" style="31" bestFit="1" customWidth="1"/>
    <col min="7972" max="7973" width="31.42578125" style="31" bestFit="1" customWidth="1"/>
    <col min="7974" max="7974" width="31.42578125" style="31" customWidth="1"/>
    <col min="7975" max="7975" width="52.28515625" style="31" customWidth="1"/>
    <col min="7976" max="7976" width="31.42578125" style="31" customWidth="1"/>
    <col min="7977" max="7977" width="26.42578125" style="31" bestFit="1" customWidth="1"/>
    <col min="7978" max="7978" width="29.28515625" style="31" customWidth="1"/>
    <col min="7979" max="7979" width="30.28515625" style="31" customWidth="1"/>
    <col min="7980" max="7980" width="39" style="31" bestFit="1" customWidth="1"/>
    <col min="7981" max="8160" width="9.140625" style="31"/>
    <col min="8161" max="8161" width="17.5703125" style="31" bestFit="1" customWidth="1"/>
    <col min="8162" max="8162" width="25.7109375" style="31" bestFit="1" customWidth="1"/>
    <col min="8163" max="8163" width="22.140625" style="31" bestFit="1" customWidth="1"/>
    <col min="8164" max="8164" width="18.42578125" style="31" bestFit="1" customWidth="1"/>
    <col min="8165" max="8165" width="19.140625" style="31" bestFit="1" customWidth="1"/>
    <col min="8166" max="8166" width="18.42578125" style="31" bestFit="1" customWidth="1"/>
    <col min="8167" max="8167" width="26.42578125" style="31" bestFit="1" customWidth="1"/>
    <col min="8168" max="8168" width="23.85546875" style="31" bestFit="1" customWidth="1"/>
    <col min="8169" max="8169" width="21.42578125" style="31" bestFit="1" customWidth="1"/>
    <col min="8170" max="8170" width="16" style="31" bestFit="1" customWidth="1"/>
    <col min="8171" max="8172" width="23" style="31" customWidth="1"/>
    <col min="8173" max="8173" width="29.28515625" style="31" customWidth="1"/>
    <col min="8174" max="8174" width="30.28515625" style="31" customWidth="1"/>
    <col min="8175" max="8175" width="24.140625" style="31" customWidth="1"/>
    <col min="8176" max="8177" width="23.85546875" style="31" customWidth="1"/>
    <col min="8178" max="8178" width="30.28515625" style="31" customWidth="1"/>
    <col min="8179" max="8184" width="12.7109375" style="31" customWidth="1"/>
    <col min="8185" max="8185" width="33.140625" style="31" customWidth="1"/>
    <col min="8186" max="8186" width="31.5703125" style="31" customWidth="1"/>
    <col min="8187" max="8187" width="33.28515625" style="31" customWidth="1"/>
    <col min="8188" max="8188" width="31.7109375" style="31" customWidth="1"/>
    <col min="8189" max="8189" width="20" style="31" customWidth="1"/>
    <col min="8190" max="8190" width="19.28515625" style="31" bestFit="1" customWidth="1"/>
    <col min="8191" max="8191" width="19.7109375" style="31" bestFit="1" customWidth="1"/>
    <col min="8192" max="8192" width="33.28515625" style="31" bestFit="1" customWidth="1"/>
    <col min="8193" max="8193" width="24.140625" style="31" bestFit="1" customWidth="1"/>
    <col min="8194" max="8194" width="25.28515625" style="31" customWidth="1"/>
    <col min="8195" max="8195" width="24.42578125" style="31" customWidth="1"/>
    <col min="8196" max="8196" width="13.85546875" style="31" bestFit="1" customWidth="1"/>
    <col min="8197" max="8197" width="18.7109375" style="31" bestFit="1" customWidth="1"/>
    <col min="8198" max="8198" width="24.7109375" style="31" bestFit="1" customWidth="1"/>
    <col min="8199" max="8200" width="27.140625" style="31" bestFit="1" customWidth="1"/>
    <col min="8201" max="8201" width="24.7109375" style="31" bestFit="1" customWidth="1"/>
    <col min="8202" max="8204" width="22.42578125" style="31" bestFit="1" customWidth="1"/>
    <col min="8205" max="8205" width="24" style="31" bestFit="1" customWidth="1"/>
    <col min="8206" max="8207" width="41.140625" style="31" bestFit="1" customWidth="1"/>
    <col min="8208" max="8208" width="77.42578125" style="31" bestFit="1" customWidth="1"/>
    <col min="8209" max="8209" width="110.28515625" style="31" bestFit="1" customWidth="1"/>
    <col min="8210" max="8210" width="108.140625" style="31" bestFit="1" customWidth="1"/>
    <col min="8211" max="8211" width="38.28515625" style="31" bestFit="1" customWidth="1"/>
    <col min="8212" max="8212" width="38.7109375" style="31" bestFit="1" customWidth="1"/>
    <col min="8213" max="8213" width="38.28515625" style="31" bestFit="1" customWidth="1"/>
    <col min="8214" max="8214" width="38.7109375" style="31" bestFit="1" customWidth="1"/>
    <col min="8215" max="8215" width="38.28515625" style="31" bestFit="1" customWidth="1"/>
    <col min="8216" max="8216" width="38.7109375" style="31" bestFit="1" customWidth="1"/>
    <col min="8217" max="8217" width="22.85546875" style="31" bestFit="1" customWidth="1"/>
    <col min="8218" max="8218" width="31.85546875" style="31" customWidth="1"/>
    <col min="8219" max="8219" width="28" style="31" bestFit="1" customWidth="1"/>
    <col min="8220" max="8220" width="20.7109375" style="31" bestFit="1" customWidth="1"/>
    <col min="8221" max="8221" width="26.7109375" style="31" bestFit="1" customWidth="1"/>
    <col min="8222" max="8222" width="26.85546875" style="31" bestFit="1" customWidth="1"/>
    <col min="8223" max="8223" width="26.7109375" style="31" bestFit="1" customWidth="1"/>
    <col min="8224" max="8224" width="26.85546875" style="31" bestFit="1" customWidth="1"/>
    <col min="8225" max="8225" width="28.85546875" style="31" bestFit="1" customWidth="1"/>
    <col min="8226" max="8226" width="27" style="31" bestFit="1" customWidth="1"/>
    <col min="8227" max="8227" width="23.42578125" style="31" bestFit="1" customWidth="1"/>
    <col min="8228" max="8229" width="31.42578125" style="31" bestFit="1" customWidth="1"/>
    <col min="8230" max="8230" width="31.42578125" style="31" customWidth="1"/>
    <col min="8231" max="8231" width="52.28515625" style="31" customWidth="1"/>
    <col min="8232" max="8232" width="31.42578125" style="31" customWidth="1"/>
    <col min="8233" max="8233" width="26.42578125" style="31" bestFit="1" customWidth="1"/>
    <col min="8234" max="8234" width="29.28515625" style="31" customWidth="1"/>
    <col min="8235" max="8235" width="30.28515625" style="31" customWidth="1"/>
    <col min="8236" max="8236" width="39" style="31" bestFit="1" customWidth="1"/>
    <col min="8237" max="8416" width="9.140625" style="31"/>
    <col min="8417" max="8417" width="17.5703125" style="31" bestFit="1" customWidth="1"/>
    <col min="8418" max="8418" width="25.7109375" style="31" bestFit="1" customWidth="1"/>
    <col min="8419" max="8419" width="22.140625" style="31" bestFit="1" customWidth="1"/>
    <col min="8420" max="8420" width="18.42578125" style="31" bestFit="1" customWidth="1"/>
    <col min="8421" max="8421" width="19.140625" style="31" bestFit="1" customWidth="1"/>
    <col min="8422" max="8422" width="18.42578125" style="31" bestFit="1" customWidth="1"/>
    <col min="8423" max="8423" width="26.42578125" style="31" bestFit="1" customWidth="1"/>
    <col min="8424" max="8424" width="23.85546875" style="31" bestFit="1" customWidth="1"/>
    <col min="8425" max="8425" width="21.42578125" style="31" bestFit="1" customWidth="1"/>
    <col min="8426" max="8426" width="16" style="31" bestFit="1" customWidth="1"/>
    <col min="8427" max="8428" width="23" style="31" customWidth="1"/>
    <col min="8429" max="8429" width="29.28515625" style="31" customWidth="1"/>
    <col min="8430" max="8430" width="30.28515625" style="31" customWidth="1"/>
    <col min="8431" max="8431" width="24.140625" style="31" customWidth="1"/>
    <col min="8432" max="8433" width="23.85546875" style="31" customWidth="1"/>
    <col min="8434" max="8434" width="30.28515625" style="31" customWidth="1"/>
    <col min="8435" max="8440" width="12.7109375" style="31" customWidth="1"/>
    <col min="8441" max="8441" width="33.140625" style="31" customWidth="1"/>
    <col min="8442" max="8442" width="31.5703125" style="31" customWidth="1"/>
    <col min="8443" max="8443" width="33.28515625" style="31" customWidth="1"/>
    <col min="8444" max="8444" width="31.7109375" style="31" customWidth="1"/>
    <col min="8445" max="8445" width="20" style="31" customWidth="1"/>
    <col min="8446" max="8446" width="19.28515625" style="31" bestFit="1" customWidth="1"/>
    <col min="8447" max="8447" width="19.7109375" style="31" bestFit="1" customWidth="1"/>
    <col min="8448" max="8448" width="33.28515625" style="31" bestFit="1" customWidth="1"/>
    <col min="8449" max="8449" width="24.140625" style="31" bestFit="1" customWidth="1"/>
    <col min="8450" max="8450" width="25.28515625" style="31" customWidth="1"/>
    <col min="8451" max="8451" width="24.42578125" style="31" customWidth="1"/>
    <col min="8452" max="8452" width="13.85546875" style="31" bestFit="1" customWidth="1"/>
    <col min="8453" max="8453" width="18.7109375" style="31" bestFit="1" customWidth="1"/>
    <col min="8454" max="8454" width="24.7109375" style="31" bestFit="1" customWidth="1"/>
    <col min="8455" max="8456" width="27.140625" style="31" bestFit="1" customWidth="1"/>
    <col min="8457" max="8457" width="24.7109375" style="31" bestFit="1" customWidth="1"/>
    <col min="8458" max="8460" width="22.42578125" style="31" bestFit="1" customWidth="1"/>
    <col min="8461" max="8461" width="24" style="31" bestFit="1" customWidth="1"/>
    <col min="8462" max="8463" width="41.140625" style="31" bestFit="1" customWidth="1"/>
    <col min="8464" max="8464" width="77.42578125" style="31" bestFit="1" customWidth="1"/>
    <col min="8465" max="8465" width="110.28515625" style="31" bestFit="1" customWidth="1"/>
    <col min="8466" max="8466" width="108.140625" style="31" bestFit="1" customWidth="1"/>
    <col min="8467" max="8467" width="38.28515625" style="31" bestFit="1" customWidth="1"/>
    <col min="8468" max="8468" width="38.7109375" style="31" bestFit="1" customWidth="1"/>
    <col min="8469" max="8469" width="38.28515625" style="31" bestFit="1" customWidth="1"/>
    <col min="8470" max="8470" width="38.7109375" style="31" bestFit="1" customWidth="1"/>
    <col min="8471" max="8471" width="38.28515625" style="31" bestFit="1" customWidth="1"/>
    <col min="8472" max="8472" width="38.7109375" style="31" bestFit="1" customWidth="1"/>
    <col min="8473" max="8473" width="22.85546875" style="31" bestFit="1" customWidth="1"/>
    <col min="8474" max="8474" width="31.85546875" style="31" customWidth="1"/>
    <col min="8475" max="8475" width="28" style="31" bestFit="1" customWidth="1"/>
    <col min="8476" max="8476" width="20.7109375" style="31" bestFit="1" customWidth="1"/>
    <col min="8477" max="8477" width="26.7109375" style="31" bestFit="1" customWidth="1"/>
    <col min="8478" max="8478" width="26.85546875" style="31" bestFit="1" customWidth="1"/>
    <col min="8479" max="8479" width="26.7109375" style="31" bestFit="1" customWidth="1"/>
    <col min="8480" max="8480" width="26.85546875" style="31" bestFit="1" customWidth="1"/>
    <col min="8481" max="8481" width="28.85546875" style="31" bestFit="1" customWidth="1"/>
    <col min="8482" max="8482" width="27" style="31" bestFit="1" customWidth="1"/>
    <col min="8483" max="8483" width="23.42578125" style="31" bestFit="1" customWidth="1"/>
    <col min="8484" max="8485" width="31.42578125" style="31" bestFit="1" customWidth="1"/>
    <col min="8486" max="8486" width="31.42578125" style="31" customWidth="1"/>
    <col min="8487" max="8487" width="52.28515625" style="31" customWidth="1"/>
    <col min="8488" max="8488" width="31.42578125" style="31" customWidth="1"/>
    <col min="8489" max="8489" width="26.42578125" style="31" bestFit="1" customWidth="1"/>
    <col min="8490" max="8490" width="29.28515625" style="31" customWidth="1"/>
    <col min="8491" max="8491" width="30.28515625" style="31" customWidth="1"/>
    <col min="8492" max="8492" width="39" style="31" bestFit="1" customWidth="1"/>
    <col min="8493" max="8672" width="9.140625" style="31"/>
    <col min="8673" max="8673" width="17.5703125" style="31" bestFit="1" customWidth="1"/>
    <col min="8674" max="8674" width="25.7109375" style="31" bestFit="1" customWidth="1"/>
    <col min="8675" max="8675" width="22.140625" style="31" bestFit="1" customWidth="1"/>
    <col min="8676" max="8676" width="18.42578125" style="31" bestFit="1" customWidth="1"/>
    <col min="8677" max="8677" width="19.140625" style="31" bestFit="1" customWidth="1"/>
    <col min="8678" max="8678" width="18.42578125" style="31" bestFit="1" customWidth="1"/>
    <col min="8679" max="8679" width="26.42578125" style="31" bestFit="1" customWidth="1"/>
    <col min="8680" max="8680" width="23.85546875" style="31" bestFit="1" customWidth="1"/>
    <col min="8681" max="8681" width="21.42578125" style="31" bestFit="1" customWidth="1"/>
    <col min="8682" max="8682" width="16" style="31" bestFit="1" customWidth="1"/>
    <col min="8683" max="8684" width="23" style="31" customWidth="1"/>
    <col min="8685" max="8685" width="29.28515625" style="31" customWidth="1"/>
    <col min="8686" max="8686" width="30.28515625" style="31" customWidth="1"/>
    <col min="8687" max="8687" width="24.140625" style="31" customWidth="1"/>
    <col min="8688" max="8689" width="23.85546875" style="31" customWidth="1"/>
    <col min="8690" max="8690" width="30.28515625" style="31" customWidth="1"/>
    <col min="8691" max="8696" width="12.7109375" style="31" customWidth="1"/>
    <col min="8697" max="8697" width="33.140625" style="31" customWidth="1"/>
    <col min="8698" max="8698" width="31.5703125" style="31" customWidth="1"/>
    <col min="8699" max="8699" width="33.28515625" style="31" customWidth="1"/>
    <col min="8700" max="8700" width="31.7109375" style="31" customWidth="1"/>
    <col min="8701" max="8701" width="20" style="31" customWidth="1"/>
    <col min="8702" max="8702" width="19.28515625" style="31" bestFit="1" customWidth="1"/>
    <col min="8703" max="8703" width="19.7109375" style="31" bestFit="1" customWidth="1"/>
    <col min="8704" max="8704" width="33.28515625" style="31" bestFit="1" customWidth="1"/>
    <col min="8705" max="8705" width="24.140625" style="31" bestFit="1" customWidth="1"/>
    <col min="8706" max="8706" width="25.28515625" style="31" customWidth="1"/>
    <col min="8707" max="8707" width="24.42578125" style="31" customWidth="1"/>
    <col min="8708" max="8708" width="13.85546875" style="31" bestFit="1" customWidth="1"/>
    <col min="8709" max="8709" width="18.7109375" style="31" bestFit="1" customWidth="1"/>
    <col min="8710" max="8710" width="24.7109375" style="31" bestFit="1" customWidth="1"/>
    <col min="8711" max="8712" width="27.140625" style="31" bestFit="1" customWidth="1"/>
    <col min="8713" max="8713" width="24.7109375" style="31" bestFit="1" customWidth="1"/>
    <col min="8714" max="8716" width="22.42578125" style="31" bestFit="1" customWidth="1"/>
    <col min="8717" max="8717" width="24" style="31" bestFit="1" customWidth="1"/>
    <col min="8718" max="8719" width="41.140625" style="31" bestFit="1" customWidth="1"/>
    <col min="8720" max="8720" width="77.42578125" style="31" bestFit="1" customWidth="1"/>
    <col min="8721" max="8721" width="110.28515625" style="31" bestFit="1" customWidth="1"/>
    <col min="8722" max="8722" width="108.140625" style="31" bestFit="1" customWidth="1"/>
    <col min="8723" max="8723" width="38.28515625" style="31" bestFit="1" customWidth="1"/>
    <col min="8724" max="8724" width="38.7109375" style="31" bestFit="1" customWidth="1"/>
    <col min="8725" max="8725" width="38.28515625" style="31" bestFit="1" customWidth="1"/>
    <col min="8726" max="8726" width="38.7109375" style="31" bestFit="1" customWidth="1"/>
    <col min="8727" max="8727" width="38.28515625" style="31" bestFit="1" customWidth="1"/>
    <col min="8728" max="8728" width="38.7109375" style="31" bestFit="1" customWidth="1"/>
    <col min="8729" max="8729" width="22.85546875" style="31" bestFit="1" customWidth="1"/>
    <col min="8730" max="8730" width="31.85546875" style="31" customWidth="1"/>
    <col min="8731" max="8731" width="28" style="31" bestFit="1" customWidth="1"/>
    <col min="8732" max="8732" width="20.7109375" style="31" bestFit="1" customWidth="1"/>
    <col min="8733" max="8733" width="26.7109375" style="31" bestFit="1" customWidth="1"/>
    <col min="8734" max="8734" width="26.85546875" style="31" bestFit="1" customWidth="1"/>
    <col min="8735" max="8735" width="26.7109375" style="31" bestFit="1" customWidth="1"/>
    <col min="8736" max="8736" width="26.85546875" style="31" bestFit="1" customWidth="1"/>
    <col min="8737" max="8737" width="28.85546875" style="31" bestFit="1" customWidth="1"/>
    <col min="8738" max="8738" width="27" style="31" bestFit="1" customWidth="1"/>
    <col min="8739" max="8739" width="23.42578125" style="31" bestFit="1" customWidth="1"/>
    <col min="8740" max="8741" width="31.42578125" style="31" bestFit="1" customWidth="1"/>
    <col min="8742" max="8742" width="31.42578125" style="31" customWidth="1"/>
    <col min="8743" max="8743" width="52.28515625" style="31" customWidth="1"/>
    <col min="8744" max="8744" width="31.42578125" style="31" customWidth="1"/>
    <col min="8745" max="8745" width="26.42578125" style="31" bestFit="1" customWidth="1"/>
    <col min="8746" max="8746" width="29.28515625" style="31" customWidth="1"/>
    <col min="8747" max="8747" width="30.28515625" style="31" customWidth="1"/>
    <col min="8748" max="8748" width="39" style="31" bestFit="1" customWidth="1"/>
    <col min="8749" max="8928" width="9.140625" style="31"/>
    <col min="8929" max="8929" width="17.5703125" style="31" bestFit="1" customWidth="1"/>
    <col min="8930" max="8930" width="25.7109375" style="31" bestFit="1" customWidth="1"/>
    <col min="8931" max="8931" width="22.140625" style="31" bestFit="1" customWidth="1"/>
    <col min="8932" max="8932" width="18.42578125" style="31" bestFit="1" customWidth="1"/>
    <col min="8933" max="8933" width="19.140625" style="31" bestFit="1" customWidth="1"/>
    <col min="8934" max="8934" width="18.42578125" style="31" bestFit="1" customWidth="1"/>
    <col min="8935" max="8935" width="26.42578125" style="31" bestFit="1" customWidth="1"/>
    <col min="8936" max="8936" width="23.85546875" style="31" bestFit="1" customWidth="1"/>
    <col min="8937" max="8937" width="21.42578125" style="31" bestFit="1" customWidth="1"/>
    <col min="8938" max="8938" width="16" style="31" bestFit="1" customWidth="1"/>
    <col min="8939" max="8940" width="23" style="31" customWidth="1"/>
    <col min="8941" max="8941" width="29.28515625" style="31" customWidth="1"/>
    <col min="8942" max="8942" width="30.28515625" style="31" customWidth="1"/>
    <col min="8943" max="8943" width="24.140625" style="31" customWidth="1"/>
    <col min="8944" max="8945" width="23.85546875" style="31" customWidth="1"/>
    <col min="8946" max="8946" width="30.28515625" style="31" customWidth="1"/>
    <col min="8947" max="8952" width="12.7109375" style="31" customWidth="1"/>
    <col min="8953" max="8953" width="33.140625" style="31" customWidth="1"/>
    <col min="8954" max="8954" width="31.5703125" style="31" customWidth="1"/>
    <col min="8955" max="8955" width="33.28515625" style="31" customWidth="1"/>
    <col min="8956" max="8956" width="31.7109375" style="31" customWidth="1"/>
    <col min="8957" max="8957" width="20" style="31" customWidth="1"/>
    <col min="8958" max="8958" width="19.28515625" style="31" bestFit="1" customWidth="1"/>
    <col min="8959" max="8959" width="19.7109375" style="31" bestFit="1" customWidth="1"/>
    <col min="8960" max="8960" width="33.28515625" style="31" bestFit="1" customWidth="1"/>
    <col min="8961" max="8961" width="24.140625" style="31" bestFit="1" customWidth="1"/>
    <col min="8962" max="8962" width="25.28515625" style="31" customWidth="1"/>
    <col min="8963" max="8963" width="24.42578125" style="31" customWidth="1"/>
    <col min="8964" max="8964" width="13.85546875" style="31" bestFit="1" customWidth="1"/>
    <col min="8965" max="8965" width="18.7109375" style="31" bestFit="1" customWidth="1"/>
    <col min="8966" max="8966" width="24.7109375" style="31" bestFit="1" customWidth="1"/>
    <col min="8967" max="8968" width="27.140625" style="31" bestFit="1" customWidth="1"/>
    <col min="8969" max="8969" width="24.7109375" style="31" bestFit="1" customWidth="1"/>
    <col min="8970" max="8972" width="22.42578125" style="31" bestFit="1" customWidth="1"/>
    <col min="8973" max="8973" width="24" style="31" bestFit="1" customWidth="1"/>
    <col min="8974" max="8975" width="41.140625" style="31" bestFit="1" customWidth="1"/>
    <col min="8976" max="8976" width="77.42578125" style="31" bestFit="1" customWidth="1"/>
    <col min="8977" max="8977" width="110.28515625" style="31" bestFit="1" customWidth="1"/>
    <col min="8978" max="8978" width="108.140625" style="31" bestFit="1" customWidth="1"/>
    <col min="8979" max="8979" width="38.28515625" style="31" bestFit="1" customWidth="1"/>
    <col min="8980" max="8980" width="38.7109375" style="31" bestFit="1" customWidth="1"/>
    <col min="8981" max="8981" width="38.28515625" style="31" bestFit="1" customWidth="1"/>
    <col min="8982" max="8982" width="38.7109375" style="31" bestFit="1" customWidth="1"/>
    <col min="8983" max="8983" width="38.28515625" style="31" bestFit="1" customWidth="1"/>
    <col min="8984" max="8984" width="38.7109375" style="31" bestFit="1" customWidth="1"/>
    <col min="8985" max="8985" width="22.85546875" style="31" bestFit="1" customWidth="1"/>
    <col min="8986" max="8986" width="31.85546875" style="31" customWidth="1"/>
    <col min="8987" max="8987" width="28" style="31" bestFit="1" customWidth="1"/>
    <col min="8988" max="8988" width="20.7109375" style="31" bestFit="1" customWidth="1"/>
    <col min="8989" max="8989" width="26.7109375" style="31" bestFit="1" customWidth="1"/>
    <col min="8990" max="8990" width="26.85546875" style="31" bestFit="1" customWidth="1"/>
    <col min="8991" max="8991" width="26.7109375" style="31" bestFit="1" customWidth="1"/>
    <col min="8992" max="8992" width="26.85546875" style="31" bestFit="1" customWidth="1"/>
    <col min="8993" max="8993" width="28.85546875" style="31" bestFit="1" customWidth="1"/>
    <col min="8994" max="8994" width="27" style="31" bestFit="1" customWidth="1"/>
    <col min="8995" max="8995" width="23.42578125" style="31" bestFit="1" customWidth="1"/>
    <col min="8996" max="8997" width="31.42578125" style="31" bestFit="1" customWidth="1"/>
    <col min="8998" max="8998" width="31.42578125" style="31" customWidth="1"/>
    <col min="8999" max="8999" width="52.28515625" style="31" customWidth="1"/>
    <col min="9000" max="9000" width="31.42578125" style="31" customWidth="1"/>
    <col min="9001" max="9001" width="26.42578125" style="31" bestFit="1" customWidth="1"/>
    <col min="9002" max="9002" width="29.28515625" style="31" customWidth="1"/>
    <col min="9003" max="9003" width="30.28515625" style="31" customWidth="1"/>
    <col min="9004" max="9004" width="39" style="31" bestFit="1" customWidth="1"/>
    <col min="9005" max="9184" width="9.140625" style="31"/>
    <col min="9185" max="9185" width="17.5703125" style="31" bestFit="1" customWidth="1"/>
    <col min="9186" max="9186" width="25.7109375" style="31" bestFit="1" customWidth="1"/>
    <col min="9187" max="9187" width="22.140625" style="31" bestFit="1" customWidth="1"/>
    <col min="9188" max="9188" width="18.42578125" style="31" bestFit="1" customWidth="1"/>
    <col min="9189" max="9189" width="19.140625" style="31" bestFit="1" customWidth="1"/>
    <col min="9190" max="9190" width="18.42578125" style="31" bestFit="1" customWidth="1"/>
    <col min="9191" max="9191" width="26.42578125" style="31" bestFit="1" customWidth="1"/>
    <col min="9192" max="9192" width="23.85546875" style="31" bestFit="1" customWidth="1"/>
    <col min="9193" max="9193" width="21.42578125" style="31" bestFit="1" customWidth="1"/>
    <col min="9194" max="9194" width="16" style="31" bestFit="1" customWidth="1"/>
    <col min="9195" max="9196" width="23" style="31" customWidth="1"/>
    <col min="9197" max="9197" width="29.28515625" style="31" customWidth="1"/>
    <col min="9198" max="9198" width="30.28515625" style="31" customWidth="1"/>
    <col min="9199" max="9199" width="24.140625" style="31" customWidth="1"/>
    <col min="9200" max="9201" width="23.85546875" style="31" customWidth="1"/>
    <col min="9202" max="9202" width="30.28515625" style="31" customWidth="1"/>
    <col min="9203" max="9208" width="12.7109375" style="31" customWidth="1"/>
    <col min="9209" max="9209" width="33.140625" style="31" customWidth="1"/>
    <col min="9210" max="9210" width="31.5703125" style="31" customWidth="1"/>
    <col min="9211" max="9211" width="33.28515625" style="31" customWidth="1"/>
    <col min="9212" max="9212" width="31.7109375" style="31" customWidth="1"/>
    <col min="9213" max="9213" width="20" style="31" customWidth="1"/>
    <col min="9214" max="9214" width="19.28515625" style="31" bestFit="1" customWidth="1"/>
    <col min="9215" max="9215" width="19.7109375" style="31" bestFit="1" customWidth="1"/>
    <col min="9216" max="9216" width="33.28515625" style="31" bestFit="1" customWidth="1"/>
    <col min="9217" max="9217" width="24.140625" style="31" bestFit="1" customWidth="1"/>
    <col min="9218" max="9218" width="25.28515625" style="31" customWidth="1"/>
    <col min="9219" max="9219" width="24.42578125" style="31" customWidth="1"/>
    <col min="9220" max="9220" width="13.85546875" style="31" bestFit="1" customWidth="1"/>
    <col min="9221" max="9221" width="18.7109375" style="31" bestFit="1" customWidth="1"/>
    <col min="9222" max="9222" width="24.7109375" style="31" bestFit="1" customWidth="1"/>
    <col min="9223" max="9224" width="27.140625" style="31" bestFit="1" customWidth="1"/>
    <col min="9225" max="9225" width="24.7109375" style="31" bestFit="1" customWidth="1"/>
    <col min="9226" max="9228" width="22.42578125" style="31" bestFit="1" customWidth="1"/>
    <col min="9229" max="9229" width="24" style="31" bestFit="1" customWidth="1"/>
    <col min="9230" max="9231" width="41.140625" style="31" bestFit="1" customWidth="1"/>
    <col min="9232" max="9232" width="77.42578125" style="31" bestFit="1" customWidth="1"/>
    <col min="9233" max="9233" width="110.28515625" style="31" bestFit="1" customWidth="1"/>
    <col min="9234" max="9234" width="108.140625" style="31" bestFit="1" customWidth="1"/>
    <col min="9235" max="9235" width="38.28515625" style="31" bestFit="1" customWidth="1"/>
    <col min="9236" max="9236" width="38.7109375" style="31" bestFit="1" customWidth="1"/>
    <col min="9237" max="9237" width="38.28515625" style="31" bestFit="1" customWidth="1"/>
    <col min="9238" max="9238" width="38.7109375" style="31" bestFit="1" customWidth="1"/>
    <col min="9239" max="9239" width="38.28515625" style="31" bestFit="1" customWidth="1"/>
    <col min="9240" max="9240" width="38.7109375" style="31" bestFit="1" customWidth="1"/>
    <col min="9241" max="9241" width="22.85546875" style="31" bestFit="1" customWidth="1"/>
    <col min="9242" max="9242" width="31.85546875" style="31" customWidth="1"/>
    <col min="9243" max="9243" width="28" style="31" bestFit="1" customWidth="1"/>
    <col min="9244" max="9244" width="20.7109375" style="31" bestFit="1" customWidth="1"/>
    <col min="9245" max="9245" width="26.7109375" style="31" bestFit="1" customWidth="1"/>
    <col min="9246" max="9246" width="26.85546875" style="31" bestFit="1" customWidth="1"/>
    <col min="9247" max="9247" width="26.7109375" style="31" bestFit="1" customWidth="1"/>
    <col min="9248" max="9248" width="26.85546875" style="31" bestFit="1" customWidth="1"/>
    <col min="9249" max="9249" width="28.85546875" style="31" bestFit="1" customWidth="1"/>
    <col min="9250" max="9250" width="27" style="31" bestFit="1" customWidth="1"/>
    <col min="9251" max="9251" width="23.42578125" style="31" bestFit="1" customWidth="1"/>
    <col min="9252" max="9253" width="31.42578125" style="31" bestFit="1" customWidth="1"/>
    <col min="9254" max="9254" width="31.42578125" style="31" customWidth="1"/>
    <col min="9255" max="9255" width="52.28515625" style="31" customWidth="1"/>
    <col min="9256" max="9256" width="31.42578125" style="31" customWidth="1"/>
    <col min="9257" max="9257" width="26.42578125" style="31" bestFit="1" customWidth="1"/>
    <col min="9258" max="9258" width="29.28515625" style="31" customWidth="1"/>
    <col min="9259" max="9259" width="30.28515625" style="31" customWidth="1"/>
    <col min="9260" max="9260" width="39" style="31" bestFit="1" customWidth="1"/>
    <col min="9261" max="9440" width="9.140625" style="31"/>
    <col min="9441" max="9441" width="17.5703125" style="31" bestFit="1" customWidth="1"/>
    <col min="9442" max="9442" width="25.7109375" style="31" bestFit="1" customWidth="1"/>
    <col min="9443" max="9443" width="22.140625" style="31" bestFit="1" customWidth="1"/>
    <col min="9444" max="9444" width="18.42578125" style="31" bestFit="1" customWidth="1"/>
    <col min="9445" max="9445" width="19.140625" style="31" bestFit="1" customWidth="1"/>
    <col min="9446" max="9446" width="18.42578125" style="31" bestFit="1" customWidth="1"/>
    <col min="9447" max="9447" width="26.42578125" style="31" bestFit="1" customWidth="1"/>
    <col min="9448" max="9448" width="23.85546875" style="31" bestFit="1" customWidth="1"/>
    <col min="9449" max="9449" width="21.42578125" style="31" bestFit="1" customWidth="1"/>
    <col min="9450" max="9450" width="16" style="31" bestFit="1" customWidth="1"/>
    <col min="9451" max="9452" width="23" style="31" customWidth="1"/>
    <col min="9453" max="9453" width="29.28515625" style="31" customWidth="1"/>
    <col min="9454" max="9454" width="30.28515625" style="31" customWidth="1"/>
    <col min="9455" max="9455" width="24.140625" style="31" customWidth="1"/>
    <col min="9456" max="9457" width="23.85546875" style="31" customWidth="1"/>
    <col min="9458" max="9458" width="30.28515625" style="31" customWidth="1"/>
    <col min="9459" max="9464" width="12.7109375" style="31" customWidth="1"/>
    <col min="9465" max="9465" width="33.140625" style="31" customWidth="1"/>
    <col min="9466" max="9466" width="31.5703125" style="31" customWidth="1"/>
    <col min="9467" max="9467" width="33.28515625" style="31" customWidth="1"/>
    <col min="9468" max="9468" width="31.7109375" style="31" customWidth="1"/>
    <col min="9469" max="9469" width="20" style="31" customWidth="1"/>
    <col min="9470" max="9470" width="19.28515625" style="31" bestFit="1" customWidth="1"/>
    <col min="9471" max="9471" width="19.7109375" style="31" bestFit="1" customWidth="1"/>
    <col min="9472" max="9472" width="33.28515625" style="31" bestFit="1" customWidth="1"/>
    <col min="9473" max="9473" width="24.140625" style="31" bestFit="1" customWidth="1"/>
    <col min="9474" max="9474" width="25.28515625" style="31" customWidth="1"/>
    <col min="9475" max="9475" width="24.42578125" style="31" customWidth="1"/>
    <col min="9476" max="9476" width="13.85546875" style="31" bestFit="1" customWidth="1"/>
    <col min="9477" max="9477" width="18.7109375" style="31" bestFit="1" customWidth="1"/>
    <col min="9478" max="9478" width="24.7109375" style="31" bestFit="1" customWidth="1"/>
    <col min="9479" max="9480" width="27.140625" style="31" bestFit="1" customWidth="1"/>
    <col min="9481" max="9481" width="24.7109375" style="31" bestFit="1" customWidth="1"/>
    <col min="9482" max="9484" width="22.42578125" style="31" bestFit="1" customWidth="1"/>
    <col min="9485" max="9485" width="24" style="31" bestFit="1" customWidth="1"/>
    <col min="9486" max="9487" width="41.140625" style="31" bestFit="1" customWidth="1"/>
    <col min="9488" max="9488" width="77.42578125" style="31" bestFit="1" customWidth="1"/>
    <col min="9489" max="9489" width="110.28515625" style="31" bestFit="1" customWidth="1"/>
    <col min="9490" max="9490" width="108.140625" style="31" bestFit="1" customWidth="1"/>
    <col min="9491" max="9491" width="38.28515625" style="31" bestFit="1" customWidth="1"/>
    <col min="9492" max="9492" width="38.7109375" style="31" bestFit="1" customWidth="1"/>
    <col min="9493" max="9493" width="38.28515625" style="31" bestFit="1" customWidth="1"/>
    <col min="9494" max="9494" width="38.7109375" style="31" bestFit="1" customWidth="1"/>
    <col min="9495" max="9495" width="38.28515625" style="31" bestFit="1" customWidth="1"/>
    <col min="9496" max="9496" width="38.7109375" style="31" bestFit="1" customWidth="1"/>
    <col min="9497" max="9497" width="22.85546875" style="31" bestFit="1" customWidth="1"/>
    <col min="9498" max="9498" width="31.85546875" style="31" customWidth="1"/>
    <col min="9499" max="9499" width="28" style="31" bestFit="1" customWidth="1"/>
    <col min="9500" max="9500" width="20.7109375" style="31" bestFit="1" customWidth="1"/>
    <col min="9501" max="9501" width="26.7109375" style="31" bestFit="1" customWidth="1"/>
    <col min="9502" max="9502" width="26.85546875" style="31" bestFit="1" customWidth="1"/>
    <col min="9503" max="9503" width="26.7109375" style="31" bestFit="1" customWidth="1"/>
    <col min="9504" max="9504" width="26.85546875" style="31" bestFit="1" customWidth="1"/>
    <col min="9505" max="9505" width="28.85546875" style="31" bestFit="1" customWidth="1"/>
    <col min="9506" max="9506" width="27" style="31" bestFit="1" customWidth="1"/>
    <col min="9507" max="9507" width="23.42578125" style="31" bestFit="1" customWidth="1"/>
    <col min="9508" max="9509" width="31.42578125" style="31" bestFit="1" customWidth="1"/>
    <col min="9510" max="9510" width="31.42578125" style="31" customWidth="1"/>
    <col min="9511" max="9511" width="52.28515625" style="31" customWidth="1"/>
    <col min="9512" max="9512" width="31.42578125" style="31" customWidth="1"/>
    <col min="9513" max="9513" width="26.42578125" style="31" bestFit="1" customWidth="1"/>
    <col min="9514" max="9514" width="29.28515625" style="31" customWidth="1"/>
    <col min="9515" max="9515" width="30.28515625" style="31" customWidth="1"/>
    <col min="9516" max="9516" width="39" style="31" bestFit="1" customWidth="1"/>
    <col min="9517" max="9696" width="9.140625" style="31"/>
    <col min="9697" max="9697" width="17.5703125" style="31" bestFit="1" customWidth="1"/>
    <col min="9698" max="9698" width="25.7109375" style="31" bestFit="1" customWidth="1"/>
    <col min="9699" max="9699" width="22.140625" style="31" bestFit="1" customWidth="1"/>
    <col min="9700" max="9700" width="18.42578125" style="31" bestFit="1" customWidth="1"/>
    <col min="9701" max="9701" width="19.140625" style="31" bestFit="1" customWidth="1"/>
    <col min="9702" max="9702" width="18.42578125" style="31" bestFit="1" customWidth="1"/>
    <col min="9703" max="9703" width="26.42578125" style="31" bestFit="1" customWidth="1"/>
    <col min="9704" max="9704" width="23.85546875" style="31" bestFit="1" customWidth="1"/>
    <col min="9705" max="9705" width="21.42578125" style="31" bestFit="1" customWidth="1"/>
    <col min="9706" max="9706" width="16" style="31" bestFit="1" customWidth="1"/>
    <col min="9707" max="9708" width="23" style="31" customWidth="1"/>
    <col min="9709" max="9709" width="29.28515625" style="31" customWidth="1"/>
    <col min="9710" max="9710" width="30.28515625" style="31" customWidth="1"/>
    <col min="9711" max="9711" width="24.140625" style="31" customWidth="1"/>
    <col min="9712" max="9713" width="23.85546875" style="31" customWidth="1"/>
    <col min="9714" max="9714" width="30.28515625" style="31" customWidth="1"/>
    <col min="9715" max="9720" width="12.7109375" style="31" customWidth="1"/>
    <col min="9721" max="9721" width="33.140625" style="31" customWidth="1"/>
    <col min="9722" max="9722" width="31.5703125" style="31" customWidth="1"/>
    <col min="9723" max="9723" width="33.28515625" style="31" customWidth="1"/>
    <col min="9724" max="9724" width="31.7109375" style="31" customWidth="1"/>
    <col min="9725" max="9725" width="20" style="31" customWidth="1"/>
    <col min="9726" max="9726" width="19.28515625" style="31" bestFit="1" customWidth="1"/>
    <col min="9727" max="9727" width="19.7109375" style="31" bestFit="1" customWidth="1"/>
    <col min="9728" max="9728" width="33.28515625" style="31" bestFit="1" customWidth="1"/>
    <col min="9729" max="9729" width="24.140625" style="31" bestFit="1" customWidth="1"/>
    <col min="9730" max="9730" width="25.28515625" style="31" customWidth="1"/>
    <col min="9731" max="9731" width="24.42578125" style="31" customWidth="1"/>
    <col min="9732" max="9732" width="13.85546875" style="31" bestFit="1" customWidth="1"/>
    <col min="9733" max="9733" width="18.7109375" style="31" bestFit="1" customWidth="1"/>
    <col min="9734" max="9734" width="24.7109375" style="31" bestFit="1" customWidth="1"/>
    <col min="9735" max="9736" width="27.140625" style="31" bestFit="1" customWidth="1"/>
    <col min="9737" max="9737" width="24.7109375" style="31" bestFit="1" customWidth="1"/>
    <col min="9738" max="9740" width="22.42578125" style="31" bestFit="1" customWidth="1"/>
    <col min="9741" max="9741" width="24" style="31" bestFit="1" customWidth="1"/>
    <col min="9742" max="9743" width="41.140625" style="31" bestFit="1" customWidth="1"/>
    <col min="9744" max="9744" width="77.42578125" style="31" bestFit="1" customWidth="1"/>
    <col min="9745" max="9745" width="110.28515625" style="31" bestFit="1" customWidth="1"/>
    <col min="9746" max="9746" width="108.140625" style="31" bestFit="1" customWidth="1"/>
    <col min="9747" max="9747" width="38.28515625" style="31" bestFit="1" customWidth="1"/>
    <col min="9748" max="9748" width="38.7109375" style="31" bestFit="1" customWidth="1"/>
    <col min="9749" max="9749" width="38.28515625" style="31" bestFit="1" customWidth="1"/>
    <col min="9750" max="9750" width="38.7109375" style="31" bestFit="1" customWidth="1"/>
    <col min="9751" max="9751" width="38.28515625" style="31" bestFit="1" customWidth="1"/>
    <col min="9752" max="9752" width="38.7109375" style="31" bestFit="1" customWidth="1"/>
    <col min="9753" max="9753" width="22.85546875" style="31" bestFit="1" customWidth="1"/>
    <col min="9754" max="9754" width="31.85546875" style="31" customWidth="1"/>
    <col min="9755" max="9755" width="28" style="31" bestFit="1" customWidth="1"/>
    <col min="9756" max="9756" width="20.7109375" style="31" bestFit="1" customWidth="1"/>
    <col min="9757" max="9757" width="26.7109375" style="31" bestFit="1" customWidth="1"/>
    <col min="9758" max="9758" width="26.85546875" style="31" bestFit="1" customWidth="1"/>
    <col min="9759" max="9759" width="26.7109375" style="31" bestFit="1" customWidth="1"/>
    <col min="9760" max="9760" width="26.85546875" style="31" bestFit="1" customWidth="1"/>
    <col min="9761" max="9761" width="28.85546875" style="31" bestFit="1" customWidth="1"/>
    <col min="9762" max="9762" width="27" style="31" bestFit="1" customWidth="1"/>
    <col min="9763" max="9763" width="23.42578125" style="31" bestFit="1" customWidth="1"/>
    <col min="9764" max="9765" width="31.42578125" style="31" bestFit="1" customWidth="1"/>
    <col min="9766" max="9766" width="31.42578125" style="31" customWidth="1"/>
    <col min="9767" max="9767" width="52.28515625" style="31" customWidth="1"/>
    <col min="9768" max="9768" width="31.42578125" style="31" customWidth="1"/>
    <col min="9769" max="9769" width="26.42578125" style="31" bestFit="1" customWidth="1"/>
    <col min="9770" max="9770" width="29.28515625" style="31" customWidth="1"/>
    <col min="9771" max="9771" width="30.28515625" style="31" customWidth="1"/>
    <col min="9772" max="9772" width="39" style="31" bestFit="1" customWidth="1"/>
    <col min="9773" max="9952" width="9.140625" style="31"/>
    <col min="9953" max="9953" width="17.5703125" style="31" bestFit="1" customWidth="1"/>
    <col min="9954" max="9954" width="25.7109375" style="31" bestFit="1" customWidth="1"/>
    <col min="9955" max="9955" width="22.140625" style="31" bestFit="1" customWidth="1"/>
    <col min="9956" max="9956" width="18.42578125" style="31" bestFit="1" customWidth="1"/>
    <col min="9957" max="9957" width="19.140625" style="31" bestFit="1" customWidth="1"/>
    <col min="9958" max="9958" width="18.42578125" style="31" bestFit="1" customWidth="1"/>
    <col min="9959" max="9959" width="26.42578125" style="31" bestFit="1" customWidth="1"/>
    <col min="9960" max="9960" width="23.85546875" style="31" bestFit="1" customWidth="1"/>
    <col min="9961" max="9961" width="21.42578125" style="31" bestFit="1" customWidth="1"/>
    <col min="9962" max="9962" width="16" style="31" bestFit="1" customWidth="1"/>
    <col min="9963" max="9964" width="23" style="31" customWidth="1"/>
    <col min="9965" max="9965" width="29.28515625" style="31" customWidth="1"/>
    <col min="9966" max="9966" width="30.28515625" style="31" customWidth="1"/>
    <col min="9967" max="9967" width="24.140625" style="31" customWidth="1"/>
    <col min="9968" max="9969" width="23.85546875" style="31" customWidth="1"/>
    <col min="9970" max="9970" width="30.28515625" style="31" customWidth="1"/>
    <col min="9971" max="9976" width="12.7109375" style="31" customWidth="1"/>
    <col min="9977" max="9977" width="33.140625" style="31" customWidth="1"/>
    <col min="9978" max="9978" width="31.5703125" style="31" customWidth="1"/>
    <col min="9979" max="9979" width="33.28515625" style="31" customWidth="1"/>
    <col min="9980" max="9980" width="31.7109375" style="31" customWidth="1"/>
    <col min="9981" max="9981" width="20" style="31" customWidth="1"/>
    <col min="9982" max="9982" width="19.28515625" style="31" bestFit="1" customWidth="1"/>
    <col min="9983" max="9983" width="19.7109375" style="31" bestFit="1" customWidth="1"/>
    <col min="9984" max="9984" width="33.28515625" style="31" bestFit="1" customWidth="1"/>
    <col min="9985" max="9985" width="24.140625" style="31" bestFit="1" customWidth="1"/>
    <col min="9986" max="9986" width="25.28515625" style="31" customWidth="1"/>
    <col min="9987" max="9987" width="24.42578125" style="31" customWidth="1"/>
    <col min="9988" max="9988" width="13.85546875" style="31" bestFit="1" customWidth="1"/>
    <col min="9989" max="9989" width="18.7109375" style="31" bestFit="1" customWidth="1"/>
    <col min="9990" max="9990" width="24.7109375" style="31" bestFit="1" customWidth="1"/>
    <col min="9991" max="9992" width="27.140625" style="31" bestFit="1" customWidth="1"/>
    <col min="9993" max="9993" width="24.7109375" style="31" bestFit="1" customWidth="1"/>
    <col min="9994" max="9996" width="22.42578125" style="31" bestFit="1" customWidth="1"/>
    <col min="9997" max="9997" width="24" style="31" bestFit="1" customWidth="1"/>
    <col min="9998" max="9999" width="41.140625" style="31" bestFit="1" customWidth="1"/>
    <col min="10000" max="10000" width="77.42578125" style="31" bestFit="1" customWidth="1"/>
    <col min="10001" max="10001" width="110.28515625" style="31" bestFit="1" customWidth="1"/>
    <col min="10002" max="10002" width="108.140625" style="31" bestFit="1" customWidth="1"/>
    <col min="10003" max="10003" width="38.28515625" style="31" bestFit="1" customWidth="1"/>
    <col min="10004" max="10004" width="38.7109375" style="31" bestFit="1" customWidth="1"/>
    <col min="10005" max="10005" width="38.28515625" style="31" bestFit="1" customWidth="1"/>
    <col min="10006" max="10006" width="38.7109375" style="31" bestFit="1" customWidth="1"/>
    <col min="10007" max="10007" width="38.28515625" style="31" bestFit="1" customWidth="1"/>
    <col min="10008" max="10008" width="38.7109375" style="31" bestFit="1" customWidth="1"/>
    <col min="10009" max="10009" width="22.85546875" style="31" bestFit="1" customWidth="1"/>
    <col min="10010" max="10010" width="31.85546875" style="31" customWidth="1"/>
    <col min="10011" max="10011" width="28" style="31" bestFit="1" customWidth="1"/>
    <col min="10012" max="10012" width="20.7109375" style="31" bestFit="1" customWidth="1"/>
    <col min="10013" max="10013" width="26.7109375" style="31" bestFit="1" customWidth="1"/>
    <col min="10014" max="10014" width="26.85546875" style="31" bestFit="1" customWidth="1"/>
    <col min="10015" max="10015" width="26.7109375" style="31" bestFit="1" customWidth="1"/>
    <col min="10016" max="10016" width="26.85546875" style="31" bestFit="1" customWidth="1"/>
    <col min="10017" max="10017" width="28.85546875" style="31" bestFit="1" customWidth="1"/>
    <col min="10018" max="10018" width="27" style="31" bestFit="1" customWidth="1"/>
    <col min="10019" max="10019" width="23.42578125" style="31" bestFit="1" customWidth="1"/>
    <col min="10020" max="10021" width="31.42578125" style="31" bestFit="1" customWidth="1"/>
    <col min="10022" max="10022" width="31.42578125" style="31" customWidth="1"/>
    <col min="10023" max="10023" width="52.28515625" style="31" customWidth="1"/>
    <col min="10024" max="10024" width="31.42578125" style="31" customWidth="1"/>
    <col min="10025" max="10025" width="26.42578125" style="31" bestFit="1" customWidth="1"/>
    <col min="10026" max="10026" width="29.28515625" style="31" customWidth="1"/>
    <col min="10027" max="10027" width="30.28515625" style="31" customWidth="1"/>
    <col min="10028" max="10028" width="39" style="31" bestFit="1" customWidth="1"/>
    <col min="10029" max="10208" width="9.140625" style="31"/>
    <col min="10209" max="10209" width="17.5703125" style="31" bestFit="1" customWidth="1"/>
    <col min="10210" max="10210" width="25.7109375" style="31" bestFit="1" customWidth="1"/>
    <col min="10211" max="10211" width="22.140625" style="31" bestFit="1" customWidth="1"/>
    <col min="10212" max="10212" width="18.42578125" style="31" bestFit="1" customWidth="1"/>
    <col min="10213" max="10213" width="19.140625" style="31" bestFit="1" customWidth="1"/>
    <col min="10214" max="10214" width="18.42578125" style="31" bestFit="1" customWidth="1"/>
    <col min="10215" max="10215" width="26.42578125" style="31" bestFit="1" customWidth="1"/>
    <col min="10216" max="10216" width="23.85546875" style="31" bestFit="1" customWidth="1"/>
    <col min="10217" max="10217" width="21.42578125" style="31" bestFit="1" customWidth="1"/>
    <col min="10218" max="10218" width="16" style="31" bestFit="1" customWidth="1"/>
    <col min="10219" max="10220" width="23" style="31" customWidth="1"/>
    <col min="10221" max="10221" width="29.28515625" style="31" customWidth="1"/>
    <col min="10222" max="10222" width="30.28515625" style="31" customWidth="1"/>
    <col min="10223" max="10223" width="24.140625" style="31" customWidth="1"/>
    <col min="10224" max="10225" width="23.85546875" style="31" customWidth="1"/>
    <col min="10226" max="10226" width="30.28515625" style="31" customWidth="1"/>
    <col min="10227" max="10232" width="12.7109375" style="31" customWidth="1"/>
    <col min="10233" max="10233" width="33.140625" style="31" customWidth="1"/>
    <col min="10234" max="10234" width="31.5703125" style="31" customWidth="1"/>
    <col min="10235" max="10235" width="33.28515625" style="31" customWidth="1"/>
    <col min="10236" max="10236" width="31.7109375" style="31" customWidth="1"/>
    <col min="10237" max="10237" width="20" style="31" customWidth="1"/>
    <col min="10238" max="10238" width="19.28515625" style="31" bestFit="1" customWidth="1"/>
    <col min="10239" max="10239" width="19.7109375" style="31" bestFit="1" customWidth="1"/>
    <col min="10240" max="10240" width="33.28515625" style="31" bestFit="1" customWidth="1"/>
    <col min="10241" max="10241" width="24.140625" style="31" bestFit="1" customWidth="1"/>
    <col min="10242" max="10242" width="25.28515625" style="31" customWidth="1"/>
    <col min="10243" max="10243" width="24.42578125" style="31" customWidth="1"/>
    <col min="10244" max="10244" width="13.85546875" style="31" bestFit="1" customWidth="1"/>
    <col min="10245" max="10245" width="18.7109375" style="31" bestFit="1" customWidth="1"/>
    <col min="10246" max="10246" width="24.7109375" style="31" bestFit="1" customWidth="1"/>
    <col min="10247" max="10248" width="27.140625" style="31" bestFit="1" customWidth="1"/>
    <col min="10249" max="10249" width="24.7109375" style="31" bestFit="1" customWidth="1"/>
    <col min="10250" max="10252" width="22.42578125" style="31" bestFit="1" customWidth="1"/>
    <col min="10253" max="10253" width="24" style="31" bestFit="1" customWidth="1"/>
    <col min="10254" max="10255" width="41.140625" style="31" bestFit="1" customWidth="1"/>
    <col min="10256" max="10256" width="77.42578125" style="31" bestFit="1" customWidth="1"/>
    <col min="10257" max="10257" width="110.28515625" style="31" bestFit="1" customWidth="1"/>
    <col min="10258" max="10258" width="108.140625" style="31" bestFit="1" customWidth="1"/>
    <col min="10259" max="10259" width="38.28515625" style="31" bestFit="1" customWidth="1"/>
    <col min="10260" max="10260" width="38.7109375" style="31" bestFit="1" customWidth="1"/>
    <col min="10261" max="10261" width="38.28515625" style="31" bestFit="1" customWidth="1"/>
    <col min="10262" max="10262" width="38.7109375" style="31" bestFit="1" customWidth="1"/>
    <col min="10263" max="10263" width="38.28515625" style="31" bestFit="1" customWidth="1"/>
    <col min="10264" max="10264" width="38.7109375" style="31" bestFit="1" customWidth="1"/>
    <col min="10265" max="10265" width="22.85546875" style="31" bestFit="1" customWidth="1"/>
    <col min="10266" max="10266" width="31.85546875" style="31" customWidth="1"/>
    <col min="10267" max="10267" width="28" style="31" bestFit="1" customWidth="1"/>
    <col min="10268" max="10268" width="20.7109375" style="31" bestFit="1" customWidth="1"/>
    <col min="10269" max="10269" width="26.7109375" style="31" bestFit="1" customWidth="1"/>
    <col min="10270" max="10270" width="26.85546875" style="31" bestFit="1" customWidth="1"/>
    <col min="10271" max="10271" width="26.7109375" style="31" bestFit="1" customWidth="1"/>
    <col min="10272" max="10272" width="26.85546875" style="31" bestFit="1" customWidth="1"/>
    <col min="10273" max="10273" width="28.85546875" style="31" bestFit="1" customWidth="1"/>
    <col min="10274" max="10274" width="27" style="31" bestFit="1" customWidth="1"/>
    <col min="10275" max="10275" width="23.42578125" style="31" bestFit="1" customWidth="1"/>
    <col min="10276" max="10277" width="31.42578125" style="31" bestFit="1" customWidth="1"/>
    <col min="10278" max="10278" width="31.42578125" style="31" customWidth="1"/>
    <col min="10279" max="10279" width="52.28515625" style="31" customWidth="1"/>
    <col min="10280" max="10280" width="31.42578125" style="31" customWidth="1"/>
    <col min="10281" max="10281" width="26.42578125" style="31" bestFit="1" customWidth="1"/>
    <col min="10282" max="10282" width="29.28515625" style="31" customWidth="1"/>
    <col min="10283" max="10283" width="30.28515625" style="31" customWidth="1"/>
    <col min="10284" max="10284" width="39" style="31" bestFit="1" customWidth="1"/>
    <col min="10285" max="10464" width="9.140625" style="31"/>
    <col min="10465" max="10465" width="17.5703125" style="31" bestFit="1" customWidth="1"/>
    <col min="10466" max="10466" width="25.7109375" style="31" bestFit="1" customWidth="1"/>
    <col min="10467" max="10467" width="22.140625" style="31" bestFit="1" customWidth="1"/>
    <col min="10468" max="10468" width="18.42578125" style="31" bestFit="1" customWidth="1"/>
    <col min="10469" max="10469" width="19.140625" style="31" bestFit="1" customWidth="1"/>
    <col min="10470" max="10470" width="18.42578125" style="31" bestFit="1" customWidth="1"/>
    <col min="10471" max="10471" width="26.42578125" style="31" bestFit="1" customWidth="1"/>
    <col min="10472" max="10472" width="23.85546875" style="31" bestFit="1" customWidth="1"/>
    <col min="10473" max="10473" width="21.42578125" style="31" bestFit="1" customWidth="1"/>
    <col min="10474" max="10474" width="16" style="31" bestFit="1" customWidth="1"/>
    <col min="10475" max="10476" width="23" style="31" customWidth="1"/>
    <col min="10477" max="10477" width="29.28515625" style="31" customWidth="1"/>
    <col min="10478" max="10478" width="30.28515625" style="31" customWidth="1"/>
    <col min="10479" max="10479" width="24.140625" style="31" customWidth="1"/>
    <col min="10480" max="10481" width="23.85546875" style="31" customWidth="1"/>
    <col min="10482" max="10482" width="30.28515625" style="31" customWidth="1"/>
    <col min="10483" max="10488" width="12.7109375" style="31" customWidth="1"/>
    <col min="10489" max="10489" width="33.140625" style="31" customWidth="1"/>
    <col min="10490" max="10490" width="31.5703125" style="31" customWidth="1"/>
    <col min="10491" max="10491" width="33.28515625" style="31" customWidth="1"/>
    <col min="10492" max="10492" width="31.7109375" style="31" customWidth="1"/>
    <col min="10493" max="10493" width="20" style="31" customWidth="1"/>
    <col min="10494" max="10494" width="19.28515625" style="31" bestFit="1" customWidth="1"/>
    <col min="10495" max="10495" width="19.7109375" style="31" bestFit="1" customWidth="1"/>
    <col min="10496" max="10496" width="33.28515625" style="31" bestFit="1" customWidth="1"/>
    <col min="10497" max="10497" width="24.140625" style="31" bestFit="1" customWidth="1"/>
    <col min="10498" max="10498" width="25.28515625" style="31" customWidth="1"/>
    <col min="10499" max="10499" width="24.42578125" style="31" customWidth="1"/>
    <col min="10500" max="10500" width="13.85546875" style="31" bestFit="1" customWidth="1"/>
    <col min="10501" max="10501" width="18.7109375" style="31" bestFit="1" customWidth="1"/>
    <col min="10502" max="10502" width="24.7109375" style="31" bestFit="1" customWidth="1"/>
    <col min="10503" max="10504" width="27.140625" style="31" bestFit="1" customWidth="1"/>
    <col min="10505" max="10505" width="24.7109375" style="31" bestFit="1" customWidth="1"/>
    <col min="10506" max="10508" width="22.42578125" style="31" bestFit="1" customWidth="1"/>
    <col min="10509" max="10509" width="24" style="31" bestFit="1" customWidth="1"/>
    <col min="10510" max="10511" width="41.140625" style="31" bestFit="1" customWidth="1"/>
    <col min="10512" max="10512" width="77.42578125" style="31" bestFit="1" customWidth="1"/>
    <col min="10513" max="10513" width="110.28515625" style="31" bestFit="1" customWidth="1"/>
    <col min="10514" max="10514" width="108.140625" style="31" bestFit="1" customWidth="1"/>
    <col min="10515" max="10515" width="38.28515625" style="31" bestFit="1" customWidth="1"/>
    <col min="10516" max="10516" width="38.7109375" style="31" bestFit="1" customWidth="1"/>
    <col min="10517" max="10517" width="38.28515625" style="31" bestFit="1" customWidth="1"/>
    <col min="10518" max="10518" width="38.7109375" style="31" bestFit="1" customWidth="1"/>
    <col min="10519" max="10519" width="38.28515625" style="31" bestFit="1" customWidth="1"/>
    <col min="10520" max="10520" width="38.7109375" style="31" bestFit="1" customWidth="1"/>
    <col min="10521" max="10521" width="22.85546875" style="31" bestFit="1" customWidth="1"/>
    <col min="10522" max="10522" width="31.85546875" style="31" customWidth="1"/>
    <col min="10523" max="10523" width="28" style="31" bestFit="1" customWidth="1"/>
    <col min="10524" max="10524" width="20.7109375" style="31" bestFit="1" customWidth="1"/>
    <col min="10525" max="10525" width="26.7109375" style="31" bestFit="1" customWidth="1"/>
    <col min="10526" max="10526" width="26.85546875" style="31" bestFit="1" customWidth="1"/>
    <col min="10527" max="10527" width="26.7109375" style="31" bestFit="1" customWidth="1"/>
    <col min="10528" max="10528" width="26.85546875" style="31" bestFit="1" customWidth="1"/>
    <col min="10529" max="10529" width="28.85546875" style="31" bestFit="1" customWidth="1"/>
    <col min="10530" max="10530" width="27" style="31" bestFit="1" customWidth="1"/>
    <col min="10531" max="10531" width="23.42578125" style="31" bestFit="1" customWidth="1"/>
    <col min="10532" max="10533" width="31.42578125" style="31" bestFit="1" customWidth="1"/>
    <col min="10534" max="10534" width="31.42578125" style="31" customWidth="1"/>
    <col min="10535" max="10535" width="52.28515625" style="31" customWidth="1"/>
    <col min="10536" max="10536" width="31.42578125" style="31" customWidth="1"/>
    <col min="10537" max="10537" width="26.42578125" style="31" bestFit="1" customWidth="1"/>
    <col min="10538" max="10538" width="29.28515625" style="31" customWidth="1"/>
    <col min="10539" max="10539" width="30.28515625" style="31" customWidth="1"/>
    <col min="10540" max="10540" width="39" style="31" bestFit="1" customWidth="1"/>
    <col min="10541" max="10720" width="9.140625" style="31"/>
    <col min="10721" max="10721" width="17.5703125" style="31" bestFit="1" customWidth="1"/>
    <col min="10722" max="10722" width="25.7109375" style="31" bestFit="1" customWidth="1"/>
    <col min="10723" max="10723" width="22.140625" style="31" bestFit="1" customWidth="1"/>
    <col min="10724" max="10724" width="18.42578125" style="31" bestFit="1" customWidth="1"/>
    <col min="10725" max="10725" width="19.140625" style="31" bestFit="1" customWidth="1"/>
    <col min="10726" max="10726" width="18.42578125" style="31" bestFit="1" customWidth="1"/>
    <col min="10727" max="10727" width="26.42578125" style="31" bestFit="1" customWidth="1"/>
    <col min="10728" max="10728" width="23.85546875" style="31" bestFit="1" customWidth="1"/>
    <col min="10729" max="10729" width="21.42578125" style="31" bestFit="1" customWidth="1"/>
    <col min="10730" max="10730" width="16" style="31" bestFit="1" customWidth="1"/>
    <col min="10731" max="10732" width="23" style="31" customWidth="1"/>
    <col min="10733" max="10733" width="29.28515625" style="31" customWidth="1"/>
    <col min="10734" max="10734" width="30.28515625" style="31" customWidth="1"/>
    <col min="10735" max="10735" width="24.140625" style="31" customWidth="1"/>
    <col min="10736" max="10737" width="23.85546875" style="31" customWidth="1"/>
    <col min="10738" max="10738" width="30.28515625" style="31" customWidth="1"/>
    <col min="10739" max="10744" width="12.7109375" style="31" customWidth="1"/>
    <col min="10745" max="10745" width="33.140625" style="31" customWidth="1"/>
    <col min="10746" max="10746" width="31.5703125" style="31" customWidth="1"/>
    <col min="10747" max="10747" width="33.28515625" style="31" customWidth="1"/>
    <col min="10748" max="10748" width="31.7109375" style="31" customWidth="1"/>
    <col min="10749" max="10749" width="20" style="31" customWidth="1"/>
    <col min="10750" max="10750" width="19.28515625" style="31" bestFit="1" customWidth="1"/>
    <col min="10751" max="10751" width="19.7109375" style="31" bestFit="1" customWidth="1"/>
    <col min="10752" max="10752" width="33.28515625" style="31" bestFit="1" customWidth="1"/>
    <col min="10753" max="10753" width="24.140625" style="31" bestFit="1" customWidth="1"/>
    <col min="10754" max="10754" width="25.28515625" style="31" customWidth="1"/>
    <col min="10755" max="10755" width="24.42578125" style="31" customWidth="1"/>
    <col min="10756" max="10756" width="13.85546875" style="31" bestFit="1" customWidth="1"/>
    <col min="10757" max="10757" width="18.7109375" style="31" bestFit="1" customWidth="1"/>
    <col min="10758" max="10758" width="24.7109375" style="31" bestFit="1" customWidth="1"/>
    <col min="10759" max="10760" width="27.140625" style="31" bestFit="1" customWidth="1"/>
    <col min="10761" max="10761" width="24.7109375" style="31" bestFit="1" customWidth="1"/>
    <col min="10762" max="10764" width="22.42578125" style="31" bestFit="1" customWidth="1"/>
    <col min="10765" max="10765" width="24" style="31" bestFit="1" customWidth="1"/>
    <col min="10766" max="10767" width="41.140625" style="31" bestFit="1" customWidth="1"/>
    <col min="10768" max="10768" width="77.42578125" style="31" bestFit="1" customWidth="1"/>
    <col min="10769" max="10769" width="110.28515625" style="31" bestFit="1" customWidth="1"/>
    <col min="10770" max="10770" width="108.140625" style="31" bestFit="1" customWidth="1"/>
    <col min="10771" max="10771" width="38.28515625" style="31" bestFit="1" customWidth="1"/>
    <col min="10772" max="10772" width="38.7109375" style="31" bestFit="1" customWidth="1"/>
    <col min="10773" max="10773" width="38.28515625" style="31" bestFit="1" customWidth="1"/>
    <col min="10774" max="10774" width="38.7109375" style="31" bestFit="1" customWidth="1"/>
    <col min="10775" max="10775" width="38.28515625" style="31" bestFit="1" customWidth="1"/>
    <col min="10776" max="10776" width="38.7109375" style="31" bestFit="1" customWidth="1"/>
    <col min="10777" max="10777" width="22.85546875" style="31" bestFit="1" customWidth="1"/>
    <col min="10778" max="10778" width="31.85546875" style="31" customWidth="1"/>
    <col min="10779" max="10779" width="28" style="31" bestFit="1" customWidth="1"/>
    <col min="10780" max="10780" width="20.7109375" style="31" bestFit="1" customWidth="1"/>
    <col min="10781" max="10781" width="26.7109375" style="31" bestFit="1" customWidth="1"/>
    <col min="10782" max="10782" width="26.85546875" style="31" bestFit="1" customWidth="1"/>
    <col min="10783" max="10783" width="26.7109375" style="31" bestFit="1" customWidth="1"/>
    <col min="10784" max="10784" width="26.85546875" style="31" bestFit="1" customWidth="1"/>
    <col min="10785" max="10785" width="28.85546875" style="31" bestFit="1" customWidth="1"/>
    <col min="10786" max="10786" width="27" style="31" bestFit="1" customWidth="1"/>
    <col min="10787" max="10787" width="23.42578125" style="31" bestFit="1" customWidth="1"/>
    <col min="10788" max="10789" width="31.42578125" style="31" bestFit="1" customWidth="1"/>
    <col min="10790" max="10790" width="31.42578125" style="31" customWidth="1"/>
    <col min="10791" max="10791" width="52.28515625" style="31" customWidth="1"/>
    <col min="10792" max="10792" width="31.42578125" style="31" customWidth="1"/>
    <col min="10793" max="10793" width="26.42578125" style="31" bestFit="1" customWidth="1"/>
    <col min="10794" max="10794" width="29.28515625" style="31" customWidth="1"/>
    <col min="10795" max="10795" width="30.28515625" style="31" customWidth="1"/>
    <col min="10796" max="10796" width="39" style="31" bestFit="1" customWidth="1"/>
    <col min="10797" max="10976" width="9.140625" style="31"/>
    <col min="10977" max="10977" width="17.5703125" style="31" bestFit="1" customWidth="1"/>
    <col min="10978" max="10978" width="25.7109375" style="31" bestFit="1" customWidth="1"/>
    <col min="10979" max="10979" width="22.140625" style="31" bestFit="1" customWidth="1"/>
    <col min="10980" max="10980" width="18.42578125" style="31" bestFit="1" customWidth="1"/>
    <col min="10981" max="10981" width="19.140625" style="31" bestFit="1" customWidth="1"/>
    <col min="10982" max="10982" width="18.42578125" style="31" bestFit="1" customWidth="1"/>
    <col min="10983" max="10983" width="26.42578125" style="31" bestFit="1" customWidth="1"/>
    <col min="10984" max="10984" width="23.85546875" style="31" bestFit="1" customWidth="1"/>
    <col min="10985" max="10985" width="21.42578125" style="31" bestFit="1" customWidth="1"/>
    <col min="10986" max="10986" width="16" style="31" bestFit="1" customWidth="1"/>
    <col min="10987" max="10988" width="23" style="31" customWidth="1"/>
    <col min="10989" max="10989" width="29.28515625" style="31" customWidth="1"/>
    <col min="10990" max="10990" width="30.28515625" style="31" customWidth="1"/>
    <col min="10991" max="10991" width="24.140625" style="31" customWidth="1"/>
    <col min="10992" max="10993" width="23.85546875" style="31" customWidth="1"/>
    <col min="10994" max="10994" width="30.28515625" style="31" customWidth="1"/>
    <col min="10995" max="11000" width="12.7109375" style="31" customWidth="1"/>
    <col min="11001" max="11001" width="33.140625" style="31" customWidth="1"/>
    <col min="11002" max="11002" width="31.5703125" style="31" customWidth="1"/>
    <col min="11003" max="11003" width="33.28515625" style="31" customWidth="1"/>
    <col min="11004" max="11004" width="31.7109375" style="31" customWidth="1"/>
    <col min="11005" max="11005" width="20" style="31" customWidth="1"/>
    <col min="11006" max="11006" width="19.28515625" style="31" bestFit="1" customWidth="1"/>
    <col min="11007" max="11007" width="19.7109375" style="31" bestFit="1" customWidth="1"/>
    <col min="11008" max="11008" width="33.28515625" style="31" bestFit="1" customWidth="1"/>
    <col min="11009" max="11009" width="24.140625" style="31" bestFit="1" customWidth="1"/>
    <col min="11010" max="11010" width="25.28515625" style="31" customWidth="1"/>
    <col min="11011" max="11011" width="24.42578125" style="31" customWidth="1"/>
    <col min="11012" max="11012" width="13.85546875" style="31" bestFit="1" customWidth="1"/>
    <col min="11013" max="11013" width="18.7109375" style="31" bestFit="1" customWidth="1"/>
    <col min="11014" max="11014" width="24.7109375" style="31" bestFit="1" customWidth="1"/>
    <col min="11015" max="11016" width="27.140625" style="31" bestFit="1" customWidth="1"/>
    <col min="11017" max="11017" width="24.7109375" style="31" bestFit="1" customWidth="1"/>
    <col min="11018" max="11020" width="22.42578125" style="31" bestFit="1" customWidth="1"/>
    <col min="11021" max="11021" width="24" style="31" bestFit="1" customWidth="1"/>
    <col min="11022" max="11023" width="41.140625" style="31" bestFit="1" customWidth="1"/>
    <col min="11024" max="11024" width="77.42578125" style="31" bestFit="1" customWidth="1"/>
    <col min="11025" max="11025" width="110.28515625" style="31" bestFit="1" customWidth="1"/>
    <col min="11026" max="11026" width="108.140625" style="31" bestFit="1" customWidth="1"/>
    <col min="11027" max="11027" width="38.28515625" style="31" bestFit="1" customWidth="1"/>
    <col min="11028" max="11028" width="38.7109375" style="31" bestFit="1" customWidth="1"/>
    <col min="11029" max="11029" width="38.28515625" style="31" bestFit="1" customWidth="1"/>
    <col min="11030" max="11030" width="38.7109375" style="31" bestFit="1" customWidth="1"/>
    <col min="11031" max="11031" width="38.28515625" style="31" bestFit="1" customWidth="1"/>
    <col min="11032" max="11032" width="38.7109375" style="31" bestFit="1" customWidth="1"/>
    <col min="11033" max="11033" width="22.85546875" style="31" bestFit="1" customWidth="1"/>
    <col min="11034" max="11034" width="31.85546875" style="31" customWidth="1"/>
    <col min="11035" max="11035" width="28" style="31" bestFit="1" customWidth="1"/>
    <col min="11036" max="11036" width="20.7109375" style="31" bestFit="1" customWidth="1"/>
    <col min="11037" max="11037" width="26.7109375" style="31" bestFit="1" customWidth="1"/>
    <col min="11038" max="11038" width="26.85546875" style="31" bestFit="1" customWidth="1"/>
    <col min="11039" max="11039" width="26.7109375" style="31" bestFit="1" customWidth="1"/>
    <col min="11040" max="11040" width="26.85546875" style="31" bestFit="1" customWidth="1"/>
    <col min="11041" max="11041" width="28.85546875" style="31" bestFit="1" customWidth="1"/>
    <col min="11042" max="11042" width="27" style="31" bestFit="1" customWidth="1"/>
    <col min="11043" max="11043" width="23.42578125" style="31" bestFit="1" customWidth="1"/>
    <col min="11044" max="11045" width="31.42578125" style="31" bestFit="1" customWidth="1"/>
    <col min="11046" max="11046" width="31.42578125" style="31" customWidth="1"/>
    <col min="11047" max="11047" width="52.28515625" style="31" customWidth="1"/>
    <col min="11048" max="11048" width="31.42578125" style="31" customWidth="1"/>
    <col min="11049" max="11049" width="26.42578125" style="31" bestFit="1" customWidth="1"/>
    <col min="11050" max="11050" width="29.28515625" style="31" customWidth="1"/>
    <col min="11051" max="11051" width="30.28515625" style="31" customWidth="1"/>
    <col min="11052" max="11052" width="39" style="31" bestFit="1" customWidth="1"/>
    <col min="11053" max="11232" width="9.140625" style="31"/>
    <col min="11233" max="11233" width="17.5703125" style="31" bestFit="1" customWidth="1"/>
    <col min="11234" max="11234" width="25.7109375" style="31" bestFit="1" customWidth="1"/>
    <col min="11235" max="11235" width="22.140625" style="31" bestFit="1" customWidth="1"/>
    <col min="11236" max="11236" width="18.42578125" style="31" bestFit="1" customWidth="1"/>
    <col min="11237" max="11237" width="19.140625" style="31" bestFit="1" customWidth="1"/>
    <col min="11238" max="11238" width="18.42578125" style="31" bestFit="1" customWidth="1"/>
    <col min="11239" max="11239" width="26.42578125" style="31" bestFit="1" customWidth="1"/>
    <col min="11240" max="11240" width="23.85546875" style="31" bestFit="1" customWidth="1"/>
    <col min="11241" max="11241" width="21.42578125" style="31" bestFit="1" customWidth="1"/>
    <col min="11242" max="11242" width="16" style="31" bestFit="1" customWidth="1"/>
    <col min="11243" max="11244" width="23" style="31" customWidth="1"/>
    <col min="11245" max="11245" width="29.28515625" style="31" customWidth="1"/>
    <col min="11246" max="11246" width="30.28515625" style="31" customWidth="1"/>
    <col min="11247" max="11247" width="24.140625" style="31" customWidth="1"/>
    <col min="11248" max="11249" width="23.85546875" style="31" customWidth="1"/>
    <col min="11250" max="11250" width="30.28515625" style="31" customWidth="1"/>
    <col min="11251" max="11256" width="12.7109375" style="31" customWidth="1"/>
    <col min="11257" max="11257" width="33.140625" style="31" customWidth="1"/>
    <col min="11258" max="11258" width="31.5703125" style="31" customWidth="1"/>
    <col min="11259" max="11259" width="33.28515625" style="31" customWidth="1"/>
    <col min="11260" max="11260" width="31.7109375" style="31" customWidth="1"/>
    <col min="11261" max="11261" width="20" style="31" customWidth="1"/>
    <col min="11262" max="11262" width="19.28515625" style="31" bestFit="1" customWidth="1"/>
    <col min="11263" max="11263" width="19.7109375" style="31" bestFit="1" customWidth="1"/>
    <col min="11264" max="11264" width="33.28515625" style="31" bestFit="1" customWidth="1"/>
    <col min="11265" max="11265" width="24.140625" style="31" bestFit="1" customWidth="1"/>
    <col min="11266" max="11266" width="25.28515625" style="31" customWidth="1"/>
    <col min="11267" max="11267" width="24.42578125" style="31" customWidth="1"/>
    <col min="11268" max="11268" width="13.85546875" style="31" bestFit="1" customWidth="1"/>
    <col min="11269" max="11269" width="18.7109375" style="31" bestFit="1" customWidth="1"/>
    <col min="11270" max="11270" width="24.7109375" style="31" bestFit="1" customWidth="1"/>
    <col min="11271" max="11272" width="27.140625" style="31" bestFit="1" customWidth="1"/>
    <col min="11273" max="11273" width="24.7109375" style="31" bestFit="1" customWidth="1"/>
    <col min="11274" max="11276" width="22.42578125" style="31" bestFit="1" customWidth="1"/>
    <col min="11277" max="11277" width="24" style="31" bestFit="1" customWidth="1"/>
    <col min="11278" max="11279" width="41.140625" style="31" bestFit="1" customWidth="1"/>
    <col min="11280" max="11280" width="77.42578125" style="31" bestFit="1" customWidth="1"/>
    <col min="11281" max="11281" width="110.28515625" style="31" bestFit="1" customWidth="1"/>
    <col min="11282" max="11282" width="108.140625" style="31" bestFit="1" customWidth="1"/>
    <col min="11283" max="11283" width="38.28515625" style="31" bestFit="1" customWidth="1"/>
    <col min="11284" max="11284" width="38.7109375" style="31" bestFit="1" customWidth="1"/>
    <col min="11285" max="11285" width="38.28515625" style="31" bestFit="1" customWidth="1"/>
    <col min="11286" max="11286" width="38.7109375" style="31" bestFit="1" customWidth="1"/>
    <col min="11287" max="11287" width="38.28515625" style="31" bestFit="1" customWidth="1"/>
    <col min="11288" max="11288" width="38.7109375" style="31" bestFit="1" customWidth="1"/>
    <col min="11289" max="11289" width="22.85546875" style="31" bestFit="1" customWidth="1"/>
    <col min="11290" max="11290" width="31.85546875" style="31" customWidth="1"/>
    <col min="11291" max="11291" width="28" style="31" bestFit="1" customWidth="1"/>
    <col min="11292" max="11292" width="20.7109375" style="31" bestFit="1" customWidth="1"/>
    <col min="11293" max="11293" width="26.7109375" style="31" bestFit="1" customWidth="1"/>
    <col min="11294" max="11294" width="26.85546875" style="31" bestFit="1" customWidth="1"/>
    <col min="11295" max="11295" width="26.7109375" style="31" bestFit="1" customWidth="1"/>
    <col min="11296" max="11296" width="26.85546875" style="31" bestFit="1" customWidth="1"/>
    <col min="11297" max="11297" width="28.85546875" style="31" bestFit="1" customWidth="1"/>
    <col min="11298" max="11298" width="27" style="31" bestFit="1" customWidth="1"/>
    <col min="11299" max="11299" width="23.42578125" style="31" bestFit="1" customWidth="1"/>
    <col min="11300" max="11301" width="31.42578125" style="31" bestFit="1" customWidth="1"/>
    <col min="11302" max="11302" width="31.42578125" style="31" customWidth="1"/>
    <col min="11303" max="11303" width="52.28515625" style="31" customWidth="1"/>
    <col min="11304" max="11304" width="31.42578125" style="31" customWidth="1"/>
    <col min="11305" max="11305" width="26.42578125" style="31" bestFit="1" customWidth="1"/>
    <col min="11306" max="11306" width="29.28515625" style="31" customWidth="1"/>
    <col min="11307" max="11307" width="30.28515625" style="31" customWidth="1"/>
    <col min="11308" max="11308" width="39" style="31" bestFit="1" customWidth="1"/>
    <col min="11309" max="11488" width="9.140625" style="31"/>
    <col min="11489" max="11489" width="17.5703125" style="31" bestFit="1" customWidth="1"/>
    <col min="11490" max="11490" width="25.7109375" style="31" bestFit="1" customWidth="1"/>
    <col min="11491" max="11491" width="22.140625" style="31" bestFit="1" customWidth="1"/>
    <col min="11492" max="11492" width="18.42578125" style="31" bestFit="1" customWidth="1"/>
    <col min="11493" max="11493" width="19.140625" style="31" bestFit="1" customWidth="1"/>
    <col min="11494" max="11494" width="18.42578125" style="31" bestFit="1" customWidth="1"/>
    <col min="11495" max="11495" width="26.42578125" style="31" bestFit="1" customWidth="1"/>
    <col min="11496" max="11496" width="23.85546875" style="31" bestFit="1" customWidth="1"/>
    <col min="11497" max="11497" width="21.42578125" style="31" bestFit="1" customWidth="1"/>
    <col min="11498" max="11498" width="16" style="31" bestFit="1" customWidth="1"/>
    <col min="11499" max="11500" width="23" style="31" customWidth="1"/>
    <col min="11501" max="11501" width="29.28515625" style="31" customWidth="1"/>
    <col min="11502" max="11502" width="30.28515625" style="31" customWidth="1"/>
    <col min="11503" max="11503" width="24.140625" style="31" customWidth="1"/>
    <col min="11504" max="11505" width="23.85546875" style="31" customWidth="1"/>
    <col min="11506" max="11506" width="30.28515625" style="31" customWidth="1"/>
    <col min="11507" max="11512" width="12.7109375" style="31" customWidth="1"/>
    <col min="11513" max="11513" width="33.140625" style="31" customWidth="1"/>
    <col min="11514" max="11514" width="31.5703125" style="31" customWidth="1"/>
    <col min="11515" max="11515" width="33.28515625" style="31" customWidth="1"/>
    <col min="11516" max="11516" width="31.7109375" style="31" customWidth="1"/>
    <col min="11517" max="11517" width="20" style="31" customWidth="1"/>
    <col min="11518" max="11518" width="19.28515625" style="31" bestFit="1" customWidth="1"/>
    <col min="11519" max="11519" width="19.7109375" style="31" bestFit="1" customWidth="1"/>
    <col min="11520" max="11520" width="33.28515625" style="31" bestFit="1" customWidth="1"/>
    <col min="11521" max="11521" width="24.140625" style="31" bestFit="1" customWidth="1"/>
    <col min="11522" max="11522" width="25.28515625" style="31" customWidth="1"/>
    <col min="11523" max="11523" width="24.42578125" style="31" customWidth="1"/>
    <col min="11524" max="11524" width="13.85546875" style="31" bestFit="1" customWidth="1"/>
    <col min="11525" max="11525" width="18.7109375" style="31" bestFit="1" customWidth="1"/>
    <col min="11526" max="11526" width="24.7109375" style="31" bestFit="1" customWidth="1"/>
    <col min="11527" max="11528" width="27.140625" style="31" bestFit="1" customWidth="1"/>
    <col min="11529" max="11529" width="24.7109375" style="31" bestFit="1" customWidth="1"/>
    <col min="11530" max="11532" width="22.42578125" style="31" bestFit="1" customWidth="1"/>
    <col min="11533" max="11533" width="24" style="31" bestFit="1" customWidth="1"/>
    <col min="11534" max="11535" width="41.140625" style="31" bestFit="1" customWidth="1"/>
    <col min="11536" max="11536" width="77.42578125" style="31" bestFit="1" customWidth="1"/>
    <col min="11537" max="11537" width="110.28515625" style="31" bestFit="1" customWidth="1"/>
    <col min="11538" max="11538" width="108.140625" style="31" bestFit="1" customWidth="1"/>
    <col min="11539" max="11539" width="38.28515625" style="31" bestFit="1" customWidth="1"/>
    <col min="11540" max="11540" width="38.7109375" style="31" bestFit="1" customWidth="1"/>
    <col min="11541" max="11541" width="38.28515625" style="31" bestFit="1" customWidth="1"/>
    <col min="11542" max="11542" width="38.7109375" style="31" bestFit="1" customWidth="1"/>
    <col min="11543" max="11543" width="38.28515625" style="31" bestFit="1" customWidth="1"/>
    <col min="11544" max="11544" width="38.7109375" style="31" bestFit="1" customWidth="1"/>
    <col min="11545" max="11545" width="22.85546875" style="31" bestFit="1" customWidth="1"/>
    <col min="11546" max="11546" width="31.85546875" style="31" customWidth="1"/>
    <col min="11547" max="11547" width="28" style="31" bestFit="1" customWidth="1"/>
    <col min="11548" max="11548" width="20.7109375" style="31" bestFit="1" customWidth="1"/>
    <col min="11549" max="11549" width="26.7109375" style="31" bestFit="1" customWidth="1"/>
    <col min="11550" max="11550" width="26.85546875" style="31" bestFit="1" customWidth="1"/>
    <col min="11551" max="11551" width="26.7109375" style="31" bestFit="1" customWidth="1"/>
    <col min="11552" max="11552" width="26.85546875" style="31" bestFit="1" customWidth="1"/>
    <col min="11553" max="11553" width="28.85546875" style="31" bestFit="1" customWidth="1"/>
    <col min="11554" max="11554" width="27" style="31" bestFit="1" customWidth="1"/>
    <col min="11555" max="11555" width="23.42578125" style="31" bestFit="1" customWidth="1"/>
    <col min="11556" max="11557" width="31.42578125" style="31" bestFit="1" customWidth="1"/>
    <col min="11558" max="11558" width="31.42578125" style="31" customWidth="1"/>
    <col min="11559" max="11559" width="52.28515625" style="31" customWidth="1"/>
    <col min="11560" max="11560" width="31.42578125" style="31" customWidth="1"/>
    <col min="11561" max="11561" width="26.42578125" style="31" bestFit="1" customWidth="1"/>
    <col min="11562" max="11562" width="29.28515625" style="31" customWidth="1"/>
    <col min="11563" max="11563" width="30.28515625" style="31" customWidth="1"/>
    <col min="11564" max="11564" width="39" style="31" bestFit="1" customWidth="1"/>
    <col min="11565" max="11744" width="9.140625" style="31"/>
    <col min="11745" max="11745" width="17.5703125" style="31" bestFit="1" customWidth="1"/>
    <col min="11746" max="11746" width="25.7109375" style="31" bestFit="1" customWidth="1"/>
    <col min="11747" max="11747" width="22.140625" style="31" bestFit="1" customWidth="1"/>
    <col min="11748" max="11748" width="18.42578125" style="31" bestFit="1" customWidth="1"/>
    <col min="11749" max="11749" width="19.140625" style="31" bestFit="1" customWidth="1"/>
    <col min="11750" max="11750" width="18.42578125" style="31" bestFit="1" customWidth="1"/>
    <col min="11751" max="11751" width="26.42578125" style="31" bestFit="1" customWidth="1"/>
    <col min="11752" max="11752" width="23.85546875" style="31" bestFit="1" customWidth="1"/>
    <col min="11753" max="11753" width="21.42578125" style="31" bestFit="1" customWidth="1"/>
    <col min="11754" max="11754" width="16" style="31" bestFit="1" customWidth="1"/>
    <col min="11755" max="11756" width="23" style="31" customWidth="1"/>
    <col min="11757" max="11757" width="29.28515625" style="31" customWidth="1"/>
    <col min="11758" max="11758" width="30.28515625" style="31" customWidth="1"/>
    <col min="11759" max="11759" width="24.140625" style="31" customWidth="1"/>
    <col min="11760" max="11761" width="23.85546875" style="31" customWidth="1"/>
    <col min="11762" max="11762" width="30.28515625" style="31" customWidth="1"/>
    <col min="11763" max="11768" width="12.7109375" style="31" customWidth="1"/>
    <col min="11769" max="11769" width="33.140625" style="31" customWidth="1"/>
    <col min="11770" max="11770" width="31.5703125" style="31" customWidth="1"/>
    <col min="11771" max="11771" width="33.28515625" style="31" customWidth="1"/>
    <col min="11772" max="11772" width="31.7109375" style="31" customWidth="1"/>
    <col min="11773" max="11773" width="20" style="31" customWidth="1"/>
    <col min="11774" max="11774" width="19.28515625" style="31" bestFit="1" customWidth="1"/>
    <col min="11775" max="11775" width="19.7109375" style="31" bestFit="1" customWidth="1"/>
    <col min="11776" max="11776" width="33.28515625" style="31" bestFit="1" customWidth="1"/>
    <col min="11777" max="11777" width="24.140625" style="31" bestFit="1" customWidth="1"/>
    <col min="11778" max="11778" width="25.28515625" style="31" customWidth="1"/>
    <col min="11779" max="11779" width="24.42578125" style="31" customWidth="1"/>
    <col min="11780" max="11780" width="13.85546875" style="31" bestFit="1" customWidth="1"/>
    <col min="11781" max="11781" width="18.7109375" style="31" bestFit="1" customWidth="1"/>
    <col min="11782" max="11782" width="24.7109375" style="31" bestFit="1" customWidth="1"/>
    <col min="11783" max="11784" width="27.140625" style="31" bestFit="1" customWidth="1"/>
    <col min="11785" max="11785" width="24.7109375" style="31" bestFit="1" customWidth="1"/>
    <col min="11786" max="11788" width="22.42578125" style="31" bestFit="1" customWidth="1"/>
    <col min="11789" max="11789" width="24" style="31" bestFit="1" customWidth="1"/>
    <col min="11790" max="11791" width="41.140625" style="31" bestFit="1" customWidth="1"/>
    <col min="11792" max="11792" width="77.42578125" style="31" bestFit="1" customWidth="1"/>
    <col min="11793" max="11793" width="110.28515625" style="31" bestFit="1" customWidth="1"/>
    <col min="11794" max="11794" width="108.140625" style="31" bestFit="1" customWidth="1"/>
    <col min="11795" max="11795" width="38.28515625" style="31" bestFit="1" customWidth="1"/>
    <col min="11796" max="11796" width="38.7109375" style="31" bestFit="1" customWidth="1"/>
    <col min="11797" max="11797" width="38.28515625" style="31" bestFit="1" customWidth="1"/>
    <col min="11798" max="11798" width="38.7109375" style="31" bestFit="1" customWidth="1"/>
    <col min="11799" max="11799" width="38.28515625" style="31" bestFit="1" customWidth="1"/>
    <col min="11800" max="11800" width="38.7109375" style="31" bestFit="1" customWidth="1"/>
    <col min="11801" max="11801" width="22.85546875" style="31" bestFit="1" customWidth="1"/>
    <col min="11802" max="11802" width="31.85546875" style="31" customWidth="1"/>
    <col min="11803" max="11803" width="28" style="31" bestFit="1" customWidth="1"/>
    <col min="11804" max="11804" width="20.7109375" style="31" bestFit="1" customWidth="1"/>
    <col min="11805" max="11805" width="26.7109375" style="31" bestFit="1" customWidth="1"/>
    <col min="11806" max="11806" width="26.85546875" style="31" bestFit="1" customWidth="1"/>
    <col min="11807" max="11807" width="26.7109375" style="31" bestFit="1" customWidth="1"/>
    <col min="11808" max="11808" width="26.85546875" style="31" bestFit="1" customWidth="1"/>
    <col min="11809" max="11809" width="28.85546875" style="31" bestFit="1" customWidth="1"/>
    <col min="11810" max="11810" width="27" style="31" bestFit="1" customWidth="1"/>
    <col min="11811" max="11811" width="23.42578125" style="31" bestFit="1" customWidth="1"/>
    <col min="11812" max="11813" width="31.42578125" style="31" bestFit="1" customWidth="1"/>
    <col min="11814" max="11814" width="31.42578125" style="31" customWidth="1"/>
    <col min="11815" max="11815" width="52.28515625" style="31" customWidth="1"/>
    <col min="11816" max="11816" width="31.42578125" style="31" customWidth="1"/>
    <col min="11817" max="11817" width="26.42578125" style="31" bestFit="1" customWidth="1"/>
    <col min="11818" max="11818" width="29.28515625" style="31" customWidth="1"/>
    <col min="11819" max="11819" width="30.28515625" style="31" customWidth="1"/>
    <col min="11820" max="11820" width="39" style="31" bestFit="1" customWidth="1"/>
    <col min="11821" max="12000" width="9.140625" style="31"/>
    <col min="12001" max="12001" width="17.5703125" style="31" bestFit="1" customWidth="1"/>
    <col min="12002" max="12002" width="25.7109375" style="31" bestFit="1" customWidth="1"/>
    <col min="12003" max="12003" width="22.140625" style="31" bestFit="1" customWidth="1"/>
    <col min="12004" max="12004" width="18.42578125" style="31" bestFit="1" customWidth="1"/>
    <col min="12005" max="12005" width="19.140625" style="31" bestFit="1" customWidth="1"/>
    <col min="12006" max="12006" width="18.42578125" style="31" bestFit="1" customWidth="1"/>
    <col min="12007" max="12007" width="26.42578125" style="31" bestFit="1" customWidth="1"/>
    <col min="12008" max="12008" width="23.85546875" style="31" bestFit="1" customWidth="1"/>
    <col min="12009" max="12009" width="21.42578125" style="31" bestFit="1" customWidth="1"/>
    <col min="12010" max="12010" width="16" style="31" bestFit="1" customWidth="1"/>
    <col min="12011" max="12012" width="23" style="31" customWidth="1"/>
    <col min="12013" max="12013" width="29.28515625" style="31" customWidth="1"/>
    <col min="12014" max="12014" width="30.28515625" style="31" customWidth="1"/>
    <col min="12015" max="12015" width="24.140625" style="31" customWidth="1"/>
    <col min="12016" max="12017" width="23.85546875" style="31" customWidth="1"/>
    <col min="12018" max="12018" width="30.28515625" style="31" customWidth="1"/>
    <col min="12019" max="12024" width="12.7109375" style="31" customWidth="1"/>
    <col min="12025" max="12025" width="33.140625" style="31" customWidth="1"/>
    <col min="12026" max="12026" width="31.5703125" style="31" customWidth="1"/>
    <col min="12027" max="12027" width="33.28515625" style="31" customWidth="1"/>
    <col min="12028" max="12028" width="31.7109375" style="31" customWidth="1"/>
    <col min="12029" max="12029" width="20" style="31" customWidth="1"/>
    <col min="12030" max="12030" width="19.28515625" style="31" bestFit="1" customWidth="1"/>
    <col min="12031" max="12031" width="19.7109375" style="31" bestFit="1" customWidth="1"/>
    <col min="12032" max="12032" width="33.28515625" style="31" bestFit="1" customWidth="1"/>
    <col min="12033" max="12033" width="24.140625" style="31" bestFit="1" customWidth="1"/>
    <col min="12034" max="12034" width="25.28515625" style="31" customWidth="1"/>
    <col min="12035" max="12035" width="24.42578125" style="31" customWidth="1"/>
    <col min="12036" max="12036" width="13.85546875" style="31" bestFit="1" customWidth="1"/>
    <col min="12037" max="12037" width="18.7109375" style="31" bestFit="1" customWidth="1"/>
    <col min="12038" max="12038" width="24.7109375" style="31" bestFit="1" customWidth="1"/>
    <col min="12039" max="12040" width="27.140625" style="31" bestFit="1" customWidth="1"/>
    <col min="12041" max="12041" width="24.7109375" style="31" bestFit="1" customWidth="1"/>
    <col min="12042" max="12044" width="22.42578125" style="31" bestFit="1" customWidth="1"/>
    <col min="12045" max="12045" width="24" style="31" bestFit="1" customWidth="1"/>
    <col min="12046" max="12047" width="41.140625" style="31" bestFit="1" customWidth="1"/>
    <col min="12048" max="12048" width="77.42578125" style="31" bestFit="1" customWidth="1"/>
    <col min="12049" max="12049" width="110.28515625" style="31" bestFit="1" customWidth="1"/>
    <col min="12050" max="12050" width="108.140625" style="31" bestFit="1" customWidth="1"/>
    <col min="12051" max="12051" width="38.28515625" style="31" bestFit="1" customWidth="1"/>
    <col min="12052" max="12052" width="38.7109375" style="31" bestFit="1" customWidth="1"/>
    <col min="12053" max="12053" width="38.28515625" style="31" bestFit="1" customWidth="1"/>
    <col min="12054" max="12054" width="38.7109375" style="31" bestFit="1" customWidth="1"/>
    <col min="12055" max="12055" width="38.28515625" style="31" bestFit="1" customWidth="1"/>
    <col min="12056" max="12056" width="38.7109375" style="31" bestFit="1" customWidth="1"/>
    <col min="12057" max="12057" width="22.85546875" style="31" bestFit="1" customWidth="1"/>
    <col min="12058" max="12058" width="31.85546875" style="31" customWidth="1"/>
    <col min="12059" max="12059" width="28" style="31" bestFit="1" customWidth="1"/>
    <col min="12060" max="12060" width="20.7109375" style="31" bestFit="1" customWidth="1"/>
    <col min="12061" max="12061" width="26.7109375" style="31" bestFit="1" customWidth="1"/>
    <col min="12062" max="12062" width="26.85546875" style="31" bestFit="1" customWidth="1"/>
    <col min="12063" max="12063" width="26.7109375" style="31" bestFit="1" customWidth="1"/>
    <col min="12064" max="12064" width="26.85546875" style="31" bestFit="1" customWidth="1"/>
    <col min="12065" max="12065" width="28.85546875" style="31" bestFit="1" customWidth="1"/>
    <col min="12066" max="12066" width="27" style="31" bestFit="1" customWidth="1"/>
    <col min="12067" max="12067" width="23.42578125" style="31" bestFit="1" customWidth="1"/>
    <col min="12068" max="12069" width="31.42578125" style="31" bestFit="1" customWidth="1"/>
    <col min="12070" max="12070" width="31.42578125" style="31" customWidth="1"/>
    <col min="12071" max="12071" width="52.28515625" style="31" customWidth="1"/>
    <col min="12072" max="12072" width="31.42578125" style="31" customWidth="1"/>
    <col min="12073" max="12073" width="26.42578125" style="31" bestFit="1" customWidth="1"/>
    <col min="12074" max="12074" width="29.28515625" style="31" customWidth="1"/>
    <col min="12075" max="12075" width="30.28515625" style="31" customWidth="1"/>
    <col min="12076" max="12076" width="39" style="31" bestFit="1" customWidth="1"/>
    <col min="12077" max="12256" width="9.140625" style="31"/>
    <col min="12257" max="12257" width="17.5703125" style="31" bestFit="1" customWidth="1"/>
    <col min="12258" max="12258" width="25.7109375" style="31" bestFit="1" customWidth="1"/>
    <col min="12259" max="12259" width="22.140625" style="31" bestFit="1" customWidth="1"/>
    <col min="12260" max="12260" width="18.42578125" style="31" bestFit="1" customWidth="1"/>
    <col min="12261" max="12261" width="19.140625" style="31" bestFit="1" customWidth="1"/>
    <col min="12262" max="12262" width="18.42578125" style="31" bestFit="1" customWidth="1"/>
    <col min="12263" max="12263" width="26.42578125" style="31" bestFit="1" customWidth="1"/>
    <col min="12264" max="12264" width="23.85546875" style="31" bestFit="1" customWidth="1"/>
    <col min="12265" max="12265" width="21.42578125" style="31" bestFit="1" customWidth="1"/>
    <col min="12266" max="12266" width="16" style="31" bestFit="1" customWidth="1"/>
    <col min="12267" max="12268" width="23" style="31" customWidth="1"/>
    <col min="12269" max="12269" width="29.28515625" style="31" customWidth="1"/>
    <col min="12270" max="12270" width="30.28515625" style="31" customWidth="1"/>
    <col min="12271" max="12271" width="24.140625" style="31" customWidth="1"/>
    <col min="12272" max="12273" width="23.85546875" style="31" customWidth="1"/>
    <col min="12274" max="12274" width="30.28515625" style="31" customWidth="1"/>
    <col min="12275" max="12280" width="12.7109375" style="31" customWidth="1"/>
    <col min="12281" max="12281" width="33.140625" style="31" customWidth="1"/>
    <col min="12282" max="12282" width="31.5703125" style="31" customWidth="1"/>
    <col min="12283" max="12283" width="33.28515625" style="31" customWidth="1"/>
    <col min="12284" max="12284" width="31.7109375" style="31" customWidth="1"/>
    <col min="12285" max="12285" width="20" style="31" customWidth="1"/>
    <col min="12286" max="12286" width="19.28515625" style="31" bestFit="1" customWidth="1"/>
    <col min="12287" max="12287" width="19.7109375" style="31" bestFit="1" customWidth="1"/>
    <col min="12288" max="12288" width="33.28515625" style="31" bestFit="1" customWidth="1"/>
    <col min="12289" max="12289" width="24.140625" style="31" bestFit="1" customWidth="1"/>
    <col min="12290" max="12290" width="25.28515625" style="31" customWidth="1"/>
    <col min="12291" max="12291" width="24.42578125" style="31" customWidth="1"/>
    <col min="12292" max="12292" width="13.85546875" style="31" bestFit="1" customWidth="1"/>
    <col min="12293" max="12293" width="18.7109375" style="31" bestFit="1" customWidth="1"/>
    <col min="12294" max="12294" width="24.7109375" style="31" bestFit="1" customWidth="1"/>
    <col min="12295" max="12296" width="27.140625" style="31" bestFit="1" customWidth="1"/>
    <col min="12297" max="12297" width="24.7109375" style="31" bestFit="1" customWidth="1"/>
    <col min="12298" max="12300" width="22.42578125" style="31" bestFit="1" customWidth="1"/>
    <col min="12301" max="12301" width="24" style="31" bestFit="1" customWidth="1"/>
    <col min="12302" max="12303" width="41.140625" style="31" bestFit="1" customWidth="1"/>
    <col min="12304" max="12304" width="77.42578125" style="31" bestFit="1" customWidth="1"/>
    <col min="12305" max="12305" width="110.28515625" style="31" bestFit="1" customWidth="1"/>
    <col min="12306" max="12306" width="108.140625" style="31" bestFit="1" customWidth="1"/>
    <col min="12307" max="12307" width="38.28515625" style="31" bestFit="1" customWidth="1"/>
    <col min="12308" max="12308" width="38.7109375" style="31" bestFit="1" customWidth="1"/>
    <col min="12309" max="12309" width="38.28515625" style="31" bestFit="1" customWidth="1"/>
    <col min="12310" max="12310" width="38.7109375" style="31" bestFit="1" customWidth="1"/>
    <col min="12311" max="12311" width="38.28515625" style="31" bestFit="1" customWidth="1"/>
    <col min="12312" max="12312" width="38.7109375" style="31" bestFit="1" customWidth="1"/>
    <col min="12313" max="12313" width="22.85546875" style="31" bestFit="1" customWidth="1"/>
    <col min="12314" max="12314" width="31.85546875" style="31" customWidth="1"/>
    <col min="12315" max="12315" width="28" style="31" bestFit="1" customWidth="1"/>
    <col min="12316" max="12316" width="20.7109375" style="31" bestFit="1" customWidth="1"/>
    <col min="12317" max="12317" width="26.7109375" style="31" bestFit="1" customWidth="1"/>
    <col min="12318" max="12318" width="26.85546875" style="31" bestFit="1" customWidth="1"/>
    <col min="12319" max="12319" width="26.7109375" style="31" bestFit="1" customWidth="1"/>
    <col min="12320" max="12320" width="26.85546875" style="31" bestFit="1" customWidth="1"/>
    <col min="12321" max="12321" width="28.85546875" style="31" bestFit="1" customWidth="1"/>
    <col min="12322" max="12322" width="27" style="31" bestFit="1" customWidth="1"/>
    <col min="12323" max="12323" width="23.42578125" style="31" bestFit="1" customWidth="1"/>
    <col min="12324" max="12325" width="31.42578125" style="31" bestFit="1" customWidth="1"/>
    <col min="12326" max="12326" width="31.42578125" style="31" customWidth="1"/>
    <col min="12327" max="12327" width="52.28515625" style="31" customWidth="1"/>
    <col min="12328" max="12328" width="31.42578125" style="31" customWidth="1"/>
    <col min="12329" max="12329" width="26.42578125" style="31" bestFit="1" customWidth="1"/>
    <col min="12330" max="12330" width="29.28515625" style="31" customWidth="1"/>
    <col min="12331" max="12331" width="30.28515625" style="31" customWidth="1"/>
    <col min="12332" max="12332" width="39" style="31" bestFit="1" customWidth="1"/>
    <col min="12333" max="12512" width="9.140625" style="31"/>
    <col min="12513" max="12513" width="17.5703125" style="31" bestFit="1" customWidth="1"/>
    <col min="12514" max="12514" width="25.7109375" style="31" bestFit="1" customWidth="1"/>
    <col min="12515" max="12515" width="22.140625" style="31" bestFit="1" customWidth="1"/>
    <col min="12516" max="12516" width="18.42578125" style="31" bestFit="1" customWidth="1"/>
    <col min="12517" max="12517" width="19.140625" style="31" bestFit="1" customWidth="1"/>
    <col min="12518" max="12518" width="18.42578125" style="31" bestFit="1" customWidth="1"/>
    <col min="12519" max="12519" width="26.42578125" style="31" bestFit="1" customWidth="1"/>
    <col min="12520" max="12520" width="23.85546875" style="31" bestFit="1" customWidth="1"/>
    <col min="12521" max="12521" width="21.42578125" style="31" bestFit="1" customWidth="1"/>
    <col min="12522" max="12522" width="16" style="31" bestFit="1" customWidth="1"/>
    <col min="12523" max="12524" width="23" style="31" customWidth="1"/>
    <col min="12525" max="12525" width="29.28515625" style="31" customWidth="1"/>
    <col min="12526" max="12526" width="30.28515625" style="31" customWidth="1"/>
    <col min="12527" max="12527" width="24.140625" style="31" customWidth="1"/>
    <col min="12528" max="12529" width="23.85546875" style="31" customWidth="1"/>
    <col min="12530" max="12530" width="30.28515625" style="31" customWidth="1"/>
    <col min="12531" max="12536" width="12.7109375" style="31" customWidth="1"/>
    <col min="12537" max="12537" width="33.140625" style="31" customWidth="1"/>
    <col min="12538" max="12538" width="31.5703125" style="31" customWidth="1"/>
    <col min="12539" max="12539" width="33.28515625" style="31" customWidth="1"/>
    <col min="12540" max="12540" width="31.7109375" style="31" customWidth="1"/>
    <col min="12541" max="12541" width="20" style="31" customWidth="1"/>
    <col min="12542" max="12542" width="19.28515625" style="31" bestFit="1" customWidth="1"/>
    <col min="12543" max="12543" width="19.7109375" style="31" bestFit="1" customWidth="1"/>
    <col min="12544" max="12544" width="33.28515625" style="31" bestFit="1" customWidth="1"/>
    <col min="12545" max="12545" width="24.140625" style="31" bestFit="1" customWidth="1"/>
    <col min="12546" max="12546" width="25.28515625" style="31" customWidth="1"/>
    <col min="12547" max="12547" width="24.42578125" style="31" customWidth="1"/>
    <col min="12548" max="12548" width="13.85546875" style="31" bestFit="1" customWidth="1"/>
    <col min="12549" max="12549" width="18.7109375" style="31" bestFit="1" customWidth="1"/>
    <col min="12550" max="12550" width="24.7109375" style="31" bestFit="1" customWidth="1"/>
    <col min="12551" max="12552" width="27.140625" style="31" bestFit="1" customWidth="1"/>
    <col min="12553" max="12553" width="24.7109375" style="31" bestFit="1" customWidth="1"/>
    <col min="12554" max="12556" width="22.42578125" style="31" bestFit="1" customWidth="1"/>
    <col min="12557" max="12557" width="24" style="31" bestFit="1" customWidth="1"/>
    <col min="12558" max="12559" width="41.140625" style="31" bestFit="1" customWidth="1"/>
    <col min="12560" max="12560" width="77.42578125" style="31" bestFit="1" customWidth="1"/>
    <col min="12561" max="12561" width="110.28515625" style="31" bestFit="1" customWidth="1"/>
    <col min="12562" max="12562" width="108.140625" style="31" bestFit="1" customWidth="1"/>
    <col min="12563" max="12563" width="38.28515625" style="31" bestFit="1" customWidth="1"/>
    <col min="12564" max="12564" width="38.7109375" style="31" bestFit="1" customWidth="1"/>
    <col min="12565" max="12565" width="38.28515625" style="31" bestFit="1" customWidth="1"/>
    <col min="12566" max="12566" width="38.7109375" style="31" bestFit="1" customWidth="1"/>
    <col min="12567" max="12567" width="38.28515625" style="31" bestFit="1" customWidth="1"/>
    <col min="12568" max="12568" width="38.7109375" style="31" bestFit="1" customWidth="1"/>
    <col min="12569" max="12569" width="22.85546875" style="31" bestFit="1" customWidth="1"/>
    <col min="12570" max="12570" width="31.85546875" style="31" customWidth="1"/>
    <col min="12571" max="12571" width="28" style="31" bestFit="1" customWidth="1"/>
    <col min="12572" max="12572" width="20.7109375" style="31" bestFit="1" customWidth="1"/>
    <col min="12573" max="12573" width="26.7109375" style="31" bestFit="1" customWidth="1"/>
    <col min="12574" max="12574" width="26.85546875" style="31" bestFit="1" customWidth="1"/>
    <col min="12575" max="12575" width="26.7109375" style="31" bestFit="1" customWidth="1"/>
    <col min="12576" max="12576" width="26.85546875" style="31" bestFit="1" customWidth="1"/>
    <col min="12577" max="12577" width="28.85546875" style="31" bestFit="1" customWidth="1"/>
    <col min="12578" max="12578" width="27" style="31" bestFit="1" customWidth="1"/>
    <col min="12579" max="12579" width="23.42578125" style="31" bestFit="1" customWidth="1"/>
    <col min="12580" max="12581" width="31.42578125" style="31" bestFit="1" customWidth="1"/>
    <col min="12582" max="12582" width="31.42578125" style="31" customWidth="1"/>
    <col min="12583" max="12583" width="52.28515625" style="31" customWidth="1"/>
    <col min="12584" max="12584" width="31.42578125" style="31" customWidth="1"/>
    <col min="12585" max="12585" width="26.42578125" style="31" bestFit="1" customWidth="1"/>
    <col min="12586" max="12586" width="29.28515625" style="31" customWidth="1"/>
    <col min="12587" max="12587" width="30.28515625" style="31" customWidth="1"/>
    <col min="12588" max="12588" width="39" style="31" bestFit="1" customWidth="1"/>
    <col min="12589" max="12768" width="9.140625" style="31"/>
    <col min="12769" max="12769" width="17.5703125" style="31" bestFit="1" customWidth="1"/>
    <col min="12770" max="12770" width="25.7109375" style="31" bestFit="1" customWidth="1"/>
    <col min="12771" max="12771" width="22.140625" style="31" bestFit="1" customWidth="1"/>
    <col min="12772" max="12772" width="18.42578125" style="31" bestFit="1" customWidth="1"/>
    <col min="12773" max="12773" width="19.140625" style="31" bestFit="1" customWidth="1"/>
    <col min="12774" max="12774" width="18.42578125" style="31" bestFit="1" customWidth="1"/>
    <col min="12775" max="12775" width="26.42578125" style="31" bestFit="1" customWidth="1"/>
    <col min="12776" max="12776" width="23.85546875" style="31" bestFit="1" customWidth="1"/>
    <col min="12777" max="12777" width="21.42578125" style="31" bestFit="1" customWidth="1"/>
    <col min="12778" max="12778" width="16" style="31" bestFit="1" customWidth="1"/>
    <col min="12779" max="12780" width="23" style="31" customWidth="1"/>
    <col min="12781" max="12781" width="29.28515625" style="31" customWidth="1"/>
    <col min="12782" max="12782" width="30.28515625" style="31" customWidth="1"/>
    <col min="12783" max="12783" width="24.140625" style="31" customWidth="1"/>
    <col min="12784" max="12785" width="23.85546875" style="31" customWidth="1"/>
    <col min="12786" max="12786" width="30.28515625" style="31" customWidth="1"/>
    <col min="12787" max="12792" width="12.7109375" style="31" customWidth="1"/>
    <col min="12793" max="12793" width="33.140625" style="31" customWidth="1"/>
    <col min="12794" max="12794" width="31.5703125" style="31" customWidth="1"/>
    <col min="12795" max="12795" width="33.28515625" style="31" customWidth="1"/>
    <col min="12796" max="12796" width="31.7109375" style="31" customWidth="1"/>
    <col min="12797" max="12797" width="20" style="31" customWidth="1"/>
    <col min="12798" max="12798" width="19.28515625" style="31" bestFit="1" customWidth="1"/>
    <col min="12799" max="12799" width="19.7109375" style="31" bestFit="1" customWidth="1"/>
    <col min="12800" max="12800" width="33.28515625" style="31" bestFit="1" customWidth="1"/>
    <col min="12801" max="12801" width="24.140625" style="31" bestFit="1" customWidth="1"/>
    <col min="12802" max="12802" width="25.28515625" style="31" customWidth="1"/>
    <col min="12803" max="12803" width="24.42578125" style="31" customWidth="1"/>
    <col min="12804" max="12804" width="13.85546875" style="31" bestFit="1" customWidth="1"/>
    <col min="12805" max="12805" width="18.7109375" style="31" bestFit="1" customWidth="1"/>
    <col min="12806" max="12806" width="24.7109375" style="31" bestFit="1" customWidth="1"/>
    <col min="12807" max="12808" width="27.140625" style="31" bestFit="1" customWidth="1"/>
    <col min="12809" max="12809" width="24.7109375" style="31" bestFit="1" customWidth="1"/>
    <col min="12810" max="12812" width="22.42578125" style="31" bestFit="1" customWidth="1"/>
    <col min="12813" max="12813" width="24" style="31" bestFit="1" customWidth="1"/>
    <col min="12814" max="12815" width="41.140625" style="31" bestFit="1" customWidth="1"/>
    <col min="12816" max="12816" width="77.42578125" style="31" bestFit="1" customWidth="1"/>
    <col min="12817" max="12817" width="110.28515625" style="31" bestFit="1" customWidth="1"/>
    <col min="12818" max="12818" width="108.140625" style="31" bestFit="1" customWidth="1"/>
    <col min="12819" max="12819" width="38.28515625" style="31" bestFit="1" customWidth="1"/>
    <col min="12820" max="12820" width="38.7109375" style="31" bestFit="1" customWidth="1"/>
    <col min="12821" max="12821" width="38.28515625" style="31" bestFit="1" customWidth="1"/>
    <col min="12822" max="12822" width="38.7109375" style="31" bestFit="1" customWidth="1"/>
    <col min="12823" max="12823" width="38.28515625" style="31" bestFit="1" customWidth="1"/>
    <col min="12824" max="12824" width="38.7109375" style="31" bestFit="1" customWidth="1"/>
    <col min="12825" max="12825" width="22.85546875" style="31" bestFit="1" customWidth="1"/>
    <col min="12826" max="12826" width="31.85546875" style="31" customWidth="1"/>
    <col min="12827" max="12827" width="28" style="31" bestFit="1" customWidth="1"/>
    <col min="12828" max="12828" width="20.7109375" style="31" bestFit="1" customWidth="1"/>
    <col min="12829" max="12829" width="26.7109375" style="31" bestFit="1" customWidth="1"/>
    <col min="12830" max="12830" width="26.85546875" style="31" bestFit="1" customWidth="1"/>
    <col min="12831" max="12831" width="26.7109375" style="31" bestFit="1" customWidth="1"/>
    <col min="12832" max="12832" width="26.85546875" style="31" bestFit="1" customWidth="1"/>
    <col min="12833" max="12833" width="28.85546875" style="31" bestFit="1" customWidth="1"/>
    <col min="12834" max="12834" width="27" style="31" bestFit="1" customWidth="1"/>
    <col min="12835" max="12835" width="23.42578125" style="31" bestFit="1" customWidth="1"/>
    <col min="12836" max="12837" width="31.42578125" style="31" bestFit="1" customWidth="1"/>
    <col min="12838" max="12838" width="31.42578125" style="31" customWidth="1"/>
    <col min="12839" max="12839" width="52.28515625" style="31" customWidth="1"/>
    <col min="12840" max="12840" width="31.42578125" style="31" customWidth="1"/>
    <col min="12841" max="12841" width="26.42578125" style="31" bestFit="1" customWidth="1"/>
    <col min="12842" max="12842" width="29.28515625" style="31" customWidth="1"/>
    <col min="12843" max="12843" width="30.28515625" style="31" customWidth="1"/>
    <col min="12844" max="12844" width="39" style="31" bestFit="1" customWidth="1"/>
    <col min="12845" max="13024" width="9.140625" style="31"/>
    <col min="13025" max="13025" width="17.5703125" style="31" bestFit="1" customWidth="1"/>
    <col min="13026" max="13026" width="25.7109375" style="31" bestFit="1" customWidth="1"/>
    <col min="13027" max="13027" width="22.140625" style="31" bestFit="1" customWidth="1"/>
    <col min="13028" max="13028" width="18.42578125" style="31" bestFit="1" customWidth="1"/>
    <col min="13029" max="13029" width="19.140625" style="31" bestFit="1" customWidth="1"/>
    <col min="13030" max="13030" width="18.42578125" style="31" bestFit="1" customWidth="1"/>
    <col min="13031" max="13031" width="26.42578125" style="31" bestFit="1" customWidth="1"/>
    <col min="13032" max="13032" width="23.85546875" style="31" bestFit="1" customWidth="1"/>
    <col min="13033" max="13033" width="21.42578125" style="31" bestFit="1" customWidth="1"/>
    <col min="13034" max="13034" width="16" style="31" bestFit="1" customWidth="1"/>
    <col min="13035" max="13036" width="23" style="31" customWidth="1"/>
    <col min="13037" max="13037" width="29.28515625" style="31" customWidth="1"/>
    <col min="13038" max="13038" width="30.28515625" style="31" customWidth="1"/>
    <col min="13039" max="13039" width="24.140625" style="31" customWidth="1"/>
    <col min="13040" max="13041" width="23.85546875" style="31" customWidth="1"/>
    <col min="13042" max="13042" width="30.28515625" style="31" customWidth="1"/>
    <col min="13043" max="13048" width="12.7109375" style="31" customWidth="1"/>
    <col min="13049" max="13049" width="33.140625" style="31" customWidth="1"/>
    <col min="13050" max="13050" width="31.5703125" style="31" customWidth="1"/>
    <col min="13051" max="13051" width="33.28515625" style="31" customWidth="1"/>
    <col min="13052" max="13052" width="31.7109375" style="31" customWidth="1"/>
    <col min="13053" max="13053" width="20" style="31" customWidth="1"/>
    <col min="13054" max="13054" width="19.28515625" style="31" bestFit="1" customWidth="1"/>
    <col min="13055" max="13055" width="19.7109375" style="31" bestFit="1" customWidth="1"/>
    <col min="13056" max="13056" width="33.28515625" style="31" bestFit="1" customWidth="1"/>
    <col min="13057" max="13057" width="24.140625" style="31" bestFit="1" customWidth="1"/>
    <col min="13058" max="13058" width="25.28515625" style="31" customWidth="1"/>
    <col min="13059" max="13059" width="24.42578125" style="31" customWidth="1"/>
    <col min="13060" max="13060" width="13.85546875" style="31" bestFit="1" customWidth="1"/>
    <col min="13061" max="13061" width="18.7109375" style="31" bestFit="1" customWidth="1"/>
    <col min="13062" max="13062" width="24.7109375" style="31" bestFit="1" customWidth="1"/>
    <col min="13063" max="13064" width="27.140625" style="31" bestFit="1" customWidth="1"/>
    <col min="13065" max="13065" width="24.7109375" style="31" bestFit="1" customWidth="1"/>
    <col min="13066" max="13068" width="22.42578125" style="31" bestFit="1" customWidth="1"/>
    <col min="13069" max="13069" width="24" style="31" bestFit="1" customWidth="1"/>
    <col min="13070" max="13071" width="41.140625" style="31" bestFit="1" customWidth="1"/>
    <col min="13072" max="13072" width="77.42578125" style="31" bestFit="1" customWidth="1"/>
    <col min="13073" max="13073" width="110.28515625" style="31" bestFit="1" customWidth="1"/>
    <col min="13074" max="13074" width="108.140625" style="31" bestFit="1" customWidth="1"/>
    <col min="13075" max="13075" width="38.28515625" style="31" bestFit="1" customWidth="1"/>
    <col min="13076" max="13076" width="38.7109375" style="31" bestFit="1" customWidth="1"/>
    <col min="13077" max="13077" width="38.28515625" style="31" bestFit="1" customWidth="1"/>
    <col min="13078" max="13078" width="38.7109375" style="31" bestFit="1" customWidth="1"/>
    <col min="13079" max="13079" width="38.28515625" style="31" bestFit="1" customWidth="1"/>
    <col min="13080" max="13080" width="38.7109375" style="31" bestFit="1" customWidth="1"/>
    <col min="13081" max="13081" width="22.85546875" style="31" bestFit="1" customWidth="1"/>
    <col min="13082" max="13082" width="31.85546875" style="31" customWidth="1"/>
    <col min="13083" max="13083" width="28" style="31" bestFit="1" customWidth="1"/>
    <col min="13084" max="13084" width="20.7109375" style="31" bestFit="1" customWidth="1"/>
    <col min="13085" max="13085" width="26.7109375" style="31" bestFit="1" customWidth="1"/>
    <col min="13086" max="13086" width="26.85546875" style="31" bestFit="1" customWidth="1"/>
    <col min="13087" max="13087" width="26.7109375" style="31" bestFit="1" customWidth="1"/>
    <col min="13088" max="13088" width="26.85546875" style="31" bestFit="1" customWidth="1"/>
    <col min="13089" max="13089" width="28.85546875" style="31" bestFit="1" customWidth="1"/>
    <col min="13090" max="13090" width="27" style="31" bestFit="1" customWidth="1"/>
    <col min="13091" max="13091" width="23.42578125" style="31" bestFit="1" customWidth="1"/>
    <col min="13092" max="13093" width="31.42578125" style="31" bestFit="1" customWidth="1"/>
    <col min="13094" max="13094" width="31.42578125" style="31" customWidth="1"/>
    <col min="13095" max="13095" width="52.28515625" style="31" customWidth="1"/>
    <col min="13096" max="13096" width="31.42578125" style="31" customWidth="1"/>
    <col min="13097" max="13097" width="26.42578125" style="31" bestFit="1" customWidth="1"/>
    <col min="13098" max="13098" width="29.28515625" style="31" customWidth="1"/>
    <col min="13099" max="13099" width="30.28515625" style="31" customWidth="1"/>
    <col min="13100" max="13100" width="39" style="31" bestFit="1" customWidth="1"/>
    <col min="13101" max="13280" width="9.140625" style="31"/>
    <col min="13281" max="13281" width="17.5703125" style="31" bestFit="1" customWidth="1"/>
    <col min="13282" max="13282" width="25.7109375" style="31" bestFit="1" customWidth="1"/>
    <col min="13283" max="13283" width="22.140625" style="31" bestFit="1" customWidth="1"/>
    <col min="13284" max="13284" width="18.42578125" style="31" bestFit="1" customWidth="1"/>
    <col min="13285" max="13285" width="19.140625" style="31" bestFit="1" customWidth="1"/>
    <col min="13286" max="13286" width="18.42578125" style="31" bestFit="1" customWidth="1"/>
    <col min="13287" max="13287" width="26.42578125" style="31" bestFit="1" customWidth="1"/>
    <col min="13288" max="13288" width="23.85546875" style="31" bestFit="1" customWidth="1"/>
    <col min="13289" max="13289" width="21.42578125" style="31" bestFit="1" customWidth="1"/>
    <col min="13290" max="13290" width="16" style="31" bestFit="1" customWidth="1"/>
    <col min="13291" max="13292" width="23" style="31" customWidth="1"/>
    <col min="13293" max="13293" width="29.28515625" style="31" customWidth="1"/>
    <col min="13294" max="13294" width="30.28515625" style="31" customWidth="1"/>
    <col min="13295" max="13295" width="24.140625" style="31" customWidth="1"/>
    <col min="13296" max="13297" width="23.85546875" style="31" customWidth="1"/>
    <col min="13298" max="13298" width="30.28515625" style="31" customWidth="1"/>
    <col min="13299" max="13304" width="12.7109375" style="31" customWidth="1"/>
    <col min="13305" max="13305" width="33.140625" style="31" customWidth="1"/>
    <col min="13306" max="13306" width="31.5703125" style="31" customWidth="1"/>
    <col min="13307" max="13307" width="33.28515625" style="31" customWidth="1"/>
    <col min="13308" max="13308" width="31.7109375" style="31" customWidth="1"/>
    <col min="13309" max="13309" width="20" style="31" customWidth="1"/>
    <col min="13310" max="13310" width="19.28515625" style="31" bestFit="1" customWidth="1"/>
    <col min="13311" max="13311" width="19.7109375" style="31" bestFit="1" customWidth="1"/>
    <col min="13312" max="13312" width="33.28515625" style="31" bestFit="1" customWidth="1"/>
    <col min="13313" max="13313" width="24.140625" style="31" bestFit="1" customWidth="1"/>
    <col min="13314" max="13314" width="25.28515625" style="31" customWidth="1"/>
    <col min="13315" max="13315" width="24.42578125" style="31" customWidth="1"/>
    <col min="13316" max="13316" width="13.85546875" style="31" bestFit="1" customWidth="1"/>
    <col min="13317" max="13317" width="18.7109375" style="31" bestFit="1" customWidth="1"/>
    <col min="13318" max="13318" width="24.7109375" style="31" bestFit="1" customWidth="1"/>
    <col min="13319" max="13320" width="27.140625" style="31" bestFit="1" customWidth="1"/>
    <col min="13321" max="13321" width="24.7109375" style="31" bestFit="1" customWidth="1"/>
    <col min="13322" max="13324" width="22.42578125" style="31" bestFit="1" customWidth="1"/>
    <col min="13325" max="13325" width="24" style="31" bestFit="1" customWidth="1"/>
    <col min="13326" max="13327" width="41.140625" style="31" bestFit="1" customWidth="1"/>
    <col min="13328" max="13328" width="77.42578125" style="31" bestFit="1" customWidth="1"/>
    <col min="13329" max="13329" width="110.28515625" style="31" bestFit="1" customWidth="1"/>
    <col min="13330" max="13330" width="108.140625" style="31" bestFit="1" customWidth="1"/>
    <col min="13331" max="13331" width="38.28515625" style="31" bestFit="1" customWidth="1"/>
    <col min="13332" max="13332" width="38.7109375" style="31" bestFit="1" customWidth="1"/>
    <col min="13333" max="13333" width="38.28515625" style="31" bestFit="1" customWidth="1"/>
    <col min="13334" max="13334" width="38.7109375" style="31" bestFit="1" customWidth="1"/>
    <col min="13335" max="13335" width="38.28515625" style="31" bestFit="1" customWidth="1"/>
    <col min="13336" max="13336" width="38.7109375" style="31" bestFit="1" customWidth="1"/>
    <col min="13337" max="13337" width="22.85546875" style="31" bestFit="1" customWidth="1"/>
    <col min="13338" max="13338" width="31.85546875" style="31" customWidth="1"/>
    <col min="13339" max="13339" width="28" style="31" bestFit="1" customWidth="1"/>
    <col min="13340" max="13340" width="20.7109375" style="31" bestFit="1" customWidth="1"/>
    <col min="13341" max="13341" width="26.7109375" style="31" bestFit="1" customWidth="1"/>
    <col min="13342" max="13342" width="26.85546875" style="31" bestFit="1" customWidth="1"/>
    <col min="13343" max="13343" width="26.7109375" style="31" bestFit="1" customWidth="1"/>
    <col min="13344" max="13344" width="26.85546875" style="31" bestFit="1" customWidth="1"/>
    <col min="13345" max="13345" width="28.85546875" style="31" bestFit="1" customWidth="1"/>
    <col min="13346" max="13346" width="27" style="31" bestFit="1" customWidth="1"/>
    <col min="13347" max="13347" width="23.42578125" style="31" bestFit="1" customWidth="1"/>
    <col min="13348" max="13349" width="31.42578125" style="31" bestFit="1" customWidth="1"/>
    <col min="13350" max="13350" width="31.42578125" style="31" customWidth="1"/>
    <col min="13351" max="13351" width="52.28515625" style="31" customWidth="1"/>
    <col min="13352" max="13352" width="31.42578125" style="31" customWidth="1"/>
    <col min="13353" max="13353" width="26.42578125" style="31" bestFit="1" customWidth="1"/>
    <col min="13354" max="13354" width="29.28515625" style="31" customWidth="1"/>
    <col min="13355" max="13355" width="30.28515625" style="31" customWidth="1"/>
    <col min="13356" max="13356" width="39" style="31" bestFit="1" customWidth="1"/>
    <col min="13357" max="13536" width="9.140625" style="31"/>
    <col min="13537" max="13537" width="17.5703125" style="31" bestFit="1" customWidth="1"/>
    <col min="13538" max="13538" width="25.7109375" style="31" bestFit="1" customWidth="1"/>
    <col min="13539" max="13539" width="22.140625" style="31" bestFit="1" customWidth="1"/>
    <col min="13540" max="13540" width="18.42578125" style="31" bestFit="1" customWidth="1"/>
    <col min="13541" max="13541" width="19.140625" style="31" bestFit="1" customWidth="1"/>
    <col min="13542" max="13542" width="18.42578125" style="31" bestFit="1" customWidth="1"/>
    <col min="13543" max="13543" width="26.42578125" style="31" bestFit="1" customWidth="1"/>
    <col min="13544" max="13544" width="23.85546875" style="31" bestFit="1" customWidth="1"/>
    <col min="13545" max="13545" width="21.42578125" style="31" bestFit="1" customWidth="1"/>
    <col min="13546" max="13546" width="16" style="31" bestFit="1" customWidth="1"/>
    <col min="13547" max="13548" width="23" style="31" customWidth="1"/>
    <col min="13549" max="13549" width="29.28515625" style="31" customWidth="1"/>
    <col min="13550" max="13550" width="30.28515625" style="31" customWidth="1"/>
    <col min="13551" max="13551" width="24.140625" style="31" customWidth="1"/>
    <col min="13552" max="13553" width="23.85546875" style="31" customWidth="1"/>
    <col min="13554" max="13554" width="30.28515625" style="31" customWidth="1"/>
    <col min="13555" max="13560" width="12.7109375" style="31" customWidth="1"/>
    <col min="13561" max="13561" width="33.140625" style="31" customWidth="1"/>
    <col min="13562" max="13562" width="31.5703125" style="31" customWidth="1"/>
    <col min="13563" max="13563" width="33.28515625" style="31" customWidth="1"/>
    <col min="13564" max="13564" width="31.7109375" style="31" customWidth="1"/>
    <col min="13565" max="13565" width="20" style="31" customWidth="1"/>
    <col min="13566" max="13566" width="19.28515625" style="31" bestFit="1" customWidth="1"/>
    <col min="13567" max="13567" width="19.7109375" style="31" bestFit="1" customWidth="1"/>
    <col min="13568" max="13568" width="33.28515625" style="31" bestFit="1" customWidth="1"/>
    <col min="13569" max="13569" width="24.140625" style="31" bestFit="1" customWidth="1"/>
    <col min="13570" max="13570" width="25.28515625" style="31" customWidth="1"/>
    <col min="13571" max="13571" width="24.42578125" style="31" customWidth="1"/>
    <col min="13572" max="13572" width="13.85546875" style="31" bestFit="1" customWidth="1"/>
    <col min="13573" max="13573" width="18.7109375" style="31" bestFit="1" customWidth="1"/>
    <col min="13574" max="13574" width="24.7109375" style="31" bestFit="1" customWidth="1"/>
    <col min="13575" max="13576" width="27.140625" style="31" bestFit="1" customWidth="1"/>
    <col min="13577" max="13577" width="24.7109375" style="31" bestFit="1" customWidth="1"/>
    <col min="13578" max="13580" width="22.42578125" style="31" bestFit="1" customWidth="1"/>
    <col min="13581" max="13581" width="24" style="31" bestFit="1" customWidth="1"/>
    <col min="13582" max="13583" width="41.140625" style="31" bestFit="1" customWidth="1"/>
    <col min="13584" max="13584" width="77.42578125" style="31" bestFit="1" customWidth="1"/>
    <col min="13585" max="13585" width="110.28515625" style="31" bestFit="1" customWidth="1"/>
    <col min="13586" max="13586" width="108.140625" style="31" bestFit="1" customWidth="1"/>
    <col min="13587" max="13587" width="38.28515625" style="31" bestFit="1" customWidth="1"/>
    <col min="13588" max="13588" width="38.7109375" style="31" bestFit="1" customWidth="1"/>
    <col min="13589" max="13589" width="38.28515625" style="31" bestFit="1" customWidth="1"/>
    <col min="13590" max="13590" width="38.7109375" style="31" bestFit="1" customWidth="1"/>
    <col min="13591" max="13591" width="38.28515625" style="31" bestFit="1" customWidth="1"/>
    <col min="13592" max="13592" width="38.7109375" style="31" bestFit="1" customWidth="1"/>
    <col min="13593" max="13593" width="22.85546875" style="31" bestFit="1" customWidth="1"/>
    <col min="13594" max="13594" width="31.85546875" style="31" customWidth="1"/>
    <col min="13595" max="13595" width="28" style="31" bestFit="1" customWidth="1"/>
    <col min="13596" max="13596" width="20.7109375" style="31" bestFit="1" customWidth="1"/>
    <col min="13597" max="13597" width="26.7109375" style="31" bestFit="1" customWidth="1"/>
    <col min="13598" max="13598" width="26.85546875" style="31" bestFit="1" customWidth="1"/>
    <col min="13599" max="13599" width="26.7109375" style="31" bestFit="1" customWidth="1"/>
    <col min="13600" max="13600" width="26.85546875" style="31" bestFit="1" customWidth="1"/>
    <col min="13601" max="13601" width="28.85546875" style="31" bestFit="1" customWidth="1"/>
    <col min="13602" max="13602" width="27" style="31" bestFit="1" customWidth="1"/>
    <col min="13603" max="13603" width="23.42578125" style="31" bestFit="1" customWidth="1"/>
    <col min="13604" max="13605" width="31.42578125" style="31" bestFit="1" customWidth="1"/>
    <col min="13606" max="13606" width="31.42578125" style="31" customWidth="1"/>
    <col min="13607" max="13607" width="52.28515625" style="31" customWidth="1"/>
    <col min="13608" max="13608" width="31.42578125" style="31" customWidth="1"/>
    <col min="13609" max="13609" width="26.42578125" style="31" bestFit="1" customWidth="1"/>
    <col min="13610" max="13610" width="29.28515625" style="31" customWidth="1"/>
    <col min="13611" max="13611" width="30.28515625" style="31" customWidth="1"/>
    <col min="13612" max="13612" width="39" style="31" bestFit="1" customWidth="1"/>
    <col min="13613" max="13792" width="9.140625" style="31"/>
    <col min="13793" max="13793" width="17.5703125" style="31" bestFit="1" customWidth="1"/>
    <col min="13794" max="13794" width="25.7109375" style="31" bestFit="1" customWidth="1"/>
    <col min="13795" max="13795" width="22.140625" style="31" bestFit="1" customWidth="1"/>
    <col min="13796" max="13796" width="18.42578125" style="31" bestFit="1" customWidth="1"/>
    <col min="13797" max="13797" width="19.140625" style="31" bestFit="1" customWidth="1"/>
    <col min="13798" max="13798" width="18.42578125" style="31" bestFit="1" customWidth="1"/>
    <col min="13799" max="13799" width="26.42578125" style="31" bestFit="1" customWidth="1"/>
    <col min="13800" max="13800" width="23.85546875" style="31" bestFit="1" customWidth="1"/>
    <col min="13801" max="13801" width="21.42578125" style="31" bestFit="1" customWidth="1"/>
    <col min="13802" max="13802" width="16" style="31" bestFit="1" customWidth="1"/>
    <col min="13803" max="13804" width="23" style="31" customWidth="1"/>
    <col min="13805" max="13805" width="29.28515625" style="31" customWidth="1"/>
    <col min="13806" max="13806" width="30.28515625" style="31" customWidth="1"/>
    <col min="13807" max="13807" width="24.140625" style="31" customWidth="1"/>
    <col min="13808" max="13809" width="23.85546875" style="31" customWidth="1"/>
    <col min="13810" max="13810" width="30.28515625" style="31" customWidth="1"/>
    <col min="13811" max="13816" width="12.7109375" style="31" customWidth="1"/>
    <col min="13817" max="13817" width="33.140625" style="31" customWidth="1"/>
    <col min="13818" max="13818" width="31.5703125" style="31" customWidth="1"/>
    <col min="13819" max="13819" width="33.28515625" style="31" customWidth="1"/>
    <col min="13820" max="13820" width="31.7109375" style="31" customWidth="1"/>
    <col min="13821" max="13821" width="20" style="31" customWidth="1"/>
    <col min="13822" max="13822" width="19.28515625" style="31" bestFit="1" customWidth="1"/>
    <col min="13823" max="13823" width="19.7109375" style="31" bestFit="1" customWidth="1"/>
    <col min="13824" max="13824" width="33.28515625" style="31" bestFit="1" customWidth="1"/>
    <col min="13825" max="13825" width="24.140625" style="31" bestFit="1" customWidth="1"/>
    <col min="13826" max="13826" width="25.28515625" style="31" customWidth="1"/>
    <col min="13827" max="13827" width="24.42578125" style="31" customWidth="1"/>
    <col min="13828" max="13828" width="13.85546875" style="31" bestFit="1" customWidth="1"/>
    <col min="13829" max="13829" width="18.7109375" style="31" bestFit="1" customWidth="1"/>
    <col min="13830" max="13830" width="24.7109375" style="31" bestFit="1" customWidth="1"/>
    <col min="13831" max="13832" width="27.140625" style="31" bestFit="1" customWidth="1"/>
    <col min="13833" max="13833" width="24.7109375" style="31" bestFit="1" customWidth="1"/>
    <col min="13834" max="13836" width="22.42578125" style="31" bestFit="1" customWidth="1"/>
    <col min="13837" max="13837" width="24" style="31" bestFit="1" customWidth="1"/>
    <col min="13838" max="13839" width="41.140625" style="31" bestFit="1" customWidth="1"/>
    <col min="13840" max="13840" width="77.42578125" style="31" bestFit="1" customWidth="1"/>
    <col min="13841" max="13841" width="110.28515625" style="31" bestFit="1" customWidth="1"/>
    <col min="13842" max="13842" width="108.140625" style="31" bestFit="1" customWidth="1"/>
    <col min="13843" max="13843" width="38.28515625" style="31" bestFit="1" customWidth="1"/>
    <col min="13844" max="13844" width="38.7109375" style="31" bestFit="1" customWidth="1"/>
    <col min="13845" max="13845" width="38.28515625" style="31" bestFit="1" customWidth="1"/>
    <col min="13846" max="13846" width="38.7109375" style="31" bestFit="1" customWidth="1"/>
    <col min="13847" max="13847" width="38.28515625" style="31" bestFit="1" customWidth="1"/>
    <col min="13848" max="13848" width="38.7109375" style="31" bestFit="1" customWidth="1"/>
    <col min="13849" max="13849" width="22.85546875" style="31" bestFit="1" customWidth="1"/>
    <col min="13850" max="13850" width="31.85546875" style="31" customWidth="1"/>
    <col min="13851" max="13851" width="28" style="31" bestFit="1" customWidth="1"/>
    <col min="13852" max="13852" width="20.7109375" style="31" bestFit="1" customWidth="1"/>
    <col min="13853" max="13853" width="26.7109375" style="31" bestFit="1" customWidth="1"/>
    <col min="13854" max="13854" width="26.85546875" style="31" bestFit="1" customWidth="1"/>
    <col min="13855" max="13855" width="26.7109375" style="31" bestFit="1" customWidth="1"/>
    <col min="13856" max="13856" width="26.85546875" style="31" bestFit="1" customWidth="1"/>
    <col min="13857" max="13857" width="28.85546875" style="31" bestFit="1" customWidth="1"/>
    <col min="13858" max="13858" width="27" style="31" bestFit="1" customWidth="1"/>
    <col min="13859" max="13859" width="23.42578125" style="31" bestFit="1" customWidth="1"/>
    <col min="13860" max="13861" width="31.42578125" style="31" bestFit="1" customWidth="1"/>
    <col min="13862" max="13862" width="31.42578125" style="31" customWidth="1"/>
    <col min="13863" max="13863" width="52.28515625" style="31" customWidth="1"/>
    <col min="13864" max="13864" width="31.42578125" style="31" customWidth="1"/>
    <col min="13865" max="13865" width="26.42578125" style="31" bestFit="1" customWidth="1"/>
    <col min="13866" max="13866" width="29.28515625" style="31" customWidth="1"/>
    <col min="13867" max="13867" width="30.28515625" style="31" customWidth="1"/>
    <col min="13868" max="13868" width="39" style="31" bestFit="1" customWidth="1"/>
    <col min="13869" max="14048" width="9.140625" style="31"/>
    <col min="14049" max="14049" width="17.5703125" style="31" bestFit="1" customWidth="1"/>
    <col min="14050" max="14050" width="25.7109375" style="31" bestFit="1" customWidth="1"/>
    <col min="14051" max="14051" width="22.140625" style="31" bestFit="1" customWidth="1"/>
    <col min="14052" max="14052" width="18.42578125" style="31" bestFit="1" customWidth="1"/>
    <col min="14053" max="14053" width="19.140625" style="31" bestFit="1" customWidth="1"/>
    <col min="14054" max="14054" width="18.42578125" style="31" bestFit="1" customWidth="1"/>
    <col min="14055" max="14055" width="26.42578125" style="31" bestFit="1" customWidth="1"/>
    <col min="14056" max="14056" width="23.85546875" style="31" bestFit="1" customWidth="1"/>
    <col min="14057" max="14057" width="21.42578125" style="31" bestFit="1" customWidth="1"/>
    <col min="14058" max="14058" width="16" style="31" bestFit="1" customWidth="1"/>
    <col min="14059" max="14060" width="23" style="31" customWidth="1"/>
    <col min="14061" max="14061" width="29.28515625" style="31" customWidth="1"/>
    <col min="14062" max="14062" width="30.28515625" style="31" customWidth="1"/>
    <col min="14063" max="14063" width="24.140625" style="31" customWidth="1"/>
    <col min="14064" max="14065" width="23.85546875" style="31" customWidth="1"/>
    <col min="14066" max="14066" width="30.28515625" style="31" customWidth="1"/>
    <col min="14067" max="14072" width="12.7109375" style="31" customWidth="1"/>
    <col min="14073" max="14073" width="33.140625" style="31" customWidth="1"/>
    <col min="14074" max="14074" width="31.5703125" style="31" customWidth="1"/>
    <col min="14075" max="14075" width="33.28515625" style="31" customWidth="1"/>
    <col min="14076" max="14076" width="31.7109375" style="31" customWidth="1"/>
    <col min="14077" max="14077" width="20" style="31" customWidth="1"/>
    <col min="14078" max="14078" width="19.28515625" style="31" bestFit="1" customWidth="1"/>
    <col min="14079" max="14079" width="19.7109375" style="31" bestFit="1" customWidth="1"/>
    <col min="14080" max="14080" width="33.28515625" style="31" bestFit="1" customWidth="1"/>
    <col min="14081" max="14081" width="24.140625" style="31" bestFit="1" customWidth="1"/>
    <col min="14082" max="14082" width="25.28515625" style="31" customWidth="1"/>
    <col min="14083" max="14083" width="24.42578125" style="31" customWidth="1"/>
    <col min="14084" max="14084" width="13.85546875" style="31" bestFit="1" customWidth="1"/>
    <col min="14085" max="14085" width="18.7109375" style="31" bestFit="1" customWidth="1"/>
    <col min="14086" max="14086" width="24.7109375" style="31" bestFit="1" customWidth="1"/>
    <col min="14087" max="14088" width="27.140625" style="31" bestFit="1" customWidth="1"/>
    <col min="14089" max="14089" width="24.7109375" style="31" bestFit="1" customWidth="1"/>
    <col min="14090" max="14092" width="22.42578125" style="31" bestFit="1" customWidth="1"/>
    <col min="14093" max="14093" width="24" style="31" bestFit="1" customWidth="1"/>
    <col min="14094" max="14095" width="41.140625" style="31" bestFit="1" customWidth="1"/>
    <col min="14096" max="14096" width="77.42578125" style="31" bestFit="1" customWidth="1"/>
    <col min="14097" max="14097" width="110.28515625" style="31" bestFit="1" customWidth="1"/>
    <col min="14098" max="14098" width="108.140625" style="31" bestFit="1" customWidth="1"/>
    <col min="14099" max="14099" width="38.28515625" style="31" bestFit="1" customWidth="1"/>
    <col min="14100" max="14100" width="38.7109375" style="31" bestFit="1" customWidth="1"/>
    <col min="14101" max="14101" width="38.28515625" style="31" bestFit="1" customWidth="1"/>
    <col min="14102" max="14102" width="38.7109375" style="31" bestFit="1" customWidth="1"/>
    <col min="14103" max="14103" width="38.28515625" style="31" bestFit="1" customWidth="1"/>
    <col min="14104" max="14104" width="38.7109375" style="31" bestFit="1" customWidth="1"/>
    <col min="14105" max="14105" width="22.85546875" style="31" bestFit="1" customWidth="1"/>
    <col min="14106" max="14106" width="31.85546875" style="31" customWidth="1"/>
    <col min="14107" max="14107" width="28" style="31" bestFit="1" customWidth="1"/>
    <col min="14108" max="14108" width="20.7109375" style="31" bestFit="1" customWidth="1"/>
    <col min="14109" max="14109" width="26.7109375" style="31" bestFit="1" customWidth="1"/>
    <col min="14110" max="14110" width="26.85546875" style="31" bestFit="1" customWidth="1"/>
    <col min="14111" max="14111" width="26.7109375" style="31" bestFit="1" customWidth="1"/>
    <col min="14112" max="14112" width="26.85546875" style="31" bestFit="1" customWidth="1"/>
    <col min="14113" max="14113" width="28.85546875" style="31" bestFit="1" customWidth="1"/>
    <col min="14114" max="14114" width="27" style="31" bestFit="1" customWidth="1"/>
    <col min="14115" max="14115" width="23.42578125" style="31" bestFit="1" customWidth="1"/>
    <col min="14116" max="14117" width="31.42578125" style="31" bestFit="1" customWidth="1"/>
    <col min="14118" max="14118" width="31.42578125" style="31" customWidth="1"/>
    <col min="14119" max="14119" width="52.28515625" style="31" customWidth="1"/>
    <col min="14120" max="14120" width="31.42578125" style="31" customWidth="1"/>
    <col min="14121" max="14121" width="26.42578125" style="31" bestFit="1" customWidth="1"/>
    <col min="14122" max="14122" width="29.28515625" style="31" customWidth="1"/>
    <col min="14123" max="14123" width="30.28515625" style="31" customWidth="1"/>
    <col min="14124" max="14124" width="39" style="31" bestFit="1" customWidth="1"/>
    <col min="14125" max="14304" width="9.140625" style="31"/>
    <col min="14305" max="14305" width="17.5703125" style="31" bestFit="1" customWidth="1"/>
    <col min="14306" max="14306" width="25.7109375" style="31" bestFit="1" customWidth="1"/>
    <col min="14307" max="14307" width="22.140625" style="31" bestFit="1" customWidth="1"/>
    <col min="14308" max="14308" width="18.42578125" style="31" bestFit="1" customWidth="1"/>
    <col min="14309" max="14309" width="19.140625" style="31" bestFit="1" customWidth="1"/>
    <col min="14310" max="14310" width="18.42578125" style="31" bestFit="1" customWidth="1"/>
    <col min="14311" max="14311" width="26.42578125" style="31" bestFit="1" customWidth="1"/>
    <col min="14312" max="14312" width="23.85546875" style="31" bestFit="1" customWidth="1"/>
    <col min="14313" max="14313" width="21.42578125" style="31" bestFit="1" customWidth="1"/>
    <col min="14314" max="14314" width="16" style="31" bestFit="1" customWidth="1"/>
    <col min="14315" max="14316" width="23" style="31" customWidth="1"/>
    <col min="14317" max="14317" width="29.28515625" style="31" customWidth="1"/>
    <col min="14318" max="14318" width="30.28515625" style="31" customWidth="1"/>
    <col min="14319" max="14319" width="24.140625" style="31" customWidth="1"/>
    <col min="14320" max="14321" width="23.85546875" style="31" customWidth="1"/>
    <col min="14322" max="14322" width="30.28515625" style="31" customWidth="1"/>
    <col min="14323" max="14328" width="12.7109375" style="31" customWidth="1"/>
    <col min="14329" max="14329" width="33.140625" style="31" customWidth="1"/>
    <col min="14330" max="14330" width="31.5703125" style="31" customWidth="1"/>
    <col min="14331" max="14331" width="33.28515625" style="31" customWidth="1"/>
    <col min="14332" max="14332" width="31.7109375" style="31" customWidth="1"/>
    <col min="14333" max="14333" width="20" style="31" customWidth="1"/>
    <col min="14334" max="14334" width="19.28515625" style="31" bestFit="1" customWidth="1"/>
    <col min="14335" max="14335" width="19.7109375" style="31" bestFit="1" customWidth="1"/>
    <col min="14336" max="14336" width="33.28515625" style="31" bestFit="1" customWidth="1"/>
    <col min="14337" max="14337" width="24.140625" style="31" bestFit="1" customWidth="1"/>
    <col min="14338" max="14338" width="25.28515625" style="31" customWidth="1"/>
    <col min="14339" max="14339" width="24.42578125" style="31" customWidth="1"/>
    <col min="14340" max="14340" width="13.85546875" style="31" bestFit="1" customWidth="1"/>
    <col min="14341" max="14341" width="18.7109375" style="31" bestFit="1" customWidth="1"/>
    <col min="14342" max="14342" width="24.7109375" style="31" bestFit="1" customWidth="1"/>
    <col min="14343" max="14344" width="27.140625" style="31" bestFit="1" customWidth="1"/>
    <col min="14345" max="14345" width="24.7109375" style="31" bestFit="1" customWidth="1"/>
    <col min="14346" max="14348" width="22.42578125" style="31" bestFit="1" customWidth="1"/>
    <col min="14349" max="14349" width="24" style="31" bestFit="1" customWidth="1"/>
    <col min="14350" max="14351" width="41.140625" style="31" bestFit="1" customWidth="1"/>
    <col min="14352" max="14352" width="77.42578125" style="31" bestFit="1" customWidth="1"/>
    <col min="14353" max="14353" width="110.28515625" style="31" bestFit="1" customWidth="1"/>
    <col min="14354" max="14354" width="108.140625" style="31" bestFit="1" customWidth="1"/>
    <col min="14355" max="14355" width="38.28515625" style="31" bestFit="1" customWidth="1"/>
    <col min="14356" max="14356" width="38.7109375" style="31" bestFit="1" customWidth="1"/>
    <col min="14357" max="14357" width="38.28515625" style="31" bestFit="1" customWidth="1"/>
    <col min="14358" max="14358" width="38.7109375" style="31" bestFit="1" customWidth="1"/>
    <col min="14359" max="14359" width="38.28515625" style="31" bestFit="1" customWidth="1"/>
    <col min="14360" max="14360" width="38.7109375" style="31" bestFit="1" customWidth="1"/>
    <col min="14361" max="14361" width="22.85546875" style="31" bestFit="1" customWidth="1"/>
    <col min="14362" max="14362" width="31.85546875" style="31" customWidth="1"/>
    <col min="14363" max="14363" width="28" style="31" bestFit="1" customWidth="1"/>
    <col min="14364" max="14364" width="20.7109375" style="31" bestFit="1" customWidth="1"/>
    <col min="14365" max="14365" width="26.7109375" style="31" bestFit="1" customWidth="1"/>
    <col min="14366" max="14366" width="26.85546875" style="31" bestFit="1" customWidth="1"/>
    <col min="14367" max="14367" width="26.7109375" style="31" bestFit="1" customWidth="1"/>
    <col min="14368" max="14368" width="26.85546875" style="31" bestFit="1" customWidth="1"/>
    <col min="14369" max="14369" width="28.85546875" style="31" bestFit="1" customWidth="1"/>
    <col min="14370" max="14370" width="27" style="31" bestFit="1" customWidth="1"/>
    <col min="14371" max="14371" width="23.42578125" style="31" bestFit="1" customWidth="1"/>
    <col min="14372" max="14373" width="31.42578125" style="31" bestFit="1" customWidth="1"/>
    <col min="14374" max="14374" width="31.42578125" style="31" customWidth="1"/>
    <col min="14375" max="14375" width="52.28515625" style="31" customWidth="1"/>
    <col min="14376" max="14376" width="31.42578125" style="31" customWidth="1"/>
    <col min="14377" max="14377" width="26.42578125" style="31" bestFit="1" customWidth="1"/>
    <col min="14378" max="14378" width="29.28515625" style="31" customWidth="1"/>
    <col min="14379" max="14379" width="30.28515625" style="31" customWidth="1"/>
    <col min="14380" max="14380" width="39" style="31" bestFit="1" customWidth="1"/>
    <col min="14381" max="14560" width="9.140625" style="31"/>
    <col min="14561" max="14561" width="17.5703125" style="31" bestFit="1" customWidth="1"/>
    <col min="14562" max="14562" width="25.7109375" style="31" bestFit="1" customWidth="1"/>
    <col min="14563" max="14563" width="22.140625" style="31" bestFit="1" customWidth="1"/>
    <col min="14564" max="14564" width="18.42578125" style="31" bestFit="1" customWidth="1"/>
    <col min="14565" max="14565" width="19.140625" style="31" bestFit="1" customWidth="1"/>
    <col min="14566" max="14566" width="18.42578125" style="31" bestFit="1" customWidth="1"/>
    <col min="14567" max="14567" width="26.42578125" style="31" bestFit="1" customWidth="1"/>
    <col min="14568" max="14568" width="23.85546875" style="31" bestFit="1" customWidth="1"/>
    <col min="14569" max="14569" width="21.42578125" style="31" bestFit="1" customWidth="1"/>
    <col min="14570" max="14570" width="16" style="31" bestFit="1" customWidth="1"/>
    <col min="14571" max="14572" width="23" style="31" customWidth="1"/>
    <col min="14573" max="14573" width="29.28515625" style="31" customWidth="1"/>
    <col min="14574" max="14574" width="30.28515625" style="31" customWidth="1"/>
    <col min="14575" max="14575" width="24.140625" style="31" customWidth="1"/>
    <col min="14576" max="14577" width="23.85546875" style="31" customWidth="1"/>
    <col min="14578" max="14578" width="30.28515625" style="31" customWidth="1"/>
    <col min="14579" max="14584" width="12.7109375" style="31" customWidth="1"/>
    <col min="14585" max="14585" width="33.140625" style="31" customWidth="1"/>
    <col min="14586" max="14586" width="31.5703125" style="31" customWidth="1"/>
    <col min="14587" max="14587" width="33.28515625" style="31" customWidth="1"/>
    <col min="14588" max="14588" width="31.7109375" style="31" customWidth="1"/>
    <col min="14589" max="14589" width="20" style="31" customWidth="1"/>
    <col min="14590" max="14590" width="19.28515625" style="31" bestFit="1" customWidth="1"/>
    <col min="14591" max="14591" width="19.7109375" style="31" bestFit="1" customWidth="1"/>
    <col min="14592" max="14592" width="33.28515625" style="31" bestFit="1" customWidth="1"/>
    <col min="14593" max="14593" width="24.140625" style="31" bestFit="1" customWidth="1"/>
    <col min="14594" max="14594" width="25.28515625" style="31" customWidth="1"/>
    <col min="14595" max="14595" width="24.42578125" style="31" customWidth="1"/>
    <col min="14596" max="14596" width="13.85546875" style="31" bestFit="1" customWidth="1"/>
    <col min="14597" max="14597" width="18.7109375" style="31" bestFit="1" customWidth="1"/>
    <col min="14598" max="14598" width="24.7109375" style="31" bestFit="1" customWidth="1"/>
    <col min="14599" max="14600" width="27.140625" style="31" bestFit="1" customWidth="1"/>
    <col min="14601" max="14601" width="24.7109375" style="31" bestFit="1" customWidth="1"/>
    <col min="14602" max="14604" width="22.42578125" style="31" bestFit="1" customWidth="1"/>
    <col min="14605" max="14605" width="24" style="31" bestFit="1" customWidth="1"/>
    <col min="14606" max="14607" width="41.140625" style="31" bestFit="1" customWidth="1"/>
    <col min="14608" max="14608" width="77.42578125" style="31" bestFit="1" customWidth="1"/>
    <col min="14609" max="14609" width="110.28515625" style="31" bestFit="1" customWidth="1"/>
    <col min="14610" max="14610" width="108.140625" style="31" bestFit="1" customWidth="1"/>
    <col min="14611" max="14611" width="38.28515625" style="31" bestFit="1" customWidth="1"/>
    <col min="14612" max="14612" width="38.7109375" style="31" bestFit="1" customWidth="1"/>
    <col min="14613" max="14613" width="38.28515625" style="31" bestFit="1" customWidth="1"/>
    <col min="14614" max="14614" width="38.7109375" style="31" bestFit="1" customWidth="1"/>
    <col min="14615" max="14615" width="38.28515625" style="31" bestFit="1" customWidth="1"/>
    <col min="14616" max="14616" width="38.7109375" style="31" bestFit="1" customWidth="1"/>
    <col min="14617" max="14617" width="22.85546875" style="31" bestFit="1" customWidth="1"/>
    <col min="14618" max="14618" width="31.85546875" style="31" customWidth="1"/>
    <col min="14619" max="14619" width="28" style="31" bestFit="1" customWidth="1"/>
    <col min="14620" max="14620" width="20.7109375" style="31" bestFit="1" customWidth="1"/>
    <col min="14621" max="14621" width="26.7109375" style="31" bestFit="1" customWidth="1"/>
    <col min="14622" max="14622" width="26.85546875" style="31" bestFit="1" customWidth="1"/>
    <col min="14623" max="14623" width="26.7109375" style="31" bestFit="1" customWidth="1"/>
    <col min="14624" max="14624" width="26.85546875" style="31" bestFit="1" customWidth="1"/>
    <col min="14625" max="14625" width="28.85546875" style="31" bestFit="1" customWidth="1"/>
    <col min="14626" max="14626" width="27" style="31" bestFit="1" customWidth="1"/>
    <col min="14627" max="14627" width="23.42578125" style="31" bestFit="1" customWidth="1"/>
    <col min="14628" max="14629" width="31.42578125" style="31" bestFit="1" customWidth="1"/>
    <col min="14630" max="14630" width="31.42578125" style="31" customWidth="1"/>
    <col min="14631" max="14631" width="52.28515625" style="31" customWidth="1"/>
    <col min="14632" max="14632" width="31.42578125" style="31" customWidth="1"/>
    <col min="14633" max="14633" width="26.42578125" style="31" bestFit="1" customWidth="1"/>
    <col min="14634" max="14634" width="29.28515625" style="31" customWidth="1"/>
    <col min="14635" max="14635" width="30.28515625" style="31" customWidth="1"/>
    <col min="14636" max="14636" width="39" style="31" bestFit="1" customWidth="1"/>
    <col min="14637" max="14816" width="9.140625" style="31"/>
    <col min="14817" max="14817" width="17.5703125" style="31" bestFit="1" customWidth="1"/>
    <col min="14818" max="14818" width="25.7109375" style="31" bestFit="1" customWidth="1"/>
    <col min="14819" max="14819" width="22.140625" style="31" bestFit="1" customWidth="1"/>
    <col min="14820" max="14820" width="18.42578125" style="31" bestFit="1" customWidth="1"/>
    <col min="14821" max="14821" width="19.140625" style="31" bestFit="1" customWidth="1"/>
    <col min="14822" max="14822" width="18.42578125" style="31" bestFit="1" customWidth="1"/>
    <col min="14823" max="14823" width="26.42578125" style="31" bestFit="1" customWidth="1"/>
    <col min="14824" max="14824" width="23.85546875" style="31" bestFit="1" customWidth="1"/>
    <col min="14825" max="14825" width="21.42578125" style="31" bestFit="1" customWidth="1"/>
    <col min="14826" max="14826" width="16" style="31" bestFit="1" customWidth="1"/>
    <col min="14827" max="14828" width="23" style="31" customWidth="1"/>
    <col min="14829" max="14829" width="29.28515625" style="31" customWidth="1"/>
    <col min="14830" max="14830" width="30.28515625" style="31" customWidth="1"/>
    <col min="14831" max="14831" width="24.140625" style="31" customWidth="1"/>
    <col min="14832" max="14833" width="23.85546875" style="31" customWidth="1"/>
    <col min="14834" max="14834" width="30.28515625" style="31" customWidth="1"/>
    <col min="14835" max="14840" width="12.7109375" style="31" customWidth="1"/>
    <col min="14841" max="14841" width="33.140625" style="31" customWidth="1"/>
    <col min="14842" max="14842" width="31.5703125" style="31" customWidth="1"/>
    <col min="14843" max="14843" width="33.28515625" style="31" customWidth="1"/>
    <col min="14844" max="14844" width="31.7109375" style="31" customWidth="1"/>
    <col min="14845" max="14845" width="20" style="31" customWidth="1"/>
    <col min="14846" max="14846" width="19.28515625" style="31" bestFit="1" customWidth="1"/>
    <col min="14847" max="14847" width="19.7109375" style="31" bestFit="1" customWidth="1"/>
    <col min="14848" max="14848" width="33.28515625" style="31" bestFit="1" customWidth="1"/>
    <col min="14849" max="14849" width="24.140625" style="31" bestFit="1" customWidth="1"/>
    <col min="14850" max="14850" width="25.28515625" style="31" customWidth="1"/>
    <col min="14851" max="14851" width="24.42578125" style="31" customWidth="1"/>
    <col min="14852" max="14852" width="13.85546875" style="31" bestFit="1" customWidth="1"/>
    <col min="14853" max="14853" width="18.7109375" style="31" bestFit="1" customWidth="1"/>
    <col min="14854" max="14854" width="24.7109375" style="31" bestFit="1" customWidth="1"/>
    <col min="14855" max="14856" width="27.140625" style="31" bestFit="1" customWidth="1"/>
    <col min="14857" max="14857" width="24.7109375" style="31" bestFit="1" customWidth="1"/>
    <col min="14858" max="14860" width="22.42578125" style="31" bestFit="1" customWidth="1"/>
    <col min="14861" max="14861" width="24" style="31" bestFit="1" customWidth="1"/>
    <col min="14862" max="14863" width="41.140625" style="31" bestFit="1" customWidth="1"/>
    <col min="14864" max="14864" width="77.42578125" style="31" bestFit="1" customWidth="1"/>
    <col min="14865" max="14865" width="110.28515625" style="31" bestFit="1" customWidth="1"/>
    <col min="14866" max="14866" width="108.140625" style="31" bestFit="1" customWidth="1"/>
    <col min="14867" max="14867" width="38.28515625" style="31" bestFit="1" customWidth="1"/>
    <col min="14868" max="14868" width="38.7109375" style="31" bestFit="1" customWidth="1"/>
    <col min="14869" max="14869" width="38.28515625" style="31" bestFit="1" customWidth="1"/>
    <col min="14870" max="14870" width="38.7109375" style="31" bestFit="1" customWidth="1"/>
    <col min="14871" max="14871" width="38.28515625" style="31" bestFit="1" customWidth="1"/>
    <col min="14872" max="14872" width="38.7109375" style="31" bestFit="1" customWidth="1"/>
    <col min="14873" max="14873" width="22.85546875" style="31" bestFit="1" customWidth="1"/>
    <col min="14874" max="14874" width="31.85546875" style="31" customWidth="1"/>
    <col min="14875" max="14875" width="28" style="31" bestFit="1" customWidth="1"/>
    <col min="14876" max="14876" width="20.7109375" style="31" bestFit="1" customWidth="1"/>
    <col min="14877" max="14877" width="26.7109375" style="31" bestFit="1" customWidth="1"/>
    <col min="14878" max="14878" width="26.85546875" style="31" bestFit="1" customWidth="1"/>
    <col min="14879" max="14879" width="26.7109375" style="31" bestFit="1" customWidth="1"/>
    <col min="14880" max="14880" width="26.85546875" style="31" bestFit="1" customWidth="1"/>
    <col min="14881" max="14881" width="28.85546875" style="31" bestFit="1" customWidth="1"/>
    <col min="14882" max="14882" width="27" style="31" bestFit="1" customWidth="1"/>
    <col min="14883" max="14883" width="23.42578125" style="31" bestFit="1" customWidth="1"/>
    <col min="14884" max="14885" width="31.42578125" style="31" bestFit="1" customWidth="1"/>
    <col min="14886" max="14886" width="31.42578125" style="31" customWidth="1"/>
    <col min="14887" max="14887" width="52.28515625" style="31" customWidth="1"/>
    <col min="14888" max="14888" width="31.42578125" style="31" customWidth="1"/>
    <col min="14889" max="14889" width="26.42578125" style="31" bestFit="1" customWidth="1"/>
    <col min="14890" max="14890" width="29.28515625" style="31" customWidth="1"/>
    <col min="14891" max="14891" width="30.28515625" style="31" customWidth="1"/>
    <col min="14892" max="14892" width="39" style="31" bestFit="1" customWidth="1"/>
    <col min="14893" max="15072" width="9.140625" style="31"/>
    <col min="15073" max="15073" width="17.5703125" style="31" bestFit="1" customWidth="1"/>
    <col min="15074" max="15074" width="25.7109375" style="31" bestFit="1" customWidth="1"/>
    <col min="15075" max="15075" width="22.140625" style="31" bestFit="1" customWidth="1"/>
    <col min="15076" max="15076" width="18.42578125" style="31" bestFit="1" customWidth="1"/>
    <col min="15077" max="15077" width="19.140625" style="31" bestFit="1" customWidth="1"/>
    <col min="15078" max="15078" width="18.42578125" style="31" bestFit="1" customWidth="1"/>
    <col min="15079" max="15079" width="26.42578125" style="31" bestFit="1" customWidth="1"/>
    <col min="15080" max="15080" width="23.85546875" style="31" bestFit="1" customWidth="1"/>
    <col min="15081" max="15081" width="21.42578125" style="31" bestFit="1" customWidth="1"/>
    <col min="15082" max="15082" width="16" style="31" bestFit="1" customWidth="1"/>
    <col min="15083" max="15084" width="23" style="31" customWidth="1"/>
    <col min="15085" max="15085" width="29.28515625" style="31" customWidth="1"/>
    <col min="15086" max="15086" width="30.28515625" style="31" customWidth="1"/>
    <col min="15087" max="15087" width="24.140625" style="31" customWidth="1"/>
    <col min="15088" max="15089" width="23.85546875" style="31" customWidth="1"/>
    <col min="15090" max="15090" width="30.28515625" style="31" customWidth="1"/>
    <col min="15091" max="15096" width="12.7109375" style="31" customWidth="1"/>
    <col min="15097" max="15097" width="33.140625" style="31" customWidth="1"/>
    <col min="15098" max="15098" width="31.5703125" style="31" customWidth="1"/>
    <col min="15099" max="15099" width="33.28515625" style="31" customWidth="1"/>
    <col min="15100" max="15100" width="31.7109375" style="31" customWidth="1"/>
    <col min="15101" max="15101" width="20" style="31" customWidth="1"/>
    <col min="15102" max="15102" width="19.28515625" style="31" bestFit="1" customWidth="1"/>
    <col min="15103" max="15103" width="19.7109375" style="31" bestFit="1" customWidth="1"/>
    <col min="15104" max="15104" width="33.28515625" style="31" bestFit="1" customWidth="1"/>
    <col min="15105" max="15105" width="24.140625" style="31" bestFit="1" customWidth="1"/>
    <col min="15106" max="15106" width="25.28515625" style="31" customWidth="1"/>
    <col min="15107" max="15107" width="24.42578125" style="31" customWidth="1"/>
    <col min="15108" max="15108" width="13.85546875" style="31" bestFit="1" customWidth="1"/>
    <col min="15109" max="15109" width="18.7109375" style="31" bestFit="1" customWidth="1"/>
    <col min="15110" max="15110" width="24.7109375" style="31" bestFit="1" customWidth="1"/>
    <col min="15111" max="15112" width="27.140625" style="31" bestFit="1" customWidth="1"/>
    <col min="15113" max="15113" width="24.7109375" style="31" bestFit="1" customWidth="1"/>
    <col min="15114" max="15116" width="22.42578125" style="31" bestFit="1" customWidth="1"/>
    <col min="15117" max="15117" width="24" style="31" bestFit="1" customWidth="1"/>
    <col min="15118" max="15119" width="41.140625" style="31" bestFit="1" customWidth="1"/>
    <col min="15120" max="15120" width="77.42578125" style="31" bestFit="1" customWidth="1"/>
    <col min="15121" max="15121" width="110.28515625" style="31" bestFit="1" customWidth="1"/>
    <col min="15122" max="15122" width="108.140625" style="31" bestFit="1" customWidth="1"/>
    <col min="15123" max="15123" width="38.28515625" style="31" bestFit="1" customWidth="1"/>
    <col min="15124" max="15124" width="38.7109375" style="31" bestFit="1" customWidth="1"/>
    <col min="15125" max="15125" width="38.28515625" style="31" bestFit="1" customWidth="1"/>
    <col min="15126" max="15126" width="38.7109375" style="31" bestFit="1" customWidth="1"/>
    <col min="15127" max="15127" width="38.28515625" style="31" bestFit="1" customWidth="1"/>
    <col min="15128" max="15128" width="38.7109375" style="31" bestFit="1" customWidth="1"/>
    <col min="15129" max="15129" width="22.85546875" style="31" bestFit="1" customWidth="1"/>
    <col min="15130" max="15130" width="31.85546875" style="31" customWidth="1"/>
    <col min="15131" max="15131" width="28" style="31" bestFit="1" customWidth="1"/>
    <col min="15132" max="15132" width="20.7109375" style="31" bestFit="1" customWidth="1"/>
    <col min="15133" max="15133" width="26.7109375" style="31" bestFit="1" customWidth="1"/>
    <col min="15134" max="15134" width="26.85546875" style="31" bestFit="1" customWidth="1"/>
    <col min="15135" max="15135" width="26.7109375" style="31" bestFit="1" customWidth="1"/>
    <col min="15136" max="15136" width="26.85546875" style="31" bestFit="1" customWidth="1"/>
    <col min="15137" max="15137" width="28.85546875" style="31" bestFit="1" customWidth="1"/>
    <col min="15138" max="15138" width="27" style="31" bestFit="1" customWidth="1"/>
    <col min="15139" max="15139" width="23.42578125" style="31" bestFit="1" customWidth="1"/>
    <col min="15140" max="15141" width="31.42578125" style="31" bestFit="1" customWidth="1"/>
    <col min="15142" max="15142" width="31.42578125" style="31" customWidth="1"/>
    <col min="15143" max="15143" width="52.28515625" style="31" customWidth="1"/>
    <col min="15144" max="15144" width="31.42578125" style="31" customWidth="1"/>
    <col min="15145" max="15145" width="26.42578125" style="31" bestFit="1" customWidth="1"/>
    <col min="15146" max="15146" width="29.28515625" style="31" customWidth="1"/>
    <col min="15147" max="15147" width="30.28515625" style="31" customWidth="1"/>
    <col min="15148" max="15148" width="39" style="31" bestFit="1" customWidth="1"/>
    <col min="15149" max="15328" width="9.140625" style="31"/>
    <col min="15329" max="15329" width="17.5703125" style="31" bestFit="1" customWidth="1"/>
    <col min="15330" max="15330" width="25.7109375" style="31" bestFit="1" customWidth="1"/>
    <col min="15331" max="15331" width="22.140625" style="31" bestFit="1" customWidth="1"/>
    <col min="15332" max="15332" width="18.42578125" style="31" bestFit="1" customWidth="1"/>
    <col min="15333" max="15333" width="19.140625" style="31" bestFit="1" customWidth="1"/>
    <col min="15334" max="15334" width="18.42578125" style="31" bestFit="1" customWidth="1"/>
    <col min="15335" max="15335" width="26.42578125" style="31" bestFit="1" customWidth="1"/>
    <col min="15336" max="15336" width="23.85546875" style="31" bestFit="1" customWidth="1"/>
    <col min="15337" max="15337" width="21.42578125" style="31" bestFit="1" customWidth="1"/>
    <col min="15338" max="15338" width="16" style="31" bestFit="1" customWidth="1"/>
    <col min="15339" max="15340" width="23" style="31" customWidth="1"/>
    <col min="15341" max="15341" width="29.28515625" style="31" customWidth="1"/>
    <col min="15342" max="15342" width="30.28515625" style="31" customWidth="1"/>
    <col min="15343" max="15343" width="24.140625" style="31" customWidth="1"/>
    <col min="15344" max="15345" width="23.85546875" style="31" customWidth="1"/>
    <col min="15346" max="15346" width="30.28515625" style="31" customWidth="1"/>
    <col min="15347" max="15352" width="12.7109375" style="31" customWidth="1"/>
    <col min="15353" max="15353" width="33.140625" style="31" customWidth="1"/>
    <col min="15354" max="15354" width="31.5703125" style="31" customWidth="1"/>
    <col min="15355" max="15355" width="33.28515625" style="31" customWidth="1"/>
    <col min="15356" max="15356" width="31.7109375" style="31" customWidth="1"/>
    <col min="15357" max="15357" width="20" style="31" customWidth="1"/>
    <col min="15358" max="15358" width="19.28515625" style="31" bestFit="1" customWidth="1"/>
    <col min="15359" max="15359" width="19.7109375" style="31" bestFit="1" customWidth="1"/>
    <col min="15360" max="15360" width="33.28515625" style="31" bestFit="1" customWidth="1"/>
    <col min="15361" max="15361" width="24.140625" style="31" bestFit="1" customWidth="1"/>
    <col min="15362" max="15362" width="25.28515625" style="31" customWidth="1"/>
    <col min="15363" max="15363" width="24.42578125" style="31" customWidth="1"/>
    <col min="15364" max="15364" width="13.85546875" style="31" bestFit="1" customWidth="1"/>
    <col min="15365" max="15365" width="18.7109375" style="31" bestFit="1" customWidth="1"/>
    <col min="15366" max="15366" width="24.7109375" style="31" bestFit="1" customWidth="1"/>
    <col min="15367" max="15368" width="27.140625" style="31" bestFit="1" customWidth="1"/>
    <col min="15369" max="15369" width="24.7109375" style="31" bestFit="1" customWidth="1"/>
    <col min="15370" max="15372" width="22.42578125" style="31" bestFit="1" customWidth="1"/>
    <col min="15373" max="15373" width="24" style="31" bestFit="1" customWidth="1"/>
    <col min="15374" max="15375" width="41.140625" style="31" bestFit="1" customWidth="1"/>
    <col min="15376" max="15376" width="77.42578125" style="31" bestFit="1" customWidth="1"/>
    <col min="15377" max="15377" width="110.28515625" style="31" bestFit="1" customWidth="1"/>
    <col min="15378" max="15378" width="108.140625" style="31" bestFit="1" customWidth="1"/>
    <col min="15379" max="15379" width="38.28515625" style="31" bestFit="1" customWidth="1"/>
    <col min="15380" max="15380" width="38.7109375" style="31" bestFit="1" customWidth="1"/>
    <col min="15381" max="15381" width="38.28515625" style="31" bestFit="1" customWidth="1"/>
    <col min="15382" max="15382" width="38.7109375" style="31" bestFit="1" customWidth="1"/>
    <col min="15383" max="15383" width="38.28515625" style="31" bestFit="1" customWidth="1"/>
    <col min="15384" max="15384" width="38.7109375" style="31" bestFit="1" customWidth="1"/>
    <col min="15385" max="15385" width="22.85546875" style="31" bestFit="1" customWidth="1"/>
    <col min="15386" max="15386" width="31.85546875" style="31" customWidth="1"/>
    <col min="15387" max="15387" width="28" style="31" bestFit="1" customWidth="1"/>
    <col min="15388" max="15388" width="20.7109375" style="31" bestFit="1" customWidth="1"/>
    <col min="15389" max="15389" width="26.7109375" style="31" bestFit="1" customWidth="1"/>
    <col min="15390" max="15390" width="26.85546875" style="31" bestFit="1" customWidth="1"/>
    <col min="15391" max="15391" width="26.7109375" style="31" bestFit="1" customWidth="1"/>
    <col min="15392" max="15392" width="26.85546875" style="31" bestFit="1" customWidth="1"/>
    <col min="15393" max="15393" width="28.85546875" style="31" bestFit="1" customWidth="1"/>
    <col min="15394" max="15394" width="27" style="31" bestFit="1" customWidth="1"/>
    <col min="15395" max="15395" width="23.42578125" style="31" bestFit="1" customWidth="1"/>
    <col min="15396" max="15397" width="31.42578125" style="31" bestFit="1" customWidth="1"/>
    <col min="15398" max="15398" width="31.42578125" style="31" customWidth="1"/>
    <col min="15399" max="15399" width="52.28515625" style="31" customWidth="1"/>
    <col min="15400" max="15400" width="31.42578125" style="31" customWidth="1"/>
    <col min="15401" max="15401" width="26.42578125" style="31" bestFit="1" customWidth="1"/>
    <col min="15402" max="15402" width="29.28515625" style="31" customWidth="1"/>
    <col min="15403" max="15403" width="30.28515625" style="31" customWidth="1"/>
    <col min="15404" max="15404" width="39" style="31" bestFit="1" customWidth="1"/>
    <col min="15405" max="15584" width="9.140625" style="31"/>
    <col min="15585" max="15585" width="17.5703125" style="31" bestFit="1" customWidth="1"/>
    <col min="15586" max="15586" width="25.7109375" style="31" bestFit="1" customWidth="1"/>
    <col min="15587" max="15587" width="22.140625" style="31" bestFit="1" customWidth="1"/>
    <col min="15588" max="15588" width="18.42578125" style="31" bestFit="1" customWidth="1"/>
    <col min="15589" max="15589" width="19.140625" style="31" bestFit="1" customWidth="1"/>
    <col min="15590" max="15590" width="18.42578125" style="31" bestFit="1" customWidth="1"/>
    <col min="15591" max="15591" width="26.42578125" style="31" bestFit="1" customWidth="1"/>
    <col min="15592" max="15592" width="23.85546875" style="31" bestFit="1" customWidth="1"/>
    <col min="15593" max="15593" width="21.42578125" style="31" bestFit="1" customWidth="1"/>
    <col min="15594" max="15594" width="16" style="31" bestFit="1" customWidth="1"/>
    <col min="15595" max="15596" width="23" style="31" customWidth="1"/>
    <col min="15597" max="15597" width="29.28515625" style="31" customWidth="1"/>
    <col min="15598" max="15598" width="30.28515625" style="31" customWidth="1"/>
    <col min="15599" max="15599" width="24.140625" style="31" customWidth="1"/>
    <col min="15600" max="15601" width="23.85546875" style="31" customWidth="1"/>
    <col min="15602" max="15602" width="30.28515625" style="31" customWidth="1"/>
    <col min="15603" max="15608" width="12.7109375" style="31" customWidth="1"/>
    <col min="15609" max="15609" width="33.140625" style="31" customWidth="1"/>
    <col min="15610" max="15610" width="31.5703125" style="31" customWidth="1"/>
    <col min="15611" max="15611" width="33.28515625" style="31" customWidth="1"/>
    <col min="15612" max="15612" width="31.7109375" style="31" customWidth="1"/>
    <col min="15613" max="15613" width="20" style="31" customWidth="1"/>
    <col min="15614" max="15614" width="19.28515625" style="31" bestFit="1" customWidth="1"/>
    <col min="15615" max="15615" width="19.7109375" style="31" bestFit="1" customWidth="1"/>
    <col min="15616" max="15616" width="33.28515625" style="31" bestFit="1" customWidth="1"/>
    <col min="15617" max="15617" width="24.140625" style="31" bestFit="1" customWidth="1"/>
    <col min="15618" max="15618" width="25.28515625" style="31" customWidth="1"/>
    <col min="15619" max="15619" width="24.42578125" style="31" customWidth="1"/>
    <col min="15620" max="15620" width="13.85546875" style="31" bestFit="1" customWidth="1"/>
    <col min="15621" max="15621" width="18.7109375" style="31" bestFit="1" customWidth="1"/>
    <col min="15622" max="15622" width="24.7109375" style="31" bestFit="1" customWidth="1"/>
    <col min="15623" max="15624" width="27.140625" style="31" bestFit="1" customWidth="1"/>
    <col min="15625" max="15625" width="24.7109375" style="31" bestFit="1" customWidth="1"/>
    <col min="15626" max="15628" width="22.42578125" style="31" bestFit="1" customWidth="1"/>
    <col min="15629" max="15629" width="24" style="31" bestFit="1" customWidth="1"/>
    <col min="15630" max="15631" width="41.140625" style="31" bestFit="1" customWidth="1"/>
    <col min="15632" max="15632" width="77.42578125" style="31" bestFit="1" customWidth="1"/>
    <col min="15633" max="15633" width="110.28515625" style="31" bestFit="1" customWidth="1"/>
    <col min="15634" max="15634" width="108.140625" style="31" bestFit="1" customWidth="1"/>
    <col min="15635" max="15635" width="38.28515625" style="31" bestFit="1" customWidth="1"/>
    <col min="15636" max="15636" width="38.7109375" style="31" bestFit="1" customWidth="1"/>
    <col min="15637" max="15637" width="38.28515625" style="31" bestFit="1" customWidth="1"/>
    <col min="15638" max="15638" width="38.7109375" style="31" bestFit="1" customWidth="1"/>
    <col min="15639" max="15639" width="38.28515625" style="31" bestFit="1" customWidth="1"/>
    <col min="15640" max="15640" width="38.7109375" style="31" bestFit="1" customWidth="1"/>
    <col min="15641" max="15641" width="22.85546875" style="31" bestFit="1" customWidth="1"/>
    <col min="15642" max="15642" width="31.85546875" style="31" customWidth="1"/>
    <col min="15643" max="15643" width="28" style="31" bestFit="1" customWidth="1"/>
    <col min="15644" max="15644" width="20.7109375" style="31" bestFit="1" customWidth="1"/>
    <col min="15645" max="15645" width="26.7109375" style="31" bestFit="1" customWidth="1"/>
    <col min="15646" max="15646" width="26.85546875" style="31" bestFit="1" customWidth="1"/>
    <col min="15647" max="15647" width="26.7109375" style="31" bestFit="1" customWidth="1"/>
    <col min="15648" max="15648" width="26.85546875" style="31" bestFit="1" customWidth="1"/>
    <col min="15649" max="15649" width="28.85546875" style="31" bestFit="1" customWidth="1"/>
    <col min="15650" max="15650" width="27" style="31" bestFit="1" customWidth="1"/>
    <col min="15651" max="15651" width="23.42578125" style="31" bestFit="1" customWidth="1"/>
    <col min="15652" max="15653" width="31.42578125" style="31" bestFit="1" customWidth="1"/>
    <col min="15654" max="15654" width="31.42578125" style="31" customWidth="1"/>
    <col min="15655" max="15655" width="52.28515625" style="31" customWidth="1"/>
    <col min="15656" max="15656" width="31.42578125" style="31" customWidth="1"/>
    <col min="15657" max="15657" width="26.42578125" style="31" bestFit="1" customWidth="1"/>
    <col min="15658" max="15658" width="29.28515625" style="31" customWidth="1"/>
    <col min="15659" max="15659" width="30.28515625" style="31" customWidth="1"/>
    <col min="15660" max="15660" width="39" style="31" bestFit="1" customWidth="1"/>
    <col min="15661" max="15840" width="9.140625" style="31"/>
    <col min="15841" max="15841" width="17.5703125" style="31" bestFit="1" customWidth="1"/>
    <col min="15842" max="15842" width="25.7109375" style="31" bestFit="1" customWidth="1"/>
    <col min="15843" max="15843" width="22.140625" style="31" bestFit="1" customWidth="1"/>
    <col min="15844" max="15844" width="18.42578125" style="31" bestFit="1" customWidth="1"/>
    <col min="15845" max="15845" width="19.140625" style="31" bestFit="1" customWidth="1"/>
    <col min="15846" max="15846" width="18.42578125" style="31" bestFit="1" customWidth="1"/>
    <col min="15847" max="15847" width="26.42578125" style="31" bestFit="1" customWidth="1"/>
    <col min="15848" max="15848" width="23.85546875" style="31" bestFit="1" customWidth="1"/>
    <col min="15849" max="15849" width="21.42578125" style="31" bestFit="1" customWidth="1"/>
    <col min="15850" max="15850" width="16" style="31" bestFit="1" customWidth="1"/>
    <col min="15851" max="15852" width="23" style="31" customWidth="1"/>
    <col min="15853" max="15853" width="29.28515625" style="31" customWidth="1"/>
    <col min="15854" max="15854" width="30.28515625" style="31" customWidth="1"/>
    <col min="15855" max="15855" width="24.140625" style="31" customWidth="1"/>
    <col min="15856" max="15857" width="23.85546875" style="31" customWidth="1"/>
    <col min="15858" max="15858" width="30.28515625" style="31" customWidth="1"/>
    <col min="15859" max="15864" width="12.7109375" style="31" customWidth="1"/>
    <col min="15865" max="15865" width="33.140625" style="31" customWidth="1"/>
    <col min="15866" max="15866" width="31.5703125" style="31" customWidth="1"/>
    <col min="15867" max="15867" width="33.28515625" style="31" customWidth="1"/>
    <col min="15868" max="15868" width="31.7109375" style="31" customWidth="1"/>
    <col min="15869" max="15869" width="20" style="31" customWidth="1"/>
    <col min="15870" max="15870" width="19.28515625" style="31" bestFit="1" customWidth="1"/>
    <col min="15871" max="15871" width="19.7109375" style="31" bestFit="1" customWidth="1"/>
    <col min="15872" max="15872" width="33.28515625" style="31" bestFit="1" customWidth="1"/>
    <col min="15873" max="15873" width="24.140625" style="31" bestFit="1" customWidth="1"/>
    <col min="15874" max="15874" width="25.28515625" style="31" customWidth="1"/>
    <col min="15875" max="15875" width="24.42578125" style="31" customWidth="1"/>
    <col min="15876" max="15876" width="13.85546875" style="31" bestFit="1" customWidth="1"/>
    <col min="15877" max="15877" width="18.7109375" style="31" bestFit="1" customWidth="1"/>
    <col min="15878" max="15878" width="24.7109375" style="31" bestFit="1" customWidth="1"/>
    <col min="15879" max="15880" width="27.140625" style="31" bestFit="1" customWidth="1"/>
    <col min="15881" max="15881" width="24.7109375" style="31" bestFit="1" customWidth="1"/>
    <col min="15882" max="15884" width="22.42578125" style="31" bestFit="1" customWidth="1"/>
    <col min="15885" max="15885" width="24" style="31" bestFit="1" customWidth="1"/>
    <col min="15886" max="15887" width="41.140625" style="31" bestFit="1" customWidth="1"/>
    <col min="15888" max="15888" width="77.42578125" style="31" bestFit="1" customWidth="1"/>
    <col min="15889" max="15889" width="110.28515625" style="31" bestFit="1" customWidth="1"/>
    <col min="15890" max="15890" width="108.140625" style="31" bestFit="1" customWidth="1"/>
    <col min="15891" max="15891" width="38.28515625" style="31" bestFit="1" customWidth="1"/>
    <col min="15892" max="15892" width="38.7109375" style="31" bestFit="1" customWidth="1"/>
    <col min="15893" max="15893" width="38.28515625" style="31" bestFit="1" customWidth="1"/>
    <col min="15894" max="15894" width="38.7109375" style="31" bestFit="1" customWidth="1"/>
    <col min="15895" max="15895" width="38.28515625" style="31" bestFit="1" customWidth="1"/>
    <col min="15896" max="15896" width="38.7109375" style="31" bestFit="1" customWidth="1"/>
    <col min="15897" max="15897" width="22.85546875" style="31" bestFit="1" customWidth="1"/>
    <col min="15898" max="15898" width="31.85546875" style="31" customWidth="1"/>
    <col min="15899" max="15899" width="28" style="31" bestFit="1" customWidth="1"/>
    <col min="15900" max="15900" width="20.7109375" style="31" bestFit="1" customWidth="1"/>
    <col min="15901" max="15901" width="26.7109375" style="31" bestFit="1" customWidth="1"/>
    <col min="15902" max="15902" width="26.85546875" style="31" bestFit="1" customWidth="1"/>
    <col min="15903" max="15903" width="26.7109375" style="31" bestFit="1" customWidth="1"/>
    <col min="15904" max="15904" width="26.85546875" style="31" bestFit="1" customWidth="1"/>
    <col min="15905" max="15905" width="28.85546875" style="31" bestFit="1" customWidth="1"/>
    <col min="15906" max="15906" width="27" style="31" bestFit="1" customWidth="1"/>
    <col min="15907" max="15907" width="23.42578125" style="31" bestFit="1" customWidth="1"/>
    <col min="15908" max="15909" width="31.42578125" style="31" bestFit="1" customWidth="1"/>
    <col min="15910" max="15910" width="31.42578125" style="31" customWidth="1"/>
    <col min="15911" max="15911" width="52.28515625" style="31" customWidth="1"/>
    <col min="15912" max="15912" width="31.42578125" style="31" customWidth="1"/>
    <col min="15913" max="15913" width="26.42578125" style="31" bestFit="1" customWidth="1"/>
    <col min="15914" max="15914" width="29.28515625" style="31" customWidth="1"/>
    <col min="15915" max="15915" width="30.28515625" style="31" customWidth="1"/>
    <col min="15916" max="15916" width="39" style="31" bestFit="1" customWidth="1"/>
    <col min="15917" max="16096" width="9.140625" style="31"/>
    <col min="16097" max="16097" width="17.5703125" style="31" bestFit="1" customWidth="1"/>
    <col min="16098" max="16098" width="25.7109375" style="31" bestFit="1" customWidth="1"/>
    <col min="16099" max="16099" width="22.140625" style="31" bestFit="1" customWidth="1"/>
    <col min="16100" max="16100" width="18.42578125" style="31" bestFit="1" customWidth="1"/>
    <col min="16101" max="16101" width="19.140625" style="31" bestFit="1" customWidth="1"/>
    <col min="16102" max="16102" width="18.42578125" style="31" bestFit="1" customWidth="1"/>
    <col min="16103" max="16103" width="26.42578125" style="31" bestFit="1" customWidth="1"/>
    <col min="16104" max="16104" width="23.85546875" style="31" bestFit="1" customWidth="1"/>
    <col min="16105" max="16105" width="21.42578125" style="31" bestFit="1" customWidth="1"/>
    <col min="16106" max="16106" width="16" style="31" bestFit="1" customWidth="1"/>
    <col min="16107" max="16108" width="23" style="31" customWidth="1"/>
    <col min="16109" max="16109" width="29.28515625" style="31" customWidth="1"/>
    <col min="16110" max="16110" width="30.28515625" style="31" customWidth="1"/>
    <col min="16111" max="16111" width="24.140625" style="31" customWidth="1"/>
    <col min="16112" max="16113" width="23.85546875" style="31" customWidth="1"/>
    <col min="16114" max="16114" width="30.28515625" style="31" customWidth="1"/>
    <col min="16115" max="16120" width="12.7109375" style="31" customWidth="1"/>
    <col min="16121" max="16121" width="33.140625" style="31" customWidth="1"/>
    <col min="16122" max="16122" width="31.5703125" style="31" customWidth="1"/>
    <col min="16123" max="16123" width="33.28515625" style="31" customWidth="1"/>
    <col min="16124" max="16124" width="31.7109375" style="31" customWidth="1"/>
    <col min="16125" max="16125" width="20" style="31" customWidth="1"/>
    <col min="16126" max="16126" width="19.28515625" style="31" bestFit="1" customWidth="1"/>
    <col min="16127" max="16127" width="19.7109375" style="31" bestFit="1" customWidth="1"/>
    <col min="16128" max="16128" width="33.28515625" style="31" bestFit="1" customWidth="1"/>
    <col min="16129" max="16129" width="24.140625" style="31" bestFit="1" customWidth="1"/>
    <col min="16130" max="16130" width="25.28515625" style="31" customWidth="1"/>
    <col min="16131" max="16131" width="24.42578125" style="31" customWidth="1"/>
    <col min="16132" max="16132" width="13.85546875" style="31" bestFit="1" customWidth="1"/>
    <col min="16133" max="16133" width="18.7109375" style="31" bestFit="1" customWidth="1"/>
    <col min="16134" max="16134" width="24.7109375" style="31" bestFit="1" customWidth="1"/>
    <col min="16135" max="16136" width="27.140625" style="31" bestFit="1" customWidth="1"/>
    <col min="16137" max="16137" width="24.7109375" style="31" bestFit="1" customWidth="1"/>
    <col min="16138" max="16140" width="22.42578125" style="31" bestFit="1" customWidth="1"/>
    <col min="16141" max="16141" width="24" style="31" bestFit="1" customWidth="1"/>
    <col min="16142" max="16143" width="41.140625" style="31" bestFit="1" customWidth="1"/>
    <col min="16144" max="16144" width="77.42578125" style="31" bestFit="1" customWidth="1"/>
    <col min="16145" max="16145" width="110.28515625" style="31" bestFit="1" customWidth="1"/>
    <col min="16146" max="16146" width="108.140625" style="31" bestFit="1" customWidth="1"/>
    <col min="16147" max="16147" width="38.28515625" style="31" bestFit="1" customWidth="1"/>
    <col min="16148" max="16148" width="38.7109375" style="31" bestFit="1" customWidth="1"/>
    <col min="16149" max="16149" width="38.28515625" style="31" bestFit="1" customWidth="1"/>
    <col min="16150" max="16150" width="38.7109375" style="31" bestFit="1" customWidth="1"/>
    <col min="16151" max="16151" width="38.28515625" style="31" bestFit="1" customWidth="1"/>
    <col min="16152" max="16152" width="38.7109375" style="31" bestFit="1" customWidth="1"/>
    <col min="16153" max="16153" width="22.85546875" style="31" bestFit="1" customWidth="1"/>
    <col min="16154" max="16154" width="31.85546875" style="31" customWidth="1"/>
    <col min="16155" max="16155" width="28" style="31" bestFit="1" customWidth="1"/>
    <col min="16156" max="16156" width="20.7109375" style="31" bestFit="1" customWidth="1"/>
    <col min="16157" max="16157" width="26.7109375" style="31" bestFit="1" customWidth="1"/>
    <col min="16158" max="16158" width="26.85546875" style="31" bestFit="1" customWidth="1"/>
    <col min="16159" max="16159" width="26.7109375" style="31" bestFit="1" customWidth="1"/>
    <col min="16160" max="16160" width="26.85546875" style="31" bestFit="1" customWidth="1"/>
    <col min="16161" max="16161" width="28.85546875" style="31" bestFit="1" customWidth="1"/>
    <col min="16162" max="16162" width="27" style="31" bestFit="1" customWidth="1"/>
    <col min="16163" max="16163" width="23.42578125" style="31" bestFit="1" customWidth="1"/>
    <col min="16164" max="16165" width="31.42578125" style="31" bestFit="1" customWidth="1"/>
    <col min="16166" max="16166" width="31.42578125" style="31" customWidth="1"/>
    <col min="16167" max="16167" width="52.28515625" style="31" customWidth="1"/>
    <col min="16168" max="16168" width="31.42578125" style="31" customWidth="1"/>
    <col min="16169" max="16169" width="26.42578125" style="31" bestFit="1" customWidth="1"/>
    <col min="16170" max="16170" width="29.28515625" style="31" customWidth="1"/>
    <col min="16171" max="16171" width="30.28515625" style="31" customWidth="1"/>
    <col min="16172" max="16172" width="39" style="31" bestFit="1" customWidth="1"/>
    <col min="16173" max="16384" width="9.140625" style="31"/>
  </cols>
  <sheetData>
    <row r="1" spans="1:55" s="414" customFormat="1" ht="30" x14ac:dyDescent="0.25">
      <c r="B1" s="414" t="s">
        <v>1699</v>
      </c>
      <c r="C1" s="415" t="s">
        <v>2149</v>
      </c>
      <c r="D1" s="416" t="s">
        <v>2150</v>
      </c>
      <c r="E1" s="417" t="s">
        <v>2151</v>
      </c>
      <c r="F1" s="415" t="s">
        <v>2152</v>
      </c>
      <c r="G1" s="415" t="s">
        <v>2153</v>
      </c>
      <c r="H1" s="416" t="s">
        <v>2154</v>
      </c>
      <c r="I1" s="416" t="s">
        <v>2155</v>
      </c>
      <c r="J1" s="418" t="s">
        <v>2156</v>
      </c>
      <c r="K1" s="419" t="s">
        <v>2157</v>
      </c>
      <c r="L1" s="419" t="s">
        <v>2158</v>
      </c>
      <c r="M1" s="418" t="s">
        <v>2159</v>
      </c>
      <c r="N1" s="418" t="s">
        <v>2160</v>
      </c>
      <c r="O1" s="420" t="s">
        <v>2161</v>
      </c>
      <c r="P1" s="420" t="s">
        <v>2162</v>
      </c>
      <c r="Q1" s="420" t="s">
        <v>2163</v>
      </c>
      <c r="R1" s="420" t="s">
        <v>2164</v>
      </c>
      <c r="S1" s="421" t="s">
        <v>2165</v>
      </c>
      <c r="T1" s="421" t="s">
        <v>2166</v>
      </c>
      <c r="U1" s="422" t="s">
        <v>2167</v>
      </c>
      <c r="V1" s="415" t="s">
        <v>2168</v>
      </c>
      <c r="W1" s="415" t="s">
        <v>2169</v>
      </c>
      <c r="X1" s="416" t="s">
        <v>2170</v>
      </c>
      <c r="Y1" s="416" t="s">
        <v>2171</v>
      </c>
      <c r="Z1" s="418" t="s">
        <v>2172</v>
      </c>
      <c r="AA1" s="420" t="s">
        <v>2173</v>
      </c>
      <c r="AB1" s="420" t="s">
        <v>2174</v>
      </c>
      <c r="AC1" s="417" t="s">
        <v>2175</v>
      </c>
      <c r="AD1" s="423" t="s">
        <v>2176</v>
      </c>
      <c r="AE1" s="424" t="s">
        <v>2177</v>
      </c>
      <c r="AF1" s="45" t="s">
        <v>2178</v>
      </c>
      <c r="AG1" s="45" t="s">
        <v>2179</v>
      </c>
      <c r="AH1" s="424" t="s">
        <v>2180</v>
      </c>
      <c r="AI1" s="424" t="s">
        <v>2181</v>
      </c>
      <c r="AJ1" s="45" t="s">
        <v>2182</v>
      </c>
      <c r="AK1" s="45" t="s">
        <v>2183</v>
      </c>
      <c r="AL1" s="425" t="s">
        <v>2184</v>
      </c>
      <c r="AM1" s="425" t="s">
        <v>2185</v>
      </c>
      <c r="AN1" s="425" t="s">
        <v>2186</v>
      </c>
      <c r="AO1" s="45" t="s">
        <v>2187</v>
      </c>
      <c r="AP1" s="45" t="s">
        <v>2188</v>
      </c>
      <c r="AQ1" s="45" t="s">
        <v>2189</v>
      </c>
      <c r="AR1" s="45" t="s">
        <v>2190</v>
      </c>
      <c r="AS1" s="45" t="s">
        <v>2191</v>
      </c>
      <c r="AT1" s="45" t="s">
        <v>2192</v>
      </c>
      <c r="AU1" s="45" t="s">
        <v>2193</v>
      </c>
      <c r="AV1" s="424" t="s">
        <v>2194</v>
      </c>
      <c r="AW1" s="45" t="s">
        <v>2195</v>
      </c>
      <c r="AX1" s="426" t="s">
        <v>2196</v>
      </c>
      <c r="AY1" s="427" t="s">
        <v>2197</v>
      </c>
      <c r="AZ1" s="427" t="s">
        <v>2198</v>
      </c>
      <c r="BA1" s="500" t="s">
        <v>1456</v>
      </c>
      <c r="BB1" s="500" t="s">
        <v>2422</v>
      </c>
      <c r="BC1" s="414">
        <v>5</v>
      </c>
    </row>
    <row r="2" spans="1:55" x14ac:dyDescent="0.25">
      <c r="A2" s="428" t="s">
        <v>2199</v>
      </c>
      <c r="B2" s="465">
        <v>0</v>
      </c>
      <c r="C2" s="429">
        <v>0</v>
      </c>
      <c r="D2" s="429">
        <v>0</v>
      </c>
      <c r="E2" s="430">
        <v>180</v>
      </c>
      <c r="F2" s="429">
        <v>0</v>
      </c>
      <c r="G2" s="431">
        <v>0</v>
      </c>
      <c r="H2" s="429">
        <v>0</v>
      </c>
      <c r="I2" s="432" t="s">
        <v>932</v>
      </c>
      <c r="J2" s="431">
        <v>0</v>
      </c>
      <c r="K2" s="431">
        <v>0</v>
      </c>
      <c r="L2" s="429">
        <v>0</v>
      </c>
      <c r="M2" s="431">
        <v>0</v>
      </c>
      <c r="N2" s="431">
        <v>0</v>
      </c>
      <c r="O2" s="433">
        <v>0</v>
      </c>
      <c r="P2" s="429">
        <v>0</v>
      </c>
      <c r="Q2" s="434">
        <v>0</v>
      </c>
      <c r="R2" s="434">
        <v>0</v>
      </c>
      <c r="S2" s="429">
        <v>0</v>
      </c>
      <c r="T2" s="429">
        <v>0</v>
      </c>
      <c r="U2" s="435">
        <v>0</v>
      </c>
      <c r="V2" s="436">
        <v>0</v>
      </c>
      <c r="W2" s="436">
        <v>0</v>
      </c>
      <c r="X2" s="436">
        <v>0</v>
      </c>
      <c r="Y2" s="436">
        <v>0</v>
      </c>
      <c r="Z2" s="436">
        <v>2</v>
      </c>
      <c r="AA2" s="437">
        <v>6.4480000000000004</v>
      </c>
      <c r="AB2" s="436">
        <v>1.4</v>
      </c>
      <c r="AC2" s="429">
        <v>0</v>
      </c>
      <c r="AD2" s="438">
        <v>0</v>
      </c>
      <c r="AE2" s="429">
        <v>0</v>
      </c>
      <c r="AF2" s="429">
        <v>500</v>
      </c>
      <c r="AG2" s="435">
        <v>1.17</v>
      </c>
      <c r="AH2" s="429">
        <v>2</v>
      </c>
      <c r="AI2" s="429">
        <v>3</v>
      </c>
      <c r="AJ2" s="429">
        <v>1</v>
      </c>
      <c r="AK2" s="429">
        <v>2</v>
      </c>
      <c r="AL2" s="439" t="s">
        <v>2200</v>
      </c>
      <c r="AM2" s="439"/>
      <c r="AN2" s="439"/>
      <c r="AO2" s="451">
        <v>6</v>
      </c>
      <c r="AP2" s="456">
        <v>12</v>
      </c>
      <c r="AQ2" s="456">
        <v>2</v>
      </c>
      <c r="AR2" s="456">
        <v>4</v>
      </c>
      <c r="AS2" s="456">
        <v>1</v>
      </c>
      <c r="AT2" s="456">
        <v>2</v>
      </c>
      <c r="AU2" s="429">
        <v>5</v>
      </c>
      <c r="AV2" s="429" t="str">
        <f>CONCATENATE($BA$1&amp;":"&amp;BA2)</f>
        <v>Vàng:500</v>
      </c>
      <c r="AW2" s="440">
        <v>50</v>
      </c>
      <c r="AX2" s="438">
        <v>0</v>
      </c>
      <c r="AY2" s="438">
        <v>0</v>
      </c>
      <c r="AZ2" s="438">
        <v>0</v>
      </c>
      <c r="BA2" s="31">
        <v>500</v>
      </c>
      <c r="BC2" s="31">
        <f>BA2*$BC$1</f>
        <v>2500</v>
      </c>
    </row>
    <row r="3" spans="1:55" x14ac:dyDescent="0.25">
      <c r="A3" s="28" t="s">
        <v>2199</v>
      </c>
      <c r="B3" s="466">
        <v>1</v>
      </c>
      <c r="C3" s="429">
        <v>0</v>
      </c>
      <c r="D3" s="429">
        <v>0</v>
      </c>
      <c r="E3" s="429">
        <v>180</v>
      </c>
      <c r="F3" s="441">
        <v>0</v>
      </c>
      <c r="G3" s="441">
        <v>0</v>
      </c>
      <c r="H3" s="441">
        <v>3</v>
      </c>
      <c r="I3" s="432" t="s">
        <v>932</v>
      </c>
      <c r="J3" s="429">
        <v>0</v>
      </c>
      <c r="K3" s="429">
        <v>0</v>
      </c>
      <c r="L3" s="429">
        <v>0</v>
      </c>
      <c r="M3" s="429">
        <v>0</v>
      </c>
      <c r="N3" s="441">
        <v>0</v>
      </c>
      <c r="O3" s="433">
        <v>0</v>
      </c>
      <c r="P3" s="429">
        <v>0</v>
      </c>
      <c r="Q3" s="442">
        <v>1</v>
      </c>
      <c r="R3" s="442">
        <v>0</v>
      </c>
      <c r="S3" s="429">
        <v>90</v>
      </c>
      <c r="T3" s="429">
        <v>50</v>
      </c>
      <c r="U3" s="435">
        <v>1</v>
      </c>
      <c r="V3" s="436">
        <v>1.7</v>
      </c>
      <c r="W3" s="443">
        <v>2</v>
      </c>
      <c r="X3" s="436">
        <v>3.6</v>
      </c>
      <c r="Y3" s="436">
        <v>2.4</v>
      </c>
      <c r="Z3" s="436">
        <v>2</v>
      </c>
      <c r="AA3" s="436">
        <v>6.4480000000000004</v>
      </c>
      <c r="AB3" s="436">
        <v>1.4</v>
      </c>
      <c r="AC3" s="429">
        <v>5000</v>
      </c>
      <c r="AD3" s="444">
        <v>200</v>
      </c>
      <c r="AE3" s="429">
        <f>30*60</f>
        <v>1800</v>
      </c>
      <c r="AF3" s="429">
        <v>500</v>
      </c>
      <c r="AG3" s="435">
        <v>1.17</v>
      </c>
      <c r="AH3" s="429">
        <v>2</v>
      </c>
      <c r="AI3" s="429">
        <v>3</v>
      </c>
      <c r="AJ3" s="429">
        <v>1</v>
      </c>
      <c r="AK3" s="429">
        <v>2</v>
      </c>
      <c r="AL3" s="439" t="s">
        <v>2200</v>
      </c>
      <c r="AM3" s="439"/>
      <c r="AN3" s="439"/>
      <c r="AO3" s="451">
        <v>6</v>
      </c>
      <c r="AP3" s="456">
        <v>12</v>
      </c>
      <c r="AQ3" s="456">
        <v>2</v>
      </c>
      <c r="AR3" s="456">
        <v>4</v>
      </c>
      <c r="AS3" s="456">
        <v>1</v>
      </c>
      <c r="AT3" s="456">
        <v>2</v>
      </c>
      <c r="AU3" s="429">
        <v>5</v>
      </c>
      <c r="AV3" s="429" t="str">
        <f t="shared" ref="AV3:AV28" si="0">CONCATENATE($BA$1&amp;":"&amp;BA3)</f>
        <v>Vàng:500</v>
      </c>
      <c r="AW3" s="440">
        <v>50</v>
      </c>
      <c r="AX3" s="444">
        <v>1</v>
      </c>
      <c r="AY3" s="444">
        <v>0</v>
      </c>
      <c r="AZ3" s="444">
        <v>1</v>
      </c>
      <c r="BA3" s="31">
        <v>500</v>
      </c>
      <c r="BC3" s="31">
        <f t="shared" ref="BC3:BC66" si="1">BA3*$BC$1</f>
        <v>2500</v>
      </c>
    </row>
    <row r="4" spans="1:55" x14ac:dyDescent="0.25">
      <c r="A4" s="28" t="s">
        <v>2199</v>
      </c>
      <c r="B4" s="465">
        <v>2</v>
      </c>
      <c r="C4" s="429">
        <v>0</v>
      </c>
      <c r="D4" s="429">
        <v>0</v>
      </c>
      <c r="E4" s="429">
        <v>180</v>
      </c>
      <c r="F4" s="441">
        <v>0</v>
      </c>
      <c r="G4" s="441">
        <v>0</v>
      </c>
      <c r="H4" s="441">
        <v>3</v>
      </c>
      <c r="I4" s="432" t="s">
        <v>932</v>
      </c>
      <c r="J4" s="429">
        <v>0</v>
      </c>
      <c r="K4" s="429">
        <v>0</v>
      </c>
      <c r="L4" s="429">
        <v>0</v>
      </c>
      <c r="M4" s="429">
        <v>0</v>
      </c>
      <c r="N4" s="441">
        <v>0</v>
      </c>
      <c r="O4" s="433">
        <v>0</v>
      </c>
      <c r="P4" s="429">
        <v>0</v>
      </c>
      <c r="Q4" s="442">
        <v>1</v>
      </c>
      <c r="R4" s="442">
        <v>0</v>
      </c>
      <c r="S4" s="429">
        <v>90</v>
      </c>
      <c r="T4" s="429">
        <v>50</v>
      </c>
      <c r="U4" s="435">
        <v>1</v>
      </c>
      <c r="V4" s="436">
        <v>1.7</v>
      </c>
      <c r="W4" s="443">
        <v>2</v>
      </c>
      <c r="X4" s="436">
        <v>3.6</v>
      </c>
      <c r="Y4" s="436">
        <v>2.4</v>
      </c>
      <c r="Z4" s="436">
        <v>2</v>
      </c>
      <c r="AA4" s="436">
        <v>6.4480000000000004</v>
      </c>
      <c r="AB4" s="436">
        <v>1.4</v>
      </c>
      <c r="AC4" s="429">
        <v>10000</v>
      </c>
      <c r="AD4" s="444">
        <v>200</v>
      </c>
      <c r="AE4" s="429">
        <f t="shared" ref="AE4:AE12" si="2">30*60</f>
        <v>1800</v>
      </c>
      <c r="AF4" s="429">
        <v>500</v>
      </c>
      <c r="AG4" s="435">
        <v>1.17</v>
      </c>
      <c r="AH4" s="429">
        <v>2</v>
      </c>
      <c r="AI4" s="429">
        <v>3</v>
      </c>
      <c r="AJ4" s="429">
        <v>1</v>
      </c>
      <c r="AK4" s="429">
        <v>2</v>
      </c>
      <c r="AL4" s="439" t="s">
        <v>2200</v>
      </c>
      <c r="AM4" s="439"/>
      <c r="AN4" s="439"/>
      <c r="AO4" s="451">
        <v>6</v>
      </c>
      <c r="AP4" s="456">
        <v>12</v>
      </c>
      <c r="AQ4" s="456">
        <v>2</v>
      </c>
      <c r="AR4" s="456">
        <v>4</v>
      </c>
      <c r="AS4" s="456">
        <v>1</v>
      </c>
      <c r="AT4" s="456">
        <v>2</v>
      </c>
      <c r="AU4" s="429">
        <v>5</v>
      </c>
      <c r="AV4" s="429" t="str">
        <f t="shared" si="0"/>
        <v>Vàng:500</v>
      </c>
      <c r="AW4" s="440">
        <v>50</v>
      </c>
      <c r="AX4" s="444">
        <v>1</v>
      </c>
      <c r="AY4" s="444">
        <v>0</v>
      </c>
      <c r="AZ4" s="444">
        <v>1</v>
      </c>
      <c r="BA4" s="31">
        <v>500</v>
      </c>
      <c r="BC4" s="31">
        <f t="shared" si="1"/>
        <v>2500</v>
      </c>
    </row>
    <row r="5" spans="1:55" x14ac:dyDescent="0.25">
      <c r="A5" s="28" t="s">
        <v>2199</v>
      </c>
      <c r="B5" s="466">
        <v>3</v>
      </c>
      <c r="C5" s="445">
        <v>0</v>
      </c>
      <c r="D5" s="445">
        <v>0</v>
      </c>
      <c r="E5" s="445">
        <v>180</v>
      </c>
      <c r="F5" s="13">
        <v>0</v>
      </c>
      <c r="G5" s="13">
        <v>0</v>
      </c>
      <c r="H5" s="13">
        <v>3</v>
      </c>
      <c r="I5" s="432" t="s">
        <v>932</v>
      </c>
      <c r="J5" s="445">
        <v>0</v>
      </c>
      <c r="K5" s="445">
        <v>0</v>
      </c>
      <c r="L5" s="445">
        <v>0</v>
      </c>
      <c r="M5" s="445">
        <v>0</v>
      </c>
      <c r="N5" s="13">
        <v>0</v>
      </c>
      <c r="O5" s="446">
        <v>100</v>
      </c>
      <c r="P5" s="445">
        <v>0</v>
      </c>
      <c r="Q5" s="23">
        <v>1</v>
      </c>
      <c r="R5" s="23">
        <v>1</v>
      </c>
      <c r="S5" s="445">
        <v>70</v>
      </c>
      <c r="T5" s="445">
        <f>100-S5</f>
        <v>30</v>
      </c>
      <c r="U5" s="447">
        <v>1</v>
      </c>
      <c r="V5" s="448">
        <v>1.7</v>
      </c>
      <c r="W5" s="449">
        <v>2</v>
      </c>
      <c r="X5" s="448">
        <v>3.6</v>
      </c>
      <c r="Y5" s="448">
        <v>2.4</v>
      </c>
      <c r="Z5" s="448">
        <v>2</v>
      </c>
      <c r="AA5" s="448">
        <v>6.4480000000000004</v>
      </c>
      <c r="AB5" s="448">
        <v>1.4</v>
      </c>
      <c r="AC5" s="445">
        <v>15000</v>
      </c>
      <c r="AD5" s="450">
        <v>200</v>
      </c>
      <c r="AE5" s="451">
        <f t="shared" si="2"/>
        <v>1800</v>
      </c>
      <c r="AF5" s="429">
        <v>500</v>
      </c>
      <c r="AG5" s="435">
        <v>1.17</v>
      </c>
      <c r="AH5" s="429">
        <v>2</v>
      </c>
      <c r="AI5" s="429">
        <v>3</v>
      </c>
      <c r="AJ5" s="429">
        <v>1</v>
      </c>
      <c r="AK5" s="429">
        <v>2</v>
      </c>
      <c r="AL5" s="439" t="s">
        <v>2200</v>
      </c>
      <c r="AM5" s="439"/>
      <c r="AN5" s="439"/>
      <c r="AO5" s="451">
        <v>6</v>
      </c>
      <c r="AP5" s="456">
        <v>12</v>
      </c>
      <c r="AQ5" s="456">
        <v>2</v>
      </c>
      <c r="AR5" s="456">
        <v>4</v>
      </c>
      <c r="AS5" s="456">
        <v>1</v>
      </c>
      <c r="AT5" s="456">
        <v>2</v>
      </c>
      <c r="AU5" s="429">
        <v>5</v>
      </c>
      <c r="AV5" s="429" t="str">
        <f t="shared" si="0"/>
        <v>Vàng:500</v>
      </c>
      <c r="AW5" s="440">
        <v>50</v>
      </c>
      <c r="AX5" s="450">
        <v>1</v>
      </c>
      <c r="AY5" s="450">
        <v>0</v>
      </c>
      <c r="AZ5" s="450">
        <v>1</v>
      </c>
      <c r="BA5" s="31">
        <v>500</v>
      </c>
      <c r="BC5" s="31">
        <f t="shared" si="1"/>
        <v>2500</v>
      </c>
    </row>
    <row r="6" spans="1:55" x14ac:dyDescent="0.25">
      <c r="A6" s="28" t="s">
        <v>2199</v>
      </c>
      <c r="B6" s="465">
        <v>4</v>
      </c>
      <c r="C6" s="445">
        <v>0</v>
      </c>
      <c r="D6" s="445">
        <v>0</v>
      </c>
      <c r="E6" s="445">
        <v>180</v>
      </c>
      <c r="F6" s="13">
        <v>1</v>
      </c>
      <c r="G6" s="13">
        <v>1</v>
      </c>
      <c r="H6" s="13">
        <v>3</v>
      </c>
      <c r="I6" s="432" t="s">
        <v>2202</v>
      </c>
      <c r="J6" s="445">
        <v>0</v>
      </c>
      <c r="K6" s="445">
        <v>0</v>
      </c>
      <c r="L6" s="445">
        <v>0</v>
      </c>
      <c r="M6" s="445">
        <v>0</v>
      </c>
      <c r="N6" s="13">
        <v>0</v>
      </c>
      <c r="O6" s="452">
        <v>60</v>
      </c>
      <c r="P6" s="453">
        <v>40</v>
      </c>
      <c r="Q6" s="23">
        <v>1</v>
      </c>
      <c r="R6" s="23">
        <v>1</v>
      </c>
      <c r="S6" s="445">
        <v>70</v>
      </c>
      <c r="T6" s="445">
        <f t="shared" ref="T6:T69" si="3">100-S6</f>
        <v>30</v>
      </c>
      <c r="U6" s="447">
        <v>1</v>
      </c>
      <c r="V6" s="448">
        <v>1.7</v>
      </c>
      <c r="W6" s="449">
        <v>2</v>
      </c>
      <c r="X6" s="448">
        <v>3.6</v>
      </c>
      <c r="Y6" s="448">
        <v>2.4</v>
      </c>
      <c r="Z6" s="448">
        <v>2</v>
      </c>
      <c r="AA6" s="448">
        <v>6.4480000000000004</v>
      </c>
      <c r="AB6" s="448">
        <v>1.4</v>
      </c>
      <c r="AC6" s="445">
        <v>20000</v>
      </c>
      <c r="AD6" s="450">
        <v>200</v>
      </c>
      <c r="AE6" s="451">
        <f t="shared" si="2"/>
        <v>1800</v>
      </c>
      <c r="AF6" s="429">
        <v>500</v>
      </c>
      <c r="AG6" s="435">
        <v>1.17</v>
      </c>
      <c r="AH6" s="429">
        <v>2</v>
      </c>
      <c r="AI6" s="429">
        <v>3</v>
      </c>
      <c r="AJ6" s="429">
        <v>1</v>
      </c>
      <c r="AK6" s="429">
        <v>2</v>
      </c>
      <c r="AL6" s="439" t="s">
        <v>2200</v>
      </c>
      <c r="AM6" s="439"/>
      <c r="AN6" s="439"/>
      <c r="AO6" s="451">
        <v>6</v>
      </c>
      <c r="AP6" s="456">
        <v>12</v>
      </c>
      <c r="AQ6" s="456">
        <v>2</v>
      </c>
      <c r="AR6" s="456">
        <v>4</v>
      </c>
      <c r="AS6" s="456">
        <v>1</v>
      </c>
      <c r="AT6" s="456">
        <v>2</v>
      </c>
      <c r="AU6" s="429">
        <v>5</v>
      </c>
      <c r="AV6" s="429" t="str">
        <f t="shared" si="0"/>
        <v>Vàng:500</v>
      </c>
      <c r="AW6" s="440">
        <v>50</v>
      </c>
      <c r="AX6" s="450">
        <v>1</v>
      </c>
      <c r="AY6" s="450">
        <v>0</v>
      </c>
      <c r="AZ6" s="450">
        <v>1</v>
      </c>
      <c r="BA6" s="31">
        <v>500</v>
      </c>
      <c r="BC6" s="31">
        <f t="shared" si="1"/>
        <v>2500</v>
      </c>
    </row>
    <row r="7" spans="1:55" x14ac:dyDescent="0.25">
      <c r="A7" s="28" t="s">
        <v>2199</v>
      </c>
      <c r="B7" s="466">
        <v>5</v>
      </c>
      <c r="C7" s="445">
        <v>0</v>
      </c>
      <c r="D7" s="445">
        <v>0</v>
      </c>
      <c r="E7" s="445">
        <v>180</v>
      </c>
      <c r="F7" s="13">
        <v>1</v>
      </c>
      <c r="G7" s="13">
        <v>1</v>
      </c>
      <c r="H7" s="13">
        <v>3</v>
      </c>
      <c r="I7" s="432" t="s">
        <v>2202</v>
      </c>
      <c r="J7" s="445">
        <v>0</v>
      </c>
      <c r="K7" s="445">
        <v>0</v>
      </c>
      <c r="L7" s="445">
        <v>0</v>
      </c>
      <c r="M7" s="445">
        <v>0</v>
      </c>
      <c r="N7" s="13">
        <v>0</v>
      </c>
      <c r="O7" s="452">
        <v>50</v>
      </c>
      <c r="P7" s="453">
        <v>50</v>
      </c>
      <c r="Q7" s="23">
        <v>1</v>
      </c>
      <c r="R7" s="23">
        <v>2</v>
      </c>
      <c r="S7" s="445">
        <v>70</v>
      </c>
      <c r="T7" s="445">
        <f t="shared" si="3"/>
        <v>30</v>
      </c>
      <c r="U7" s="447">
        <v>1</v>
      </c>
      <c r="V7" s="448">
        <v>1.7</v>
      </c>
      <c r="W7" s="449">
        <v>2</v>
      </c>
      <c r="X7" s="448">
        <v>3.6</v>
      </c>
      <c r="Y7" s="448">
        <v>2.4</v>
      </c>
      <c r="Z7" s="448">
        <v>2</v>
      </c>
      <c r="AA7" s="448">
        <v>6.3439999999999994</v>
      </c>
      <c r="AB7" s="448">
        <v>1.4</v>
      </c>
      <c r="AC7" s="445">
        <v>25000</v>
      </c>
      <c r="AD7" s="450">
        <v>200</v>
      </c>
      <c r="AE7" s="451">
        <f t="shared" si="2"/>
        <v>1800</v>
      </c>
      <c r="AF7" s="429">
        <v>500</v>
      </c>
      <c r="AG7" s="435">
        <v>1.17</v>
      </c>
      <c r="AH7" s="429">
        <v>2</v>
      </c>
      <c r="AI7" s="429">
        <v>3</v>
      </c>
      <c r="AJ7" s="429">
        <v>1</v>
      </c>
      <c r="AK7" s="429">
        <v>2</v>
      </c>
      <c r="AL7" s="439" t="s">
        <v>2200</v>
      </c>
      <c r="AM7" s="439"/>
      <c r="AN7" s="439"/>
      <c r="AO7" s="451">
        <v>6</v>
      </c>
      <c r="AP7" s="456">
        <v>12</v>
      </c>
      <c r="AQ7" s="456">
        <v>2</v>
      </c>
      <c r="AR7" s="456">
        <v>4</v>
      </c>
      <c r="AS7" s="456">
        <v>1</v>
      </c>
      <c r="AT7" s="456">
        <v>2</v>
      </c>
      <c r="AU7" s="429">
        <v>5</v>
      </c>
      <c r="AV7" s="429" t="str">
        <f t="shared" si="0"/>
        <v>Vàng:500</v>
      </c>
      <c r="AW7" s="440">
        <v>50</v>
      </c>
      <c r="AX7" s="450">
        <v>1</v>
      </c>
      <c r="AY7" s="450">
        <v>1</v>
      </c>
      <c r="AZ7" s="450">
        <v>1</v>
      </c>
      <c r="BA7" s="31">
        <v>500</v>
      </c>
      <c r="BC7" s="31">
        <f t="shared" si="1"/>
        <v>2500</v>
      </c>
    </row>
    <row r="8" spans="1:55" x14ac:dyDescent="0.25">
      <c r="A8" s="28" t="s">
        <v>2199</v>
      </c>
      <c r="B8" s="465">
        <v>6</v>
      </c>
      <c r="C8" s="445">
        <v>0</v>
      </c>
      <c r="D8" s="445">
        <v>0</v>
      </c>
      <c r="E8" s="445">
        <v>180</v>
      </c>
      <c r="F8" s="13">
        <v>1</v>
      </c>
      <c r="G8" s="13">
        <v>4</v>
      </c>
      <c r="H8" s="13">
        <v>3</v>
      </c>
      <c r="I8" s="432" t="s">
        <v>2202</v>
      </c>
      <c r="J8" s="445">
        <v>0</v>
      </c>
      <c r="K8" s="445">
        <v>0</v>
      </c>
      <c r="L8" s="445">
        <v>0</v>
      </c>
      <c r="M8" s="445">
        <v>1</v>
      </c>
      <c r="N8" s="13">
        <v>1</v>
      </c>
      <c r="O8" s="452">
        <v>45</v>
      </c>
      <c r="P8" s="453">
        <v>55</v>
      </c>
      <c r="Q8" s="23">
        <v>1</v>
      </c>
      <c r="R8" s="23">
        <v>2</v>
      </c>
      <c r="S8" s="445">
        <v>70</v>
      </c>
      <c r="T8" s="445">
        <f t="shared" si="3"/>
        <v>30</v>
      </c>
      <c r="U8" s="447">
        <v>1</v>
      </c>
      <c r="V8" s="448">
        <v>1.7</v>
      </c>
      <c r="W8" s="449">
        <v>2</v>
      </c>
      <c r="X8" s="448">
        <v>3.6</v>
      </c>
      <c r="Y8" s="448">
        <v>2.4</v>
      </c>
      <c r="Z8" s="448">
        <v>2</v>
      </c>
      <c r="AA8" s="448">
        <v>6.3439999999999994</v>
      </c>
      <c r="AB8" s="448">
        <v>1.4</v>
      </c>
      <c r="AC8" s="445">
        <v>30000</v>
      </c>
      <c r="AD8" s="450">
        <v>200</v>
      </c>
      <c r="AE8" s="451">
        <f t="shared" si="2"/>
        <v>1800</v>
      </c>
      <c r="AF8" s="429">
        <v>500</v>
      </c>
      <c r="AG8" s="435">
        <v>1.17</v>
      </c>
      <c r="AH8" s="429">
        <v>2</v>
      </c>
      <c r="AI8" s="429">
        <v>3</v>
      </c>
      <c r="AJ8" s="429">
        <v>1</v>
      </c>
      <c r="AK8" s="429">
        <v>2</v>
      </c>
      <c r="AL8" s="439" t="s">
        <v>2203</v>
      </c>
      <c r="AM8" s="439"/>
      <c r="AN8" s="439"/>
      <c r="AO8" s="451">
        <v>6</v>
      </c>
      <c r="AP8" s="456">
        <v>12</v>
      </c>
      <c r="AQ8" s="456">
        <v>2</v>
      </c>
      <c r="AR8" s="456">
        <v>4</v>
      </c>
      <c r="AS8" s="456">
        <v>1</v>
      </c>
      <c r="AT8" s="456">
        <v>2</v>
      </c>
      <c r="AU8" s="429">
        <v>5</v>
      </c>
      <c r="AV8" s="429" t="str">
        <f t="shared" si="0"/>
        <v>Vàng:500</v>
      </c>
      <c r="AW8" s="440">
        <v>50</v>
      </c>
      <c r="AX8" s="450">
        <v>1</v>
      </c>
      <c r="AY8" s="450">
        <v>1</v>
      </c>
      <c r="AZ8" s="450">
        <v>1</v>
      </c>
      <c r="BA8" s="31">
        <v>500</v>
      </c>
      <c r="BC8" s="31">
        <f t="shared" si="1"/>
        <v>2500</v>
      </c>
    </row>
    <row r="9" spans="1:55" x14ac:dyDescent="0.25">
      <c r="A9" s="28" t="s">
        <v>2199</v>
      </c>
      <c r="B9" s="466">
        <v>7</v>
      </c>
      <c r="C9" s="445">
        <v>0</v>
      </c>
      <c r="D9" s="445">
        <v>0</v>
      </c>
      <c r="E9" s="445">
        <v>180</v>
      </c>
      <c r="F9" s="13">
        <v>1</v>
      </c>
      <c r="G9" s="13">
        <v>4</v>
      </c>
      <c r="H9" s="13">
        <v>3</v>
      </c>
      <c r="I9" s="432" t="s">
        <v>2202</v>
      </c>
      <c r="J9" s="445">
        <v>0</v>
      </c>
      <c r="K9" s="445">
        <v>0</v>
      </c>
      <c r="L9" s="445">
        <v>0</v>
      </c>
      <c r="M9" s="445">
        <v>1</v>
      </c>
      <c r="N9" s="13">
        <v>1</v>
      </c>
      <c r="O9" s="452">
        <v>40</v>
      </c>
      <c r="P9" s="453">
        <v>60</v>
      </c>
      <c r="Q9" s="23">
        <v>2</v>
      </c>
      <c r="R9" s="23">
        <v>2</v>
      </c>
      <c r="S9" s="445">
        <v>65</v>
      </c>
      <c r="T9" s="445">
        <f t="shared" si="3"/>
        <v>35</v>
      </c>
      <c r="U9" s="447">
        <v>1</v>
      </c>
      <c r="V9" s="448">
        <v>1.7</v>
      </c>
      <c r="W9" s="449">
        <v>2</v>
      </c>
      <c r="X9" s="448">
        <v>3.6</v>
      </c>
      <c r="Y9" s="448">
        <v>2.4</v>
      </c>
      <c r="Z9" s="448">
        <v>2</v>
      </c>
      <c r="AA9" s="448">
        <v>6.3439999999999994</v>
      </c>
      <c r="AB9" s="448">
        <v>1.4</v>
      </c>
      <c r="AC9" s="445">
        <v>35000</v>
      </c>
      <c r="AD9" s="450">
        <v>200</v>
      </c>
      <c r="AE9" s="451">
        <f t="shared" si="2"/>
        <v>1800</v>
      </c>
      <c r="AF9" s="429">
        <v>500</v>
      </c>
      <c r="AG9" s="435">
        <v>1.17</v>
      </c>
      <c r="AH9" s="429">
        <v>2</v>
      </c>
      <c r="AI9" s="429">
        <v>3</v>
      </c>
      <c r="AJ9" s="429">
        <v>1</v>
      </c>
      <c r="AK9" s="429">
        <v>2</v>
      </c>
      <c r="AL9" s="439" t="s">
        <v>2203</v>
      </c>
      <c r="AM9" s="439"/>
      <c r="AN9" s="439"/>
      <c r="AO9" s="451">
        <v>6</v>
      </c>
      <c r="AP9" s="456">
        <v>12</v>
      </c>
      <c r="AQ9" s="456">
        <v>2</v>
      </c>
      <c r="AR9" s="456">
        <v>4</v>
      </c>
      <c r="AS9" s="456">
        <v>1</v>
      </c>
      <c r="AT9" s="456">
        <v>2</v>
      </c>
      <c r="AU9" s="429">
        <v>5</v>
      </c>
      <c r="AV9" s="429" t="str">
        <f t="shared" si="0"/>
        <v>Vàng:500</v>
      </c>
      <c r="AW9" s="440">
        <v>50</v>
      </c>
      <c r="AX9" s="450">
        <v>1</v>
      </c>
      <c r="AY9" s="450">
        <v>1</v>
      </c>
      <c r="AZ9" s="450">
        <v>1</v>
      </c>
      <c r="BA9" s="31">
        <v>500</v>
      </c>
      <c r="BC9" s="31">
        <f t="shared" si="1"/>
        <v>2500</v>
      </c>
    </row>
    <row r="10" spans="1:55" x14ac:dyDescent="0.25">
      <c r="A10" s="28" t="s">
        <v>2199</v>
      </c>
      <c r="B10" s="465">
        <v>8</v>
      </c>
      <c r="C10" s="445">
        <v>0</v>
      </c>
      <c r="D10" s="445">
        <v>0</v>
      </c>
      <c r="E10" s="445">
        <v>180</v>
      </c>
      <c r="F10" s="13">
        <v>1</v>
      </c>
      <c r="G10" s="13">
        <v>4</v>
      </c>
      <c r="H10" s="13">
        <v>3</v>
      </c>
      <c r="I10" s="454" t="s">
        <v>2202</v>
      </c>
      <c r="J10" s="451">
        <v>5</v>
      </c>
      <c r="K10" s="445">
        <v>100</v>
      </c>
      <c r="L10" s="445">
        <v>0</v>
      </c>
      <c r="M10" s="445">
        <v>1</v>
      </c>
      <c r="N10" s="13">
        <v>1</v>
      </c>
      <c r="O10" s="446">
        <v>35</v>
      </c>
      <c r="P10" s="445">
        <v>65</v>
      </c>
      <c r="Q10" s="23">
        <v>2</v>
      </c>
      <c r="R10" s="23">
        <v>2</v>
      </c>
      <c r="S10" s="445">
        <v>65</v>
      </c>
      <c r="T10" s="445">
        <f t="shared" si="3"/>
        <v>35</v>
      </c>
      <c r="U10" s="447">
        <v>1</v>
      </c>
      <c r="V10" s="448">
        <v>1.7</v>
      </c>
      <c r="W10" s="449">
        <v>2</v>
      </c>
      <c r="X10" s="448">
        <v>3.6</v>
      </c>
      <c r="Y10" s="448">
        <v>2.4</v>
      </c>
      <c r="Z10" s="448">
        <v>2</v>
      </c>
      <c r="AA10" s="448">
        <v>6.24</v>
      </c>
      <c r="AB10" s="448">
        <v>1.4</v>
      </c>
      <c r="AC10" s="445">
        <v>40000</v>
      </c>
      <c r="AD10" s="450">
        <v>200</v>
      </c>
      <c r="AE10" s="451">
        <f t="shared" si="2"/>
        <v>1800</v>
      </c>
      <c r="AF10" s="445">
        <v>500</v>
      </c>
      <c r="AG10" s="447">
        <v>1.17</v>
      </c>
      <c r="AH10" s="451">
        <v>2</v>
      </c>
      <c r="AI10" s="451">
        <v>3</v>
      </c>
      <c r="AJ10" s="451">
        <v>1</v>
      </c>
      <c r="AK10" s="451">
        <v>2</v>
      </c>
      <c r="AL10" s="2" t="s">
        <v>2203</v>
      </c>
      <c r="AM10" s="458" t="s">
        <v>2201</v>
      </c>
      <c r="AN10" s="458" t="s">
        <v>2263</v>
      </c>
      <c r="AO10" s="451">
        <v>6</v>
      </c>
      <c r="AP10" s="451">
        <v>12</v>
      </c>
      <c r="AQ10" s="451">
        <v>2</v>
      </c>
      <c r="AR10" s="451">
        <v>4</v>
      </c>
      <c r="AS10" s="451">
        <v>1</v>
      </c>
      <c r="AT10" s="451">
        <v>2</v>
      </c>
      <c r="AU10" s="445">
        <v>5</v>
      </c>
      <c r="AV10" s="445" t="str">
        <f>CONCATENATE($BA$1&amp;":"&amp;BA10)</f>
        <v>Vàng:500</v>
      </c>
      <c r="AW10" s="440">
        <v>50</v>
      </c>
      <c r="AX10" s="450">
        <v>1</v>
      </c>
      <c r="AY10" s="450">
        <v>1</v>
      </c>
      <c r="AZ10" s="450">
        <v>3</v>
      </c>
      <c r="BA10" s="31">
        <v>500</v>
      </c>
      <c r="BC10" s="31">
        <f t="shared" si="1"/>
        <v>2500</v>
      </c>
    </row>
    <row r="11" spans="1:55" x14ac:dyDescent="0.25">
      <c r="A11" s="28" t="s">
        <v>2199</v>
      </c>
      <c r="B11" s="466">
        <v>9</v>
      </c>
      <c r="C11" s="445">
        <v>0</v>
      </c>
      <c r="D11" s="445">
        <v>0</v>
      </c>
      <c r="E11" s="445">
        <v>180</v>
      </c>
      <c r="F11" s="13">
        <v>1</v>
      </c>
      <c r="G11" s="13">
        <v>4</v>
      </c>
      <c r="H11" s="13">
        <v>3</v>
      </c>
      <c r="I11" s="454" t="s">
        <v>2202</v>
      </c>
      <c r="J11" s="451">
        <v>5</v>
      </c>
      <c r="K11" s="445">
        <v>100</v>
      </c>
      <c r="L11" s="445">
        <v>0</v>
      </c>
      <c r="M11" s="445">
        <v>1</v>
      </c>
      <c r="N11" s="13">
        <v>1</v>
      </c>
      <c r="O11" s="446">
        <v>35</v>
      </c>
      <c r="P11" s="445">
        <v>65</v>
      </c>
      <c r="Q11" s="23">
        <v>2</v>
      </c>
      <c r="R11" s="23">
        <v>2</v>
      </c>
      <c r="S11" s="445">
        <v>65</v>
      </c>
      <c r="T11" s="445">
        <f t="shared" si="3"/>
        <v>35</v>
      </c>
      <c r="U11" s="447">
        <v>1</v>
      </c>
      <c r="V11" s="448">
        <v>1.7</v>
      </c>
      <c r="W11" s="449">
        <v>2</v>
      </c>
      <c r="X11" s="448">
        <v>3.6</v>
      </c>
      <c r="Y11" s="448">
        <v>2.4</v>
      </c>
      <c r="Z11" s="448">
        <v>2</v>
      </c>
      <c r="AA11" s="448">
        <v>6.24</v>
      </c>
      <c r="AB11" s="448">
        <v>1.4</v>
      </c>
      <c r="AC11" s="445">
        <v>45000</v>
      </c>
      <c r="AD11" s="450">
        <v>200</v>
      </c>
      <c r="AE11" s="451">
        <f t="shared" si="2"/>
        <v>1800</v>
      </c>
      <c r="AF11" s="445">
        <v>500</v>
      </c>
      <c r="AG11" s="447">
        <v>1.17</v>
      </c>
      <c r="AH11" s="451">
        <v>2</v>
      </c>
      <c r="AI11" s="451">
        <v>3</v>
      </c>
      <c r="AJ11" s="451">
        <v>1</v>
      </c>
      <c r="AK11" s="451">
        <v>2</v>
      </c>
      <c r="AL11" s="2" t="s">
        <v>2205</v>
      </c>
      <c r="AM11" s="458" t="s">
        <v>2201</v>
      </c>
      <c r="AN11" s="458" t="s">
        <v>2263</v>
      </c>
      <c r="AO11" s="451">
        <v>6</v>
      </c>
      <c r="AP11" s="451">
        <v>12</v>
      </c>
      <c r="AQ11" s="451">
        <v>2</v>
      </c>
      <c r="AR11" s="451">
        <v>4</v>
      </c>
      <c r="AS11" s="451">
        <v>1</v>
      </c>
      <c r="AT11" s="451">
        <v>2</v>
      </c>
      <c r="AU11" s="445">
        <v>5</v>
      </c>
      <c r="AV11" s="445" t="str">
        <f t="shared" si="0"/>
        <v>Vàng:600</v>
      </c>
      <c r="AW11" s="440">
        <v>50</v>
      </c>
      <c r="AX11" s="450">
        <v>1</v>
      </c>
      <c r="AY11" s="450">
        <v>1</v>
      </c>
      <c r="AZ11" s="450">
        <v>5</v>
      </c>
      <c r="BA11" s="31">
        <v>600</v>
      </c>
      <c r="BC11" s="31">
        <f>BA11*$BC$1</f>
        <v>3000</v>
      </c>
    </row>
    <row r="12" spans="1:55" x14ac:dyDescent="0.25">
      <c r="A12" s="28" t="s">
        <v>2199</v>
      </c>
      <c r="B12" s="465">
        <v>10</v>
      </c>
      <c r="C12" s="445">
        <v>3</v>
      </c>
      <c r="D12" s="4">
        <v>5</v>
      </c>
      <c r="E12" s="445">
        <v>300</v>
      </c>
      <c r="F12" s="13">
        <v>1</v>
      </c>
      <c r="G12" s="13">
        <v>4</v>
      </c>
      <c r="H12" s="13">
        <v>3</v>
      </c>
      <c r="I12" s="455" t="s">
        <v>2202</v>
      </c>
      <c r="J12" s="451">
        <v>5</v>
      </c>
      <c r="K12" s="445">
        <v>100</v>
      </c>
      <c r="L12" s="445">
        <v>0</v>
      </c>
      <c r="M12" s="445">
        <v>1</v>
      </c>
      <c r="N12" s="13">
        <v>1</v>
      </c>
      <c r="O12" s="446">
        <v>35</v>
      </c>
      <c r="P12" s="445">
        <v>65</v>
      </c>
      <c r="Q12" s="23">
        <v>2</v>
      </c>
      <c r="R12" s="23">
        <v>2</v>
      </c>
      <c r="S12" s="445">
        <v>65</v>
      </c>
      <c r="T12" s="445">
        <f t="shared" si="3"/>
        <v>35</v>
      </c>
      <c r="U12" s="447">
        <v>1</v>
      </c>
      <c r="V12" s="448">
        <v>1.7</v>
      </c>
      <c r="W12" s="449">
        <v>2</v>
      </c>
      <c r="X12" s="448">
        <v>3.6</v>
      </c>
      <c r="Y12" s="448">
        <v>2.4</v>
      </c>
      <c r="Z12" s="448">
        <v>2</v>
      </c>
      <c r="AA12" s="448">
        <v>6.136000000000001</v>
      </c>
      <c r="AB12" s="448">
        <v>1.4</v>
      </c>
      <c r="AC12" s="445">
        <v>50000</v>
      </c>
      <c r="AD12" s="450">
        <v>200</v>
      </c>
      <c r="AE12" s="451">
        <f t="shared" si="2"/>
        <v>1800</v>
      </c>
      <c r="AF12" s="445">
        <v>500</v>
      </c>
      <c r="AG12" s="447">
        <v>1.17</v>
      </c>
      <c r="AH12" s="451">
        <v>2</v>
      </c>
      <c r="AI12" s="451">
        <v>3</v>
      </c>
      <c r="AJ12" s="451">
        <v>1</v>
      </c>
      <c r="AK12" s="451">
        <v>2</v>
      </c>
      <c r="AL12" s="2" t="s">
        <v>2205</v>
      </c>
      <c r="AM12" s="458" t="s">
        <v>2204</v>
      </c>
      <c r="AN12" s="458" t="s">
        <v>2262</v>
      </c>
      <c r="AO12" s="451">
        <v>6</v>
      </c>
      <c r="AP12" s="451">
        <v>12</v>
      </c>
      <c r="AQ12" s="451">
        <v>2</v>
      </c>
      <c r="AR12" s="451">
        <v>4</v>
      </c>
      <c r="AS12" s="451">
        <v>1</v>
      </c>
      <c r="AT12" s="451">
        <v>2</v>
      </c>
      <c r="AU12" s="445">
        <v>5</v>
      </c>
      <c r="AV12" s="445" t="str">
        <f t="shared" si="0"/>
        <v>Vàng:700</v>
      </c>
      <c r="AW12" s="440">
        <v>50</v>
      </c>
      <c r="AX12" s="450">
        <v>1</v>
      </c>
      <c r="AY12" s="450">
        <v>1</v>
      </c>
      <c r="AZ12" s="450">
        <v>6</v>
      </c>
      <c r="BA12" s="31">
        <v>700</v>
      </c>
      <c r="BC12" s="31">
        <f t="shared" si="1"/>
        <v>3500</v>
      </c>
    </row>
    <row r="13" spans="1:55" x14ac:dyDescent="0.25">
      <c r="A13" s="28" t="s">
        <v>2199</v>
      </c>
      <c r="B13" s="466">
        <v>11</v>
      </c>
      <c r="C13" s="13">
        <v>4</v>
      </c>
      <c r="D13" s="4">
        <v>5</v>
      </c>
      <c r="E13" s="445">
        <v>300</v>
      </c>
      <c r="F13" s="13">
        <v>1</v>
      </c>
      <c r="G13" s="13">
        <v>4</v>
      </c>
      <c r="H13" s="13">
        <v>5</v>
      </c>
      <c r="I13" s="455" t="s">
        <v>2206</v>
      </c>
      <c r="J13" s="451">
        <v>5</v>
      </c>
      <c r="K13" s="445">
        <v>100</v>
      </c>
      <c r="L13" s="445">
        <v>0</v>
      </c>
      <c r="M13" s="445">
        <v>1</v>
      </c>
      <c r="N13" s="13">
        <v>1</v>
      </c>
      <c r="O13" s="446">
        <v>35</v>
      </c>
      <c r="P13" s="445">
        <v>65</v>
      </c>
      <c r="Q13" s="23">
        <v>2</v>
      </c>
      <c r="R13" s="23">
        <v>2</v>
      </c>
      <c r="S13" s="445">
        <v>60</v>
      </c>
      <c r="T13" s="445">
        <f t="shared" si="3"/>
        <v>40</v>
      </c>
      <c r="U13" s="447">
        <v>1</v>
      </c>
      <c r="V13" s="448">
        <v>1.7</v>
      </c>
      <c r="W13" s="449">
        <v>1.9666666666666668</v>
      </c>
      <c r="X13" s="448">
        <v>3.42</v>
      </c>
      <c r="Y13" s="448">
        <v>2.44</v>
      </c>
      <c r="Z13" s="448">
        <v>2</v>
      </c>
      <c r="AA13" s="448">
        <v>6.032</v>
      </c>
      <c r="AB13" s="448">
        <v>1.4</v>
      </c>
      <c r="AC13" s="445">
        <v>55000</v>
      </c>
      <c r="AD13" s="450">
        <v>200</v>
      </c>
      <c r="AE13" s="451">
        <f>45*60</f>
        <v>2700</v>
      </c>
      <c r="AF13" s="445">
        <v>500</v>
      </c>
      <c r="AG13" s="447">
        <v>1.17</v>
      </c>
      <c r="AH13" s="451">
        <v>2</v>
      </c>
      <c r="AI13" s="451">
        <v>3</v>
      </c>
      <c r="AJ13" s="451">
        <v>1</v>
      </c>
      <c r="AK13" s="451">
        <v>2</v>
      </c>
      <c r="AL13" s="2" t="s">
        <v>2205</v>
      </c>
      <c r="AM13" s="458" t="s">
        <v>2204</v>
      </c>
      <c r="AN13" s="458" t="s">
        <v>2262</v>
      </c>
      <c r="AO13" s="451">
        <v>6</v>
      </c>
      <c r="AP13" s="451">
        <v>12</v>
      </c>
      <c r="AQ13" s="451">
        <v>2</v>
      </c>
      <c r="AR13" s="451">
        <v>4</v>
      </c>
      <c r="AS13" s="451">
        <v>1</v>
      </c>
      <c r="AT13" s="451">
        <v>2</v>
      </c>
      <c r="AU13" s="445">
        <v>7</v>
      </c>
      <c r="AV13" s="445" t="str">
        <f t="shared" si="0"/>
        <v>Vàng:800</v>
      </c>
      <c r="AW13" s="440">
        <v>80</v>
      </c>
      <c r="AX13" s="450">
        <v>1</v>
      </c>
      <c r="AY13" s="450">
        <v>1</v>
      </c>
      <c r="AZ13" s="450">
        <v>7</v>
      </c>
      <c r="BA13" s="31">
        <v>800</v>
      </c>
      <c r="BC13" s="31">
        <f t="shared" si="1"/>
        <v>4000</v>
      </c>
    </row>
    <row r="14" spans="1:55" x14ac:dyDescent="0.25">
      <c r="A14" s="28" t="s">
        <v>2199</v>
      </c>
      <c r="B14" s="465">
        <v>12</v>
      </c>
      <c r="C14" s="13">
        <v>4</v>
      </c>
      <c r="D14" s="4">
        <v>5</v>
      </c>
      <c r="E14" s="445">
        <v>600</v>
      </c>
      <c r="F14" s="13">
        <v>2</v>
      </c>
      <c r="G14" s="13">
        <v>4</v>
      </c>
      <c r="H14" s="13">
        <v>5</v>
      </c>
      <c r="I14" s="455" t="s">
        <v>2206</v>
      </c>
      <c r="J14" s="451">
        <v>5</v>
      </c>
      <c r="K14" s="445">
        <v>100</v>
      </c>
      <c r="L14" s="456">
        <v>0</v>
      </c>
      <c r="M14" s="445">
        <v>1</v>
      </c>
      <c r="N14" s="13">
        <v>1</v>
      </c>
      <c r="O14" s="446">
        <v>35</v>
      </c>
      <c r="P14" s="445">
        <v>65</v>
      </c>
      <c r="Q14" s="23">
        <v>2</v>
      </c>
      <c r="R14" s="23">
        <v>2</v>
      </c>
      <c r="S14" s="445">
        <v>60</v>
      </c>
      <c r="T14" s="445">
        <f t="shared" si="3"/>
        <v>40</v>
      </c>
      <c r="U14" s="447">
        <v>1</v>
      </c>
      <c r="V14" s="448">
        <v>1.7</v>
      </c>
      <c r="W14" s="449">
        <v>1.9333333333333333</v>
      </c>
      <c r="X14" s="448">
        <v>3.24</v>
      </c>
      <c r="Y14" s="448">
        <v>2.48</v>
      </c>
      <c r="Z14" s="448">
        <v>2</v>
      </c>
      <c r="AA14" s="448">
        <v>5.9279999999999999</v>
      </c>
      <c r="AB14" s="448">
        <v>1.4</v>
      </c>
      <c r="AC14" s="445">
        <v>60000</v>
      </c>
      <c r="AD14" s="450">
        <v>200</v>
      </c>
      <c r="AE14" s="451">
        <f t="shared" ref="AE14:AE32" si="4">45*60</f>
        <v>2700</v>
      </c>
      <c r="AF14" s="445">
        <v>500</v>
      </c>
      <c r="AG14" s="447">
        <v>1.17</v>
      </c>
      <c r="AH14" s="451">
        <v>2</v>
      </c>
      <c r="AI14" s="451">
        <v>3</v>
      </c>
      <c r="AJ14" s="451">
        <v>1</v>
      </c>
      <c r="AK14" s="451">
        <v>2</v>
      </c>
      <c r="AL14" s="2" t="s">
        <v>2207</v>
      </c>
      <c r="AM14" s="458" t="s">
        <v>2204</v>
      </c>
      <c r="AN14" s="458" t="s">
        <v>2262</v>
      </c>
      <c r="AO14" s="451">
        <v>6</v>
      </c>
      <c r="AP14" s="451">
        <v>12</v>
      </c>
      <c r="AQ14" s="451">
        <v>2</v>
      </c>
      <c r="AR14" s="451">
        <v>4</v>
      </c>
      <c r="AS14" s="451">
        <v>1</v>
      </c>
      <c r="AT14" s="451">
        <v>2</v>
      </c>
      <c r="AU14" s="445">
        <v>7</v>
      </c>
      <c r="AV14" s="445" t="str">
        <f t="shared" si="0"/>
        <v>Vàng:900</v>
      </c>
      <c r="AW14" s="440">
        <v>80</v>
      </c>
      <c r="AX14" s="450">
        <v>1</v>
      </c>
      <c r="AY14" s="450">
        <v>1</v>
      </c>
      <c r="AZ14" s="450">
        <v>8</v>
      </c>
      <c r="BA14" s="31">
        <v>900</v>
      </c>
      <c r="BC14" s="31">
        <f t="shared" si="1"/>
        <v>4500</v>
      </c>
    </row>
    <row r="15" spans="1:55" ht="14.25" customHeight="1" x14ac:dyDescent="0.25">
      <c r="A15" s="28" t="s">
        <v>2199</v>
      </c>
      <c r="B15" s="466">
        <v>13</v>
      </c>
      <c r="C15" s="13">
        <v>4</v>
      </c>
      <c r="D15" s="4">
        <v>6</v>
      </c>
      <c r="E15" s="445">
        <v>600</v>
      </c>
      <c r="F15" s="13">
        <v>2</v>
      </c>
      <c r="G15" s="13">
        <v>4</v>
      </c>
      <c r="H15" s="13">
        <v>5</v>
      </c>
      <c r="I15" s="455" t="s">
        <v>2206</v>
      </c>
      <c r="J15" s="451">
        <v>5</v>
      </c>
      <c r="K15" s="445">
        <v>100</v>
      </c>
      <c r="L15" s="456">
        <v>0</v>
      </c>
      <c r="M15" s="445">
        <v>1</v>
      </c>
      <c r="N15" s="13">
        <v>1</v>
      </c>
      <c r="O15" s="446">
        <v>35</v>
      </c>
      <c r="P15" s="445">
        <v>65</v>
      </c>
      <c r="Q15" s="23">
        <v>3</v>
      </c>
      <c r="R15" s="23">
        <v>2</v>
      </c>
      <c r="S15" s="445">
        <v>60</v>
      </c>
      <c r="T15" s="445">
        <f t="shared" si="3"/>
        <v>40</v>
      </c>
      <c r="U15" s="447">
        <v>1</v>
      </c>
      <c r="V15" s="448">
        <v>1.7</v>
      </c>
      <c r="W15" s="449">
        <v>1.9000000000000001</v>
      </c>
      <c r="X15" s="448">
        <v>3.06</v>
      </c>
      <c r="Y15" s="448">
        <v>2.52</v>
      </c>
      <c r="Z15" s="448">
        <v>2</v>
      </c>
      <c r="AA15" s="448">
        <v>5.8239999999999998</v>
      </c>
      <c r="AB15" s="448">
        <v>1.4</v>
      </c>
      <c r="AC15" s="445">
        <v>65000</v>
      </c>
      <c r="AD15" s="450">
        <v>200</v>
      </c>
      <c r="AE15" s="451">
        <f t="shared" si="4"/>
        <v>2700</v>
      </c>
      <c r="AF15" s="445">
        <v>500</v>
      </c>
      <c r="AG15" s="447">
        <v>1.17</v>
      </c>
      <c r="AH15" s="451">
        <v>2</v>
      </c>
      <c r="AI15" s="451">
        <v>3</v>
      </c>
      <c r="AJ15" s="451">
        <v>1</v>
      </c>
      <c r="AK15" s="451">
        <v>2</v>
      </c>
      <c r="AL15" s="2" t="s">
        <v>2207</v>
      </c>
      <c r="AM15" s="458" t="s">
        <v>2204</v>
      </c>
      <c r="AN15" s="458" t="s">
        <v>2262</v>
      </c>
      <c r="AO15" s="451">
        <v>6</v>
      </c>
      <c r="AP15" s="451">
        <v>12</v>
      </c>
      <c r="AQ15" s="451">
        <v>2</v>
      </c>
      <c r="AR15" s="451">
        <v>4</v>
      </c>
      <c r="AS15" s="451">
        <v>1</v>
      </c>
      <c r="AT15" s="451">
        <v>2</v>
      </c>
      <c r="AU15" s="445">
        <v>7</v>
      </c>
      <c r="AV15" s="445" t="str">
        <f t="shared" si="0"/>
        <v>Vàng:1000</v>
      </c>
      <c r="AW15" s="440">
        <v>80</v>
      </c>
      <c r="AX15" s="450">
        <v>1</v>
      </c>
      <c r="AY15" s="450">
        <v>1</v>
      </c>
      <c r="AZ15" s="450">
        <v>9</v>
      </c>
      <c r="BA15" s="31">
        <v>1000</v>
      </c>
      <c r="BC15" s="31">
        <f t="shared" si="1"/>
        <v>5000</v>
      </c>
    </row>
    <row r="16" spans="1:55" x14ac:dyDescent="0.25">
      <c r="A16" s="28" t="s">
        <v>2199</v>
      </c>
      <c r="B16" s="465">
        <v>14</v>
      </c>
      <c r="C16" s="13">
        <v>4</v>
      </c>
      <c r="D16" s="4">
        <v>6</v>
      </c>
      <c r="E16" s="445">
        <v>600</v>
      </c>
      <c r="F16" s="13">
        <v>2</v>
      </c>
      <c r="G16" s="13">
        <v>4</v>
      </c>
      <c r="H16" s="13">
        <v>5</v>
      </c>
      <c r="I16" s="455" t="s">
        <v>2206</v>
      </c>
      <c r="J16" s="451">
        <v>5</v>
      </c>
      <c r="K16" s="445">
        <v>100</v>
      </c>
      <c r="L16" s="456">
        <v>0</v>
      </c>
      <c r="M16" s="445">
        <v>1</v>
      </c>
      <c r="N16" s="13">
        <v>1</v>
      </c>
      <c r="O16" s="446">
        <v>35</v>
      </c>
      <c r="P16" s="445">
        <v>65</v>
      </c>
      <c r="Q16" s="23">
        <v>3</v>
      </c>
      <c r="R16" s="23">
        <v>2</v>
      </c>
      <c r="S16" s="445">
        <v>60</v>
      </c>
      <c r="T16" s="445">
        <f t="shared" si="3"/>
        <v>40</v>
      </c>
      <c r="U16" s="447">
        <v>1</v>
      </c>
      <c r="V16" s="448">
        <v>1.7</v>
      </c>
      <c r="W16" s="449">
        <v>1.8666666666666665</v>
      </c>
      <c r="X16" s="448">
        <v>2.8800000000000003</v>
      </c>
      <c r="Y16" s="448">
        <v>2.56</v>
      </c>
      <c r="Z16" s="448">
        <v>2</v>
      </c>
      <c r="AA16" s="448">
        <v>5.7200000000000006</v>
      </c>
      <c r="AB16" s="448">
        <v>1.4</v>
      </c>
      <c r="AC16" s="445">
        <v>70000</v>
      </c>
      <c r="AD16" s="450">
        <v>200</v>
      </c>
      <c r="AE16" s="451">
        <f t="shared" si="4"/>
        <v>2700</v>
      </c>
      <c r="AF16" s="445">
        <v>500</v>
      </c>
      <c r="AG16" s="447">
        <v>1.17</v>
      </c>
      <c r="AH16" s="451">
        <v>2</v>
      </c>
      <c r="AI16" s="451">
        <v>3</v>
      </c>
      <c r="AJ16" s="451">
        <v>1</v>
      </c>
      <c r="AK16" s="451">
        <v>2</v>
      </c>
      <c r="AL16" s="2" t="s">
        <v>2207</v>
      </c>
      <c r="AM16" s="458" t="s">
        <v>2204</v>
      </c>
      <c r="AN16" s="458" t="s">
        <v>2262</v>
      </c>
      <c r="AO16" s="451">
        <v>6</v>
      </c>
      <c r="AP16" s="451">
        <v>12</v>
      </c>
      <c r="AQ16" s="451">
        <v>2</v>
      </c>
      <c r="AR16" s="451">
        <v>4</v>
      </c>
      <c r="AS16" s="451">
        <v>1</v>
      </c>
      <c r="AT16" s="451">
        <v>2</v>
      </c>
      <c r="AU16" s="445">
        <v>7</v>
      </c>
      <c r="AV16" s="445" t="str">
        <f t="shared" si="0"/>
        <v>Vàng:1100</v>
      </c>
      <c r="AW16" s="440">
        <v>80</v>
      </c>
      <c r="AX16" s="450">
        <v>1</v>
      </c>
      <c r="AY16" s="450">
        <v>1</v>
      </c>
      <c r="AZ16" s="450">
        <v>10</v>
      </c>
      <c r="BA16" s="31">
        <v>1100</v>
      </c>
      <c r="BC16" s="31">
        <f t="shared" si="1"/>
        <v>5500</v>
      </c>
    </row>
    <row r="17" spans="1:55" x14ac:dyDescent="0.25">
      <c r="A17" s="28" t="s">
        <v>2199</v>
      </c>
      <c r="B17" s="466">
        <v>15</v>
      </c>
      <c r="C17" s="13">
        <v>4</v>
      </c>
      <c r="D17" s="4">
        <v>6</v>
      </c>
      <c r="E17" s="445">
        <v>900</v>
      </c>
      <c r="F17" s="13">
        <v>2</v>
      </c>
      <c r="G17" s="13">
        <v>4</v>
      </c>
      <c r="H17" s="13">
        <v>8</v>
      </c>
      <c r="I17" s="455" t="s">
        <v>2209</v>
      </c>
      <c r="J17" s="451">
        <v>5</v>
      </c>
      <c r="K17" s="445">
        <v>100</v>
      </c>
      <c r="L17" s="456">
        <v>0</v>
      </c>
      <c r="M17" s="445">
        <v>2</v>
      </c>
      <c r="N17" s="13">
        <v>2</v>
      </c>
      <c r="O17" s="446">
        <v>30</v>
      </c>
      <c r="P17" s="445">
        <v>70</v>
      </c>
      <c r="Q17" s="23">
        <v>3</v>
      </c>
      <c r="R17" s="23">
        <v>2</v>
      </c>
      <c r="S17" s="445">
        <v>55</v>
      </c>
      <c r="T17" s="445">
        <f t="shared" si="3"/>
        <v>45</v>
      </c>
      <c r="U17" s="447">
        <v>1</v>
      </c>
      <c r="V17" s="448">
        <v>1.7</v>
      </c>
      <c r="W17" s="449">
        <v>1.8333333333333333</v>
      </c>
      <c r="X17" s="448">
        <v>2.7</v>
      </c>
      <c r="Y17" s="448">
        <v>2.6</v>
      </c>
      <c r="Z17" s="448">
        <v>2</v>
      </c>
      <c r="AA17" s="457">
        <v>5.6160000000000005</v>
      </c>
      <c r="AB17" s="448">
        <v>1.4</v>
      </c>
      <c r="AC17" s="445">
        <v>75000</v>
      </c>
      <c r="AD17" s="450">
        <v>200</v>
      </c>
      <c r="AE17" s="451">
        <f t="shared" si="4"/>
        <v>2700</v>
      </c>
      <c r="AF17" s="445">
        <v>500</v>
      </c>
      <c r="AG17" s="447">
        <v>1.17</v>
      </c>
      <c r="AH17" s="451">
        <v>2</v>
      </c>
      <c r="AI17" s="451">
        <v>3</v>
      </c>
      <c r="AJ17" s="451">
        <v>1</v>
      </c>
      <c r="AK17" s="451">
        <v>2</v>
      </c>
      <c r="AL17" s="2" t="s">
        <v>2210</v>
      </c>
      <c r="AM17" s="458" t="s">
        <v>2204</v>
      </c>
      <c r="AN17" s="458" t="s">
        <v>2264</v>
      </c>
      <c r="AO17" s="451">
        <v>6</v>
      </c>
      <c r="AP17" s="451">
        <v>12</v>
      </c>
      <c r="AQ17" s="451">
        <v>2</v>
      </c>
      <c r="AR17" s="451">
        <v>4</v>
      </c>
      <c r="AS17" s="451">
        <v>1</v>
      </c>
      <c r="AT17" s="451">
        <v>2</v>
      </c>
      <c r="AU17" s="445">
        <v>7</v>
      </c>
      <c r="AV17" s="445" t="str">
        <f t="shared" si="0"/>
        <v>Vàng:1200</v>
      </c>
      <c r="AW17" s="440">
        <v>80</v>
      </c>
      <c r="AX17" s="450">
        <v>1</v>
      </c>
      <c r="AY17" s="450">
        <v>1</v>
      </c>
      <c r="AZ17" s="450">
        <v>11</v>
      </c>
      <c r="BA17" s="31">
        <v>1200</v>
      </c>
      <c r="BC17" s="31">
        <f t="shared" si="1"/>
        <v>6000</v>
      </c>
    </row>
    <row r="18" spans="1:55" x14ac:dyDescent="0.25">
      <c r="A18" s="28" t="s">
        <v>2199</v>
      </c>
      <c r="B18" s="465">
        <v>16</v>
      </c>
      <c r="C18" s="13">
        <v>4</v>
      </c>
      <c r="D18" s="4">
        <v>6</v>
      </c>
      <c r="E18" s="445">
        <v>900</v>
      </c>
      <c r="F18" s="13">
        <v>2</v>
      </c>
      <c r="G18" s="13">
        <v>4</v>
      </c>
      <c r="H18" s="13">
        <v>8</v>
      </c>
      <c r="I18" s="455" t="s">
        <v>2209</v>
      </c>
      <c r="J18" s="451">
        <v>5</v>
      </c>
      <c r="K18" s="445">
        <v>100</v>
      </c>
      <c r="L18" s="456">
        <v>0</v>
      </c>
      <c r="M18" s="445">
        <v>2</v>
      </c>
      <c r="N18" s="13">
        <v>2</v>
      </c>
      <c r="O18" s="446">
        <v>30</v>
      </c>
      <c r="P18" s="445">
        <v>70</v>
      </c>
      <c r="Q18" s="23">
        <v>3</v>
      </c>
      <c r="R18" s="23">
        <v>3</v>
      </c>
      <c r="S18" s="445">
        <v>55</v>
      </c>
      <c r="T18" s="445">
        <f t="shared" si="3"/>
        <v>45</v>
      </c>
      <c r="U18" s="447">
        <v>1</v>
      </c>
      <c r="V18" s="448">
        <v>1.7</v>
      </c>
      <c r="W18" s="449">
        <v>1.8</v>
      </c>
      <c r="X18" s="448">
        <v>2.7</v>
      </c>
      <c r="Y18" s="448">
        <v>2.6399999999999997</v>
      </c>
      <c r="Z18" s="448">
        <v>2</v>
      </c>
      <c r="AA18" s="448">
        <v>5.5119999999999996</v>
      </c>
      <c r="AB18" s="448">
        <v>1.4</v>
      </c>
      <c r="AC18" s="445">
        <v>80000</v>
      </c>
      <c r="AD18" s="450">
        <v>200</v>
      </c>
      <c r="AE18" s="451">
        <f t="shared" si="4"/>
        <v>2700</v>
      </c>
      <c r="AF18" s="445">
        <v>500</v>
      </c>
      <c r="AG18" s="447">
        <v>1.17</v>
      </c>
      <c r="AH18" s="451">
        <v>2</v>
      </c>
      <c r="AI18" s="451">
        <v>3</v>
      </c>
      <c r="AJ18" s="451">
        <v>2</v>
      </c>
      <c r="AK18" s="451">
        <v>2</v>
      </c>
      <c r="AL18" s="2" t="s">
        <v>2210</v>
      </c>
      <c r="AM18" s="458" t="s">
        <v>2204</v>
      </c>
      <c r="AN18" s="458" t="s">
        <v>2264</v>
      </c>
      <c r="AO18" s="451">
        <v>6</v>
      </c>
      <c r="AP18" s="451">
        <v>12</v>
      </c>
      <c r="AQ18" s="451">
        <v>3</v>
      </c>
      <c r="AR18" s="451">
        <v>4</v>
      </c>
      <c r="AS18" s="451">
        <v>2</v>
      </c>
      <c r="AT18" s="451">
        <v>2</v>
      </c>
      <c r="AU18" s="445">
        <v>7</v>
      </c>
      <c r="AV18" s="445" t="str">
        <f t="shared" si="0"/>
        <v>Vàng:1300</v>
      </c>
      <c r="AW18" s="440">
        <v>80</v>
      </c>
      <c r="AX18" s="450">
        <v>1</v>
      </c>
      <c r="AY18" s="450">
        <v>1</v>
      </c>
      <c r="AZ18" s="450">
        <v>12</v>
      </c>
      <c r="BA18" s="31">
        <v>1300</v>
      </c>
      <c r="BC18" s="31">
        <f t="shared" si="1"/>
        <v>6500</v>
      </c>
    </row>
    <row r="19" spans="1:55" x14ac:dyDescent="0.25">
      <c r="A19" s="28" t="s">
        <v>2199</v>
      </c>
      <c r="B19" s="466">
        <v>17</v>
      </c>
      <c r="C19" s="13">
        <v>4</v>
      </c>
      <c r="D19" s="4">
        <v>6</v>
      </c>
      <c r="E19" s="445">
        <v>900</v>
      </c>
      <c r="F19" s="13">
        <v>2</v>
      </c>
      <c r="G19" s="13">
        <v>5</v>
      </c>
      <c r="H19" s="13">
        <v>8</v>
      </c>
      <c r="I19" s="455" t="s">
        <v>2209</v>
      </c>
      <c r="J19" s="451">
        <v>5</v>
      </c>
      <c r="K19" s="445">
        <v>100</v>
      </c>
      <c r="L19" s="456">
        <v>0</v>
      </c>
      <c r="M19" s="445">
        <v>2</v>
      </c>
      <c r="N19" s="13">
        <v>2</v>
      </c>
      <c r="O19" s="446">
        <v>30</v>
      </c>
      <c r="P19" s="445">
        <v>70</v>
      </c>
      <c r="Q19" s="23">
        <v>3</v>
      </c>
      <c r="R19" s="23">
        <v>3</v>
      </c>
      <c r="S19" s="445">
        <v>55</v>
      </c>
      <c r="T19" s="445">
        <f t="shared" si="3"/>
        <v>45</v>
      </c>
      <c r="U19" s="447">
        <v>1</v>
      </c>
      <c r="V19" s="448">
        <v>1.7</v>
      </c>
      <c r="W19" s="449">
        <v>1.7666666666666666</v>
      </c>
      <c r="X19" s="448">
        <v>2.7</v>
      </c>
      <c r="Y19" s="448">
        <v>2.68</v>
      </c>
      <c r="Z19" s="448">
        <v>2</v>
      </c>
      <c r="AA19" s="448">
        <v>5.3040000000000003</v>
      </c>
      <c r="AB19" s="448">
        <v>1.4</v>
      </c>
      <c r="AC19" s="445">
        <v>85000</v>
      </c>
      <c r="AD19" s="450">
        <v>200</v>
      </c>
      <c r="AE19" s="451">
        <f t="shared" si="4"/>
        <v>2700</v>
      </c>
      <c r="AF19" s="445">
        <v>500</v>
      </c>
      <c r="AG19" s="447">
        <v>1.17</v>
      </c>
      <c r="AH19" s="451">
        <v>2</v>
      </c>
      <c r="AI19" s="451">
        <v>3</v>
      </c>
      <c r="AJ19" s="451">
        <v>2</v>
      </c>
      <c r="AK19" s="451">
        <v>2</v>
      </c>
      <c r="AL19" s="2" t="s">
        <v>2211</v>
      </c>
      <c r="AM19" s="458" t="s">
        <v>2204</v>
      </c>
      <c r="AN19" s="458" t="s">
        <v>2264</v>
      </c>
      <c r="AO19" s="451">
        <v>6</v>
      </c>
      <c r="AP19" s="451">
        <v>12</v>
      </c>
      <c r="AQ19" s="451">
        <v>3</v>
      </c>
      <c r="AR19" s="451">
        <v>4</v>
      </c>
      <c r="AS19" s="451">
        <v>2</v>
      </c>
      <c r="AT19" s="451">
        <v>2</v>
      </c>
      <c r="AU19" s="445">
        <v>7</v>
      </c>
      <c r="AV19" s="445" t="str">
        <f t="shared" si="0"/>
        <v>Vàng:1400</v>
      </c>
      <c r="AW19" s="440">
        <v>80</v>
      </c>
      <c r="AX19" s="450">
        <v>1</v>
      </c>
      <c r="AY19" s="450">
        <v>1</v>
      </c>
      <c r="AZ19" s="450">
        <v>13</v>
      </c>
      <c r="BA19" s="31">
        <v>1400</v>
      </c>
      <c r="BC19" s="31">
        <f t="shared" si="1"/>
        <v>7000</v>
      </c>
    </row>
    <row r="20" spans="1:55" x14ac:dyDescent="0.25">
      <c r="A20" s="28" t="s">
        <v>2199</v>
      </c>
      <c r="B20" s="465">
        <v>18</v>
      </c>
      <c r="C20" s="13">
        <v>4</v>
      </c>
      <c r="D20" s="4">
        <v>6</v>
      </c>
      <c r="E20" s="445">
        <v>900</v>
      </c>
      <c r="F20" s="13">
        <v>2</v>
      </c>
      <c r="G20" s="13">
        <v>5</v>
      </c>
      <c r="H20" s="13">
        <v>8</v>
      </c>
      <c r="I20" s="455" t="s">
        <v>2209</v>
      </c>
      <c r="J20" s="451">
        <v>5</v>
      </c>
      <c r="K20" s="445">
        <v>100</v>
      </c>
      <c r="L20" s="456">
        <v>0</v>
      </c>
      <c r="M20" s="445">
        <v>2</v>
      </c>
      <c r="N20" s="13">
        <v>2</v>
      </c>
      <c r="O20" s="446">
        <v>30</v>
      </c>
      <c r="P20" s="445">
        <v>70</v>
      </c>
      <c r="Q20" s="23">
        <v>4</v>
      </c>
      <c r="R20" s="23">
        <v>3</v>
      </c>
      <c r="S20" s="445">
        <v>55</v>
      </c>
      <c r="T20" s="445">
        <f t="shared" si="3"/>
        <v>45</v>
      </c>
      <c r="U20" s="447">
        <v>1</v>
      </c>
      <c r="V20" s="448">
        <v>1.7</v>
      </c>
      <c r="W20" s="449">
        <v>1.8</v>
      </c>
      <c r="X20" s="448">
        <v>2.7</v>
      </c>
      <c r="Y20" s="448">
        <v>2.7199999999999998</v>
      </c>
      <c r="Z20" s="448">
        <v>2</v>
      </c>
      <c r="AA20" s="457">
        <v>5.096000000000001</v>
      </c>
      <c r="AB20" s="457">
        <v>1.26</v>
      </c>
      <c r="AC20" s="445">
        <v>90000</v>
      </c>
      <c r="AD20" s="450">
        <v>200</v>
      </c>
      <c r="AE20" s="451">
        <f t="shared" si="4"/>
        <v>2700</v>
      </c>
      <c r="AF20" s="445">
        <v>500</v>
      </c>
      <c r="AG20" s="447">
        <v>1.17</v>
      </c>
      <c r="AH20" s="451">
        <v>2</v>
      </c>
      <c r="AI20" s="451">
        <v>3</v>
      </c>
      <c r="AJ20" s="451">
        <v>2</v>
      </c>
      <c r="AK20" s="451">
        <v>2</v>
      </c>
      <c r="AL20" s="2" t="s">
        <v>2211</v>
      </c>
      <c r="AM20" s="458" t="s">
        <v>2204</v>
      </c>
      <c r="AN20" s="458" t="s">
        <v>2264</v>
      </c>
      <c r="AO20" s="451">
        <v>6</v>
      </c>
      <c r="AP20" s="451">
        <v>12</v>
      </c>
      <c r="AQ20" s="451">
        <v>3</v>
      </c>
      <c r="AR20" s="451">
        <v>4</v>
      </c>
      <c r="AS20" s="451">
        <v>2</v>
      </c>
      <c r="AT20" s="451">
        <v>2</v>
      </c>
      <c r="AU20" s="445">
        <v>7</v>
      </c>
      <c r="AV20" s="445" t="str">
        <f t="shared" si="0"/>
        <v>Vàng:1500</v>
      </c>
      <c r="AW20" s="440">
        <v>80</v>
      </c>
      <c r="AX20" s="450">
        <v>1</v>
      </c>
      <c r="AY20" s="450">
        <v>1</v>
      </c>
      <c r="AZ20" s="450">
        <v>14</v>
      </c>
      <c r="BA20" s="31">
        <v>1500</v>
      </c>
      <c r="BC20" s="31">
        <f t="shared" si="1"/>
        <v>7500</v>
      </c>
    </row>
    <row r="21" spans="1:55" x14ac:dyDescent="0.25">
      <c r="A21" s="28" t="s">
        <v>2199</v>
      </c>
      <c r="B21" s="466">
        <v>19</v>
      </c>
      <c r="C21" s="13">
        <v>4</v>
      </c>
      <c r="D21" s="4">
        <v>6</v>
      </c>
      <c r="E21" s="445">
        <v>900</v>
      </c>
      <c r="F21" s="13">
        <v>2</v>
      </c>
      <c r="G21" s="13">
        <v>5</v>
      </c>
      <c r="H21" s="13">
        <v>8</v>
      </c>
      <c r="I21" s="455" t="s">
        <v>2209</v>
      </c>
      <c r="J21" s="451">
        <v>5</v>
      </c>
      <c r="K21" s="445">
        <v>100</v>
      </c>
      <c r="L21" s="456">
        <v>0</v>
      </c>
      <c r="M21" s="445">
        <v>2</v>
      </c>
      <c r="N21" s="13">
        <v>2</v>
      </c>
      <c r="O21" s="446">
        <v>30</v>
      </c>
      <c r="P21" s="445">
        <v>70</v>
      </c>
      <c r="Q21" s="23">
        <v>4</v>
      </c>
      <c r="R21" s="23">
        <v>3</v>
      </c>
      <c r="S21" s="445">
        <v>55</v>
      </c>
      <c r="T21" s="445">
        <f t="shared" si="3"/>
        <v>45</v>
      </c>
      <c r="U21" s="447">
        <v>1</v>
      </c>
      <c r="V21" s="448">
        <v>1.7</v>
      </c>
      <c r="W21" s="449">
        <v>1.8333333333333333</v>
      </c>
      <c r="X21" s="448">
        <v>2.7</v>
      </c>
      <c r="Y21" s="448">
        <v>2.7600000000000002</v>
      </c>
      <c r="Z21" s="448">
        <v>2</v>
      </c>
      <c r="AA21" s="448">
        <v>5.096000000000001</v>
      </c>
      <c r="AB21" s="448">
        <v>1.26</v>
      </c>
      <c r="AC21" s="445">
        <v>95000</v>
      </c>
      <c r="AD21" s="450">
        <v>200</v>
      </c>
      <c r="AE21" s="451">
        <f t="shared" si="4"/>
        <v>2700</v>
      </c>
      <c r="AF21" s="445">
        <v>500</v>
      </c>
      <c r="AG21" s="447">
        <v>1.17</v>
      </c>
      <c r="AH21" s="451">
        <v>2</v>
      </c>
      <c r="AI21" s="451">
        <v>3</v>
      </c>
      <c r="AJ21" s="451">
        <v>2</v>
      </c>
      <c r="AK21" s="451">
        <v>2</v>
      </c>
      <c r="AL21" s="2" t="s">
        <v>2211</v>
      </c>
      <c r="AM21" s="458" t="s">
        <v>2204</v>
      </c>
      <c r="AN21" s="458" t="s">
        <v>2264</v>
      </c>
      <c r="AO21" s="451">
        <v>6</v>
      </c>
      <c r="AP21" s="451">
        <v>12</v>
      </c>
      <c r="AQ21" s="451">
        <v>3</v>
      </c>
      <c r="AR21" s="451">
        <v>4</v>
      </c>
      <c r="AS21" s="451">
        <v>2</v>
      </c>
      <c r="AT21" s="451">
        <v>2</v>
      </c>
      <c r="AU21" s="445">
        <v>7</v>
      </c>
      <c r="AV21" s="445" t="str">
        <f t="shared" si="0"/>
        <v>Vàng:1600</v>
      </c>
      <c r="AW21" s="440">
        <v>80</v>
      </c>
      <c r="AX21" s="450">
        <v>1</v>
      </c>
      <c r="AY21" s="450">
        <v>1</v>
      </c>
      <c r="AZ21" s="450">
        <v>15</v>
      </c>
      <c r="BA21" s="31">
        <v>1600</v>
      </c>
      <c r="BC21" s="31">
        <f t="shared" si="1"/>
        <v>8000</v>
      </c>
    </row>
    <row r="22" spans="1:55" x14ac:dyDescent="0.25">
      <c r="A22" s="28" t="s">
        <v>2199</v>
      </c>
      <c r="B22" s="465">
        <v>20</v>
      </c>
      <c r="C22" s="13">
        <v>4</v>
      </c>
      <c r="D22" s="4">
        <v>7</v>
      </c>
      <c r="E22" s="445">
        <v>1200</v>
      </c>
      <c r="F22" s="13">
        <v>3</v>
      </c>
      <c r="G22" s="13">
        <v>5</v>
      </c>
      <c r="H22" s="13">
        <v>10</v>
      </c>
      <c r="I22" s="455" t="s">
        <v>2213</v>
      </c>
      <c r="J22" s="451">
        <v>5</v>
      </c>
      <c r="K22" s="445">
        <v>100</v>
      </c>
      <c r="L22" s="456">
        <v>0</v>
      </c>
      <c r="M22" s="445">
        <v>2</v>
      </c>
      <c r="N22" s="13">
        <v>2</v>
      </c>
      <c r="O22" s="446">
        <v>30</v>
      </c>
      <c r="P22" s="445">
        <v>70</v>
      </c>
      <c r="Q22" s="23">
        <v>4</v>
      </c>
      <c r="R22" s="23">
        <v>4</v>
      </c>
      <c r="S22" s="445">
        <v>50</v>
      </c>
      <c r="T22" s="445">
        <f t="shared" si="3"/>
        <v>50</v>
      </c>
      <c r="U22" s="447">
        <v>1</v>
      </c>
      <c r="V22" s="448">
        <v>1.7</v>
      </c>
      <c r="W22" s="449">
        <v>1.8666666666666665</v>
      </c>
      <c r="X22" s="448">
        <v>2.7</v>
      </c>
      <c r="Y22" s="448">
        <v>2.8</v>
      </c>
      <c r="Z22" s="448">
        <v>2</v>
      </c>
      <c r="AA22" s="448">
        <v>5.096000000000001</v>
      </c>
      <c r="AB22" s="448">
        <v>1.26</v>
      </c>
      <c r="AC22" s="445">
        <v>100000</v>
      </c>
      <c r="AD22" s="450">
        <v>250</v>
      </c>
      <c r="AE22" s="451">
        <f t="shared" si="4"/>
        <v>2700</v>
      </c>
      <c r="AF22" s="445">
        <v>500</v>
      </c>
      <c r="AG22" s="447">
        <v>1.17</v>
      </c>
      <c r="AH22" s="451">
        <v>2</v>
      </c>
      <c r="AI22" s="451">
        <v>3</v>
      </c>
      <c r="AJ22" s="451">
        <v>2</v>
      </c>
      <c r="AK22" s="451">
        <v>2</v>
      </c>
      <c r="AL22" s="2" t="s">
        <v>2214</v>
      </c>
      <c r="AM22" s="2" t="s">
        <v>2212</v>
      </c>
      <c r="AN22" s="458" t="s">
        <v>2264</v>
      </c>
      <c r="AO22" s="451">
        <v>6</v>
      </c>
      <c r="AP22" s="451">
        <v>12</v>
      </c>
      <c r="AQ22" s="451">
        <v>3</v>
      </c>
      <c r="AR22" s="451">
        <v>5</v>
      </c>
      <c r="AS22" s="451">
        <v>2</v>
      </c>
      <c r="AT22" s="451">
        <v>2</v>
      </c>
      <c r="AU22" s="445">
        <v>7</v>
      </c>
      <c r="AV22" s="445" t="str">
        <f t="shared" si="0"/>
        <v>Vàng:1700</v>
      </c>
      <c r="AW22" s="440">
        <v>80</v>
      </c>
      <c r="AX22" s="450">
        <v>2</v>
      </c>
      <c r="AY22" s="450">
        <v>1</v>
      </c>
      <c r="AZ22" s="450">
        <v>16</v>
      </c>
      <c r="BA22" s="31">
        <v>1700</v>
      </c>
      <c r="BC22" s="31">
        <f t="shared" si="1"/>
        <v>8500</v>
      </c>
    </row>
    <row r="23" spans="1:55" x14ac:dyDescent="0.25">
      <c r="A23" s="28" t="s">
        <v>2199</v>
      </c>
      <c r="B23" s="466">
        <v>21</v>
      </c>
      <c r="C23" s="13">
        <v>4</v>
      </c>
      <c r="D23" s="4">
        <v>7</v>
      </c>
      <c r="E23" s="445">
        <v>1200</v>
      </c>
      <c r="F23" s="13">
        <v>3</v>
      </c>
      <c r="G23" s="13">
        <v>5</v>
      </c>
      <c r="H23" s="13">
        <v>10</v>
      </c>
      <c r="I23" s="455" t="s">
        <v>2213</v>
      </c>
      <c r="J23" s="451">
        <v>3</v>
      </c>
      <c r="K23" s="445">
        <v>100</v>
      </c>
      <c r="L23" s="456">
        <v>0</v>
      </c>
      <c r="M23" s="445">
        <v>2</v>
      </c>
      <c r="N23" s="13">
        <v>2</v>
      </c>
      <c r="O23" s="446">
        <v>30</v>
      </c>
      <c r="P23" s="445">
        <v>70</v>
      </c>
      <c r="Q23" s="23">
        <v>4</v>
      </c>
      <c r="R23" s="23">
        <v>4</v>
      </c>
      <c r="S23" s="445">
        <v>50</v>
      </c>
      <c r="T23" s="445">
        <f t="shared" si="3"/>
        <v>50</v>
      </c>
      <c r="U23" s="447">
        <v>0.9</v>
      </c>
      <c r="V23" s="448">
        <v>1.87</v>
      </c>
      <c r="W23" s="449">
        <v>1.9000000000000001</v>
      </c>
      <c r="X23" s="448">
        <v>2.7</v>
      </c>
      <c r="Y23" s="448">
        <v>2.84</v>
      </c>
      <c r="Z23" s="448">
        <v>2</v>
      </c>
      <c r="AA23" s="448">
        <v>4.992</v>
      </c>
      <c r="AB23" s="448">
        <v>1.26</v>
      </c>
      <c r="AC23" s="445">
        <v>105000</v>
      </c>
      <c r="AD23" s="450">
        <v>250</v>
      </c>
      <c r="AE23" s="451">
        <f t="shared" si="4"/>
        <v>2700</v>
      </c>
      <c r="AF23" s="445">
        <v>500</v>
      </c>
      <c r="AG23" s="447">
        <v>1.17</v>
      </c>
      <c r="AH23" s="451">
        <v>2</v>
      </c>
      <c r="AI23" s="451">
        <v>3</v>
      </c>
      <c r="AJ23" s="451">
        <v>2</v>
      </c>
      <c r="AK23" s="451">
        <v>2</v>
      </c>
      <c r="AL23" s="2" t="s">
        <v>2214</v>
      </c>
      <c r="AM23" s="2" t="s">
        <v>2216</v>
      </c>
      <c r="AN23" s="458" t="s">
        <v>2264</v>
      </c>
      <c r="AO23" s="451">
        <v>6</v>
      </c>
      <c r="AP23" s="451">
        <v>12</v>
      </c>
      <c r="AQ23" s="451">
        <v>3</v>
      </c>
      <c r="AR23" s="451">
        <v>5</v>
      </c>
      <c r="AS23" s="451">
        <v>2</v>
      </c>
      <c r="AT23" s="451">
        <v>2</v>
      </c>
      <c r="AU23" s="445">
        <v>7</v>
      </c>
      <c r="AV23" s="445" t="str">
        <f t="shared" si="0"/>
        <v>Vàng:1800</v>
      </c>
      <c r="AW23" s="440">
        <v>100</v>
      </c>
      <c r="AX23" s="450">
        <v>2</v>
      </c>
      <c r="AY23" s="450">
        <v>1</v>
      </c>
      <c r="AZ23" s="450">
        <v>17</v>
      </c>
      <c r="BA23" s="31">
        <v>1800</v>
      </c>
      <c r="BC23" s="31">
        <f t="shared" si="1"/>
        <v>9000</v>
      </c>
    </row>
    <row r="24" spans="1:55" x14ac:dyDescent="0.25">
      <c r="A24" s="28" t="s">
        <v>2199</v>
      </c>
      <c r="B24" s="465">
        <v>22</v>
      </c>
      <c r="C24" s="13">
        <v>4</v>
      </c>
      <c r="D24" s="4">
        <v>7</v>
      </c>
      <c r="E24" s="445">
        <v>1200</v>
      </c>
      <c r="F24" s="13">
        <v>3</v>
      </c>
      <c r="G24" s="13">
        <v>5</v>
      </c>
      <c r="H24" s="13">
        <v>10</v>
      </c>
      <c r="I24" s="455" t="s">
        <v>2213</v>
      </c>
      <c r="J24" s="451">
        <v>3</v>
      </c>
      <c r="K24" s="445">
        <v>100</v>
      </c>
      <c r="L24" s="456">
        <v>0</v>
      </c>
      <c r="M24" s="445">
        <v>2</v>
      </c>
      <c r="N24" s="13">
        <v>3</v>
      </c>
      <c r="O24" s="446">
        <v>30</v>
      </c>
      <c r="P24" s="445">
        <v>70</v>
      </c>
      <c r="Q24" s="23">
        <v>4</v>
      </c>
      <c r="R24" s="23">
        <v>4</v>
      </c>
      <c r="S24" s="445">
        <v>50</v>
      </c>
      <c r="T24" s="445">
        <f t="shared" si="3"/>
        <v>50</v>
      </c>
      <c r="U24" s="447">
        <v>0.9</v>
      </c>
      <c r="V24" s="448">
        <v>1.87</v>
      </c>
      <c r="W24" s="449">
        <v>1.9333333333333333</v>
      </c>
      <c r="X24" s="448">
        <v>2.7</v>
      </c>
      <c r="Y24" s="448">
        <v>2.88</v>
      </c>
      <c r="Z24" s="448">
        <v>2</v>
      </c>
      <c r="AA24" s="448">
        <v>4.992</v>
      </c>
      <c r="AB24" s="448">
        <v>1.26</v>
      </c>
      <c r="AC24" s="445">
        <v>110000</v>
      </c>
      <c r="AD24" s="450">
        <v>250</v>
      </c>
      <c r="AE24" s="451">
        <f t="shared" si="4"/>
        <v>2700</v>
      </c>
      <c r="AF24" s="445">
        <v>500</v>
      </c>
      <c r="AG24" s="447">
        <v>1.17</v>
      </c>
      <c r="AH24" s="451">
        <v>2</v>
      </c>
      <c r="AI24" s="451">
        <v>3</v>
      </c>
      <c r="AJ24" s="451">
        <v>2</v>
      </c>
      <c r="AK24" s="451">
        <v>2</v>
      </c>
      <c r="AL24" s="2" t="s">
        <v>2214</v>
      </c>
      <c r="AM24" s="2" t="s">
        <v>2216</v>
      </c>
      <c r="AN24" s="458" t="s">
        <v>2208</v>
      </c>
      <c r="AO24" s="451">
        <v>6</v>
      </c>
      <c r="AP24" s="451">
        <v>12</v>
      </c>
      <c r="AQ24" s="451">
        <v>3</v>
      </c>
      <c r="AR24" s="451">
        <v>5</v>
      </c>
      <c r="AS24" s="451">
        <v>2</v>
      </c>
      <c r="AT24" s="451">
        <v>2</v>
      </c>
      <c r="AU24" s="445">
        <v>7</v>
      </c>
      <c r="AV24" s="445" t="str">
        <f t="shared" si="0"/>
        <v>Vàng:1900</v>
      </c>
      <c r="AW24" s="440">
        <v>100</v>
      </c>
      <c r="AX24" s="450">
        <v>2</v>
      </c>
      <c r="AY24" s="450">
        <v>1</v>
      </c>
      <c r="AZ24" s="450">
        <v>18</v>
      </c>
      <c r="BA24" s="31">
        <v>1900</v>
      </c>
      <c r="BC24" s="31">
        <f t="shared" si="1"/>
        <v>9500</v>
      </c>
    </row>
    <row r="25" spans="1:55" x14ac:dyDescent="0.25">
      <c r="A25" s="28" t="s">
        <v>2199</v>
      </c>
      <c r="B25" s="466">
        <v>23</v>
      </c>
      <c r="C25" s="13">
        <v>4</v>
      </c>
      <c r="D25" s="4">
        <v>7</v>
      </c>
      <c r="E25" s="445">
        <v>1200</v>
      </c>
      <c r="F25" s="13">
        <v>3</v>
      </c>
      <c r="G25" s="13">
        <v>5</v>
      </c>
      <c r="H25" s="13">
        <v>10</v>
      </c>
      <c r="I25" s="455" t="s">
        <v>2213</v>
      </c>
      <c r="J25" s="451">
        <v>3</v>
      </c>
      <c r="K25" s="445">
        <v>70</v>
      </c>
      <c r="L25" s="445">
        <v>30</v>
      </c>
      <c r="M25" s="445">
        <v>2</v>
      </c>
      <c r="N25" s="13">
        <v>3</v>
      </c>
      <c r="O25" s="446">
        <v>30</v>
      </c>
      <c r="P25" s="445">
        <v>70</v>
      </c>
      <c r="Q25" s="23">
        <v>4</v>
      </c>
      <c r="R25" s="23">
        <v>4</v>
      </c>
      <c r="S25" s="445">
        <v>50</v>
      </c>
      <c r="T25" s="445">
        <f t="shared" si="3"/>
        <v>50</v>
      </c>
      <c r="U25" s="447">
        <v>0.9</v>
      </c>
      <c r="V25" s="448">
        <v>1.87</v>
      </c>
      <c r="W25" s="449">
        <v>1.9666666666666668</v>
      </c>
      <c r="X25" s="448">
        <v>2.7</v>
      </c>
      <c r="Y25" s="448">
        <v>2.92</v>
      </c>
      <c r="Z25" s="448">
        <v>2</v>
      </c>
      <c r="AA25" s="448">
        <v>4.992</v>
      </c>
      <c r="AB25" s="448">
        <v>1.26</v>
      </c>
      <c r="AC25" s="445">
        <v>115000</v>
      </c>
      <c r="AD25" s="450">
        <v>250</v>
      </c>
      <c r="AE25" s="451">
        <f t="shared" si="4"/>
        <v>2700</v>
      </c>
      <c r="AF25" s="445">
        <v>500</v>
      </c>
      <c r="AG25" s="447">
        <v>1.17</v>
      </c>
      <c r="AH25" s="451">
        <v>2</v>
      </c>
      <c r="AI25" s="451">
        <v>3</v>
      </c>
      <c r="AJ25" s="451">
        <v>2</v>
      </c>
      <c r="AK25" s="451">
        <v>2</v>
      </c>
      <c r="AL25" s="2" t="s">
        <v>2214</v>
      </c>
      <c r="AM25" s="2" t="s">
        <v>2216</v>
      </c>
      <c r="AN25" s="458" t="s">
        <v>2208</v>
      </c>
      <c r="AO25" s="451">
        <v>6</v>
      </c>
      <c r="AP25" s="451">
        <v>12</v>
      </c>
      <c r="AQ25" s="451">
        <v>3</v>
      </c>
      <c r="AR25" s="451">
        <v>5</v>
      </c>
      <c r="AS25" s="451">
        <v>2</v>
      </c>
      <c r="AT25" s="451">
        <v>2</v>
      </c>
      <c r="AU25" s="445">
        <v>7</v>
      </c>
      <c r="AV25" s="445" t="str">
        <f t="shared" si="0"/>
        <v>Vàng:2000</v>
      </c>
      <c r="AW25" s="440">
        <v>100</v>
      </c>
      <c r="AX25" s="450">
        <v>2</v>
      </c>
      <c r="AY25" s="450">
        <v>1</v>
      </c>
      <c r="AZ25" s="450">
        <v>19</v>
      </c>
      <c r="BA25" s="31">
        <v>2000</v>
      </c>
      <c r="BC25" s="31">
        <f t="shared" si="1"/>
        <v>10000</v>
      </c>
    </row>
    <row r="26" spans="1:55" x14ac:dyDescent="0.25">
      <c r="A26" s="28" t="s">
        <v>2199</v>
      </c>
      <c r="B26" s="465">
        <v>24</v>
      </c>
      <c r="C26" s="13">
        <v>4</v>
      </c>
      <c r="D26" s="4">
        <v>7</v>
      </c>
      <c r="E26" s="445">
        <v>1200</v>
      </c>
      <c r="F26" s="13">
        <v>3</v>
      </c>
      <c r="G26" s="13">
        <v>5</v>
      </c>
      <c r="H26" s="13">
        <v>10</v>
      </c>
      <c r="I26" s="455" t="s">
        <v>2213</v>
      </c>
      <c r="J26" s="451">
        <v>3</v>
      </c>
      <c r="K26" s="445">
        <v>70</v>
      </c>
      <c r="L26" s="445">
        <v>30</v>
      </c>
      <c r="M26" s="445">
        <v>2</v>
      </c>
      <c r="N26" s="13">
        <v>3</v>
      </c>
      <c r="O26" s="446">
        <v>30</v>
      </c>
      <c r="P26" s="445">
        <v>70</v>
      </c>
      <c r="Q26" s="23">
        <v>5</v>
      </c>
      <c r="R26" s="23">
        <v>4</v>
      </c>
      <c r="S26" s="445">
        <v>50</v>
      </c>
      <c r="T26" s="445">
        <f t="shared" si="3"/>
        <v>50</v>
      </c>
      <c r="U26" s="447">
        <v>0.9</v>
      </c>
      <c r="V26" s="448">
        <v>1.87</v>
      </c>
      <c r="W26" s="449">
        <v>2</v>
      </c>
      <c r="X26" s="448">
        <v>2.7</v>
      </c>
      <c r="Y26" s="448">
        <v>2.96</v>
      </c>
      <c r="Z26" s="448">
        <v>2</v>
      </c>
      <c r="AA26" s="448">
        <v>4.992</v>
      </c>
      <c r="AB26" s="457">
        <v>1.1199999999999999</v>
      </c>
      <c r="AC26" s="445">
        <v>120000</v>
      </c>
      <c r="AD26" s="450">
        <v>250</v>
      </c>
      <c r="AE26" s="451">
        <f t="shared" si="4"/>
        <v>2700</v>
      </c>
      <c r="AF26" s="445">
        <v>500</v>
      </c>
      <c r="AG26" s="447">
        <v>1.17</v>
      </c>
      <c r="AH26" s="451">
        <v>2</v>
      </c>
      <c r="AI26" s="451">
        <v>3</v>
      </c>
      <c r="AJ26" s="451">
        <v>2</v>
      </c>
      <c r="AK26" s="451">
        <v>2</v>
      </c>
      <c r="AL26" s="2" t="s">
        <v>2214</v>
      </c>
      <c r="AM26" s="2" t="s">
        <v>2217</v>
      </c>
      <c r="AN26" s="458" t="s">
        <v>2208</v>
      </c>
      <c r="AO26" s="451">
        <v>6</v>
      </c>
      <c r="AP26" s="451">
        <v>12</v>
      </c>
      <c r="AQ26" s="451">
        <v>3</v>
      </c>
      <c r="AR26" s="451">
        <v>5</v>
      </c>
      <c r="AS26" s="451">
        <v>2</v>
      </c>
      <c r="AT26" s="451">
        <v>2</v>
      </c>
      <c r="AU26" s="445">
        <v>7</v>
      </c>
      <c r="AV26" s="445" t="str">
        <f t="shared" si="0"/>
        <v>Vàng:2100</v>
      </c>
      <c r="AW26" s="440">
        <v>100</v>
      </c>
      <c r="AX26" s="450">
        <v>2</v>
      </c>
      <c r="AY26" s="450">
        <v>1</v>
      </c>
      <c r="AZ26" s="450">
        <v>20</v>
      </c>
      <c r="BA26" s="31">
        <v>2100</v>
      </c>
      <c r="BC26" s="31">
        <f t="shared" si="1"/>
        <v>10500</v>
      </c>
    </row>
    <row r="27" spans="1:55" x14ac:dyDescent="0.25">
      <c r="A27" s="28" t="s">
        <v>2199</v>
      </c>
      <c r="B27" s="466">
        <v>25</v>
      </c>
      <c r="C27" s="13">
        <v>4</v>
      </c>
      <c r="D27" s="4">
        <v>8</v>
      </c>
      <c r="E27" s="445">
        <v>1200</v>
      </c>
      <c r="F27" s="13">
        <v>3</v>
      </c>
      <c r="G27" s="13">
        <v>6</v>
      </c>
      <c r="H27" s="13">
        <v>10</v>
      </c>
      <c r="I27" s="455" t="s">
        <v>2218</v>
      </c>
      <c r="J27" s="451">
        <v>3</v>
      </c>
      <c r="K27" s="445">
        <v>65</v>
      </c>
      <c r="L27" s="445">
        <v>35</v>
      </c>
      <c r="M27" s="445">
        <v>2</v>
      </c>
      <c r="N27" s="13">
        <v>3</v>
      </c>
      <c r="O27" s="446">
        <v>30</v>
      </c>
      <c r="P27" s="445">
        <v>70</v>
      </c>
      <c r="Q27" s="23">
        <v>5</v>
      </c>
      <c r="R27" s="23">
        <v>4</v>
      </c>
      <c r="S27" s="445">
        <v>50</v>
      </c>
      <c r="T27" s="445">
        <f t="shared" si="3"/>
        <v>50</v>
      </c>
      <c r="U27" s="447">
        <v>0.9</v>
      </c>
      <c r="V27" s="448">
        <v>1.87</v>
      </c>
      <c r="W27" s="449">
        <v>2.0333333333333332</v>
      </c>
      <c r="X27" s="448">
        <v>2.7</v>
      </c>
      <c r="Y27" s="448">
        <v>3</v>
      </c>
      <c r="Z27" s="448">
        <v>2</v>
      </c>
      <c r="AA27" s="448">
        <v>4.992</v>
      </c>
      <c r="AB27" s="448">
        <v>1.1199999999999999</v>
      </c>
      <c r="AC27" s="445">
        <v>125000</v>
      </c>
      <c r="AD27" s="450">
        <v>300</v>
      </c>
      <c r="AE27" s="451">
        <f t="shared" si="4"/>
        <v>2700</v>
      </c>
      <c r="AF27" s="445">
        <v>500</v>
      </c>
      <c r="AG27" s="447">
        <v>1.17</v>
      </c>
      <c r="AH27" s="451">
        <v>2</v>
      </c>
      <c r="AI27" s="451">
        <v>4</v>
      </c>
      <c r="AJ27" s="445">
        <v>2</v>
      </c>
      <c r="AK27" s="445">
        <v>3</v>
      </c>
      <c r="AL27" s="2" t="s">
        <v>2219</v>
      </c>
      <c r="AM27" s="2" t="s">
        <v>2217</v>
      </c>
      <c r="AN27" s="458" t="s">
        <v>2215</v>
      </c>
      <c r="AO27" s="451">
        <v>6</v>
      </c>
      <c r="AP27" s="451">
        <v>12</v>
      </c>
      <c r="AQ27" s="451">
        <v>3</v>
      </c>
      <c r="AR27" s="451">
        <v>5</v>
      </c>
      <c r="AS27" s="445">
        <v>2</v>
      </c>
      <c r="AT27" s="445">
        <v>3</v>
      </c>
      <c r="AU27" s="445">
        <v>7</v>
      </c>
      <c r="AV27" s="445" t="str">
        <f t="shared" si="0"/>
        <v>Vàng:2200</v>
      </c>
      <c r="AW27" s="440">
        <v>100</v>
      </c>
      <c r="AX27" s="450">
        <v>2</v>
      </c>
      <c r="AY27" s="450">
        <v>1</v>
      </c>
      <c r="AZ27" s="450">
        <v>21</v>
      </c>
      <c r="BA27" s="31">
        <v>2200</v>
      </c>
      <c r="BC27" s="31">
        <f t="shared" si="1"/>
        <v>11000</v>
      </c>
    </row>
    <row r="28" spans="1:55" x14ac:dyDescent="0.25">
      <c r="A28" s="28" t="s">
        <v>2199</v>
      </c>
      <c r="B28" s="465">
        <v>26</v>
      </c>
      <c r="C28" s="13">
        <v>4</v>
      </c>
      <c r="D28" s="4">
        <v>8</v>
      </c>
      <c r="E28" s="445">
        <v>1200</v>
      </c>
      <c r="F28" s="13">
        <v>3</v>
      </c>
      <c r="G28" s="13">
        <v>6</v>
      </c>
      <c r="H28" s="13">
        <v>10</v>
      </c>
      <c r="I28" s="455" t="s">
        <v>2218</v>
      </c>
      <c r="J28" s="451">
        <v>3</v>
      </c>
      <c r="K28" s="445">
        <v>65</v>
      </c>
      <c r="L28" s="445">
        <v>35</v>
      </c>
      <c r="M28" s="445">
        <v>3</v>
      </c>
      <c r="N28" s="13">
        <v>4</v>
      </c>
      <c r="O28" s="446">
        <v>30</v>
      </c>
      <c r="P28" s="445">
        <v>70</v>
      </c>
      <c r="Q28" s="23">
        <v>5</v>
      </c>
      <c r="R28" s="23">
        <v>5</v>
      </c>
      <c r="S28" s="445">
        <v>45</v>
      </c>
      <c r="T28" s="445">
        <f t="shared" si="3"/>
        <v>55</v>
      </c>
      <c r="U28" s="447">
        <v>0.9</v>
      </c>
      <c r="V28" s="448">
        <v>1.87</v>
      </c>
      <c r="W28" s="449">
        <v>2.0666666666666669</v>
      </c>
      <c r="X28" s="448">
        <v>2.7</v>
      </c>
      <c r="Y28" s="448">
        <v>3.04</v>
      </c>
      <c r="Z28" s="448">
        <v>2</v>
      </c>
      <c r="AA28" s="448">
        <v>4.8879999999999999</v>
      </c>
      <c r="AB28" s="448">
        <v>1.1199999999999999</v>
      </c>
      <c r="AC28" s="445">
        <v>130000</v>
      </c>
      <c r="AD28" s="450">
        <v>300</v>
      </c>
      <c r="AE28" s="451">
        <f t="shared" si="4"/>
        <v>2700</v>
      </c>
      <c r="AF28" s="445">
        <v>500</v>
      </c>
      <c r="AG28" s="447">
        <v>1.17</v>
      </c>
      <c r="AH28" s="451">
        <v>2</v>
      </c>
      <c r="AI28" s="451">
        <v>4</v>
      </c>
      <c r="AJ28" s="445">
        <v>2</v>
      </c>
      <c r="AK28" s="445">
        <v>3</v>
      </c>
      <c r="AL28" s="2" t="s">
        <v>2219</v>
      </c>
      <c r="AM28" s="2" t="s">
        <v>2217</v>
      </c>
      <c r="AN28" s="458" t="s">
        <v>2215</v>
      </c>
      <c r="AO28" s="451">
        <v>6</v>
      </c>
      <c r="AP28" s="451">
        <v>12</v>
      </c>
      <c r="AQ28" s="451">
        <v>3</v>
      </c>
      <c r="AR28" s="451">
        <v>5</v>
      </c>
      <c r="AS28" s="445">
        <v>2</v>
      </c>
      <c r="AT28" s="445">
        <v>3</v>
      </c>
      <c r="AU28" s="445">
        <v>7</v>
      </c>
      <c r="AV28" s="445" t="str">
        <f t="shared" si="0"/>
        <v>Vàng:2300</v>
      </c>
      <c r="AW28" s="440">
        <v>100</v>
      </c>
      <c r="AX28" s="450">
        <v>2</v>
      </c>
      <c r="AY28" s="450">
        <v>1</v>
      </c>
      <c r="AZ28" s="450">
        <v>22</v>
      </c>
      <c r="BA28" s="31">
        <v>2300</v>
      </c>
      <c r="BC28" s="31">
        <f t="shared" si="1"/>
        <v>11500</v>
      </c>
    </row>
    <row r="29" spans="1:55" x14ac:dyDescent="0.25">
      <c r="A29" s="28" t="s">
        <v>2199</v>
      </c>
      <c r="B29" s="466">
        <v>27</v>
      </c>
      <c r="C29" s="13">
        <v>4</v>
      </c>
      <c r="D29" s="4">
        <v>8</v>
      </c>
      <c r="E29" s="445">
        <v>1200</v>
      </c>
      <c r="F29" s="13">
        <v>3</v>
      </c>
      <c r="G29" s="13">
        <v>6</v>
      </c>
      <c r="H29" s="13">
        <v>10</v>
      </c>
      <c r="I29" s="455" t="s">
        <v>2218</v>
      </c>
      <c r="J29" s="451">
        <v>3</v>
      </c>
      <c r="K29" s="445">
        <v>60</v>
      </c>
      <c r="L29" s="445">
        <v>40</v>
      </c>
      <c r="M29" s="445">
        <v>3</v>
      </c>
      <c r="N29" s="13">
        <v>4</v>
      </c>
      <c r="O29" s="446">
        <v>30</v>
      </c>
      <c r="P29" s="445">
        <v>70</v>
      </c>
      <c r="Q29" s="23">
        <v>5</v>
      </c>
      <c r="R29" s="23">
        <v>5</v>
      </c>
      <c r="S29" s="445">
        <v>45</v>
      </c>
      <c r="T29" s="445">
        <f t="shared" si="3"/>
        <v>55</v>
      </c>
      <c r="U29" s="447">
        <v>0.9</v>
      </c>
      <c r="V29" s="448">
        <v>1.87</v>
      </c>
      <c r="W29" s="449">
        <v>2.1</v>
      </c>
      <c r="X29" s="448">
        <v>2.7</v>
      </c>
      <c r="Y29" s="448">
        <v>3.08</v>
      </c>
      <c r="Z29" s="448">
        <v>2</v>
      </c>
      <c r="AA29" s="448">
        <v>4.8879999999999999</v>
      </c>
      <c r="AB29" s="448">
        <v>1.1199999999999999</v>
      </c>
      <c r="AC29" s="445">
        <v>135000</v>
      </c>
      <c r="AD29" s="450">
        <v>300</v>
      </c>
      <c r="AE29" s="451">
        <f t="shared" si="4"/>
        <v>2700</v>
      </c>
      <c r="AF29" s="445">
        <v>500</v>
      </c>
      <c r="AG29" s="447">
        <v>1.17</v>
      </c>
      <c r="AH29" s="451">
        <v>2</v>
      </c>
      <c r="AI29" s="451">
        <v>4</v>
      </c>
      <c r="AJ29" s="445">
        <v>2</v>
      </c>
      <c r="AK29" s="445">
        <v>3</v>
      </c>
      <c r="AL29" s="2" t="s">
        <v>2219</v>
      </c>
      <c r="AM29" s="2" t="s">
        <v>2217</v>
      </c>
      <c r="AN29" s="458" t="s">
        <v>2215</v>
      </c>
      <c r="AO29" s="451">
        <v>6</v>
      </c>
      <c r="AP29" s="451">
        <v>12</v>
      </c>
      <c r="AQ29" s="451">
        <v>3</v>
      </c>
      <c r="AR29" s="451">
        <v>5</v>
      </c>
      <c r="AS29" s="445">
        <v>2</v>
      </c>
      <c r="AT29" s="445">
        <v>3</v>
      </c>
      <c r="AU29" s="445">
        <v>7</v>
      </c>
      <c r="AV29" s="522" t="str">
        <f>CONCATENATE($BA$1&amp;":"&amp;BA29&amp;":"&amp;$BB$1&amp;":"&amp;BB29)</f>
        <v>Vàng:2400:MG01:3</v>
      </c>
      <c r="AW29" s="440">
        <v>100</v>
      </c>
      <c r="AX29" s="450">
        <v>2</v>
      </c>
      <c r="AY29" s="450">
        <v>1</v>
      </c>
      <c r="AZ29" s="450">
        <v>23</v>
      </c>
      <c r="BA29" s="31">
        <v>2400</v>
      </c>
      <c r="BB29" s="31">
        <v>3</v>
      </c>
      <c r="BC29" s="31">
        <f t="shared" si="1"/>
        <v>12000</v>
      </c>
    </row>
    <row r="30" spans="1:55" x14ac:dyDescent="0.25">
      <c r="A30" s="28" t="s">
        <v>2199</v>
      </c>
      <c r="B30" s="465">
        <v>28</v>
      </c>
      <c r="C30" s="13">
        <v>4</v>
      </c>
      <c r="D30" s="4">
        <v>8</v>
      </c>
      <c r="E30" s="445">
        <v>1200</v>
      </c>
      <c r="F30" s="13">
        <v>3</v>
      </c>
      <c r="G30" s="13">
        <v>6</v>
      </c>
      <c r="H30" s="13">
        <v>10</v>
      </c>
      <c r="I30" s="455" t="s">
        <v>2218</v>
      </c>
      <c r="J30" s="451">
        <v>3</v>
      </c>
      <c r="K30" s="445">
        <v>60</v>
      </c>
      <c r="L30" s="445">
        <v>40</v>
      </c>
      <c r="M30" s="445">
        <v>3</v>
      </c>
      <c r="N30" s="13">
        <v>4</v>
      </c>
      <c r="O30" s="446">
        <v>30</v>
      </c>
      <c r="P30" s="445">
        <v>70</v>
      </c>
      <c r="Q30" s="23">
        <v>5</v>
      </c>
      <c r="R30" s="23">
        <v>5</v>
      </c>
      <c r="S30" s="445">
        <v>45</v>
      </c>
      <c r="T30" s="445">
        <f t="shared" si="3"/>
        <v>55</v>
      </c>
      <c r="U30" s="447">
        <v>0.9</v>
      </c>
      <c r="V30" s="448">
        <v>1.87</v>
      </c>
      <c r="W30" s="449">
        <v>2.1333333333333333</v>
      </c>
      <c r="X30" s="448">
        <v>2.7</v>
      </c>
      <c r="Y30" s="448">
        <v>3.12</v>
      </c>
      <c r="Z30" s="448">
        <v>2</v>
      </c>
      <c r="AA30" s="457">
        <v>4.7839999999999998</v>
      </c>
      <c r="AB30" s="457">
        <v>0.97999999999999987</v>
      </c>
      <c r="AC30" s="445">
        <v>140000</v>
      </c>
      <c r="AD30" s="450">
        <v>300</v>
      </c>
      <c r="AE30" s="451">
        <f t="shared" si="4"/>
        <v>2700</v>
      </c>
      <c r="AF30" s="445">
        <v>500</v>
      </c>
      <c r="AG30" s="447">
        <v>1.17</v>
      </c>
      <c r="AH30" s="451">
        <v>2</v>
      </c>
      <c r="AI30" s="451">
        <v>4</v>
      </c>
      <c r="AJ30" s="445">
        <v>2</v>
      </c>
      <c r="AK30" s="445">
        <v>3</v>
      </c>
      <c r="AL30" s="2" t="s">
        <v>2219</v>
      </c>
      <c r="AM30" s="2" t="s">
        <v>2220</v>
      </c>
      <c r="AN30" s="458" t="s">
        <v>2215</v>
      </c>
      <c r="AO30" s="451">
        <v>6</v>
      </c>
      <c r="AP30" s="451">
        <v>12</v>
      </c>
      <c r="AQ30" s="451">
        <v>3</v>
      </c>
      <c r="AR30" s="451">
        <v>5</v>
      </c>
      <c r="AS30" s="445">
        <v>2</v>
      </c>
      <c r="AT30" s="445">
        <v>3</v>
      </c>
      <c r="AU30" s="445">
        <v>7</v>
      </c>
      <c r="AV30" s="445" t="str">
        <f t="shared" ref="AV30:AV93" si="5">CONCATENATE($BA$1&amp;":"&amp;BA30&amp;":"&amp;$BB$1&amp;":"&amp;BB30)</f>
        <v>Vàng:2500:MG01:3</v>
      </c>
      <c r="AW30" s="440">
        <v>100</v>
      </c>
      <c r="AX30" s="450">
        <v>2</v>
      </c>
      <c r="AY30" s="450">
        <v>1</v>
      </c>
      <c r="AZ30" s="450">
        <v>24</v>
      </c>
      <c r="BA30" s="31">
        <v>2500</v>
      </c>
      <c r="BB30" s="31">
        <v>3</v>
      </c>
      <c r="BC30" s="31">
        <f t="shared" si="1"/>
        <v>12500</v>
      </c>
    </row>
    <row r="31" spans="1:55" x14ac:dyDescent="0.25">
      <c r="A31" s="28" t="s">
        <v>2199</v>
      </c>
      <c r="B31" s="466">
        <v>29</v>
      </c>
      <c r="C31" s="13">
        <v>4</v>
      </c>
      <c r="D31" s="4">
        <v>8</v>
      </c>
      <c r="E31" s="445">
        <v>1200</v>
      </c>
      <c r="F31" s="13">
        <v>3</v>
      </c>
      <c r="G31" s="13">
        <v>6</v>
      </c>
      <c r="H31" s="13">
        <v>10</v>
      </c>
      <c r="I31" s="455" t="s">
        <v>2218</v>
      </c>
      <c r="J31" s="451">
        <v>3</v>
      </c>
      <c r="K31" s="445">
        <v>60</v>
      </c>
      <c r="L31" s="445">
        <v>40</v>
      </c>
      <c r="M31" s="445">
        <v>3</v>
      </c>
      <c r="N31" s="13">
        <v>4</v>
      </c>
      <c r="O31" s="446">
        <v>30</v>
      </c>
      <c r="P31" s="445">
        <v>70</v>
      </c>
      <c r="Q31" s="23">
        <v>6</v>
      </c>
      <c r="R31" s="23">
        <v>6</v>
      </c>
      <c r="S31" s="445">
        <v>45</v>
      </c>
      <c r="T31" s="445">
        <f t="shared" si="3"/>
        <v>55</v>
      </c>
      <c r="U31" s="447">
        <v>0.9</v>
      </c>
      <c r="V31" s="448">
        <v>1.87</v>
      </c>
      <c r="W31" s="449">
        <v>2.1666666666666665</v>
      </c>
      <c r="X31" s="448">
        <v>2.7</v>
      </c>
      <c r="Y31" s="448">
        <v>3.16</v>
      </c>
      <c r="Z31" s="448">
        <v>2</v>
      </c>
      <c r="AA31" s="448">
        <v>4.7839999999999998</v>
      </c>
      <c r="AB31" s="448">
        <v>0.97999999999999987</v>
      </c>
      <c r="AC31" s="445">
        <v>145000</v>
      </c>
      <c r="AD31" s="450">
        <v>300</v>
      </c>
      <c r="AE31" s="451">
        <f t="shared" si="4"/>
        <v>2700</v>
      </c>
      <c r="AF31" s="445">
        <v>500</v>
      </c>
      <c r="AG31" s="447">
        <v>1.17</v>
      </c>
      <c r="AH31" s="451">
        <v>2</v>
      </c>
      <c r="AI31" s="451">
        <v>4</v>
      </c>
      <c r="AJ31" s="445">
        <v>2</v>
      </c>
      <c r="AK31" s="445">
        <v>3</v>
      </c>
      <c r="AL31" s="2" t="s">
        <v>2219</v>
      </c>
      <c r="AM31" s="2" t="s">
        <v>2221</v>
      </c>
      <c r="AN31" s="2" t="s">
        <v>2222</v>
      </c>
      <c r="AO31" s="451">
        <v>6</v>
      </c>
      <c r="AP31" s="451">
        <v>12</v>
      </c>
      <c r="AQ31" s="451">
        <v>3</v>
      </c>
      <c r="AR31" s="451">
        <v>5</v>
      </c>
      <c r="AS31" s="445">
        <v>2</v>
      </c>
      <c r="AT31" s="445">
        <v>3</v>
      </c>
      <c r="AU31" s="445">
        <v>7</v>
      </c>
      <c r="AV31" s="445" t="str">
        <f t="shared" si="5"/>
        <v>Vàng:2600:MG01:3</v>
      </c>
      <c r="AW31" s="440">
        <v>100</v>
      </c>
      <c r="AX31" s="450">
        <v>2</v>
      </c>
      <c r="AY31" s="450">
        <v>1</v>
      </c>
      <c r="AZ31" s="450">
        <v>25</v>
      </c>
      <c r="BA31" s="31">
        <v>2600</v>
      </c>
      <c r="BB31" s="31">
        <v>3</v>
      </c>
      <c r="BC31" s="31">
        <f t="shared" si="1"/>
        <v>13000</v>
      </c>
    </row>
    <row r="32" spans="1:55" x14ac:dyDescent="0.25">
      <c r="A32" s="28" t="s">
        <v>2199</v>
      </c>
      <c r="B32" s="465">
        <v>30</v>
      </c>
      <c r="C32" s="13">
        <v>4</v>
      </c>
      <c r="D32" s="4">
        <v>9</v>
      </c>
      <c r="E32" s="445">
        <v>1500</v>
      </c>
      <c r="F32" s="13">
        <v>3</v>
      </c>
      <c r="G32" s="13">
        <v>8</v>
      </c>
      <c r="H32" s="13">
        <v>10</v>
      </c>
      <c r="I32" s="455" t="s">
        <v>2218</v>
      </c>
      <c r="J32" s="451">
        <v>3</v>
      </c>
      <c r="K32" s="445">
        <v>60</v>
      </c>
      <c r="L32" s="445">
        <v>40</v>
      </c>
      <c r="M32" s="445">
        <v>3</v>
      </c>
      <c r="N32" s="13">
        <v>5</v>
      </c>
      <c r="O32" s="446">
        <v>30</v>
      </c>
      <c r="P32" s="445">
        <v>70</v>
      </c>
      <c r="Q32" s="23">
        <v>6</v>
      </c>
      <c r="R32" s="23">
        <v>6</v>
      </c>
      <c r="S32" s="445">
        <v>45</v>
      </c>
      <c r="T32" s="445">
        <f t="shared" si="3"/>
        <v>55</v>
      </c>
      <c r="U32" s="447">
        <v>0.9</v>
      </c>
      <c r="V32" s="448">
        <v>1.87</v>
      </c>
      <c r="W32" s="449">
        <v>2.1999999999999997</v>
      </c>
      <c r="X32" s="448">
        <v>2.7</v>
      </c>
      <c r="Y32" s="448">
        <v>3.2</v>
      </c>
      <c r="Z32" s="448">
        <v>2</v>
      </c>
      <c r="AA32" s="448">
        <v>4.6800000000000006</v>
      </c>
      <c r="AB32" s="448">
        <v>0.97999999999999987</v>
      </c>
      <c r="AC32" s="445">
        <v>150000</v>
      </c>
      <c r="AD32" s="450">
        <v>350</v>
      </c>
      <c r="AE32" s="451">
        <f t="shared" si="4"/>
        <v>2700</v>
      </c>
      <c r="AF32" s="445">
        <v>500</v>
      </c>
      <c r="AG32" s="447">
        <v>1.17</v>
      </c>
      <c r="AH32" s="451">
        <v>2</v>
      </c>
      <c r="AI32" s="451">
        <v>4</v>
      </c>
      <c r="AJ32" s="445">
        <v>2</v>
      </c>
      <c r="AK32" s="445">
        <v>3</v>
      </c>
      <c r="AL32" s="2" t="s">
        <v>2219</v>
      </c>
      <c r="AM32" s="2" t="s">
        <v>2223</v>
      </c>
      <c r="AN32" s="2" t="s">
        <v>2222</v>
      </c>
      <c r="AO32" s="451">
        <v>6</v>
      </c>
      <c r="AP32" s="451">
        <v>12</v>
      </c>
      <c r="AQ32" s="451">
        <v>3</v>
      </c>
      <c r="AR32" s="451">
        <v>5</v>
      </c>
      <c r="AS32" s="445">
        <v>2</v>
      </c>
      <c r="AT32" s="445">
        <v>3</v>
      </c>
      <c r="AU32" s="445">
        <v>10</v>
      </c>
      <c r="AV32" s="445" t="str">
        <f t="shared" si="5"/>
        <v>Vàng:2700:MG01:3</v>
      </c>
      <c r="AW32" s="440">
        <v>100</v>
      </c>
      <c r="AX32" s="450">
        <v>3</v>
      </c>
      <c r="AY32" s="450">
        <v>1</v>
      </c>
      <c r="AZ32" s="450">
        <v>26</v>
      </c>
      <c r="BA32" s="31">
        <v>2700</v>
      </c>
      <c r="BB32" s="31">
        <v>3</v>
      </c>
      <c r="BC32" s="31">
        <f t="shared" si="1"/>
        <v>13500</v>
      </c>
    </row>
    <row r="33" spans="1:55" x14ac:dyDescent="0.25">
      <c r="A33" s="28" t="s">
        <v>2199</v>
      </c>
      <c r="B33" s="29">
        <v>31</v>
      </c>
      <c r="C33" s="13">
        <v>5</v>
      </c>
      <c r="D33" s="4">
        <v>9</v>
      </c>
      <c r="E33" s="445">
        <v>1500</v>
      </c>
      <c r="F33" s="13">
        <v>3</v>
      </c>
      <c r="G33" s="13">
        <v>8</v>
      </c>
      <c r="H33" s="13">
        <v>10</v>
      </c>
      <c r="I33" s="455" t="s">
        <v>2218</v>
      </c>
      <c r="J33" s="451">
        <v>3</v>
      </c>
      <c r="K33" s="445">
        <v>60</v>
      </c>
      <c r="L33" s="445">
        <v>40</v>
      </c>
      <c r="M33" s="445">
        <v>3</v>
      </c>
      <c r="N33" s="13">
        <v>5</v>
      </c>
      <c r="O33" s="446">
        <v>20</v>
      </c>
      <c r="P33" s="445">
        <v>80</v>
      </c>
      <c r="Q33" s="23">
        <v>6</v>
      </c>
      <c r="R33" s="23">
        <v>6</v>
      </c>
      <c r="S33" s="445">
        <v>40</v>
      </c>
      <c r="T33" s="445">
        <f t="shared" si="3"/>
        <v>60</v>
      </c>
      <c r="U33" s="447">
        <v>0.9</v>
      </c>
      <c r="V33" s="448">
        <v>1.87</v>
      </c>
      <c r="W33" s="449">
        <v>2.2333333333333334</v>
      </c>
      <c r="X33" s="448">
        <v>2.7</v>
      </c>
      <c r="Y33" s="448">
        <v>3.2399999999999998</v>
      </c>
      <c r="Z33" s="448">
        <v>2</v>
      </c>
      <c r="AA33" s="448">
        <v>4.5760000000000005</v>
      </c>
      <c r="AB33" s="448">
        <v>0.97999999999999987</v>
      </c>
      <c r="AC33" s="445">
        <v>155000</v>
      </c>
      <c r="AD33" s="450">
        <v>350</v>
      </c>
      <c r="AE33" s="451">
        <f>60*60</f>
        <v>3600</v>
      </c>
      <c r="AF33" s="445">
        <v>500</v>
      </c>
      <c r="AG33" s="447">
        <v>1.17</v>
      </c>
      <c r="AH33" s="451">
        <v>2</v>
      </c>
      <c r="AI33" s="451">
        <v>4</v>
      </c>
      <c r="AJ33" s="445">
        <v>2</v>
      </c>
      <c r="AK33" s="445">
        <v>3</v>
      </c>
      <c r="AL33" s="2" t="s">
        <v>2224</v>
      </c>
      <c r="AM33" s="2" t="s">
        <v>2225</v>
      </c>
      <c r="AN33" s="2" t="s">
        <v>2222</v>
      </c>
      <c r="AO33" s="445">
        <v>8</v>
      </c>
      <c r="AP33" s="445">
        <v>15</v>
      </c>
      <c r="AQ33" s="451">
        <v>3</v>
      </c>
      <c r="AR33" s="451">
        <v>5</v>
      </c>
      <c r="AS33" s="445">
        <v>2</v>
      </c>
      <c r="AT33" s="445">
        <v>3</v>
      </c>
      <c r="AU33" s="445">
        <v>10</v>
      </c>
      <c r="AV33" s="445" t="str">
        <f t="shared" si="5"/>
        <v>Vàng:2800:MG01:3</v>
      </c>
      <c r="AW33" s="440">
        <v>100</v>
      </c>
      <c r="AX33" s="450">
        <v>3</v>
      </c>
      <c r="AY33" s="450">
        <v>1</v>
      </c>
      <c r="AZ33" s="450">
        <v>27</v>
      </c>
      <c r="BA33" s="31">
        <v>2800</v>
      </c>
      <c r="BB33" s="31">
        <v>3</v>
      </c>
      <c r="BC33" s="31">
        <f t="shared" si="1"/>
        <v>14000</v>
      </c>
    </row>
    <row r="34" spans="1:55" x14ac:dyDescent="0.25">
      <c r="A34" s="28" t="s">
        <v>2199</v>
      </c>
      <c r="B34" s="428">
        <v>32</v>
      </c>
      <c r="C34" s="13">
        <v>5</v>
      </c>
      <c r="D34" s="4">
        <v>9</v>
      </c>
      <c r="E34" s="445">
        <v>1500</v>
      </c>
      <c r="F34" s="13">
        <v>3</v>
      </c>
      <c r="G34" s="13">
        <v>8</v>
      </c>
      <c r="H34" s="13">
        <v>10</v>
      </c>
      <c r="I34" s="455" t="s">
        <v>2218</v>
      </c>
      <c r="J34" s="451">
        <v>3</v>
      </c>
      <c r="K34" s="445">
        <v>60</v>
      </c>
      <c r="L34" s="445">
        <v>40</v>
      </c>
      <c r="M34" s="445">
        <v>3</v>
      </c>
      <c r="N34" s="13">
        <v>5</v>
      </c>
      <c r="O34" s="446">
        <v>20</v>
      </c>
      <c r="P34" s="445">
        <v>80</v>
      </c>
      <c r="Q34" s="23">
        <v>6</v>
      </c>
      <c r="R34" s="23">
        <v>6</v>
      </c>
      <c r="S34" s="445">
        <v>40</v>
      </c>
      <c r="T34" s="445">
        <f t="shared" si="3"/>
        <v>60</v>
      </c>
      <c r="U34" s="447">
        <v>0.9</v>
      </c>
      <c r="V34" s="448">
        <v>1.87</v>
      </c>
      <c r="W34" s="449">
        <v>2.2666666666666666</v>
      </c>
      <c r="X34" s="448">
        <v>2.7</v>
      </c>
      <c r="Y34" s="448">
        <v>3.28</v>
      </c>
      <c r="Z34" s="448">
        <v>2</v>
      </c>
      <c r="AA34" s="457">
        <v>4.4719999999999995</v>
      </c>
      <c r="AB34" s="457">
        <v>0.84</v>
      </c>
      <c r="AC34" s="445">
        <v>160000</v>
      </c>
      <c r="AD34" s="450">
        <v>350</v>
      </c>
      <c r="AE34" s="451">
        <f t="shared" ref="AE34:AE52" si="6">60*60</f>
        <v>3600</v>
      </c>
      <c r="AF34" s="445">
        <v>500</v>
      </c>
      <c r="AG34" s="447">
        <v>1.17</v>
      </c>
      <c r="AH34" s="451">
        <v>2</v>
      </c>
      <c r="AI34" s="451">
        <v>4</v>
      </c>
      <c r="AJ34" s="445">
        <v>2</v>
      </c>
      <c r="AK34" s="445">
        <v>3</v>
      </c>
      <c r="AL34" s="2" t="s">
        <v>2224</v>
      </c>
      <c r="AM34" s="2" t="s">
        <v>2225</v>
      </c>
      <c r="AN34" s="2" t="s">
        <v>2222</v>
      </c>
      <c r="AO34" s="445">
        <v>8</v>
      </c>
      <c r="AP34" s="445">
        <v>15</v>
      </c>
      <c r="AQ34" s="451">
        <v>3</v>
      </c>
      <c r="AR34" s="451">
        <v>5</v>
      </c>
      <c r="AS34" s="445">
        <v>2</v>
      </c>
      <c r="AT34" s="445">
        <v>3</v>
      </c>
      <c r="AU34" s="445">
        <v>10</v>
      </c>
      <c r="AV34" s="445" t="str">
        <f t="shared" si="5"/>
        <v>Vàng:2900:MG01:3</v>
      </c>
      <c r="AW34" s="440">
        <v>100</v>
      </c>
      <c r="AX34" s="450">
        <v>3</v>
      </c>
      <c r="AY34" s="450">
        <v>1</v>
      </c>
      <c r="AZ34" s="450">
        <v>28</v>
      </c>
      <c r="BA34" s="31">
        <v>2900</v>
      </c>
      <c r="BB34" s="31">
        <v>3</v>
      </c>
      <c r="BC34" s="31">
        <f t="shared" si="1"/>
        <v>14500</v>
      </c>
    </row>
    <row r="35" spans="1:55" x14ac:dyDescent="0.25">
      <c r="A35" s="28" t="s">
        <v>2199</v>
      </c>
      <c r="B35" s="29">
        <v>33</v>
      </c>
      <c r="C35" s="13">
        <v>5</v>
      </c>
      <c r="D35" s="4">
        <v>9</v>
      </c>
      <c r="E35" s="445">
        <v>1500</v>
      </c>
      <c r="F35" s="13">
        <v>3</v>
      </c>
      <c r="G35" s="13">
        <v>8</v>
      </c>
      <c r="H35" s="13">
        <v>10</v>
      </c>
      <c r="I35" s="455" t="s">
        <v>2218</v>
      </c>
      <c r="J35" s="451">
        <v>3</v>
      </c>
      <c r="K35" s="445">
        <v>55</v>
      </c>
      <c r="L35" s="445">
        <v>45</v>
      </c>
      <c r="M35" s="445">
        <v>3</v>
      </c>
      <c r="N35" s="13">
        <v>5</v>
      </c>
      <c r="O35" s="446">
        <v>20</v>
      </c>
      <c r="P35" s="445">
        <v>80</v>
      </c>
      <c r="Q35" s="23">
        <v>6</v>
      </c>
      <c r="R35" s="23">
        <v>6</v>
      </c>
      <c r="S35" s="445">
        <v>40</v>
      </c>
      <c r="T35" s="445">
        <f t="shared" si="3"/>
        <v>60</v>
      </c>
      <c r="U35" s="447">
        <v>0.9</v>
      </c>
      <c r="V35" s="448">
        <v>1.87</v>
      </c>
      <c r="W35" s="449">
        <v>2.3000000000000003</v>
      </c>
      <c r="X35" s="448">
        <v>2.7</v>
      </c>
      <c r="Y35" s="448">
        <v>3.3200000000000003</v>
      </c>
      <c r="Z35" s="448">
        <v>2</v>
      </c>
      <c r="AA35" s="448">
        <v>4.4719999999999995</v>
      </c>
      <c r="AB35" s="448">
        <v>0.84</v>
      </c>
      <c r="AC35" s="445">
        <v>165000</v>
      </c>
      <c r="AD35" s="450">
        <v>350</v>
      </c>
      <c r="AE35" s="451">
        <f t="shared" si="6"/>
        <v>3600</v>
      </c>
      <c r="AF35" s="445">
        <v>500</v>
      </c>
      <c r="AG35" s="447">
        <v>1.17</v>
      </c>
      <c r="AH35" s="451">
        <v>2</v>
      </c>
      <c r="AI35" s="451">
        <v>4</v>
      </c>
      <c r="AJ35" s="445">
        <v>2</v>
      </c>
      <c r="AK35" s="445">
        <v>3</v>
      </c>
      <c r="AL35" s="2" t="s">
        <v>2226</v>
      </c>
      <c r="AM35" s="2" t="s">
        <v>2225</v>
      </c>
      <c r="AN35" s="2" t="s">
        <v>2222</v>
      </c>
      <c r="AO35" s="445">
        <v>8</v>
      </c>
      <c r="AP35" s="445">
        <v>15</v>
      </c>
      <c r="AQ35" s="451">
        <v>3</v>
      </c>
      <c r="AR35" s="451">
        <v>5</v>
      </c>
      <c r="AS35" s="445">
        <v>2</v>
      </c>
      <c r="AT35" s="445">
        <v>3</v>
      </c>
      <c r="AU35" s="445">
        <v>10</v>
      </c>
      <c r="AV35" s="445" t="str">
        <f t="shared" si="5"/>
        <v>Vàng:3000:MG01:3</v>
      </c>
      <c r="AW35" s="440">
        <v>100</v>
      </c>
      <c r="AX35" s="450">
        <v>3</v>
      </c>
      <c r="AY35" s="450">
        <v>2</v>
      </c>
      <c r="AZ35" s="450">
        <v>29</v>
      </c>
      <c r="BA35" s="31">
        <v>3000</v>
      </c>
      <c r="BB35" s="31">
        <v>3</v>
      </c>
      <c r="BC35" s="31">
        <f t="shared" si="1"/>
        <v>15000</v>
      </c>
    </row>
    <row r="36" spans="1:55" x14ac:dyDescent="0.25">
      <c r="A36" s="28" t="s">
        <v>2199</v>
      </c>
      <c r="B36" s="428">
        <v>34</v>
      </c>
      <c r="C36" s="13">
        <v>5</v>
      </c>
      <c r="D36" s="4">
        <v>9</v>
      </c>
      <c r="E36" s="445">
        <v>1500</v>
      </c>
      <c r="F36" s="13">
        <v>3</v>
      </c>
      <c r="G36" s="13">
        <v>8</v>
      </c>
      <c r="H36" s="13">
        <v>10</v>
      </c>
      <c r="I36" s="455" t="s">
        <v>2218</v>
      </c>
      <c r="J36" s="451">
        <v>3</v>
      </c>
      <c r="K36" s="445">
        <v>55</v>
      </c>
      <c r="L36" s="445">
        <v>45</v>
      </c>
      <c r="M36" s="445">
        <v>3</v>
      </c>
      <c r="N36" s="13">
        <v>5</v>
      </c>
      <c r="O36" s="446">
        <v>20</v>
      </c>
      <c r="P36" s="445">
        <v>80</v>
      </c>
      <c r="Q36" s="23">
        <v>6</v>
      </c>
      <c r="R36" s="23">
        <v>6</v>
      </c>
      <c r="S36" s="445">
        <v>40</v>
      </c>
      <c r="T36" s="445">
        <f t="shared" si="3"/>
        <v>60</v>
      </c>
      <c r="U36" s="447">
        <v>0.9</v>
      </c>
      <c r="V36" s="448">
        <v>1.87</v>
      </c>
      <c r="W36" s="449">
        <v>2.3333333333333335</v>
      </c>
      <c r="X36" s="448">
        <v>2.7</v>
      </c>
      <c r="Y36" s="448">
        <v>3.3600000000000003</v>
      </c>
      <c r="Z36" s="448">
        <v>2</v>
      </c>
      <c r="AA36" s="448">
        <v>4.4719999999999995</v>
      </c>
      <c r="AB36" s="448">
        <v>0.84</v>
      </c>
      <c r="AC36" s="445">
        <v>170000</v>
      </c>
      <c r="AD36" s="450">
        <v>350</v>
      </c>
      <c r="AE36" s="451">
        <f t="shared" si="6"/>
        <v>3600</v>
      </c>
      <c r="AF36" s="445">
        <v>500</v>
      </c>
      <c r="AG36" s="447">
        <v>1.17</v>
      </c>
      <c r="AH36" s="451">
        <v>2</v>
      </c>
      <c r="AI36" s="451">
        <v>4</v>
      </c>
      <c r="AJ36" s="445">
        <v>2</v>
      </c>
      <c r="AK36" s="445">
        <v>3</v>
      </c>
      <c r="AL36" s="2" t="s">
        <v>2226</v>
      </c>
      <c r="AM36" s="2" t="s">
        <v>2225</v>
      </c>
      <c r="AN36" s="2" t="s">
        <v>2222</v>
      </c>
      <c r="AO36" s="445">
        <v>8</v>
      </c>
      <c r="AP36" s="445">
        <v>15</v>
      </c>
      <c r="AQ36" s="451">
        <v>3</v>
      </c>
      <c r="AR36" s="451">
        <v>5</v>
      </c>
      <c r="AS36" s="445">
        <v>2</v>
      </c>
      <c r="AT36" s="445">
        <v>3</v>
      </c>
      <c r="AU36" s="445">
        <v>10</v>
      </c>
      <c r="AV36" s="445" t="str">
        <f t="shared" si="5"/>
        <v>Vàng:3100:MG01:3</v>
      </c>
      <c r="AW36" s="440">
        <v>100</v>
      </c>
      <c r="AX36" s="450">
        <v>3</v>
      </c>
      <c r="AY36" s="450">
        <v>2</v>
      </c>
      <c r="AZ36" s="450">
        <v>30</v>
      </c>
      <c r="BA36" s="31">
        <v>3100</v>
      </c>
      <c r="BB36" s="31">
        <v>3</v>
      </c>
      <c r="BC36" s="31">
        <f t="shared" si="1"/>
        <v>15500</v>
      </c>
    </row>
    <row r="37" spans="1:55" x14ac:dyDescent="0.25">
      <c r="A37" s="28" t="s">
        <v>2199</v>
      </c>
      <c r="B37" s="29">
        <v>35</v>
      </c>
      <c r="C37" s="13">
        <v>5</v>
      </c>
      <c r="D37" s="4">
        <v>10</v>
      </c>
      <c r="E37" s="445">
        <v>1500</v>
      </c>
      <c r="F37" s="13">
        <v>3</v>
      </c>
      <c r="G37" s="13">
        <v>10</v>
      </c>
      <c r="H37" s="13">
        <v>10</v>
      </c>
      <c r="I37" s="455" t="s">
        <v>2218</v>
      </c>
      <c r="J37" s="451">
        <v>3</v>
      </c>
      <c r="K37" s="445">
        <v>55</v>
      </c>
      <c r="L37" s="445">
        <v>45</v>
      </c>
      <c r="M37" s="445">
        <v>3</v>
      </c>
      <c r="N37" s="13">
        <v>5</v>
      </c>
      <c r="O37" s="446">
        <v>20</v>
      </c>
      <c r="P37" s="445">
        <v>80</v>
      </c>
      <c r="Q37" s="23">
        <v>6</v>
      </c>
      <c r="R37" s="23">
        <v>7</v>
      </c>
      <c r="S37" s="445">
        <v>40</v>
      </c>
      <c r="T37" s="445">
        <f t="shared" si="3"/>
        <v>60</v>
      </c>
      <c r="U37" s="447">
        <v>0.9</v>
      </c>
      <c r="V37" s="448">
        <v>1.87</v>
      </c>
      <c r="W37" s="449">
        <v>2.3666666666666667</v>
      </c>
      <c r="X37" s="448">
        <v>2.7</v>
      </c>
      <c r="Y37" s="448">
        <v>3.4</v>
      </c>
      <c r="Z37" s="448">
        <v>2</v>
      </c>
      <c r="AA37" s="448">
        <v>4.3680000000000003</v>
      </c>
      <c r="AB37" s="448">
        <v>0.84</v>
      </c>
      <c r="AC37" s="445">
        <v>175000</v>
      </c>
      <c r="AD37" s="450">
        <v>400</v>
      </c>
      <c r="AE37" s="451">
        <f t="shared" si="6"/>
        <v>3600</v>
      </c>
      <c r="AF37" s="445">
        <v>500</v>
      </c>
      <c r="AG37" s="447">
        <v>1.17</v>
      </c>
      <c r="AH37" s="445">
        <v>3</v>
      </c>
      <c r="AI37" s="445">
        <v>4</v>
      </c>
      <c r="AJ37" s="445">
        <v>2</v>
      </c>
      <c r="AK37" s="445">
        <v>3</v>
      </c>
      <c r="AL37" s="2" t="s">
        <v>2227</v>
      </c>
      <c r="AM37" s="2" t="s">
        <v>2228</v>
      </c>
      <c r="AN37" s="2" t="s">
        <v>2222</v>
      </c>
      <c r="AO37" s="445">
        <v>8</v>
      </c>
      <c r="AP37" s="445">
        <v>15</v>
      </c>
      <c r="AQ37" s="451">
        <v>3</v>
      </c>
      <c r="AR37" s="451">
        <v>5</v>
      </c>
      <c r="AS37" s="445">
        <v>2</v>
      </c>
      <c r="AT37" s="445">
        <v>3</v>
      </c>
      <c r="AU37" s="445">
        <v>10</v>
      </c>
      <c r="AV37" s="445" t="str">
        <f t="shared" si="5"/>
        <v>Vàng:3200:MG01:3</v>
      </c>
      <c r="AW37" s="440">
        <v>100</v>
      </c>
      <c r="AX37" s="450">
        <v>3</v>
      </c>
      <c r="AY37" s="450">
        <v>2</v>
      </c>
      <c r="AZ37" s="450">
        <v>31</v>
      </c>
      <c r="BA37" s="31">
        <v>3200</v>
      </c>
      <c r="BB37" s="31">
        <v>3</v>
      </c>
      <c r="BC37" s="31">
        <f t="shared" si="1"/>
        <v>16000</v>
      </c>
    </row>
    <row r="38" spans="1:55" x14ac:dyDescent="0.25">
      <c r="A38" s="28" t="s">
        <v>2199</v>
      </c>
      <c r="B38" s="428">
        <v>36</v>
      </c>
      <c r="C38" s="13">
        <v>5</v>
      </c>
      <c r="D38" s="4">
        <v>10</v>
      </c>
      <c r="E38" s="445">
        <v>1500</v>
      </c>
      <c r="F38" s="13">
        <v>3</v>
      </c>
      <c r="G38" s="13">
        <v>10</v>
      </c>
      <c r="H38" s="13">
        <v>10</v>
      </c>
      <c r="I38" s="455" t="s">
        <v>2218</v>
      </c>
      <c r="J38" s="451">
        <v>3</v>
      </c>
      <c r="K38" s="445">
        <v>55</v>
      </c>
      <c r="L38" s="445">
        <v>45</v>
      </c>
      <c r="M38" s="445">
        <v>3</v>
      </c>
      <c r="N38" s="13">
        <v>6</v>
      </c>
      <c r="O38" s="446">
        <v>20</v>
      </c>
      <c r="P38" s="445">
        <v>80</v>
      </c>
      <c r="Q38" s="23">
        <v>6</v>
      </c>
      <c r="R38" s="23">
        <v>7</v>
      </c>
      <c r="S38" s="445">
        <v>35</v>
      </c>
      <c r="T38" s="445">
        <f t="shared" si="3"/>
        <v>65</v>
      </c>
      <c r="U38" s="447">
        <v>0.9</v>
      </c>
      <c r="V38" s="448">
        <v>1.87</v>
      </c>
      <c r="W38" s="449">
        <v>2.4</v>
      </c>
      <c r="X38" s="448">
        <v>2.7</v>
      </c>
      <c r="Y38" s="448">
        <v>3.44</v>
      </c>
      <c r="Z38" s="448">
        <v>2</v>
      </c>
      <c r="AA38" s="457">
        <v>4.2640000000000002</v>
      </c>
      <c r="AB38" s="457">
        <v>0.7</v>
      </c>
      <c r="AC38" s="445">
        <v>180000</v>
      </c>
      <c r="AD38" s="450">
        <v>400</v>
      </c>
      <c r="AE38" s="451">
        <f t="shared" si="6"/>
        <v>3600</v>
      </c>
      <c r="AF38" s="445">
        <v>500</v>
      </c>
      <c r="AG38" s="447">
        <v>1.17</v>
      </c>
      <c r="AH38" s="445">
        <v>3</v>
      </c>
      <c r="AI38" s="445">
        <v>4</v>
      </c>
      <c r="AJ38" s="445">
        <v>2</v>
      </c>
      <c r="AK38" s="445">
        <v>3</v>
      </c>
      <c r="AL38" s="2" t="s">
        <v>2227</v>
      </c>
      <c r="AM38" s="2" t="s">
        <v>2228</v>
      </c>
      <c r="AN38" s="2" t="s">
        <v>2222</v>
      </c>
      <c r="AO38" s="445">
        <v>8</v>
      </c>
      <c r="AP38" s="445">
        <v>15</v>
      </c>
      <c r="AQ38" s="451">
        <v>3</v>
      </c>
      <c r="AR38" s="451">
        <v>5</v>
      </c>
      <c r="AS38" s="445">
        <v>2</v>
      </c>
      <c r="AT38" s="445">
        <v>3</v>
      </c>
      <c r="AU38" s="445">
        <v>10</v>
      </c>
      <c r="AV38" s="445" t="str">
        <f t="shared" si="5"/>
        <v>Vàng:3300:MG01:3</v>
      </c>
      <c r="AW38" s="440">
        <v>100</v>
      </c>
      <c r="AX38" s="450">
        <v>3</v>
      </c>
      <c r="AY38" s="450">
        <v>2</v>
      </c>
      <c r="AZ38" s="450">
        <v>32</v>
      </c>
      <c r="BA38" s="31">
        <v>3300</v>
      </c>
      <c r="BB38" s="31">
        <v>3</v>
      </c>
      <c r="BC38" s="31">
        <f t="shared" si="1"/>
        <v>16500</v>
      </c>
    </row>
    <row r="39" spans="1:55" x14ac:dyDescent="0.25">
      <c r="A39" s="28" t="s">
        <v>2199</v>
      </c>
      <c r="B39" s="29">
        <v>37</v>
      </c>
      <c r="C39" s="13">
        <v>5</v>
      </c>
      <c r="D39" s="4">
        <v>10</v>
      </c>
      <c r="E39" s="445">
        <v>1500</v>
      </c>
      <c r="F39" s="13">
        <v>4</v>
      </c>
      <c r="G39" s="13">
        <v>10</v>
      </c>
      <c r="H39" s="13">
        <v>10</v>
      </c>
      <c r="I39" s="455" t="s">
        <v>2218</v>
      </c>
      <c r="J39" s="451">
        <v>3</v>
      </c>
      <c r="K39" s="445">
        <v>55</v>
      </c>
      <c r="L39" s="445">
        <v>45</v>
      </c>
      <c r="M39" s="445">
        <v>3</v>
      </c>
      <c r="N39" s="13">
        <v>6</v>
      </c>
      <c r="O39" s="446">
        <v>20</v>
      </c>
      <c r="P39" s="445">
        <v>80</v>
      </c>
      <c r="Q39" s="23">
        <v>6</v>
      </c>
      <c r="R39" s="23">
        <v>7</v>
      </c>
      <c r="S39" s="445">
        <v>35</v>
      </c>
      <c r="T39" s="445">
        <f t="shared" si="3"/>
        <v>65</v>
      </c>
      <c r="U39" s="447">
        <v>0.9</v>
      </c>
      <c r="V39" s="448">
        <v>1.87</v>
      </c>
      <c r="W39" s="449">
        <v>2.4333333333333331</v>
      </c>
      <c r="X39" s="448">
        <v>2.7</v>
      </c>
      <c r="Y39" s="448">
        <v>3.4799999999999995</v>
      </c>
      <c r="Z39" s="448">
        <v>2</v>
      </c>
      <c r="AA39" s="448">
        <v>4.2640000000000002</v>
      </c>
      <c r="AB39" s="448">
        <v>0.7</v>
      </c>
      <c r="AC39" s="445">
        <v>185000</v>
      </c>
      <c r="AD39" s="450">
        <v>400</v>
      </c>
      <c r="AE39" s="451">
        <f t="shared" si="6"/>
        <v>3600</v>
      </c>
      <c r="AF39" s="445">
        <v>500</v>
      </c>
      <c r="AG39" s="447">
        <v>1.17</v>
      </c>
      <c r="AH39" s="445">
        <v>3</v>
      </c>
      <c r="AI39" s="445">
        <v>4</v>
      </c>
      <c r="AJ39" s="445">
        <v>2</v>
      </c>
      <c r="AK39" s="445">
        <v>3</v>
      </c>
      <c r="AL39" s="2" t="s">
        <v>2229</v>
      </c>
      <c r="AM39" s="2" t="s">
        <v>2230</v>
      </c>
      <c r="AN39" s="2" t="s">
        <v>2222</v>
      </c>
      <c r="AO39" s="445">
        <v>8</v>
      </c>
      <c r="AP39" s="445">
        <v>15</v>
      </c>
      <c r="AQ39" s="451">
        <v>3</v>
      </c>
      <c r="AR39" s="451">
        <v>5</v>
      </c>
      <c r="AS39" s="445">
        <v>2</v>
      </c>
      <c r="AT39" s="445">
        <v>3</v>
      </c>
      <c r="AU39" s="445">
        <v>10</v>
      </c>
      <c r="AV39" s="445" t="str">
        <f t="shared" si="5"/>
        <v>Vàng:3400:MG01:3</v>
      </c>
      <c r="AW39" s="440">
        <v>100</v>
      </c>
      <c r="AX39" s="450">
        <v>3</v>
      </c>
      <c r="AY39" s="450">
        <v>2</v>
      </c>
      <c r="AZ39" s="450">
        <v>33</v>
      </c>
      <c r="BA39" s="31">
        <v>3400</v>
      </c>
      <c r="BB39" s="31">
        <v>3</v>
      </c>
      <c r="BC39" s="31">
        <f t="shared" si="1"/>
        <v>17000</v>
      </c>
    </row>
    <row r="40" spans="1:55" x14ac:dyDescent="0.25">
      <c r="A40" s="28" t="s">
        <v>2199</v>
      </c>
      <c r="B40" s="428">
        <v>38</v>
      </c>
      <c r="C40" s="13">
        <v>5</v>
      </c>
      <c r="D40" s="4">
        <v>10</v>
      </c>
      <c r="E40" s="445">
        <v>1500</v>
      </c>
      <c r="F40" s="13">
        <v>4</v>
      </c>
      <c r="G40" s="13">
        <v>10</v>
      </c>
      <c r="H40" s="13">
        <v>10</v>
      </c>
      <c r="I40" s="455" t="s">
        <v>2218</v>
      </c>
      <c r="J40" s="451">
        <v>3</v>
      </c>
      <c r="K40" s="445">
        <v>55</v>
      </c>
      <c r="L40" s="445">
        <v>45</v>
      </c>
      <c r="M40" s="445">
        <v>3</v>
      </c>
      <c r="N40" s="13">
        <v>6</v>
      </c>
      <c r="O40" s="446">
        <v>20</v>
      </c>
      <c r="P40" s="445">
        <v>80</v>
      </c>
      <c r="Q40" s="23">
        <v>6</v>
      </c>
      <c r="R40" s="23">
        <v>7</v>
      </c>
      <c r="S40" s="445">
        <v>35</v>
      </c>
      <c r="T40" s="445">
        <f t="shared" si="3"/>
        <v>65</v>
      </c>
      <c r="U40" s="447">
        <v>0.9</v>
      </c>
      <c r="V40" s="448">
        <v>1.87</v>
      </c>
      <c r="W40" s="449">
        <v>2.4666666666666668</v>
      </c>
      <c r="X40" s="448">
        <v>2.7</v>
      </c>
      <c r="Y40" s="448">
        <v>3.5200000000000005</v>
      </c>
      <c r="Z40" s="448">
        <v>2</v>
      </c>
      <c r="AA40" s="448">
        <v>4.2640000000000002</v>
      </c>
      <c r="AB40" s="448">
        <v>0.7</v>
      </c>
      <c r="AC40" s="445">
        <v>190000</v>
      </c>
      <c r="AD40" s="450">
        <v>400</v>
      </c>
      <c r="AE40" s="451">
        <f t="shared" si="6"/>
        <v>3600</v>
      </c>
      <c r="AF40" s="445">
        <v>500</v>
      </c>
      <c r="AG40" s="447">
        <v>1.17</v>
      </c>
      <c r="AH40" s="445">
        <v>3</v>
      </c>
      <c r="AI40" s="445">
        <v>4</v>
      </c>
      <c r="AJ40" s="445">
        <v>2</v>
      </c>
      <c r="AK40" s="445">
        <v>3</v>
      </c>
      <c r="AL40" s="2" t="s">
        <v>2229</v>
      </c>
      <c r="AM40" s="2" t="s">
        <v>2231</v>
      </c>
      <c r="AN40" s="2" t="s">
        <v>2232</v>
      </c>
      <c r="AO40" s="445">
        <v>8</v>
      </c>
      <c r="AP40" s="445">
        <v>15</v>
      </c>
      <c r="AQ40" s="451">
        <v>3</v>
      </c>
      <c r="AR40" s="451">
        <v>5</v>
      </c>
      <c r="AS40" s="445">
        <v>2</v>
      </c>
      <c r="AT40" s="445">
        <v>3</v>
      </c>
      <c r="AU40" s="445">
        <v>10</v>
      </c>
      <c r="AV40" s="445" t="str">
        <f t="shared" si="5"/>
        <v>Vàng:3500:MG01:3</v>
      </c>
      <c r="AW40" s="440">
        <v>100</v>
      </c>
      <c r="AX40" s="450">
        <v>3</v>
      </c>
      <c r="AY40" s="450">
        <v>2</v>
      </c>
      <c r="AZ40" s="450">
        <v>34</v>
      </c>
      <c r="BA40" s="31">
        <v>3500</v>
      </c>
      <c r="BB40" s="31">
        <v>3</v>
      </c>
      <c r="BC40" s="31">
        <f t="shared" si="1"/>
        <v>17500</v>
      </c>
    </row>
    <row r="41" spans="1:55" x14ac:dyDescent="0.25">
      <c r="A41" s="28" t="s">
        <v>2199</v>
      </c>
      <c r="B41" s="29">
        <v>39</v>
      </c>
      <c r="C41" s="13">
        <v>5</v>
      </c>
      <c r="D41" s="4">
        <v>10</v>
      </c>
      <c r="E41" s="445">
        <v>1500</v>
      </c>
      <c r="F41" s="13">
        <v>4</v>
      </c>
      <c r="G41" s="13">
        <v>10</v>
      </c>
      <c r="H41" s="13">
        <v>10</v>
      </c>
      <c r="I41" s="455" t="s">
        <v>2218</v>
      </c>
      <c r="J41" s="451">
        <v>3</v>
      </c>
      <c r="K41" s="445">
        <v>55</v>
      </c>
      <c r="L41" s="445">
        <v>45</v>
      </c>
      <c r="M41" s="445">
        <v>3</v>
      </c>
      <c r="N41" s="13">
        <v>6</v>
      </c>
      <c r="O41" s="446">
        <v>20</v>
      </c>
      <c r="P41" s="445">
        <v>80</v>
      </c>
      <c r="Q41" s="23">
        <v>6</v>
      </c>
      <c r="R41" s="23">
        <v>8</v>
      </c>
      <c r="S41" s="445">
        <v>35</v>
      </c>
      <c r="T41" s="445">
        <f t="shared" si="3"/>
        <v>65</v>
      </c>
      <c r="U41" s="447">
        <v>0.9</v>
      </c>
      <c r="V41" s="448">
        <v>1.87</v>
      </c>
      <c r="W41" s="449">
        <v>2.5</v>
      </c>
      <c r="X41" s="448">
        <v>2.7</v>
      </c>
      <c r="Y41" s="448">
        <v>3.56</v>
      </c>
      <c r="Z41" s="448">
        <v>2</v>
      </c>
      <c r="AA41" s="448">
        <v>4.2640000000000002</v>
      </c>
      <c r="AB41" s="448">
        <v>0.7</v>
      </c>
      <c r="AC41" s="445">
        <v>195000</v>
      </c>
      <c r="AD41" s="450">
        <v>400</v>
      </c>
      <c r="AE41" s="451">
        <f t="shared" si="6"/>
        <v>3600</v>
      </c>
      <c r="AF41" s="445">
        <v>500</v>
      </c>
      <c r="AG41" s="447">
        <v>1.17</v>
      </c>
      <c r="AH41" s="445">
        <v>3</v>
      </c>
      <c r="AI41" s="445">
        <v>4</v>
      </c>
      <c r="AJ41" s="445">
        <v>2</v>
      </c>
      <c r="AK41" s="445">
        <v>3</v>
      </c>
      <c r="AL41" s="2" t="s">
        <v>2229</v>
      </c>
      <c r="AM41" s="2" t="s">
        <v>2231</v>
      </c>
      <c r="AN41" s="2" t="s">
        <v>2232</v>
      </c>
      <c r="AO41" s="445">
        <v>8</v>
      </c>
      <c r="AP41" s="445">
        <v>15</v>
      </c>
      <c r="AQ41" s="451">
        <v>3</v>
      </c>
      <c r="AR41" s="451">
        <v>5</v>
      </c>
      <c r="AS41" s="445">
        <v>2</v>
      </c>
      <c r="AT41" s="445">
        <v>3</v>
      </c>
      <c r="AU41" s="445">
        <v>10</v>
      </c>
      <c r="AV41" s="445" t="str">
        <f t="shared" si="5"/>
        <v>Vàng:3600:MG01:3</v>
      </c>
      <c r="AW41" s="440">
        <v>100</v>
      </c>
      <c r="AX41" s="450">
        <v>3</v>
      </c>
      <c r="AY41" s="450">
        <v>2</v>
      </c>
      <c r="AZ41" s="450">
        <v>35</v>
      </c>
      <c r="BA41" s="31">
        <v>3600</v>
      </c>
      <c r="BB41" s="31">
        <v>3</v>
      </c>
      <c r="BC41" s="31">
        <f t="shared" si="1"/>
        <v>18000</v>
      </c>
    </row>
    <row r="42" spans="1:55" x14ac:dyDescent="0.25">
      <c r="A42" s="28" t="s">
        <v>2199</v>
      </c>
      <c r="B42" s="428">
        <v>40</v>
      </c>
      <c r="C42" s="13">
        <v>5</v>
      </c>
      <c r="D42" s="4">
        <v>11</v>
      </c>
      <c r="E42" s="445">
        <v>1800</v>
      </c>
      <c r="F42" s="13">
        <v>4</v>
      </c>
      <c r="G42" s="13">
        <v>10</v>
      </c>
      <c r="H42" s="13">
        <v>10</v>
      </c>
      <c r="I42" s="455" t="s">
        <v>2218</v>
      </c>
      <c r="J42" s="451">
        <v>3</v>
      </c>
      <c r="K42" s="445">
        <v>55</v>
      </c>
      <c r="L42" s="445">
        <v>45</v>
      </c>
      <c r="M42" s="445">
        <v>3</v>
      </c>
      <c r="N42" s="13">
        <v>6</v>
      </c>
      <c r="O42" s="446">
        <v>20</v>
      </c>
      <c r="P42" s="445">
        <v>80</v>
      </c>
      <c r="Q42" s="23">
        <v>6</v>
      </c>
      <c r="R42" s="23">
        <v>8</v>
      </c>
      <c r="S42" s="445">
        <v>35</v>
      </c>
      <c r="T42" s="445">
        <f t="shared" si="3"/>
        <v>65</v>
      </c>
      <c r="U42" s="447">
        <v>0.9</v>
      </c>
      <c r="V42" s="448">
        <v>1.87</v>
      </c>
      <c r="W42" s="449">
        <v>2.5333333333333332</v>
      </c>
      <c r="X42" s="448">
        <v>2.7</v>
      </c>
      <c r="Y42" s="448">
        <v>3.6</v>
      </c>
      <c r="Z42" s="448">
        <v>2</v>
      </c>
      <c r="AA42" s="448">
        <v>4.2640000000000002</v>
      </c>
      <c r="AB42" s="448">
        <v>0.7</v>
      </c>
      <c r="AC42" s="445">
        <v>200000</v>
      </c>
      <c r="AD42" s="450">
        <v>450</v>
      </c>
      <c r="AE42" s="451">
        <f t="shared" si="6"/>
        <v>3600</v>
      </c>
      <c r="AF42" s="445">
        <v>500</v>
      </c>
      <c r="AG42" s="447">
        <v>1.17</v>
      </c>
      <c r="AH42" s="445">
        <v>3</v>
      </c>
      <c r="AI42" s="445">
        <v>4</v>
      </c>
      <c r="AJ42" s="445">
        <v>2</v>
      </c>
      <c r="AK42" s="445">
        <v>3</v>
      </c>
      <c r="AL42" s="2" t="s">
        <v>2233</v>
      </c>
      <c r="AM42" s="2" t="s">
        <v>2231</v>
      </c>
      <c r="AN42" s="2" t="s">
        <v>2234</v>
      </c>
      <c r="AO42" s="445">
        <v>8</v>
      </c>
      <c r="AP42" s="445">
        <v>15</v>
      </c>
      <c r="AQ42" s="451">
        <v>3</v>
      </c>
      <c r="AR42" s="451">
        <v>5</v>
      </c>
      <c r="AS42" s="445">
        <v>2</v>
      </c>
      <c r="AT42" s="445">
        <v>3</v>
      </c>
      <c r="AU42" s="445">
        <v>15</v>
      </c>
      <c r="AV42" s="445" t="str">
        <f t="shared" si="5"/>
        <v>Vàng:3700:MG01:3</v>
      </c>
      <c r="AW42" s="440">
        <v>100</v>
      </c>
      <c r="AX42" s="450">
        <v>4</v>
      </c>
      <c r="AY42" s="450">
        <v>2</v>
      </c>
      <c r="AZ42" s="450">
        <v>36</v>
      </c>
      <c r="BA42" s="31">
        <v>3700</v>
      </c>
      <c r="BB42" s="31">
        <v>3</v>
      </c>
      <c r="BC42" s="31">
        <f t="shared" si="1"/>
        <v>18500</v>
      </c>
    </row>
    <row r="43" spans="1:55" x14ac:dyDescent="0.25">
      <c r="A43" s="28" t="s">
        <v>2199</v>
      </c>
      <c r="B43" s="29">
        <v>41</v>
      </c>
      <c r="C43" s="13">
        <v>5</v>
      </c>
      <c r="D43" s="4">
        <v>11</v>
      </c>
      <c r="E43" s="445">
        <v>1800</v>
      </c>
      <c r="F43" s="445">
        <v>4</v>
      </c>
      <c r="G43" s="13">
        <v>10</v>
      </c>
      <c r="H43" s="13">
        <v>10</v>
      </c>
      <c r="I43" s="455" t="s">
        <v>2218</v>
      </c>
      <c r="J43" s="451">
        <v>3</v>
      </c>
      <c r="K43" s="445">
        <v>55</v>
      </c>
      <c r="L43" s="445">
        <v>45</v>
      </c>
      <c r="M43" s="445">
        <v>3</v>
      </c>
      <c r="N43" s="13">
        <v>7</v>
      </c>
      <c r="O43" s="446">
        <v>20</v>
      </c>
      <c r="P43" s="445">
        <v>80</v>
      </c>
      <c r="Q43" s="23">
        <v>6</v>
      </c>
      <c r="R43" s="23">
        <v>8</v>
      </c>
      <c r="S43" s="445">
        <v>30</v>
      </c>
      <c r="T43" s="445">
        <f t="shared" si="3"/>
        <v>70</v>
      </c>
      <c r="U43" s="447">
        <v>0.9</v>
      </c>
      <c r="V43" s="448">
        <v>1.87</v>
      </c>
      <c r="W43" s="449">
        <v>2.5666666666666669</v>
      </c>
      <c r="X43" s="448">
        <v>2.7</v>
      </c>
      <c r="Y43" s="448">
        <v>3.6399999999999997</v>
      </c>
      <c r="Z43" s="448">
        <v>2</v>
      </c>
      <c r="AA43" s="448">
        <v>4.2640000000000002</v>
      </c>
      <c r="AB43" s="448">
        <v>0.7</v>
      </c>
      <c r="AC43" s="445">
        <v>205000</v>
      </c>
      <c r="AD43" s="450">
        <v>450</v>
      </c>
      <c r="AE43" s="451">
        <f t="shared" si="6"/>
        <v>3600</v>
      </c>
      <c r="AF43" s="445">
        <v>500</v>
      </c>
      <c r="AG43" s="447">
        <v>1.17</v>
      </c>
      <c r="AH43" s="445">
        <v>3</v>
      </c>
      <c r="AI43" s="445">
        <v>4</v>
      </c>
      <c r="AJ43" s="445">
        <v>2</v>
      </c>
      <c r="AK43" s="445">
        <v>3</v>
      </c>
      <c r="AL43" s="2" t="s">
        <v>2233</v>
      </c>
      <c r="AM43" s="2" t="s">
        <v>2231</v>
      </c>
      <c r="AN43" s="2" t="s">
        <v>2357</v>
      </c>
      <c r="AO43" s="445">
        <v>8</v>
      </c>
      <c r="AP43" s="445">
        <v>15</v>
      </c>
      <c r="AQ43" s="445">
        <v>3</v>
      </c>
      <c r="AR43" s="445">
        <v>6</v>
      </c>
      <c r="AS43" s="445">
        <v>2</v>
      </c>
      <c r="AT43" s="445">
        <v>3</v>
      </c>
      <c r="AU43" s="445">
        <v>15</v>
      </c>
      <c r="AV43" s="445" t="str">
        <f t="shared" si="5"/>
        <v>Vàng:3800:MG01:3</v>
      </c>
      <c r="AW43" s="440">
        <v>100</v>
      </c>
      <c r="AX43" s="450">
        <v>4</v>
      </c>
      <c r="AY43" s="450">
        <v>2</v>
      </c>
      <c r="AZ43" s="450">
        <v>37</v>
      </c>
      <c r="BA43" s="31">
        <v>3800</v>
      </c>
      <c r="BB43" s="31">
        <v>3</v>
      </c>
      <c r="BC43" s="31">
        <f t="shared" si="1"/>
        <v>19000</v>
      </c>
    </row>
    <row r="44" spans="1:55" x14ac:dyDescent="0.25">
      <c r="A44" s="28" t="s">
        <v>2199</v>
      </c>
      <c r="B44" s="428">
        <v>42</v>
      </c>
      <c r="C44" s="13">
        <v>5</v>
      </c>
      <c r="D44" s="4">
        <v>11</v>
      </c>
      <c r="E44" s="445">
        <v>1800</v>
      </c>
      <c r="F44" s="445">
        <v>4</v>
      </c>
      <c r="G44" s="13">
        <v>10</v>
      </c>
      <c r="H44" s="13">
        <v>10</v>
      </c>
      <c r="I44" s="455" t="s">
        <v>2218</v>
      </c>
      <c r="J44" s="451">
        <v>3</v>
      </c>
      <c r="K44" s="445">
        <v>55</v>
      </c>
      <c r="L44" s="445">
        <v>45</v>
      </c>
      <c r="M44" s="445">
        <v>3</v>
      </c>
      <c r="N44" s="13">
        <v>7</v>
      </c>
      <c r="O44" s="446">
        <v>20</v>
      </c>
      <c r="P44" s="445">
        <v>80</v>
      </c>
      <c r="Q44" s="23">
        <v>6</v>
      </c>
      <c r="R44" s="23">
        <v>8</v>
      </c>
      <c r="S44" s="445">
        <v>30</v>
      </c>
      <c r="T44" s="445">
        <f t="shared" si="3"/>
        <v>70</v>
      </c>
      <c r="U44" s="447">
        <v>0.9</v>
      </c>
      <c r="V44" s="448">
        <v>1.87</v>
      </c>
      <c r="W44" s="449">
        <v>2.6</v>
      </c>
      <c r="X44" s="448">
        <v>2.7</v>
      </c>
      <c r="Y44" s="448">
        <v>3.6799999999999997</v>
      </c>
      <c r="Z44" s="448">
        <v>2</v>
      </c>
      <c r="AA44" s="448">
        <v>4.2640000000000002</v>
      </c>
      <c r="AB44" s="448">
        <v>0.7</v>
      </c>
      <c r="AC44" s="445">
        <v>210000</v>
      </c>
      <c r="AD44" s="450">
        <v>450</v>
      </c>
      <c r="AE44" s="451">
        <f t="shared" si="6"/>
        <v>3600</v>
      </c>
      <c r="AF44" s="445">
        <v>500</v>
      </c>
      <c r="AG44" s="447">
        <v>1.17</v>
      </c>
      <c r="AH44" s="445">
        <v>3</v>
      </c>
      <c r="AI44" s="445">
        <v>4</v>
      </c>
      <c r="AJ44" s="445">
        <v>2</v>
      </c>
      <c r="AK44" s="445">
        <v>3</v>
      </c>
      <c r="AL44" s="2" t="s">
        <v>2233</v>
      </c>
      <c r="AM44" s="2" t="s">
        <v>2231</v>
      </c>
      <c r="AN44" s="2" t="s">
        <v>2358</v>
      </c>
      <c r="AO44" s="445">
        <v>8</v>
      </c>
      <c r="AP44" s="445">
        <v>15</v>
      </c>
      <c r="AQ44" s="445">
        <v>3</v>
      </c>
      <c r="AR44" s="445">
        <v>6</v>
      </c>
      <c r="AS44" s="445">
        <v>2</v>
      </c>
      <c r="AT44" s="445">
        <v>3</v>
      </c>
      <c r="AU44" s="445">
        <v>15</v>
      </c>
      <c r="AV44" s="445" t="str">
        <f t="shared" si="5"/>
        <v>Vàng:3900:MG01:3</v>
      </c>
      <c r="AW44" s="440">
        <v>100</v>
      </c>
      <c r="AX44" s="450">
        <v>4</v>
      </c>
      <c r="AY44" s="450">
        <v>2</v>
      </c>
      <c r="AZ44" s="450">
        <v>38</v>
      </c>
      <c r="BA44" s="31">
        <v>3900</v>
      </c>
      <c r="BB44" s="31">
        <v>3</v>
      </c>
      <c r="BC44" s="31">
        <f t="shared" si="1"/>
        <v>19500</v>
      </c>
    </row>
    <row r="45" spans="1:55" x14ac:dyDescent="0.25">
      <c r="A45" s="28" t="s">
        <v>2199</v>
      </c>
      <c r="B45" s="29">
        <v>43</v>
      </c>
      <c r="C45" s="13">
        <v>5</v>
      </c>
      <c r="D45" s="4">
        <v>11</v>
      </c>
      <c r="E45" s="445">
        <v>1800</v>
      </c>
      <c r="F45" s="445">
        <v>4</v>
      </c>
      <c r="G45" s="13">
        <v>10</v>
      </c>
      <c r="H45" s="13">
        <v>10</v>
      </c>
      <c r="I45" s="455" t="s">
        <v>2218</v>
      </c>
      <c r="J45" s="451">
        <v>3</v>
      </c>
      <c r="K45" s="445">
        <v>55</v>
      </c>
      <c r="L45" s="445">
        <v>45</v>
      </c>
      <c r="M45" s="445">
        <v>3</v>
      </c>
      <c r="N45" s="13">
        <v>7</v>
      </c>
      <c r="O45" s="446">
        <v>20</v>
      </c>
      <c r="P45" s="445">
        <v>80</v>
      </c>
      <c r="Q45" s="23">
        <v>6</v>
      </c>
      <c r="R45" s="23">
        <v>8</v>
      </c>
      <c r="S45" s="445">
        <v>30</v>
      </c>
      <c r="T45" s="445">
        <f t="shared" si="3"/>
        <v>70</v>
      </c>
      <c r="U45" s="447">
        <v>0.9</v>
      </c>
      <c r="V45" s="448">
        <v>1.87</v>
      </c>
      <c r="W45" s="449">
        <v>2.6333333333333333</v>
      </c>
      <c r="X45" s="448">
        <v>2.7</v>
      </c>
      <c r="Y45" s="448">
        <v>3.72</v>
      </c>
      <c r="Z45" s="448">
        <v>2</v>
      </c>
      <c r="AA45" s="457">
        <v>4.16</v>
      </c>
      <c r="AB45" s="448">
        <v>0.7</v>
      </c>
      <c r="AC45" s="445">
        <v>215000</v>
      </c>
      <c r="AD45" s="450">
        <v>450</v>
      </c>
      <c r="AE45" s="451">
        <f t="shared" si="6"/>
        <v>3600</v>
      </c>
      <c r="AF45" s="445">
        <v>500</v>
      </c>
      <c r="AG45" s="447">
        <v>1.17</v>
      </c>
      <c r="AH45" s="445">
        <v>3</v>
      </c>
      <c r="AI45" s="445">
        <v>4</v>
      </c>
      <c r="AJ45" s="445">
        <v>2</v>
      </c>
      <c r="AK45" s="445">
        <v>3</v>
      </c>
      <c r="AL45" s="2" t="s">
        <v>2233</v>
      </c>
      <c r="AM45" s="2" t="s">
        <v>2235</v>
      </c>
      <c r="AN45" s="2" t="s">
        <v>2358</v>
      </c>
      <c r="AO45" s="445">
        <v>8</v>
      </c>
      <c r="AP45" s="445">
        <v>15</v>
      </c>
      <c r="AQ45" s="445">
        <v>3</v>
      </c>
      <c r="AR45" s="445">
        <v>6</v>
      </c>
      <c r="AS45" s="445">
        <v>2</v>
      </c>
      <c r="AT45" s="445">
        <v>3</v>
      </c>
      <c r="AU45" s="445">
        <v>15</v>
      </c>
      <c r="AV45" s="445" t="str">
        <f t="shared" si="5"/>
        <v>Vàng:4000:MG01:3</v>
      </c>
      <c r="AW45" s="440">
        <v>100</v>
      </c>
      <c r="AX45" s="450">
        <v>4</v>
      </c>
      <c r="AY45" s="450">
        <v>2</v>
      </c>
      <c r="AZ45" s="450">
        <v>39</v>
      </c>
      <c r="BA45" s="31">
        <v>4000</v>
      </c>
      <c r="BB45" s="31">
        <v>3</v>
      </c>
      <c r="BC45" s="31">
        <f t="shared" si="1"/>
        <v>20000</v>
      </c>
    </row>
    <row r="46" spans="1:55" x14ac:dyDescent="0.25">
      <c r="A46" s="28" t="s">
        <v>2199</v>
      </c>
      <c r="B46" s="428">
        <v>44</v>
      </c>
      <c r="C46" s="13">
        <v>5</v>
      </c>
      <c r="D46" s="4">
        <v>11</v>
      </c>
      <c r="E46" s="445">
        <v>1800</v>
      </c>
      <c r="F46" s="445">
        <v>4</v>
      </c>
      <c r="G46" s="13">
        <v>10</v>
      </c>
      <c r="H46" s="13">
        <v>10</v>
      </c>
      <c r="I46" s="455" t="s">
        <v>2218</v>
      </c>
      <c r="J46" s="451">
        <v>3</v>
      </c>
      <c r="K46" s="445">
        <v>55</v>
      </c>
      <c r="L46" s="445">
        <v>45</v>
      </c>
      <c r="M46" s="445">
        <v>3</v>
      </c>
      <c r="N46" s="13">
        <v>7</v>
      </c>
      <c r="O46" s="446">
        <v>20</v>
      </c>
      <c r="P46" s="445">
        <v>80</v>
      </c>
      <c r="Q46" s="23">
        <v>6</v>
      </c>
      <c r="R46" s="23">
        <v>9</v>
      </c>
      <c r="S46" s="445">
        <v>30</v>
      </c>
      <c r="T46" s="445">
        <f t="shared" si="3"/>
        <v>70</v>
      </c>
      <c r="U46" s="447">
        <v>0.9</v>
      </c>
      <c r="V46" s="448">
        <v>1.87</v>
      </c>
      <c r="W46" s="449">
        <v>2.6666666666666665</v>
      </c>
      <c r="X46" s="448">
        <v>2.7</v>
      </c>
      <c r="Y46" s="448">
        <v>3.7600000000000002</v>
      </c>
      <c r="Z46" s="448">
        <v>2</v>
      </c>
      <c r="AA46" s="448">
        <v>4.16</v>
      </c>
      <c r="AB46" s="448">
        <v>0.7</v>
      </c>
      <c r="AC46" s="445">
        <v>220000</v>
      </c>
      <c r="AD46" s="450">
        <v>450</v>
      </c>
      <c r="AE46" s="451">
        <f t="shared" si="6"/>
        <v>3600</v>
      </c>
      <c r="AF46" s="445">
        <v>500</v>
      </c>
      <c r="AG46" s="447">
        <v>1.17</v>
      </c>
      <c r="AH46" s="445">
        <v>3</v>
      </c>
      <c r="AI46" s="445">
        <v>4</v>
      </c>
      <c r="AJ46" s="445">
        <v>2</v>
      </c>
      <c r="AK46" s="445">
        <v>3</v>
      </c>
      <c r="AL46" s="2" t="s">
        <v>2233</v>
      </c>
      <c r="AM46" s="2" t="s">
        <v>2236</v>
      </c>
      <c r="AN46" s="2" t="s">
        <v>2358</v>
      </c>
      <c r="AO46" s="445">
        <v>8</v>
      </c>
      <c r="AP46" s="445">
        <v>15</v>
      </c>
      <c r="AQ46" s="445">
        <v>3</v>
      </c>
      <c r="AR46" s="445">
        <v>6</v>
      </c>
      <c r="AS46" s="445">
        <v>2</v>
      </c>
      <c r="AT46" s="445">
        <v>3</v>
      </c>
      <c r="AU46" s="445">
        <v>15</v>
      </c>
      <c r="AV46" s="445" t="str">
        <f t="shared" si="5"/>
        <v>Vàng:4100:MG01:3</v>
      </c>
      <c r="AW46" s="440">
        <v>100</v>
      </c>
      <c r="AX46" s="450">
        <v>4</v>
      </c>
      <c r="AY46" s="450">
        <v>2</v>
      </c>
      <c r="AZ46" s="450">
        <v>40</v>
      </c>
      <c r="BA46" s="31">
        <v>4100</v>
      </c>
      <c r="BB46" s="31">
        <v>3</v>
      </c>
      <c r="BC46" s="31">
        <f t="shared" si="1"/>
        <v>20500</v>
      </c>
    </row>
    <row r="47" spans="1:55" x14ac:dyDescent="0.25">
      <c r="A47" s="28" t="s">
        <v>2199</v>
      </c>
      <c r="B47" s="29">
        <v>45</v>
      </c>
      <c r="C47" s="13">
        <v>5</v>
      </c>
      <c r="D47" s="4">
        <v>12</v>
      </c>
      <c r="E47" s="445">
        <v>1800</v>
      </c>
      <c r="F47" s="445">
        <v>4</v>
      </c>
      <c r="G47" s="13">
        <v>10</v>
      </c>
      <c r="H47" s="13">
        <v>10</v>
      </c>
      <c r="I47" s="455" t="s">
        <v>2218</v>
      </c>
      <c r="J47" s="451">
        <v>3</v>
      </c>
      <c r="K47" s="445">
        <v>55</v>
      </c>
      <c r="L47" s="445">
        <v>45</v>
      </c>
      <c r="M47" s="445">
        <v>3</v>
      </c>
      <c r="N47" s="13">
        <v>7</v>
      </c>
      <c r="O47" s="446">
        <v>20</v>
      </c>
      <c r="P47" s="445">
        <v>80</v>
      </c>
      <c r="Q47" s="23">
        <v>6</v>
      </c>
      <c r="R47" s="23">
        <v>9</v>
      </c>
      <c r="S47" s="445">
        <v>30</v>
      </c>
      <c r="T47" s="445">
        <f t="shared" si="3"/>
        <v>70</v>
      </c>
      <c r="U47" s="447">
        <v>0.9</v>
      </c>
      <c r="V47" s="448">
        <v>1.87</v>
      </c>
      <c r="W47" s="449">
        <v>2.6999999999999997</v>
      </c>
      <c r="X47" s="448">
        <v>2.7</v>
      </c>
      <c r="Y47" s="448">
        <v>3.8</v>
      </c>
      <c r="Z47" s="448">
        <v>2</v>
      </c>
      <c r="AA47" s="448">
        <v>3.9519999999999995</v>
      </c>
      <c r="AB47" s="448">
        <v>0.7</v>
      </c>
      <c r="AC47" s="445">
        <v>225000</v>
      </c>
      <c r="AD47" s="450">
        <v>450</v>
      </c>
      <c r="AE47" s="451">
        <f t="shared" si="6"/>
        <v>3600</v>
      </c>
      <c r="AF47" s="445">
        <v>500</v>
      </c>
      <c r="AG47" s="447">
        <v>1.17</v>
      </c>
      <c r="AH47" s="445">
        <v>3</v>
      </c>
      <c r="AI47" s="445">
        <v>4</v>
      </c>
      <c r="AJ47" s="445">
        <v>2</v>
      </c>
      <c r="AK47" s="445">
        <v>3</v>
      </c>
      <c r="AL47" s="2" t="s">
        <v>2233</v>
      </c>
      <c r="AM47" s="2" t="s">
        <v>2236</v>
      </c>
      <c r="AN47" s="2" t="s">
        <v>2358</v>
      </c>
      <c r="AO47" s="445">
        <v>8</v>
      </c>
      <c r="AP47" s="445">
        <v>15</v>
      </c>
      <c r="AQ47" s="445">
        <v>3</v>
      </c>
      <c r="AR47" s="445">
        <v>6</v>
      </c>
      <c r="AS47" s="445">
        <v>2</v>
      </c>
      <c r="AT47" s="445">
        <v>3</v>
      </c>
      <c r="AU47" s="445">
        <v>15</v>
      </c>
      <c r="AV47" s="445" t="str">
        <f t="shared" si="5"/>
        <v>Vàng:4200:MG01:3</v>
      </c>
      <c r="AW47" s="440">
        <v>100</v>
      </c>
      <c r="AX47" s="450">
        <v>4</v>
      </c>
      <c r="AY47" s="450">
        <v>2</v>
      </c>
      <c r="AZ47" s="450">
        <v>41</v>
      </c>
      <c r="BA47" s="31">
        <v>4200</v>
      </c>
      <c r="BB47" s="31">
        <v>3</v>
      </c>
      <c r="BC47" s="31">
        <f t="shared" si="1"/>
        <v>21000</v>
      </c>
    </row>
    <row r="48" spans="1:55" x14ac:dyDescent="0.25">
      <c r="A48" s="28" t="s">
        <v>2199</v>
      </c>
      <c r="B48" s="428">
        <v>46</v>
      </c>
      <c r="C48" s="13">
        <v>5</v>
      </c>
      <c r="D48" s="4">
        <v>12</v>
      </c>
      <c r="E48" s="445">
        <v>1800</v>
      </c>
      <c r="F48" s="445">
        <v>4</v>
      </c>
      <c r="G48" s="13">
        <v>10</v>
      </c>
      <c r="H48" s="13">
        <v>10</v>
      </c>
      <c r="I48" s="455" t="s">
        <v>2218</v>
      </c>
      <c r="J48" s="451">
        <v>3</v>
      </c>
      <c r="K48" s="445">
        <v>55</v>
      </c>
      <c r="L48" s="445">
        <v>45</v>
      </c>
      <c r="M48" s="445">
        <v>3</v>
      </c>
      <c r="N48" s="13">
        <v>9</v>
      </c>
      <c r="O48" s="446">
        <v>20</v>
      </c>
      <c r="P48" s="445">
        <v>80</v>
      </c>
      <c r="Q48" s="23">
        <v>6</v>
      </c>
      <c r="R48" s="23">
        <v>9</v>
      </c>
      <c r="S48" s="445">
        <v>25</v>
      </c>
      <c r="T48" s="445">
        <f t="shared" si="3"/>
        <v>75</v>
      </c>
      <c r="U48" s="447">
        <v>0.9</v>
      </c>
      <c r="V48" s="448">
        <v>1.87</v>
      </c>
      <c r="W48" s="449">
        <v>2.7333333333333329</v>
      </c>
      <c r="X48" s="448">
        <v>2.7</v>
      </c>
      <c r="Y48" s="448">
        <v>3.84</v>
      </c>
      <c r="Z48" s="448">
        <v>2</v>
      </c>
      <c r="AA48" s="448">
        <v>3.8480000000000003</v>
      </c>
      <c r="AB48" s="448">
        <v>0.7</v>
      </c>
      <c r="AC48" s="445">
        <v>230000</v>
      </c>
      <c r="AD48" s="450">
        <v>450</v>
      </c>
      <c r="AE48" s="451">
        <f t="shared" si="6"/>
        <v>3600</v>
      </c>
      <c r="AF48" s="445">
        <v>500</v>
      </c>
      <c r="AG48" s="447">
        <v>1.17</v>
      </c>
      <c r="AH48" s="445">
        <v>3</v>
      </c>
      <c r="AI48" s="445">
        <v>4</v>
      </c>
      <c r="AJ48" s="445">
        <v>2</v>
      </c>
      <c r="AK48" s="445">
        <v>3</v>
      </c>
      <c r="AL48" s="2" t="s">
        <v>2237</v>
      </c>
      <c r="AM48" s="2" t="s">
        <v>2236</v>
      </c>
      <c r="AN48" s="2" t="s">
        <v>2359</v>
      </c>
      <c r="AO48" s="445">
        <v>8</v>
      </c>
      <c r="AP48" s="445">
        <v>15</v>
      </c>
      <c r="AQ48" s="445">
        <v>3</v>
      </c>
      <c r="AR48" s="445">
        <v>6</v>
      </c>
      <c r="AS48" s="445">
        <v>2</v>
      </c>
      <c r="AT48" s="445">
        <v>3</v>
      </c>
      <c r="AU48" s="445">
        <v>15</v>
      </c>
      <c r="AV48" s="445" t="str">
        <f t="shared" si="5"/>
        <v>Vàng:4300:MG01:3</v>
      </c>
      <c r="AW48" s="440">
        <v>100</v>
      </c>
      <c r="AX48" s="450">
        <v>4</v>
      </c>
      <c r="AY48" s="450">
        <v>2</v>
      </c>
      <c r="AZ48" s="450">
        <v>42</v>
      </c>
      <c r="BA48" s="31">
        <v>4300</v>
      </c>
      <c r="BB48" s="31">
        <v>3</v>
      </c>
      <c r="BC48" s="31">
        <f t="shared" si="1"/>
        <v>21500</v>
      </c>
    </row>
    <row r="49" spans="1:55" x14ac:dyDescent="0.25">
      <c r="A49" s="28" t="s">
        <v>2199</v>
      </c>
      <c r="B49" s="29">
        <v>47</v>
      </c>
      <c r="C49" s="13">
        <v>5</v>
      </c>
      <c r="D49" s="4">
        <v>12</v>
      </c>
      <c r="E49" s="445">
        <v>1800</v>
      </c>
      <c r="F49" s="445">
        <v>4</v>
      </c>
      <c r="G49" s="13">
        <v>10</v>
      </c>
      <c r="H49" s="13">
        <v>10</v>
      </c>
      <c r="I49" s="455" t="s">
        <v>2218</v>
      </c>
      <c r="J49" s="451">
        <v>3</v>
      </c>
      <c r="K49" s="445">
        <v>55</v>
      </c>
      <c r="L49" s="445">
        <v>45</v>
      </c>
      <c r="M49" s="445">
        <v>3</v>
      </c>
      <c r="N49" s="13">
        <v>9</v>
      </c>
      <c r="O49" s="446">
        <v>20</v>
      </c>
      <c r="P49" s="445">
        <v>80</v>
      </c>
      <c r="Q49" s="23">
        <v>6</v>
      </c>
      <c r="R49" s="23">
        <v>9</v>
      </c>
      <c r="S49" s="445">
        <v>25</v>
      </c>
      <c r="T49" s="445">
        <f t="shared" si="3"/>
        <v>75</v>
      </c>
      <c r="U49" s="447">
        <v>0.9</v>
      </c>
      <c r="V49" s="448">
        <v>1.87</v>
      </c>
      <c r="W49" s="449">
        <v>2.7666666666666671</v>
      </c>
      <c r="X49" s="448">
        <v>2.7</v>
      </c>
      <c r="Y49" s="448">
        <v>3.88</v>
      </c>
      <c r="Z49" s="448">
        <v>2</v>
      </c>
      <c r="AA49" s="457">
        <v>3.6399999999999997</v>
      </c>
      <c r="AB49" s="448">
        <v>0.7</v>
      </c>
      <c r="AC49" s="445">
        <v>235000</v>
      </c>
      <c r="AD49" s="450">
        <v>450</v>
      </c>
      <c r="AE49" s="451">
        <f t="shared" si="6"/>
        <v>3600</v>
      </c>
      <c r="AF49" s="445">
        <v>500</v>
      </c>
      <c r="AG49" s="447">
        <v>1.17</v>
      </c>
      <c r="AH49" s="445">
        <v>3</v>
      </c>
      <c r="AI49" s="445">
        <v>4</v>
      </c>
      <c r="AJ49" s="445">
        <v>2</v>
      </c>
      <c r="AK49" s="445">
        <v>3</v>
      </c>
      <c r="AL49" s="2" t="s">
        <v>2237</v>
      </c>
      <c r="AM49" s="2" t="s">
        <v>2236</v>
      </c>
      <c r="AN49" s="2" t="s">
        <v>2359</v>
      </c>
      <c r="AO49" s="445">
        <v>8</v>
      </c>
      <c r="AP49" s="445">
        <v>15</v>
      </c>
      <c r="AQ49" s="445">
        <v>3</v>
      </c>
      <c r="AR49" s="445">
        <v>6</v>
      </c>
      <c r="AS49" s="445">
        <v>2</v>
      </c>
      <c r="AT49" s="445">
        <v>3</v>
      </c>
      <c r="AU49" s="445">
        <v>15</v>
      </c>
      <c r="AV49" s="445" t="str">
        <f t="shared" si="5"/>
        <v>Vàng:4400:MG01:3</v>
      </c>
      <c r="AW49" s="440">
        <v>100</v>
      </c>
      <c r="AX49" s="450">
        <v>4</v>
      </c>
      <c r="AY49" s="450">
        <v>2</v>
      </c>
      <c r="AZ49" s="450">
        <v>43</v>
      </c>
      <c r="BA49" s="31">
        <v>4400</v>
      </c>
      <c r="BB49" s="31">
        <v>3</v>
      </c>
      <c r="BC49" s="31">
        <f t="shared" si="1"/>
        <v>22000</v>
      </c>
    </row>
    <row r="50" spans="1:55" x14ac:dyDescent="0.25">
      <c r="A50" s="28" t="s">
        <v>2199</v>
      </c>
      <c r="B50" s="428">
        <v>48</v>
      </c>
      <c r="C50" s="13">
        <v>5</v>
      </c>
      <c r="D50" s="4">
        <v>12</v>
      </c>
      <c r="E50" s="445">
        <v>1800</v>
      </c>
      <c r="F50" s="445">
        <v>4</v>
      </c>
      <c r="G50" s="13">
        <v>10</v>
      </c>
      <c r="H50" s="13">
        <v>10</v>
      </c>
      <c r="I50" s="455" t="s">
        <v>2218</v>
      </c>
      <c r="J50" s="451">
        <v>3</v>
      </c>
      <c r="K50" s="445">
        <v>55</v>
      </c>
      <c r="L50" s="445">
        <v>45</v>
      </c>
      <c r="M50" s="445">
        <v>3</v>
      </c>
      <c r="N50" s="13">
        <v>9</v>
      </c>
      <c r="O50" s="446">
        <v>20</v>
      </c>
      <c r="P50" s="445">
        <v>80</v>
      </c>
      <c r="Q50" s="23">
        <v>6</v>
      </c>
      <c r="R50" s="23">
        <v>10</v>
      </c>
      <c r="S50" s="445">
        <v>25</v>
      </c>
      <c r="T50" s="445">
        <f t="shared" si="3"/>
        <v>75</v>
      </c>
      <c r="U50" s="447">
        <v>0.9</v>
      </c>
      <c r="V50" s="448">
        <v>1.87</v>
      </c>
      <c r="W50" s="449">
        <v>2.8000000000000003</v>
      </c>
      <c r="X50" s="448">
        <v>2.7</v>
      </c>
      <c r="Y50" s="448">
        <v>3.9200000000000004</v>
      </c>
      <c r="Z50" s="448">
        <v>2</v>
      </c>
      <c r="AA50" s="448">
        <v>3.6399999999999997</v>
      </c>
      <c r="AB50" s="448">
        <v>0.7</v>
      </c>
      <c r="AC50" s="445">
        <v>240000</v>
      </c>
      <c r="AD50" s="450">
        <v>450</v>
      </c>
      <c r="AE50" s="451">
        <f t="shared" si="6"/>
        <v>3600</v>
      </c>
      <c r="AF50" s="445">
        <v>500</v>
      </c>
      <c r="AG50" s="447">
        <v>1.17</v>
      </c>
      <c r="AH50" s="445">
        <v>3</v>
      </c>
      <c r="AI50" s="445">
        <v>4</v>
      </c>
      <c r="AJ50" s="445">
        <v>2</v>
      </c>
      <c r="AK50" s="445">
        <v>3</v>
      </c>
      <c r="AL50" s="2" t="s">
        <v>2237</v>
      </c>
      <c r="AM50" s="2" t="s">
        <v>2238</v>
      </c>
      <c r="AN50" s="2" t="s">
        <v>2359</v>
      </c>
      <c r="AO50" s="445">
        <v>8</v>
      </c>
      <c r="AP50" s="445">
        <v>15</v>
      </c>
      <c r="AQ50" s="445">
        <v>3</v>
      </c>
      <c r="AR50" s="445">
        <v>6</v>
      </c>
      <c r="AS50" s="445">
        <v>2</v>
      </c>
      <c r="AT50" s="445">
        <v>3</v>
      </c>
      <c r="AU50" s="445">
        <v>15</v>
      </c>
      <c r="AV50" s="445" t="str">
        <f t="shared" si="5"/>
        <v>Vàng:4500:MG01:3</v>
      </c>
      <c r="AW50" s="440">
        <v>100</v>
      </c>
      <c r="AX50" s="450">
        <v>4</v>
      </c>
      <c r="AY50" s="450">
        <v>2</v>
      </c>
      <c r="AZ50" s="450">
        <v>44</v>
      </c>
      <c r="BA50" s="31">
        <v>4500</v>
      </c>
      <c r="BB50" s="31">
        <v>3</v>
      </c>
      <c r="BC50" s="31">
        <f t="shared" si="1"/>
        <v>22500</v>
      </c>
    </row>
    <row r="51" spans="1:55" x14ac:dyDescent="0.25">
      <c r="A51" s="28" t="s">
        <v>2199</v>
      </c>
      <c r="B51" s="29">
        <v>49</v>
      </c>
      <c r="C51" s="13">
        <v>5</v>
      </c>
      <c r="D51" s="4">
        <v>12</v>
      </c>
      <c r="E51" s="445">
        <v>1800</v>
      </c>
      <c r="F51" s="445">
        <v>4</v>
      </c>
      <c r="G51" s="13">
        <v>10</v>
      </c>
      <c r="H51" s="13">
        <v>10</v>
      </c>
      <c r="I51" s="455" t="s">
        <v>2218</v>
      </c>
      <c r="J51" s="451">
        <v>3</v>
      </c>
      <c r="K51" s="445">
        <v>55</v>
      </c>
      <c r="L51" s="445">
        <v>45</v>
      </c>
      <c r="M51" s="445">
        <v>3</v>
      </c>
      <c r="N51" s="13">
        <v>9</v>
      </c>
      <c r="O51" s="446">
        <v>20</v>
      </c>
      <c r="P51" s="445">
        <v>80</v>
      </c>
      <c r="Q51" s="23">
        <v>6</v>
      </c>
      <c r="R51" s="23">
        <v>10</v>
      </c>
      <c r="S51" s="445">
        <v>25</v>
      </c>
      <c r="T51" s="445">
        <f t="shared" si="3"/>
        <v>75</v>
      </c>
      <c r="U51" s="447">
        <v>0.9</v>
      </c>
      <c r="V51" s="448">
        <v>1.87</v>
      </c>
      <c r="W51" s="449">
        <v>2.8333333333333335</v>
      </c>
      <c r="X51" s="448">
        <v>2.7</v>
      </c>
      <c r="Y51" s="448">
        <v>3.96</v>
      </c>
      <c r="Z51" s="448">
        <v>2</v>
      </c>
      <c r="AA51" s="448">
        <v>3.6399999999999997</v>
      </c>
      <c r="AB51" s="448">
        <v>0.7</v>
      </c>
      <c r="AC51" s="445">
        <v>245000</v>
      </c>
      <c r="AD51" s="450">
        <v>450</v>
      </c>
      <c r="AE51" s="451">
        <f t="shared" si="6"/>
        <v>3600</v>
      </c>
      <c r="AF51" s="445">
        <v>500</v>
      </c>
      <c r="AG51" s="447">
        <v>1.17</v>
      </c>
      <c r="AH51" s="445">
        <v>3</v>
      </c>
      <c r="AI51" s="445">
        <v>4</v>
      </c>
      <c r="AJ51" s="445">
        <v>2</v>
      </c>
      <c r="AK51" s="445">
        <v>3</v>
      </c>
      <c r="AL51" s="2" t="s">
        <v>2239</v>
      </c>
      <c r="AM51" s="2" t="s">
        <v>2238</v>
      </c>
      <c r="AN51" s="2" t="s">
        <v>2359</v>
      </c>
      <c r="AO51" s="445">
        <v>8</v>
      </c>
      <c r="AP51" s="445">
        <v>15</v>
      </c>
      <c r="AQ51" s="445">
        <v>3</v>
      </c>
      <c r="AR51" s="445">
        <v>6</v>
      </c>
      <c r="AS51" s="445">
        <v>2</v>
      </c>
      <c r="AT51" s="445">
        <v>3</v>
      </c>
      <c r="AU51" s="445">
        <v>15</v>
      </c>
      <c r="AV51" s="445" t="str">
        <f t="shared" si="5"/>
        <v>Vàng:4600:MG01:3</v>
      </c>
      <c r="AW51" s="440">
        <v>100</v>
      </c>
      <c r="AX51" s="450">
        <v>4</v>
      </c>
      <c r="AY51" s="450">
        <v>2</v>
      </c>
      <c r="AZ51" s="450">
        <v>45</v>
      </c>
      <c r="BA51" s="31">
        <v>4600</v>
      </c>
      <c r="BB51" s="31">
        <v>3</v>
      </c>
      <c r="BC51" s="31">
        <f t="shared" si="1"/>
        <v>23000</v>
      </c>
    </row>
    <row r="52" spans="1:55" x14ac:dyDescent="0.25">
      <c r="A52" s="28" t="s">
        <v>2199</v>
      </c>
      <c r="B52" s="428">
        <v>50</v>
      </c>
      <c r="C52" s="13">
        <v>5</v>
      </c>
      <c r="D52" s="4">
        <v>13</v>
      </c>
      <c r="E52" s="445">
        <v>1800</v>
      </c>
      <c r="F52" s="445">
        <v>4</v>
      </c>
      <c r="G52" s="13">
        <v>10</v>
      </c>
      <c r="H52" s="13">
        <v>12</v>
      </c>
      <c r="I52" s="455" t="s">
        <v>2218</v>
      </c>
      <c r="J52" s="451">
        <v>3</v>
      </c>
      <c r="K52" s="445">
        <v>55</v>
      </c>
      <c r="L52" s="445">
        <v>45</v>
      </c>
      <c r="M52" s="445">
        <v>4</v>
      </c>
      <c r="N52" s="13">
        <v>10</v>
      </c>
      <c r="O52" s="446">
        <v>15</v>
      </c>
      <c r="P52" s="445">
        <v>85</v>
      </c>
      <c r="Q52" s="23">
        <v>6</v>
      </c>
      <c r="R52" s="23">
        <v>10</v>
      </c>
      <c r="S52" s="445">
        <v>25</v>
      </c>
      <c r="T52" s="445">
        <f t="shared" si="3"/>
        <v>75</v>
      </c>
      <c r="U52" s="447">
        <v>0.9</v>
      </c>
      <c r="V52" s="448">
        <v>1.87</v>
      </c>
      <c r="W52" s="449">
        <v>2.8666666666666667</v>
      </c>
      <c r="X52" s="448">
        <v>2.7</v>
      </c>
      <c r="Y52" s="448">
        <v>4</v>
      </c>
      <c r="Z52" s="448">
        <v>2</v>
      </c>
      <c r="AA52" s="448">
        <v>3.6399999999999997</v>
      </c>
      <c r="AB52" s="448">
        <v>0.7</v>
      </c>
      <c r="AC52" s="445">
        <v>250000</v>
      </c>
      <c r="AD52" s="450">
        <v>450</v>
      </c>
      <c r="AE52" s="451">
        <f t="shared" si="6"/>
        <v>3600</v>
      </c>
      <c r="AF52" s="445">
        <v>500</v>
      </c>
      <c r="AG52" s="447">
        <v>1.17</v>
      </c>
      <c r="AH52" s="445">
        <v>3</v>
      </c>
      <c r="AI52" s="445">
        <v>4</v>
      </c>
      <c r="AJ52" s="445">
        <v>2</v>
      </c>
      <c r="AK52" s="445">
        <v>3</v>
      </c>
      <c r="AL52" s="2" t="s">
        <v>2239</v>
      </c>
      <c r="AM52" s="2" t="s">
        <v>2240</v>
      </c>
      <c r="AN52" s="2" t="s">
        <v>2360</v>
      </c>
      <c r="AO52" s="445">
        <v>8</v>
      </c>
      <c r="AP52" s="445">
        <v>15</v>
      </c>
      <c r="AQ52" s="445">
        <v>3</v>
      </c>
      <c r="AR52" s="445">
        <v>6</v>
      </c>
      <c r="AS52" s="445">
        <v>2</v>
      </c>
      <c r="AT52" s="445">
        <v>3</v>
      </c>
      <c r="AU52" s="445">
        <v>15</v>
      </c>
      <c r="AV52" s="445" t="str">
        <f t="shared" si="5"/>
        <v>Vàng:4700:MG01:3</v>
      </c>
      <c r="AW52" s="440">
        <v>150</v>
      </c>
      <c r="AX52" s="450">
        <v>5</v>
      </c>
      <c r="AY52" s="450">
        <v>2</v>
      </c>
      <c r="AZ52" s="450">
        <v>46</v>
      </c>
      <c r="BA52" s="31">
        <v>4700</v>
      </c>
      <c r="BB52" s="31">
        <v>3</v>
      </c>
      <c r="BC52" s="31">
        <f t="shared" si="1"/>
        <v>23500</v>
      </c>
    </row>
    <row r="53" spans="1:55" x14ac:dyDescent="0.25">
      <c r="A53" s="28" t="s">
        <v>2199</v>
      </c>
      <c r="B53" s="29">
        <v>51</v>
      </c>
      <c r="C53" s="13">
        <v>6</v>
      </c>
      <c r="D53" s="4">
        <v>13</v>
      </c>
      <c r="E53" s="445">
        <v>1800</v>
      </c>
      <c r="F53" s="445">
        <v>4</v>
      </c>
      <c r="G53" s="13">
        <v>10</v>
      </c>
      <c r="H53" s="13">
        <v>12</v>
      </c>
      <c r="I53" s="455" t="s">
        <v>2218</v>
      </c>
      <c r="J53" s="451">
        <v>2</v>
      </c>
      <c r="K53" s="445">
        <v>55</v>
      </c>
      <c r="L53" s="445">
        <v>45</v>
      </c>
      <c r="M53" s="445">
        <v>4</v>
      </c>
      <c r="N53" s="13">
        <v>10</v>
      </c>
      <c r="O53" s="446">
        <v>15</v>
      </c>
      <c r="P53" s="445">
        <v>85</v>
      </c>
      <c r="Q53" s="23">
        <v>6</v>
      </c>
      <c r="R53" s="23">
        <v>10</v>
      </c>
      <c r="S53" s="445">
        <v>20</v>
      </c>
      <c r="T53" s="445">
        <f t="shared" si="3"/>
        <v>80</v>
      </c>
      <c r="U53" s="447">
        <v>0.8</v>
      </c>
      <c r="V53" s="448">
        <v>2.04</v>
      </c>
      <c r="W53" s="449">
        <v>2.9</v>
      </c>
      <c r="X53" s="459">
        <v>2.52</v>
      </c>
      <c r="Y53" s="448">
        <v>4.04</v>
      </c>
      <c r="Z53" s="448">
        <v>2</v>
      </c>
      <c r="AA53" s="448">
        <v>3.6399999999999997</v>
      </c>
      <c r="AB53" s="457">
        <v>0.55999999999999994</v>
      </c>
      <c r="AC53" s="445">
        <v>255000</v>
      </c>
      <c r="AD53" s="450">
        <v>450</v>
      </c>
      <c r="AE53" s="445">
        <f>3*60*60</f>
        <v>10800</v>
      </c>
      <c r="AF53" s="445">
        <v>500</v>
      </c>
      <c r="AG53" s="447">
        <v>1.17</v>
      </c>
      <c r="AH53" s="445">
        <v>3</v>
      </c>
      <c r="AI53" s="445">
        <v>4</v>
      </c>
      <c r="AJ53" s="445">
        <v>2</v>
      </c>
      <c r="AK53" s="445">
        <v>3</v>
      </c>
      <c r="AL53" s="2" t="s">
        <v>2239</v>
      </c>
      <c r="AM53" s="2" t="s">
        <v>2241</v>
      </c>
      <c r="AN53" s="2" t="s">
        <v>2352</v>
      </c>
      <c r="AO53" s="445">
        <v>8</v>
      </c>
      <c r="AP53" s="445">
        <v>15</v>
      </c>
      <c r="AQ53" s="445">
        <v>4</v>
      </c>
      <c r="AR53" s="451">
        <v>6</v>
      </c>
      <c r="AS53" s="451">
        <v>2</v>
      </c>
      <c r="AT53" s="445">
        <v>4</v>
      </c>
      <c r="AU53" s="445">
        <v>18</v>
      </c>
      <c r="AV53" s="445" t="str">
        <f t="shared" si="5"/>
        <v>Vàng:4800:MG01:3</v>
      </c>
      <c r="AW53" s="440">
        <v>150</v>
      </c>
      <c r="AX53" s="450">
        <v>5</v>
      </c>
      <c r="AY53" s="450">
        <v>2</v>
      </c>
      <c r="AZ53" s="450">
        <v>47</v>
      </c>
      <c r="BA53" s="31">
        <v>4800</v>
      </c>
      <c r="BB53" s="31">
        <v>3</v>
      </c>
      <c r="BC53" s="31">
        <f t="shared" si="1"/>
        <v>24000</v>
      </c>
    </row>
    <row r="54" spans="1:55" x14ac:dyDescent="0.25">
      <c r="A54" s="28" t="s">
        <v>2199</v>
      </c>
      <c r="B54" s="428">
        <v>52</v>
      </c>
      <c r="C54" s="13">
        <v>6</v>
      </c>
      <c r="D54" s="4">
        <v>13</v>
      </c>
      <c r="E54" s="445">
        <v>1800</v>
      </c>
      <c r="F54" s="445">
        <v>5</v>
      </c>
      <c r="G54" s="13">
        <v>10</v>
      </c>
      <c r="H54" s="13">
        <v>12</v>
      </c>
      <c r="I54" s="455" t="s">
        <v>2218</v>
      </c>
      <c r="J54" s="451">
        <v>2</v>
      </c>
      <c r="K54" s="445">
        <v>55</v>
      </c>
      <c r="L54" s="445">
        <v>45</v>
      </c>
      <c r="M54" s="445">
        <v>4</v>
      </c>
      <c r="N54" s="13">
        <v>10</v>
      </c>
      <c r="O54" s="446">
        <v>15</v>
      </c>
      <c r="P54" s="445">
        <v>85</v>
      </c>
      <c r="Q54" s="23">
        <v>6</v>
      </c>
      <c r="R54" s="23">
        <v>11</v>
      </c>
      <c r="S54" s="445">
        <v>20</v>
      </c>
      <c r="T54" s="445">
        <f t="shared" si="3"/>
        <v>80</v>
      </c>
      <c r="U54" s="447">
        <v>0.8</v>
      </c>
      <c r="V54" s="448">
        <v>2.04</v>
      </c>
      <c r="W54" s="449">
        <v>2.9333333333333336</v>
      </c>
      <c r="X54" s="448">
        <v>2.52</v>
      </c>
      <c r="Y54" s="448">
        <v>4.08</v>
      </c>
      <c r="Z54" s="448">
        <v>2</v>
      </c>
      <c r="AA54" s="448">
        <v>3.6399999999999997</v>
      </c>
      <c r="AB54" s="448">
        <v>0.55999999999999994</v>
      </c>
      <c r="AC54" s="445">
        <v>260000</v>
      </c>
      <c r="AD54" s="450">
        <v>450</v>
      </c>
      <c r="AE54" s="445">
        <v>10800</v>
      </c>
      <c r="AF54" s="445">
        <v>500</v>
      </c>
      <c r="AG54" s="447">
        <v>1.17</v>
      </c>
      <c r="AH54" s="445">
        <v>3</v>
      </c>
      <c r="AI54" s="445">
        <v>4</v>
      </c>
      <c r="AJ54" s="445">
        <v>2</v>
      </c>
      <c r="AK54" s="445">
        <v>3</v>
      </c>
      <c r="AL54" s="2" t="s">
        <v>2239</v>
      </c>
      <c r="AM54" s="2" t="s">
        <v>2241</v>
      </c>
      <c r="AN54" s="2" t="s">
        <v>2353</v>
      </c>
      <c r="AO54" s="445">
        <v>8</v>
      </c>
      <c r="AP54" s="445">
        <v>15</v>
      </c>
      <c r="AQ54" s="445">
        <v>4</v>
      </c>
      <c r="AR54" s="451">
        <v>6</v>
      </c>
      <c r="AS54" s="451">
        <v>2</v>
      </c>
      <c r="AT54" s="445">
        <v>4</v>
      </c>
      <c r="AU54" s="445">
        <v>18</v>
      </c>
      <c r="AV54" s="445" t="str">
        <f t="shared" si="5"/>
        <v>Vàng:4900:MG01:3</v>
      </c>
      <c r="AW54" s="440">
        <v>150</v>
      </c>
      <c r="AX54" s="450">
        <v>5</v>
      </c>
      <c r="AY54" s="450">
        <v>2</v>
      </c>
      <c r="AZ54" s="450">
        <v>48</v>
      </c>
      <c r="BA54" s="31">
        <v>4900</v>
      </c>
      <c r="BB54" s="31">
        <v>3</v>
      </c>
      <c r="BC54" s="31">
        <f t="shared" si="1"/>
        <v>24500</v>
      </c>
    </row>
    <row r="55" spans="1:55" x14ac:dyDescent="0.25">
      <c r="A55" s="28" t="s">
        <v>2199</v>
      </c>
      <c r="B55" s="29">
        <v>53</v>
      </c>
      <c r="C55" s="13">
        <v>6</v>
      </c>
      <c r="D55" s="4">
        <v>13</v>
      </c>
      <c r="E55" s="445">
        <v>1800</v>
      </c>
      <c r="F55" s="445">
        <v>5</v>
      </c>
      <c r="G55" s="13">
        <v>10</v>
      </c>
      <c r="H55" s="13">
        <v>12</v>
      </c>
      <c r="I55" s="455" t="s">
        <v>2218</v>
      </c>
      <c r="J55" s="451">
        <v>2</v>
      </c>
      <c r="K55" s="445">
        <v>55</v>
      </c>
      <c r="L55" s="445">
        <v>45</v>
      </c>
      <c r="M55" s="445">
        <v>4</v>
      </c>
      <c r="N55" s="13">
        <v>10</v>
      </c>
      <c r="O55" s="446">
        <v>15</v>
      </c>
      <c r="P55" s="445">
        <v>85</v>
      </c>
      <c r="Q55" s="321">
        <v>6</v>
      </c>
      <c r="R55" s="23">
        <v>11</v>
      </c>
      <c r="S55" s="445">
        <v>20</v>
      </c>
      <c r="T55" s="445">
        <f t="shared" si="3"/>
        <v>80</v>
      </c>
      <c r="U55" s="447">
        <v>0.8</v>
      </c>
      <c r="V55" s="448">
        <v>2.04</v>
      </c>
      <c r="W55" s="449">
        <v>2.9666666666666668</v>
      </c>
      <c r="X55" s="448">
        <v>2.52</v>
      </c>
      <c r="Y55" s="448">
        <v>4.12</v>
      </c>
      <c r="Z55" s="448">
        <v>2</v>
      </c>
      <c r="AA55" s="448">
        <v>3.6399999999999997</v>
      </c>
      <c r="AB55" s="448">
        <v>0.55999999999999994</v>
      </c>
      <c r="AC55" s="445">
        <v>265000</v>
      </c>
      <c r="AD55" s="450">
        <v>450</v>
      </c>
      <c r="AE55" s="445">
        <v>10800</v>
      </c>
      <c r="AF55" s="445">
        <v>500</v>
      </c>
      <c r="AG55" s="447">
        <v>1.17</v>
      </c>
      <c r="AH55" s="445">
        <v>3</v>
      </c>
      <c r="AI55" s="445">
        <v>4</v>
      </c>
      <c r="AJ55" s="445">
        <v>2</v>
      </c>
      <c r="AK55" s="445">
        <v>3</v>
      </c>
      <c r="AL55" s="2" t="s">
        <v>2239</v>
      </c>
      <c r="AM55" s="2" t="s">
        <v>2241</v>
      </c>
      <c r="AN55" s="2" t="s">
        <v>2353</v>
      </c>
      <c r="AO55" s="445">
        <v>8</v>
      </c>
      <c r="AP55" s="445">
        <v>15</v>
      </c>
      <c r="AQ55" s="445">
        <v>4</v>
      </c>
      <c r="AR55" s="451">
        <v>6</v>
      </c>
      <c r="AS55" s="451">
        <v>2</v>
      </c>
      <c r="AT55" s="445">
        <v>4</v>
      </c>
      <c r="AU55" s="445">
        <v>18</v>
      </c>
      <c r="AV55" s="445" t="str">
        <f t="shared" si="5"/>
        <v>Vàng:5000:MG01:3</v>
      </c>
      <c r="AW55" s="440">
        <v>150</v>
      </c>
      <c r="AX55" s="450">
        <v>5</v>
      </c>
      <c r="AY55" s="450">
        <v>3</v>
      </c>
      <c r="AZ55" s="450">
        <v>49</v>
      </c>
      <c r="BA55" s="31">
        <v>5000</v>
      </c>
      <c r="BB55" s="31">
        <v>3</v>
      </c>
      <c r="BC55" s="31">
        <f t="shared" si="1"/>
        <v>25000</v>
      </c>
    </row>
    <row r="56" spans="1:55" x14ac:dyDescent="0.25">
      <c r="A56" s="28" t="s">
        <v>2199</v>
      </c>
      <c r="B56" s="428">
        <v>54</v>
      </c>
      <c r="C56" s="13">
        <v>6</v>
      </c>
      <c r="D56" s="4">
        <v>13</v>
      </c>
      <c r="E56" s="445">
        <v>1800</v>
      </c>
      <c r="F56" s="445">
        <v>5</v>
      </c>
      <c r="G56" s="13">
        <v>10</v>
      </c>
      <c r="H56" s="13">
        <v>12</v>
      </c>
      <c r="I56" s="455" t="s">
        <v>2218</v>
      </c>
      <c r="J56" s="451">
        <v>2</v>
      </c>
      <c r="K56" s="445">
        <v>55</v>
      </c>
      <c r="L56" s="445">
        <v>45</v>
      </c>
      <c r="M56" s="445">
        <v>4</v>
      </c>
      <c r="N56" s="13">
        <v>10</v>
      </c>
      <c r="O56" s="446">
        <v>15</v>
      </c>
      <c r="P56" s="445">
        <v>85</v>
      </c>
      <c r="Q56" s="321">
        <v>6</v>
      </c>
      <c r="R56" s="23">
        <v>11</v>
      </c>
      <c r="S56" s="445">
        <v>20</v>
      </c>
      <c r="T56" s="445">
        <f t="shared" si="3"/>
        <v>80</v>
      </c>
      <c r="U56" s="447">
        <v>0.8</v>
      </c>
      <c r="V56" s="448">
        <v>2.04</v>
      </c>
      <c r="W56" s="449">
        <v>3</v>
      </c>
      <c r="X56" s="448">
        <v>2.52</v>
      </c>
      <c r="Y56" s="448">
        <v>4.16</v>
      </c>
      <c r="Z56" s="448">
        <v>2</v>
      </c>
      <c r="AA56" s="448">
        <v>3.6399999999999997</v>
      </c>
      <c r="AB56" s="448">
        <v>0.55999999999999994</v>
      </c>
      <c r="AC56" s="445">
        <v>270000</v>
      </c>
      <c r="AD56" s="450">
        <v>450</v>
      </c>
      <c r="AE56" s="445">
        <v>10800</v>
      </c>
      <c r="AF56" s="445">
        <v>500</v>
      </c>
      <c r="AG56" s="447">
        <v>1.17</v>
      </c>
      <c r="AH56" s="445">
        <v>3</v>
      </c>
      <c r="AI56" s="445">
        <v>4</v>
      </c>
      <c r="AJ56" s="445">
        <v>2</v>
      </c>
      <c r="AK56" s="445">
        <v>3</v>
      </c>
      <c r="AL56" s="2" t="s">
        <v>2239</v>
      </c>
      <c r="AM56" s="2" t="s">
        <v>2241</v>
      </c>
      <c r="AN56" s="2" t="s">
        <v>2353</v>
      </c>
      <c r="AO56" s="445">
        <v>8</v>
      </c>
      <c r="AP56" s="445">
        <v>15</v>
      </c>
      <c r="AQ56" s="445">
        <v>4</v>
      </c>
      <c r="AR56" s="451">
        <v>6</v>
      </c>
      <c r="AS56" s="451">
        <v>2</v>
      </c>
      <c r="AT56" s="445">
        <v>4</v>
      </c>
      <c r="AU56" s="445">
        <v>18</v>
      </c>
      <c r="AV56" s="445" t="str">
        <f t="shared" si="5"/>
        <v>Vàng:5100:MG01:3</v>
      </c>
      <c r="AW56" s="440">
        <v>150</v>
      </c>
      <c r="AX56" s="450">
        <v>5</v>
      </c>
      <c r="AY56" s="450">
        <v>3</v>
      </c>
      <c r="AZ56" s="450">
        <v>50</v>
      </c>
      <c r="BA56" s="31">
        <v>5100</v>
      </c>
      <c r="BB56" s="31">
        <v>3</v>
      </c>
      <c r="BC56" s="31">
        <f t="shared" si="1"/>
        <v>25500</v>
      </c>
    </row>
    <row r="57" spans="1:55" x14ac:dyDescent="0.25">
      <c r="A57" s="28" t="s">
        <v>2199</v>
      </c>
      <c r="B57" s="29">
        <v>55</v>
      </c>
      <c r="C57" s="13">
        <v>6</v>
      </c>
      <c r="D57" s="4">
        <v>14</v>
      </c>
      <c r="E57" s="445">
        <v>1800</v>
      </c>
      <c r="F57" s="445">
        <v>5</v>
      </c>
      <c r="G57" s="13">
        <v>10</v>
      </c>
      <c r="H57" s="13">
        <v>12</v>
      </c>
      <c r="I57" s="455" t="s">
        <v>2218</v>
      </c>
      <c r="J57" s="451">
        <v>2</v>
      </c>
      <c r="K57" s="445">
        <v>50</v>
      </c>
      <c r="L57" s="445">
        <v>50</v>
      </c>
      <c r="M57" s="445">
        <v>4</v>
      </c>
      <c r="N57" s="13">
        <v>11</v>
      </c>
      <c r="O57" s="446">
        <v>15</v>
      </c>
      <c r="P57" s="445">
        <v>85</v>
      </c>
      <c r="Q57" s="321">
        <v>6</v>
      </c>
      <c r="R57" s="23">
        <v>12</v>
      </c>
      <c r="S57" s="445">
        <v>20</v>
      </c>
      <c r="T57" s="445">
        <f t="shared" si="3"/>
        <v>80</v>
      </c>
      <c r="U57" s="447">
        <v>0.8</v>
      </c>
      <c r="V57" s="448">
        <v>2.04</v>
      </c>
      <c r="W57" s="449">
        <v>3.0333333333333332</v>
      </c>
      <c r="X57" s="448">
        <v>2.52</v>
      </c>
      <c r="Y57" s="448">
        <v>4.2</v>
      </c>
      <c r="Z57" s="448">
        <v>2</v>
      </c>
      <c r="AA57" s="457">
        <v>3.536</v>
      </c>
      <c r="AB57" s="448">
        <v>0.55999999999999994</v>
      </c>
      <c r="AC57" s="445">
        <v>275000</v>
      </c>
      <c r="AD57" s="450">
        <v>450</v>
      </c>
      <c r="AE57" s="445">
        <v>10800</v>
      </c>
      <c r="AF57" s="445">
        <v>500</v>
      </c>
      <c r="AG57" s="447">
        <v>1.17</v>
      </c>
      <c r="AH57" s="445">
        <v>3</v>
      </c>
      <c r="AI57" s="445">
        <v>4</v>
      </c>
      <c r="AJ57" s="445">
        <v>2</v>
      </c>
      <c r="AK57" s="445">
        <v>3</v>
      </c>
      <c r="AL57" s="2" t="s">
        <v>2239</v>
      </c>
      <c r="AM57" s="2" t="s">
        <v>2241</v>
      </c>
      <c r="AN57" s="2" t="s">
        <v>2353</v>
      </c>
      <c r="AO57" s="445">
        <v>8</v>
      </c>
      <c r="AP57" s="445">
        <v>15</v>
      </c>
      <c r="AQ57" s="445">
        <v>4</v>
      </c>
      <c r="AR57" s="451">
        <v>6</v>
      </c>
      <c r="AS57" s="451">
        <v>2</v>
      </c>
      <c r="AT57" s="445">
        <v>4</v>
      </c>
      <c r="AU57" s="445">
        <v>18</v>
      </c>
      <c r="AV57" s="445" t="str">
        <f t="shared" si="5"/>
        <v>Vàng:5200:MG01:3</v>
      </c>
      <c r="AW57" s="440">
        <v>150</v>
      </c>
      <c r="AX57" s="450">
        <v>5</v>
      </c>
      <c r="AY57" s="450">
        <v>3</v>
      </c>
      <c r="AZ57" s="450">
        <v>51</v>
      </c>
      <c r="BA57" s="31">
        <v>5200</v>
      </c>
      <c r="BB57" s="31">
        <v>3</v>
      </c>
      <c r="BC57" s="31">
        <f t="shared" si="1"/>
        <v>26000</v>
      </c>
    </row>
    <row r="58" spans="1:55" x14ac:dyDescent="0.25">
      <c r="A58" s="28" t="s">
        <v>2199</v>
      </c>
      <c r="B58" s="428">
        <v>56</v>
      </c>
      <c r="C58" s="13">
        <v>6</v>
      </c>
      <c r="D58" s="4">
        <v>14</v>
      </c>
      <c r="E58" s="445">
        <v>1800</v>
      </c>
      <c r="F58" s="445">
        <v>5</v>
      </c>
      <c r="G58" s="13">
        <v>10</v>
      </c>
      <c r="H58" s="13">
        <v>12</v>
      </c>
      <c r="I58" s="455" t="s">
        <v>2218</v>
      </c>
      <c r="J58" s="451">
        <v>2</v>
      </c>
      <c r="K58" s="445">
        <v>50</v>
      </c>
      <c r="L58" s="445">
        <v>50</v>
      </c>
      <c r="M58" s="445">
        <v>4</v>
      </c>
      <c r="N58" s="13">
        <v>11</v>
      </c>
      <c r="O58" s="446">
        <v>15</v>
      </c>
      <c r="P58" s="445">
        <v>85</v>
      </c>
      <c r="Q58" s="321">
        <v>6</v>
      </c>
      <c r="R58" s="23">
        <v>12</v>
      </c>
      <c r="S58" s="445">
        <v>20</v>
      </c>
      <c r="T58" s="445">
        <f t="shared" si="3"/>
        <v>80</v>
      </c>
      <c r="U58" s="447">
        <v>0.8</v>
      </c>
      <c r="V58" s="448">
        <v>2.04</v>
      </c>
      <c r="W58" s="449">
        <v>3.0666666666666664</v>
      </c>
      <c r="X58" s="448">
        <v>2.52</v>
      </c>
      <c r="Y58" s="448">
        <v>4.24</v>
      </c>
      <c r="Z58" s="448">
        <v>2</v>
      </c>
      <c r="AA58" s="448">
        <v>3.536</v>
      </c>
      <c r="AB58" s="448">
        <v>0.55999999999999994</v>
      </c>
      <c r="AC58" s="445">
        <v>280000</v>
      </c>
      <c r="AD58" s="450">
        <v>450</v>
      </c>
      <c r="AE58" s="445">
        <v>10800</v>
      </c>
      <c r="AF58" s="445">
        <v>500</v>
      </c>
      <c r="AG58" s="447">
        <v>1.17</v>
      </c>
      <c r="AH58" s="445">
        <v>3</v>
      </c>
      <c r="AI58" s="445">
        <v>4</v>
      </c>
      <c r="AJ58" s="445">
        <v>2</v>
      </c>
      <c r="AK58" s="445">
        <v>3</v>
      </c>
      <c r="AL58" s="2" t="s">
        <v>2239</v>
      </c>
      <c r="AM58" s="2" t="s">
        <v>2241</v>
      </c>
      <c r="AN58" s="2" t="s">
        <v>2354</v>
      </c>
      <c r="AO58" s="445">
        <v>10</v>
      </c>
      <c r="AP58" s="445">
        <v>20</v>
      </c>
      <c r="AQ58" s="445">
        <v>4</v>
      </c>
      <c r="AR58" s="451">
        <v>6</v>
      </c>
      <c r="AS58" s="451">
        <v>2</v>
      </c>
      <c r="AT58" s="445">
        <v>4</v>
      </c>
      <c r="AU58" s="445">
        <v>18</v>
      </c>
      <c r="AV58" s="445" t="str">
        <f t="shared" si="5"/>
        <v>Vàng:5300:MG01:3</v>
      </c>
      <c r="AW58" s="440">
        <v>150</v>
      </c>
      <c r="AX58" s="450">
        <v>5</v>
      </c>
      <c r="AY58" s="450">
        <v>3</v>
      </c>
      <c r="AZ58" s="450">
        <v>52</v>
      </c>
      <c r="BA58" s="31">
        <v>5300</v>
      </c>
      <c r="BB58" s="31">
        <v>3</v>
      </c>
      <c r="BC58" s="31">
        <f t="shared" si="1"/>
        <v>26500</v>
      </c>
    </row>
    <row r="59" spans="1:55" x14ac:dyDescent="0.25">
      <c r="A59" s="28" t="s">
        <v>2199</v>
      </c>
      <c r="B59" s="29">
        <v>57</v>
      </c>
      <c r="C59" s="13">
        <v>6</v>
      </c>
      <c r="D59" s="4">
        <v>14</v>
      </c>
      <c r="E59" s="445">
        <v>1800</v>
      </c>
      <c r="F59" s="445">
        <v>5</v>
      </c>
      <c r="G59" s="13">
        <v>10</v>
      </c>
      <c r="H59" s="13">
        <v>12</v>
      </c>
      <c r="I59" s="455" t="s">
        <v>2218</v>
      </c>
      <c r="J59" s="451">
        <v>2</v>
      </c>
      <c r="K59" s="445">
        <v>50</v>
      </c>
      <c r="L59" s="445">
        <v>50</v>
      </c>
      <c r="M59" s="445">
        <v>4</v>
      </c>
      <c r="N59" s="13">
        <v>11</v>
      </c>
      <c r="O59" s="446">
        <v>15</v>
      </c>
      <c r="P59" s="445">
        <v>85</v>
      </c>
      <c r="Q59" s="321">
        <v>6</v>
      </c>
      <c r="R59" s="23">
        <v>12</v>
      </c>
      <c r="S59" s="445">
        <v>20</v>
      </c>
      <c r="T59" s="445">
        <f t="shared" si="3"/>
        <v>80</v>
      </c>
      <c r="U59" s="447">
        <v>0.8</v>
      </c>
      <c r="V59" s="448">
        <v>2.04</v>
      </c>
      <c r="W59" s="449">
        <v>3.1</v>
      </c>
      <c r="X59" s="448">
        <v>2.52</v>
      </c>
      <c r="Y59" s="448">
        <v>4.2799999999999994</v>
      </c>
      <c r="Z59" s="448">
        <v>2</v>
      </c>
      <c r="AA59" s="448">
        <v>3.536</v>
      </c>
      <c r="AB59" s="448">
        <v>0.55999999999999994</v>
      </c>
      <c r="AC59" s="445">
        <v>285000</v>
      </c>
      <c r="AD59" s="450">
        <v>450</v>
      </c>
      <c r="AE59" s="445">
        <v>10800</v>
      </c>
      <c r="AF59" s="445">
        <v>500</v>
      </c>
      <c r="AG59" s="447">
        <v>1.17</v>
      </c>
      <c r="AH59" s="445">
        <v>3</v>
      </c>
      <c r="AI59" s="445">
        <v>4</v>
      </c>
      <c r="AJ59" s="445">
        <v>2</v>
      </c>
      <c r="AK59" s="445">
        <v>3</v>
      </c>
      <c r="AL59" s="2" t="s">
        <v>2239</v>
      </c>
      <c r="AM59" s="2" t="s">
        <v>2241</v>
      </c>
      <c r="AN59" s="2" t="s">
        <v>2354</v>
      </c>
      <c r="AO59" s="445">
        <v>10</v>
      </c>
      <c r="AP59" s="445">
        <v>20</v>
      </c>
      <c r="AQ59" s="445">
        <v>4</v>
      </c>
      <c r="AR59" s="451">
        <v>6</v>
      </c>
      <c r="AS59" s="451">
        <v>2</v>
      </c>
      <c r="AT59" s="445">
        <v>4</v>
      </c>
      <c r="AU59" s="445">
        <v>18</v>
      </c>
      <c r="AV59" s="445" t="str">
        <f t="shared" si="5"/>
        <v>Vàng:5400:MG01:3</v>
      </c>
      <c r="AW59" s="440">
        <v>150</v>
      </c>
      <c r="AX59" s="450">
        <v>5</v>
      </c>
      <c r="AY59" s="450">
        <v>3</v>
      </c>
      <c r="AZ59" s="450">
        <v>53</v>
      </c>
      <c r="BA59" s="31">
        <v>5400</v>
      </c>
      <c r="BB59" s="31">
        <v>3</v>
      </c>
      <c r="BC59" s="31">
        <f t="shared" si="1"/>
        <v>27000</v>
      </c>
    </row>
    <row r="60" spans="1:55" x14ac:dyDescent="0.25">
      <c r="A60" s="28" t="s">
        <v>2199</v>
      </c>
      <c r="B60" s="428">
        <v>58</v>
      </c>
      <c r="C60" s="13">
        <v>6</v>
      </c>
      <c r="D60" s="4">
        <v>14</v>
      </c>
      <c r="E60" s="445">
        <v>1800</v>
      </c>
      <c r="F60" s="445">
        <v>5</v>
      </c>
      <c r="G60" s="13">
        <v>10</v>
      </c>
      <c r="H60" s="13">
        <v>12</v>
      </c>
      <c r="I60" s="455" t="s">
        <v>2218</v>
      </c>
      <c r="J60" s="451">
        <v>2</v>
      </c>
      <c r="K60" s="445">
        <v>50</v>
      </c>
      <c r="L60" s="445">
        <v>50</v>
      </c>
      <c r="M60" s="445">
        <v>4</v>
      </c>
      <c r="N60" s="13">
        <v>11</v>
      </c>
      <c r="O60" s="446">
        <v>15</v>
      </c>
      <c r="P60" s="445">
        <v>85</v>
      </c>
      <c r="Q60" s="321">
        <v>6</v>
      </c>
      <c r="R60" s="23">
        <v>12</v>
      </c>
      <c r="S60" s="445">
        <v>20</v>
      </c>
      <c r="T60" s="445">
        <f t="shared" si="3"/>
        <v>80</v>
      </c>
      <c r="U60" s="447">
        <v>0.8</v>
      </c>
      <c r="V60" s="448">
        <v>2.04</v>
      </c>
      <c r="W60" s="449">
        <v>3.1333333333333333</v>
      </c>
      <c r="X60" s="448">
        <v>2.52</v>
      </c>
      <c r="Y60" s="448">
        <v>4.32</v>
      </c>
      <c r="Z60" s="448">
        <v>2</v>
      </c>
      <c r="AA60" s="448">
        <v>3.536</v>
      </c>
      <c r="AB60" s="448">
        <v>0.55999999999999994</v>
      </c>
      <c r="AC60" s="445">
        <v>290000</v>
      </c>
      <c r="AD60" s="450">
        <v>450</v>
      </c>
      <c r="AE60" s="445">
        <v>10800</v>
      </c>
      <c r="AF60" s="445">
        <v>500</v>
      </c>
      <c r="AG60" s="447">
        <v>1.17</v>
      </c>
      <c r="AH60" s="445">
        <v>3</v>
      </c>
      <c r="AI60" s="445">
        <v>4</v>
      </c>
      <c r="AJ60" s="445">
        <v>2</v>
      </c>
      <c r="AK60" s="445">
        <v>3</v>
      </c>
      <c r="AL60" s="2" t="s">
        <v>2242</v>
      </c>
      <c r="AM60" s="2" t="s">
        <v>2241</v>
      </c>
      <c r="AN60" s="2" t="s">
        <v>2354</v>
      </c>
      <c r="AO60" s="445">
        <v>10</v>
      </c>
      <c r="AP60" s="445">
        <v>20</v>
      </c>
      <c r="AQ60" s="445">
        <v>4</v>
      </c>
      <c r="AR60" s="451">
        <v>6</v>
      </c>
      <c r="AS60" s="451">
        <v>2</v>
      </c>
      <c r="AT60" s="445">
        <v>4</v>
      </c>
      <c r="AU60" s="445">
        <v>18</v>
      </c>
      <c r="AV60" s="445" t="str">
        <f t="shared" si="5"/>
        <v>Vàng:5500:MG01:3</v>
      </c>
      <c r="AW60" s="440">
        <v>150</v>
      </c>
      <c r="AX60" s="450">
        <v>5</v>
      </c>
      <c r="AY60" s="450">
        <v>3</v>
      </c>
      <c r="AZ60" s="450">
        <v>54</v>
      </c>
      <c r="BA60" s="31">
        <v>5500</v>
      </c>
      <c r="BB60" s="31">
        <v>3</v>
      </c>
      <c r="BC60" s="31">
        <f t="shared" si="1"/>
        <v>27500</v>
      </c>
    </row>
    <row r="61" spans="1:55" x14ac:dyDescent="0.25">
      <c r="A61" s="28" t="s">
        <v>2199</v>
      </c>
      <c r="B61" s="29">
        <v>59</v>
      </c>
      <c r="C61" s="13">
        <v>6</v>
      </c>
      <c r="D61" s="4">
        <v>14</v>
      </c>
      <c r="E61" s="445">
        <v>1800</v>
      </c>
      <c r="F61" s="445">
        <v>5</v>
      </c>
      <c r="G61" s="13">
        <v>10</v>
      </c>
      <c r="H61" s="13">
        <v>12</v>
      </c>
      <c r="I61" s="455" t="s">
        <v>2218</v>
      </c>
      <c r="J61" s="451">
        <v>2</v>
      </c>
      <c r="K61" s="445">
        <v>50</v>
      </c>
      <c r="L61" s="445">
        <v>50</v>
      </c>
      <c r="M61" s="445">
        <v>4</v>
      </c>
      <c r="N61" s="13">
        <v>11</v>
      </c>
      <c r="O61" s="446">
        <v>15</v>
      </c>
      <c r="P61" s="445">
        <v>85</v>
      </c>
      <c r="Q61" s="321">
        <v>6</v>
      </c>
      <c r="R61" s="23">
        <v>12</v>
      </c>
      <c r="S61" s="445">
        <v>20</v>
      </c>
      <c r="T61" s="445">
        <f t="shared" si="3"/>
        <v>80</v>
      </c>
      <c r="U61" s="447">
        <v>0.8</v>
      </c>
      <c r="V61" s="448">
        <v>2.04</v>
      </c>
      <c r="W61" s="449">
        <v>3.1666666666666665</v>
      </c>
      <c r="X61" s="448">
        <v>2.52</v>
      </c>
      <c r="Y61" s="448">
        <v>4.3600000000000003</v>
      </c>
      <c r="Z61" s="448">
        <v>2</v>
      </c>
      <c r="AA61" s="448">
        <v>3.4319999999999999</v>
      </c>
      <c r="AB61" s="448">
        <v>0.55999999999999994</v>
      </c>
      <c r="AC61" s="445">
        <v>295000</v>
      </c>
      <c r="AD61" s="450">
        <v>450</v>
      </c>
      <c r="AE61" s="445">
        <v>10800</v>
      </c>
      <c r="AF61" s="445">
        <v>500</v>
      </c>
      <c r="AG61" s="447">
        <v>1.17</v>
      </c>
      <c r="AH61" s="445">
        <v>3</v>
      </c>
      <c r="AI61" s="445">
        <v>4</v>
      </c>
      <c r="AJ61" s="445">
        <v>2</v>
      </c>
      <c r="AK61" s="445">
        <v>3</v>
      </c>
      <c r="AL61" s="2" t="s">
        <v>2242</v>
      </c>
      <c r="AM61" s="2" t="s">
        <v>2241</v>
      </c>
      <c r="AN61" s="2" t="s">
        <v>2354</v>
      </c>
      <c r="AO61" s="445">
        <v>10</v>
      </c>
      <c r="AP61" s="445">
        <v>20</v>
      </c>
      <c r="AQ61" s="445">
        <v>4</v>
      </c>
      <c r="AR61" s="451">
        <v>6</v>
      </c>
      <c r="AS61" s="451">
        <v>2</v>
      </c>
      <c r="AT61" s="445">
        <v>4</v>
      </c>
      <c r="AU61" s="445">
        <v>18</v>
      </c>
      <c r="AV61" s="445" t="str">
        <f t="shared" si="5"/>
        <v>Vàng:5600:MG01:3</v>
      </c>
      <c r="AW61" s="440">
        <v>150</v>
      </c>
      <c r="AX61" s="450">
        <v>5</v>
      </c>
      <c r="AY61" s="450">
        <v>3</v>
      </c>
      <c r="AZ61" s="450">
        <v>55</v>
      </c>
      <c r="BA61" s="31">
        <v>5600</v>
      </c>
      <c r="BB61" s="31">
        <v>3</v>
      </c>
      <c r="BC61" s="31">
        <f t="shared" si="1"/>
        <v>28000</v>
      </c>
    </row>
    <row r="62" spans="1:55" x14ac:dyDescent="0.25">
      <c r="A62" s="28" t="s">
        <v>2199</v>
      </c>
      <c r="B62" s="428">
        <v>60</v>
      </c>
      <c r="C62" s="13">
        <v>6</v>
      </c>
      <c r="D62" s="4">
        <v>15</v>
      </c>
      <c r="E62" s="445">
        <v>2100</v>
      </c>
      <c r="F62" s="445">
        <v>5</v>
      </c>
      <c r="G62" s="13">
        <v>10</v>
      </c>
      <c r="H62" s="13">
        <v>12</v>
      </c>
      <c r="I62" s="455" t="s">
        <v>2218</v>
      </c>
      <c r="J62" s="451">
        <v>2</v>
      </c>
      <c r="K62" s="445">
        <v>50</v>
      </c>
      <c r="L62" s="445">
        <v>50</v>
      </c>
      <c r="M62" s="445">
        <v>4</v>
      </c>
      <c r="N62" s="13">
        <v>12</v>
      </c>
      <c r="O62" s="446">
        <v>15</v>
      </c>
      <c r="P62" s="445">
        <v>85</v>
      </c>
      <c r="Q62" s="321">
        <v>6</v>
      </c>
      <c r="R62" s="23">
        <v>12</v>
      </c>
      <c r="S62" s="445">
        <v>20</v>
      </c>
      <c r="T62" s="445">
        <f t="shared" si="3"/>
        <v>80</v>
      </c>
      <c r="U62" s="447">
        <v>0.8</v>
      </c>
      <c r="V62" s="448">
        <v>2.04</v>
      </c>
      <c r="W62" s="449">
        <v>3.1999999999999997</v>
      </c>
      <c r="X62" s="448">
        <v>2.52</v>
      </c>
      <c r="Y62" s="448">
        <v>4.4000000000000004</v>
      </c>
      <c r="Z62" s="448">
        <v>2</v>
      </c>
      <c r="AA62" s="457">
        <v>3.3280000000000003</v>
      </c>
      <c r="AB62" s="457">
        <v>0.42</v>
      </c>
      <c r="AC62" s="445">
        <v>300000</v>
      </c>
      <c r="AD62" s="450">
        <v>450</v>
      </c>
      <c r="AE62" s="445">
        <v>10800</v>
      </c>
      <c r="AF62" s="445">
        <v>500</v>
      </c>
      <c r="AG62" s="447">
        <v>1.17</v>
      </c>
      <c r="AH62" s="445">
        <v>3</v>
      </c>
      <c r="AI62" s="445">
        <v>4</v>
      </c>
      <c r="AJ62" s="445">
        <v>2</v>
      </c>
      <c r="AK62" s="445">
        <v>3</v>
      </c>
      <c r="AL62" s="2" t="s">
        <v>2242</v>
      </c>
      <c r="AM62" s="2" t="s">
        <v>2241</v>
      </c>
      <c r="AN62" s="2" t="s">
        <v>2354</v>
      </c>
      <c r="AO62" s="445">
        <v>10</v>
      </c>
      <c r="AP62" s="445">
        <v>20</v>
      </c>
      <c r="AQ62" s="445">
        <v>4</v>
      </c>
      <c r="AR62" s="451">
        <v>6</v>
      </c>
      <c r="AS62" s="451">
        <v>2</v>
      </c>
      <c r="AT62" s="445">
        <v>4</v>
      </c>
      <c r="AU62" s="445">
        <v>18</v>
      </c>
      <c r="AV62" s="445" t="str">
        <f t="shared" si="5"/>
        <v>Vàng:5700:MG01:3</v>
      </c>
      <c r="AW62" s="440">
        <v>150</v>
      </c>
      <c r="AX62" s="450">
        <v>6</v>
      </c>
      <c r="AY62" s="450">
        <v>3</v>
      </c>
      <c r="AZ62" s="450">
        <v>56</v>
      </c>
      <c r="BA62" s="31">
        <v>5700</v>
      </c>
      <c r="BB62" s="31">
        <v>3</v>
      </c>
      <c r="BC62" s="31">
        <f t="shared" si="1"/>
        <v>28500</v>
      </c>
    </row>
    <row r="63" spans="1:55" x14ac:dyDescent="0.25">
      <c r="A63" s="28" t="s">
        <v>2199</v>
      </c>
      <c r="B63" s="29">
        <v>61</v>
      </c>
      <c r="C63" s="13">
        <v>6</v>
      </c>
      <c r="D63" s="4">
        <v>15</v>
      </c>
      <c r="E63" s="445">
        <v>2100</v>
      </c>
      <c r="F63" s="445">
        <v>5</v>
      </c>
      <c r="G63" s="13">
        <v>10</v>
      </c>
      <c r="H63" s="13">
        <v>12</v>
      </c>
      <c r="I63" s="455" t="s">
        <v>2218</v>
      </c>
      <c r="J63" s="451">
        <v>2</v>
      </c>
      <c r="K63" s="445">
        <v>50</v>
      </c>
      <c r="L63" s="445">
        <v>50</v>
      </c>
      <c r="M63" s="445">
        <v>4</v>
      </c>
      <c r="N63" s="13">
        <v>12</v>
      </c>
      <c r="O63" s="446">
        <v>15</v>
      </c>
      <c r="P63" s="445">
        <v>85</v>
      </c>
      <c r="Q63" s="321">
        <v>6</v>
      </c>
      <c r="R63" s="23">
        <v>12</v>
      </c>
      <c r="S63" s="445">
        <v>15</v>
      </c>
      <c r="T63" s="445">
        <f t="shared" si="3"/>
        <v>85</v>
      </c>
      <c r="U63" s="447">
        <v>0.8</v>
      </c>
      <c r="V63" s="448">
        <v>2.04</v>
      </c>
      <c r="W63" s="449">
        <v>3.2333333333333329</v>
      </c>
      <c r="X63" s="448">
        <v>2.52</v>
      </c>
      <c r="Y63" s="448">
        <v>4.4399999999999995</v>
      </c>
      <c r="Z63" s="448">
        <v>2</v>
      </c>
      <c r="AA63" s="448">
        <v>3.3280000000000003</v>
      </c>
      <c r="AB63" s="448">
        <v>0.42</v>
      </c>
      <c r="AC63" s="445">
        <v>305000</v>
      </c>
      <c r="AD63" s="450">
        <v>450</v>
      </c>
      <c r="AE63" s="445">
        <v>10800</v>
      </c>
      <c r="AF63" s="445">
        <v>500</v>
      </c>
      <c r="AG63" s="447">
        <v>1.17</v>
      </c>
      <c r="AH63" s="445">
        <v>3</v>
      </c>
      <c r="AI63" s="445">
        <v>4</v>
      </c>
      <c r="AJ63" s="445">
        <v>2</v>
      </c>
      <c r="AK63" s="445">
        <v>3</v>
      </c>
      <c r="AL63" s="2" t="s">
        <v>2243</v>
      </c>
      <c r="AM63" s="2" t="s">
        <v>2244</v>
      </c>
      <c r="AN63" s="2" t="s">
        <v>2355</v>
      </c>
      <c r="AO63" s="445">
        <v>10</v>
      </c>
      <c r="AP63" s="445">
        <v>20</v>
      </c>
      <c r="AQ63" s="445">
        <v>4</v>
      </c>
      <c r="AR63" s="451">
        <v>6</v>
      </c>
      <c r="AS63" s="451">
        <v>2</v>
      </c>
      <c r="AT63" s="445">
        <v>4</v>
      </c>
      <c r="AU63" s="445">
        <v>18</v>
      </c>
      <c r="AV63" s="445" t="str">
        <f t="shared" si="5"/>
        <v>Vàng:5800:MG01:3</v>
      </c>
      <c r="AW63" s="440">
        <v>150</v>
      </c>
      <c r="AX63" s="450">
        <v>6</v>
      </c>
      <c r="AY63" s="450">
        <v>3</v>
      </c>
      <c r="AZ63" s="450">
        <v>57</v>
      </c>
      <c r="BA63" s="31">
        <v>5800</v>
      </c>
      <c r="BB63" s="31">
        <v>3</v>
      </c>
      <c r="BC63" s="31">
        <f t="shared" si="1"/>
        <v>29000</v>
      </c>
    </row>
    <row r="64" spans="1:55" x14ac:dyDescent="0.25">
      <c r="A64" s="28" t="s">
        <v>2199</v>
      </c>
      <c r="B64" s="428">
        <v>62</v>
      </c>
      <c r="C64" s="13">
        <v>6</v>
      </c>
      <c r="D64" s="4">
        <v>15</v>
      </c>
      <c r="E64" s="445">
        <v>2100</v>
      </c>
      <c r="F64" s="445">
        <v>5</v>
      </c>
      <c r="G64" s="13">
        <v>10</v>
      </c>
      <c r="H64" s="13">
        <v>12</v>
      </c>
      <c r="I64" s="455" t="s">
        <v>2218</v>
      </c>
      <c r="J64" s="451">
        <v>2</v>
      </c>
      <c r="K64" s="445">
        <v>50</v>
      </c>
      <c r="L64" s="445">
        <v>50</v>
      </c>
      <c r="M64" s="445">
        <v>4</v>
      </c>
      <c r="N64" s="13">
        <v>12</v>
      </c>
      <c r="O64" s="446">
        <v>15</v>
      </c>
      <c r="P64" s="445">
        <v>85</v>
      </c>
      <c r="Q64" s="321">
        <v>6</v>
      </c>
      <c r="R64" s="23">
        <v>12</v>
      </c>
      <c r="S64" s="445">
        <v>15</v>
      </c>
      <c r="T64" s="445">
        <f t="shared" si="3"/>
        <v>85</v>
      </c>
      <c r="U64" s="447">
        <v>0.8</v>
      </c>
      <c r="V64" s="448">
        <v>2.04</v>
      </c>
      <c r="W64" s="449">
        <v>3.2666666666666671</v>
      </c>
      <c r="X64" s="448">
        <v>2.52</v>
      </c>
      <c r="Y64" s="448">
        <v>4.4799999999999995</v>
      </c>
      <c r="Z64" s="448">
        <v>2</v>
      </c>
      <c r="AA64" s="448">
        <v>3.3280000000000003</v>
      </c>
      <c r="AB64" s="448">
        <v>0.42</v>
      </c>
      <c r="AC64" s="445">
        <v>310000</v>
      </c>
      <c r="AD64" s="450">
        <v>450</v>
      </c>
      <c r="AE64" s="445">
        <v>10800</v>
      </c>
      <c r="AF64" s="445">
        <v>500</v>
      </c>
      <c r="AG64" s="447">
        <v>1.17</v>
      </c>
      <c r="AH64" s="445">
        <v>3</v>
      </c>
      <c r="AI64" s="445">
        <v>4</v>
      </c>
      <c r="AJ64" s="445">
        <v>2</v>
      </c>
      <c r="AK64" s="445">
        <v>3</v>
      </c>
      <c r="AL64" s="2" t="s">
        <v>2245</v>
      </c>
      <c r="AM64" s="2" t="s">
        <v>2246</v>
      </c>
      <c r="AN64" s="2" t="s">
        <v>2355</v>
      </c>
      <c r="AO64" s="445">
        <v>10</v>
      </c>
      <c r="AP64" s="445">
        <v>20</v>
      </c>
      <c r="AQ64" s="445">
        <v>4</v>
      </c>
      <c r="AR64" s="451">
        <v>6</v>
      </c>
      <c r="AS64" s="451">
        <v>2</v>
      </c>
      <c r="AT64" s="445">
        <v>4</v>
      </c>
      <c r="AU64" s="445">
        <v>18</v>
      </c>
      <c r="AV64" s="445" t="str">
        <f t="shared" si="5"/>
        <v>Vàng:5900:MG01:3</v>
      </c>
      <c r="AW64" s="440">
        <v>150</v>
      </c>
      <c r="AX64" s="450">
        <v>6</v>
      </c>
      <c r="AY64" s="450">
        <v>3</v>
      </c>
      <c r="AZ64" s="450">
        <v>58</v>
      </c>
      <c r="BA64" s="31">
        <v>5900</v>
      </c>
      <c r="BB64" s="31">
        <v>3</v>
      </c>
      <c r="BC64" s="31">
        <f t="shared" si="1"/>
        <v>29500</v>
      </c>
    </row>
    <row r="65" spans="1:55" x14ac:dyDescent="0.25">
      <c r="A65" s="28" t="s">
        <v>2199</v>
      </c>
      <c r="B65" s="29">
        <v>63</v>
      </c>
      <c r="C65" s="13">
        <v>6</v>
      </c>
      <c r="D65" s="4">
        <v>15</v>
      </c>
      <c r="E65" s="445">
        <v>2100</v>
      </c>
      <c r="F65" s="445">
        <v>5</v>
      </c>
      <c r="G65" s="13">
        <v>10</v>
      </c>
      <c r="H65" s="13">
        <v>12</v>
      </c>
      <c r="I65" s="455" t="s">
        <v>2218</v>
      </c>
      <c r="J65" s="451">
        <v>2</v>
      </c>
      <c r="K65" s="445">
        <v>50</v>
      </c>
      <c r="L65" s="445">
        <v>50</v>
      </c>
      <c r="M65" s="445">
        <v>4</v>
      </c>
      <c r="N65" s="13">
        <v>12</v>
      </c>
      <c r="O65" s="446">
        <v>15</v>
      </c>
      <c r="P65" s="445">
        <v>85</v>
      </c>
      <c r="Q65" s="321">
        <v>6</v>
      </c>
      <c r="R65" s="23">
        <v>12</v>
      </c>
      <c r="S65" s="445">
        <v>15</v>
      </c>
      <c r="T65" s="445">
        <f t="shared" si="3"/>
        <v>85</v>
      </c>
      <c r="U65" s="447">
        <v>0.8</v>
      </c>
      <c r="V65" s="448">
        <v>2.04</v>
      </c>
      <c r="W65" s="449">
        <v>3.3000000000000003</v>
      </c>
      <c r="X65" s="448">
        <v>2.52</v>
      </c>
      <c r="Y65" s="448">
        <v>4.5200000000000005</v>
      </c>
      <c r="Z65" s="448">
        <v>2</v>
      </c>
      <c r="AA65" s="448">
        <v>3.3280000000000003</v>
      </c>
      <c r="AB65" s="448">
        <v>0.42</v>
      </c>
      <c r="AC65" s="445">
        <v>315000</v>
      </c>
      <c r="AD65" s="450">
        <v>450</v>
      </c>
      <c r="AE65" s="445">
        <v>10800</v>
      </c>
      <c r="AF65" s="445">
        <v>500</v>
      </c>
      <c r="AG65" s="447">
        <v>1.17</v>
      </c>
      <c r="AH65" s="445">
        <v>3</v>
      </c>
      <c r="AI65" s="445">
        <v>4</v>
      </c>
      <c r="AJ65" s="445">
        <v>2</v>
      </c>
      <c r="AK65" s="445">
        <v>3</v>
      </c>
      <c r="AL65" s="2" t="s">
        <v>2245</v>
      </c>
      <c r="AM65" s="2" t="s">
        <v>2246</v>
      </c>
      <c r="AN65" s="2" t="s">
        <v>2355</v>
      </c>
      <c r="AO65" s="445">
        <v>10</v>
      </c>
      <c r="AP65" s="445">
        <v>20</v>
      </c>
      <c r="AQ65" s="445">
        <v>4</v>
      </c>
      <c r="AR65" s="451">
        <v>6</v>
      </c>
      <c r="AS65" s="451">
        <v>2</v>
      </c>
      <c r="AT65" s="445">
        <v>4</v>
      </c>
      <c r="AU65" s="445">
        <v>18</v>
      </c>
      <c r="AV65" s="445" t="str">
        <f t="shared" si="5"/>
        <v>Vàng:6000:MG01:3</v>
      </c>
      <c r="AW65" s="440">
        <v>150</v>
      </c>
      <c r="AX65" s="450">
        <v>6</v>
      </c>
      <c r="AY65" s="450">
        <v>3</v>
      </c>
      <c r="AZ65" s="450">
        <v>59</v>
      </c>
      <c r="BA65" s="31">
        <v>6000</v>
      </c>
      <c r="BB65" s="31">
        <v>3</v>
      </c>
      <c r="BC65" s="31">
        <f t="shared" si="1"/>
        <v>30000</v>
      </c>
    </row>
    <row r="66" spans="1:55" x14ac:dyDescent="0.25">
      <c r="A66" s="28" t="s">
        <v>2199</v>
      </c>
      <c r="B66" s="428">
        <v>64</v>
      </c>
      <c r="C66" s="13">
        <v>6</v>
      </c>
      <c r="D66" s="4">
        <v>15</v>
      </c>
      <c r="E66" s="445">
        <v>2100</v>
      </c>
      <c r="F66" s="445">
        <v>5</v>
      </c>
      <c r="G66" s="13">
        <v>10</v>
      </c>
      <c r="H66" s="13">
        <v>12</v>
      </c>
      <c r="I66" s="455" t="s">
        <v>2218</v>
      </c>
      <c r="J66" s="451">
        <v>2</v>
      </c>
      <c r="K66" s="445">
        <v>50</v>
      </c>
      <c r="L66" s="445">
        <v>50</v>
      </c>
      <c r="M66" s="445">
        <v>4</v>
      </c>
      <c r="N66" s="13">
        <v>12</v>
      </c>
      <c r="O66" s="446">
        <v>15</v>
      </c>
      <c r="P66" s="445">
        <v>85</v>
      </c>
      <c r="Q66" s="321">
        <v>6</v>
      </c>
      <c r="R66" s="23">
        <v>12</v>
      </c>
      <c r="S66" s="445">
        <v>15</v>
      </c>
      <c r="T66" s="445">
        <f t="shared" si="3"/>
        <v>85</v>
      </c>
      <c r="U66" s="447">
        <v>0.8</v>
      </c>
      <c r="V66" s="448">
        <v>2.04</v>
      </c>
      <c r="W66" s="449">
        <v>3.3000000000000003</v>
      </c>
      <c r="X66" s="448">
        <v>2.52</v>
      </c>
      <c r="Y66" s="448">
        <v>4.5600000000000005</v>
      </c>
      <c r="Z66" s="448">
        <v>2</v>
      </c>
      <c r="AA66" s="457">
        <v>3.2240000000000002</v>
      </c>
      <c r="AB66" s="448">
        <v>0.42</v>
      </c>
      <c r="AC66" s="445">
        <v>320000</v>
      </c>
      <c r="AD66" s="450">
        <v>450</v>
      </c>
      <c r="AE66" s="445">
        <v>10800</v>
      </c>
      <c r="AF66" s="445">
        <v>500</v>
      </c>
      <c r="AG66" s="447">
        <v>1.17</v>
      </c>
      <c r="AH66" s="445">
        <v>3</v>
      </c>
      <c r="AI66" s="445">
        <v>4</v>
      </c>
      <c r="AJ66" s="445">
        <v>2</v>
      </c>
      <c r="AK66" s="445">
        <v>3</v>
      </c>
      <c r="AL66" s="2" t="s">
        <v>2245</v>
      </c>
      <c r="AM66" s="2" t="s">
        <v>2246</v>
      </c>
      <c r="AN66" s="2" t="s">
        <v>2355</v>
      </c>
      <c r="AO66" s="445">
        <v>10</v>
      </c>
      <c r="AP66" s="445">
        <v>20</v>
      </c>
      <c r="AQ66" s="445">
        <v>4</v>
      </c>
      <c r="AR66" s="451">
        <v>6</v>
      </c>
      <c r="AS66" s="451">
        <v>2</v>
      </c>
      <c r="AT66" s="445">
        <v>4</v>
      </c>
      <c r="AU66" s="445">
        <v>18</v>
      </c>
      <c r="AV66" s="445" t="str">
        <f t="shared" si="5"/>
        <v>Vàng:6100:MG01:3</v>
      </c>
      <c r="AW66" s="440">
        <v>150</v>
      </c>
      <c r="AX66" s="450">
        <v>6</v>
      </c>
      <c r="AY66" s="450">
        <v>3</v>
      </c>
      <c r="AZ66" s="450">
        <v>60</v>
      </c>
      <c r="BA66" s="31">
        <v>6100</v>
      </c>
      <c r="BB66" s="31">
        <v>3</v>
      </c>
      <c r="BC66" s="31">
        <f t="shared" si="1"/>
        <v>30500</v>
      </c>
    </row>
    <row r="67" spans="1:55" x14ac:dyDescent="0.25">
      <c r="A67" s="28" t="s">
        <v>2199</v>
      </c>
      <c r="B67" s="29">
        <v>65</v>
      </c>
      <c r="C67" s="13">
        <v>6</v>
      </c>
      <c r="D67" s="4">
        <v>16</v>
      </c>
      <c r="E67" s="445">
        <v>2100</v>
      </c>
      <c r="F67" s="445">
        <v>5</v>
      </c>
      <c r="G67" s="13">
        <v>10</v>
      </c>
      <c r="H67" s="13">
        <v>12</v>
      </c>
      <c r="I67" s="455" t="s">
        <v>2218</v>
      </c>
      <c r="J67" s="451">
        <v>2</v>
      </c>
      <c r="K67" s="445">
        <v>50</v>
      </c>
      <c r="L67" s="445">
        <v>50</v>
      </c>
      <c r="M67" s="445">
        <v>4</v>
      </c>
      <c r="N67" s="13">
        <v>13</v>
      </c>
      <c r="O67" s="446">
        <v>15</v>
      </c>
      <c r="P67" s="445">
        <v>85</v>
      </c>
      <c r="Q67" s="321">
        <v>6</v>
      </c>
      <c r="R67" s="23">
        <v>12</v>
      </c>
      <c r="S67" s="445">
        <v>15</v>
      </c>
      <c r="T67" s="445">
        <f t="shared" si="3"/>
        <v>85</v>
      </c>
      <c r="U67" s="447">
        <v>0.8</v>
      </c>
      <c r="V67" s="448">
        <v>2.04</v>
      </c>
      <c r="W67" s="449">
        <v>3.3000000000000003</v>
      </c>
      <c r="X67" s="448">
        <v>2.52</v>
      </c>
      <c r="Y67" s="448">
        <v>4.5999999999999996</v>
      </c>
      <c r="Z67" s="448">
        <v>2</v>
      </c>
      <c r="AA67" s="448">
        <v>3.2240000000000002</v>
      </c>
      <c r="AB67" s="448">
        <v>0.42</v>
      </c>
      <c r="AC67" s="445">
        <v>325000</v>
      </c>
      <c r="AD67" s="450">
        <v>450</v>
      </c>
      <c r="AE67" s="445">
        <v>10800</v>
      </c>
      <c r="AF67" s="445">
        <v>500</v>
      </c>
      <c r="AG67" s="447">
        <v>1.17</v>
      </c>
      <c r="AH67" s="445">
        <v>3</v>
      </c>
      <c r="AI67" s="445">
        <v>4</v>
      </c>
      <c r="AJ67" s="445">
        <v>2</v>
      </c>
      <c r="AK67" s="445">
        <v>3</v>
      </c>
      <c r="AL67" s="2" t="s">
        <v>2245</v>
      </c>
      <c r="AM67" s="2" t="s">
        <v>2246</v>
      </c>
      <c r="AN67" s="2" t="s">
        <v>2355</v>
      </c>
      <c r="AO67" s="445">
        <v>10</v>
      </c>
      <c r="AP67" s="445">
        <v>20</v>
      </c>
      <c r="AQ67" s="445">
        <v>4</v>
      </c>
      <c r="AR67" s="451">
        <v>6</v>
      </c>
      <c r="AS67" s="451">
        <v>2</v>
      </c>
      <c r="AT67" s="445">
        <v>4</v>
      </c>
      <c r="AU67" s="445">
        <v>18</v>
      </c>
      <c r="AV67" s="445" t="str">
        <f t="shared" si="5"/>
        <v>Vàng:6200:MG01:3</v>
      </c>
      <c r="AW67" s="440">
        <v>150</v>
      </c>
      <c r="AX67" s="450">
        <v>6</v>
      </c>
      <c r="AY67" s="450">
        <v>3</v>
      </c>
      <c r="AZ67" s="450">
        <v>61</v>
      </c>
      <c r="BA67" s="31">
        <v>6200</v>
      </c>
      <c r="BB67" s="31">
        <v>3</v>
      </c>
      <c r="BC67" s="31">
        <f t="shared" ref="BC67:BC130" si="7">BA67*$BC$1</f>
        <v>31000</v>
      </c>
    </row>
    <row r="68" spans="1:55" x14ac:dyDescent="0.25">
      <c r="A68" s="28" t="s">
        <v>2199</v>
      </c>
      <c r="B68" s="428">
        <v>66</v>
      </c>
      <c r="C68" s="13">
        <v>6</v>
      </c>
      <c r="D68" s="4">
        <v>16</v>
      </c>
      <c r="E68" s="445">
        <v>2100</v>
      </c>
      <c r="F68" s="445">
        <v>5</v>
      </c>
      <c r="G68" s="13">
        <v>10</v>
      </c>
      <c r="H68" s="13">
        <v>12</v>
      </c>
      <c r="I68" s="455" t="s">
        <v>2218</v>
      </c>
      <c r="J68" s="451">
        <v>2</v>
      </c>
      <c r="K68" s="445">
        <v>50</v>
      </c>
      <c r="L68" s="445">
        <v>50</v>
      </c>
      <c r="M68" s="445">
        <v>4</v>
      </c>
      <c r="N68" s="13">
        <v>13</v>
      </c>
      <c r="O68" s="446">
        <v>15</v>
      </c>
      <c r="P68" s="445">
        <v>85</v>
      </c>
      <c r="Q68" s="321">
        <v>6</v>
      </c>
      <c r="R68" s="23">
        <v>12</v>
      </c>
      <c r="S68" s="445">
        <v>15</v>
      </c>
      <c r="T68" s="445">
        <f t="shared" si="3"/>
        <v>85</v>
      </c>
      <c r="U68" s="447">
        <v>0.8</v>
      </c>
      <c r="V68" s="448">
        <v>2.04</v>
      </c>
      <c r="W68" s="449">
        <v>3.3000000000000003</v>
      </c>
      <c r="X68" s="448">
        <v>2.52</v>
      </c>
      <c r="Y68" s="448">
        <v>4.6399999999999997</v>
      </c>
      <c r="Z68" s="448">
        <v>2</v>
      </c>
      <c r="AA68" s="448">
        <v>3.2240000000000002</v>
      </c>
      <c r="AB68" s="448">
        <v>0.42</v>
      </c>
      <c r="AC68" s="445">
        <v>330000</v>
      </c>
      <c r="AD68" s="450">
        <v>450</v>
      </c>
      <c r="AE68" s="445">
        <v>10800</v>
      </c>
      <c r="AF68" s="445">
        <v>500</v>
      </c>
      <c r="AG68" s="447">
        <v>1.17</v>
      </c>
      <c r="AH68" s="445">
        <v>3</v>
      </c>
      <c r="AI68" s="445">
        <v>4</v>
      </c>
      <c r="AJ68" s="445">
        <v>2</v>
      </c>
      <c r="AK68" s="445">
        <v>3</v>
      </c>
      <c r="AL68" s="2" t="s">
        <v>2245</v>
      </c>
      <c r="AM68" s="2" t="s">
        <v>2247</v>
      </c>
      <c r="AN68" s="2" t="s">
        <v>2356</v>
      </c>
      <c r="AO68" s="445">
        <v>10</v>
      </c>
      <c r="AP68" s="445">
        <v>20</v>
      </c>
      <c r="AQ68" s="445">
        <v>4</v>
      </c>
      <c r="AR68" s="451">
        <v>6</v>
      </c>
      <c r="AS68" s="451">
        <v>2</v>
      </c>
      <c r="AT68" s="445">
        <v>4</v>
      </c>
      <c r="AU68" s="445">
        <v>18</v>
      </c>
      <c r="AV68" s="445" t="str">
        <f t="shared" si="5"/>
        <v>Vàng:6300:MG01:3</v>
      </c>
      <c r="AW68" s="440">
        <v>150</v>
      </c>
      <c r="AX68" s="450">
        <v>6</v>
      </c>
      <c r="AY68" s="450">
        <v>3</v>
      </c>
      <c r="AZ68" s="450">
        <v>62</v>
      </c>
      <c r="BA68" s="31">
        <v>6300</v>
      </c>
      <c r="BB68" s="31">
        <v>3</v>
      </c>
      <c r="BC68" s="31">
        <f t="shared" si="7"/>
        <v>31500</v>
      </c>
    </row>
    <row r="69" spans="1:55" x14ac:dyDescent="0.25">
      <c r="A69" s="28" t="s">
        <v>2199</v>
      </c>
      <c r="B69" s="29">
        <v>67</v>
      </c>
      <c r="C69" s="13">
        <v>6</v>
      </c>
      <c r="D69" s="4">
        <v>16</v>
      </c>
      <c r="E69" s="445">
        <v>2100</v>
      </c>
      <c r="F69" s="445">
        <v>5</v>
      </c>
      <c r="G69" s="13">
        <v>10</v>
      </c>
      <c r="H69" s="13">
        <v>12</v>
      </c>
      <c r="I69" s="455" t="s">
        <v>2218</v>
      </c>
      <c r="J69" s="451">
        <v>2</v>
      </c>
      <c r="K69" s="445">
        <v>50</v>
      </c>
      <c r="L69" s="445">
        <v>50</v>
      </c>
      <c r="M69" s="445">
        <v>4</v>
      </c>
      <c r="N69" s="13">
        <v>13</v>
      </c>
      <c r="O69" s="446">
        <v>15</v>
      </c>
      <c r="P69" s="445">
        <v>85</v>
      </c>
      <c r="Q69" s="321">
        <v>6</v>
      </c>
      <c r="R69" s="23">
        <v>12</v>
      </c>
      <c r="S69" s="445">
        <v>15</v>
      </c>
      <c r="T69" s="445">
        <f t="shared" si="3"/>
        <v>85</v>
      </c>
      <c r="U69" s="447">
        <v>0.8</v>
      </c>
      <c r="V69" s="448">
        <v>2.04</v>
      </c>
      <c r="W69" s="449">
        <v>3.3000000000000003</v>
      </c>
      <c r="X69" s="448">
        <v>2.52</v>
      </c>
      <c r="Y69" s="448">
        <v>4.68</v>
      </c>
      <c r="Z69" s="448">
        <v>2</v>
      </c>
      <c r="AA69" s="448">
        <v>3.12</v>
      </c>
      <c r="AB69" s="448">
        <v>0.42</v>
      </c>
      <c r="AC69" s="445">
        <v>335000</v>
      </c>
      <c r="AD69" s="450">
        <v>450</v>
      </c>
      <c r="AE69" s="445">
        <v>10800</v>
      </c>
      <c r="AF69" s="445">
        <v>500</v>
      </c>
      <c r="AG69" s="447">
        <v>1.17</v>
      </c>
      <c r="AH69" s="445">
        <v>3</v>
      </c>
      <c r="AI69" s="445">
        <v>4</v>
      </c>
      <c r="AJ69" s="445">
        <v>2</v>
      </c>
      <c r="AK69" s="445">
        <v>3</v>
      </c>
      <c r="AL69" s="2" t="s">
        <v>2245</v>
      </c>
      <c r="AM69" s="2" t="s">
        <v>2247</v>
      </c>
      <c r="AN69" s="2" t="s">
        <v>2356</v>
      </c>
      <c r="AO69" s="445">
        <v>10</v>
      </c>
      <c r="AP69" s="445">
        <v>20</v>
      </c>
      <c r="AQ69" s="445">
        <v>4</v>
      </c>
      <c r="AR69" s="451">
        <v>6</v>
      </c>
      <c r="AS69" s="451">
        <v>2</v>
      </c>
      <c r="AT69" s="445">
        <v>4</v>
      </c>
      <c r="AU69" s="445">
        <v>18</v>
      </c>
      <c r="AV69" s="445" t="str">
        <f t="shared" si="5"/>
        <v>Vàng:6400:MG01:3</v>
      </c>
      <c r="AW69" s="440">
        <v>150</v>
      </c>
      <c r="AX69" s="450">
        <v>6</v>
      </c>
      <c r="AY69" s="450">
        <v>3</v>
      </c>
      <c r="AZ69" s="450">
        <v>63</v>
      </c>
      <c r="BA69" s="31">
        <v>6400</v>
      </c>
      <c r="BB69" s="31">
        <v>3</v>
      </c>
      <c r="BC69" s="31">
        <f t="shared" si="7"/>
        <v>32000</v>
      </c>
    </row>
    <row r="70" spans="1:55" x14ac:dyDescent="0.25">
      <c r="A70" s="28" t="s">
        <v>2199</v>
      </c>
      <c r="B70" s="428">
        <v>68</v>
      </c>
      <c r="C70" s="13">
        <v>6</v>
      </c>
      <c r="D70" s="4">
        <v>16</v>
      </c>
      <c r="E70" s="445">
        <v>2100</v>
      </c>
      <c r="F70" s="445">
        <v>5</v>
      </c>
      <c r="G70" s="13">
        <v>10</v>
      </c>
      <c r="H70" s="13">
        <v>12</v>
      </c>
      <c r="I70" s="455" t="s">
        <v>2218</v>
      </c>
      <c r="J70" s="451">
        <v>2</v>
      </c>
      <c r="K70" s="445">
        <v>50</v>
      </c>
      <c r="L70" s="445">
        <v>50</v>
      </c>
      <c r="M70" s="445">
        <v>4</v>
      </c>
      <c r="N70" s="13">
        <v>13</v>
      </c>
      <c r="O70" s="446">
        <v>15</v>
      </c>
      <c r="P70" s="445">
        <v>85</v>
      </c>
      <c r="Q70" s="321">
        <v>6</v>
      </c>
      <c r="R70" s="23">
        <v>12</v>
      </c>
      <c r="S70" s="445">
        <v>15</v>
      </c>
      <c r="T70" s="445">
        <f t="shared" ref="T70:T133" si="8">100-S70</f>
        <v>85</v>
      </c>
      <c r="U70" s="447">
        <v>0.8</v>
      </c>
      <c r="V70" s="448">
        <v>2.04</v>
      </c>
      <c r="W70" s="449">
        <v>3.3000000000000003</v>
      </c>
      <c r="X70" s="448">
        <v>2.52</v>
      </c>
      <c r="Y70" s="448">
        <v>4.7200000000000006</v>
      </c>
      <c r="Z70" s="448">
        <v>2</v>
      </c>
      <c r="AA70" s="457">
        <v>3.016</v>
      </c>
      <c r="AB70" s="448">
        <v>0.42</v>
      </c>
      <c r="AC70" s="445">
        <v>340000</v>
      </c>
      <c r="AD70" s="450">
        <v>450</v>
      </c>
      <c r="AE70" s="445">
        <v>10800</v>
      </c>
      <c r="AF70" s="445">
        <v>500</v>
      </c>
      <c r="AG70" s="447">
        <v>1.17</v>
      </c>
      <c r="AH70" s="445">
        <v>3</v>
      </c>
      <c r="AI70" s="445">
        <v>4</v>
      </c>
      <c r="AJ70" s="445">
        <v>2</v>
      </c>
      <c r="AK70" s="445">
        <v>3</v>
      </c>
      <c r="AL70" s="2" t="s">
        <v>2245</v>
      </c>
      <c r="AM70" s="2" t="s">
        <v>2247</v>
      </c>
      <c r="AN70" s="2" t="s">
        <v>2356</v>
      </c>
      <c r="AO70" s="445">
        <v>10</v>
      </c>
      <c r="AP70" s="445">
        <v>20</v>
      </c>
      <c r="AQ70" s="445">
        <v>4</v>
      </c>
      <c r="AR70" s="451">
        <v>6</v>
      </c>
      <c r="AS70" s="451">
        <v>2</v>
      </c>
      <c r="AT70" s="445">
        <v>4</v>
      </c>
      <c r="AU70" s="445">
        <v>18</v>
      </c>
      <c r="AV70" s="445" t="str">
        <f t="shared" si="5"/>
        <v>Vàng:6500:MG01:3</v>
      </c>
      <c r="AW70" s="440">
        <v>150</v>
      </c>
      <c r="AX70" s="450">
        <v>6</v>
      </c>
      <c r="AY70" s="450">
        <v>3</v>
      </c>
      <c r="AZ70" s="450">
        <v>64</v>
      </c>
      <c r="BA70" s="31">
        <v>6500</v>
      </c>
      <c r="BB70" s="31">
        <v>3</v>
      </c>
      <c r="BC70" s="31">
        <f t="shared" si="7"/>
        <v>32500</v>
      </c>
    </row>
    <row r="71" spans="1:55" x14ac:dyDescent="0.25">
      <c r="A71" s="28" t="s">
        <v>2199</v>
      </c>
      <c r="B71" s="29">
        <v>69</v>
      </c>
      <c r="C71" s="13">
        <v>6</v>
      </c>
      <c r="D71" s="4">
        <v>16</v>
      </c>
      <c r="E71" s="445">
        <v>2100</v>
      </c>
      <c r="F71" s="445">
        <v>5</v>
      </c>
      <c r="G71" s="13">
        <v>10</v>
      </c>
      <c r="H71" s="13">
        <v>12</v>
      </c>
      <c r="I71" s="455" t="s">
        <v>2218</v>
      </c>
      <c r="J71" s="451">
        <v>2</v>
      </c>
      <c r="K71" s="445">
        <v>50</v>
      </c>
      <c r="L71" s="445">
        <v>50</v>
      </c>
      <c r="M71" s="445">
        <v>4</v>
      </c>
      <c r="N71" s="13">
        <v>13</v>
      </c>
      <c r="O71" s="446">
        <v>15</v>
      </c>
      <c r="P71" s="445">
        <v>85</v>
      </c>
      <c r="Q71" s="321">
        <v>6</v>
      </c>
      <c r="R71" s="23">
        <v>12</v>
      </c>
      <c r="S71" s="445">
        <v>15</v>
      </c>
      <c r="T71" s="445">
        <f t="shared" si="8"/>
        <v>85</v>
      </c>
      <c r="U71" s="447">
        <v>0.8</v>
      </c>
      <c r="V71" s="448">
        <v>2.04</v>
      </c>
      <c r="W71" s="449">
        <v>3.3000000000000003</v>
      </c>
      <c r="X71" s="448">
        <v>2.52</v>
      </c>
      <c r="Y71" s="448">
        <v>4.76</v>
      </c>
      <c r="Z71" s="448">
        <v>2</v>
      </c>
      <c r="AA71" s="448">
        <v>2.9119999999999999</v>
      </c>
      <c r="AB71" s="448">
        <v>0.42</v>
      </c>
      <c r="AC71" s="445">
        <v>345000</v>
      </c>
      <c r="AD71" s="450">
        <v>450</v>
      </c>
      <c r="AE71" s="445">
        <v>10800</v>
      </c>
      <c r="AF71" s="445">
        <v>500</v>
      </c>
      <c r="AG71" s="447">
        <v>1.17</v>
      </c>
      <c r="AH71" s="445">
        <v>3</v>
      </c>
      <c r="AI71" s="445">
        <v>4</v>
      </c>
      <c r="AJ71" s="445">
        <v>2</v>
      </c>
      <c r="AK71" s="445">
        <v>3</v>
      </c>
      <c r="AL71" s="2" t="s">
        <v>2245</v>
      </c>
      <c r="AM71" s="2" t="s">
        <v>2247</v>
      </c>
      <c r="AN71" s="2" t="s">
        <v>2356</v>
      </c>
      <c r="AO71" s="445">
        <v>10</v>
      </c>
      <c r="AP71" s="445">
        <v>20</v>
      </c>
      <c r="AQ71" s="445">
        <v>4</v>
      </c>
      <c r="AR71" s="451">
        <v>6</v>
      </c>
      <c r="AS71" s="451">
        <v>2</v>
      </c>
      <c r="AT71" s="445">
        <v>4</v>
      </c>
      <c r="AU71" s="445">
        <v>18</v>
      </c>
      <c r="AV71" s="445" t="str">
        <f t="shared" si="5"/>
        <v>Vàng:6600:MG01:3</v>
      </c>
      <c r="AW71" s="440">
        <v>150</v>
      </c>
      <c r="AX71" s="450">
        <v>6</v>
      </c>
      <c r="AY71" s="450">
        <v>3</v>
      </c>
      <c r="AZ71" s="450">
        <v>65</v>
      </c>
      <c r="BA71" s="31">
        <v>6600</v>
      </c>
      <c r="BB71" s="31">
        <v>3</v>
      </c>
      <c r="BC71" s="31">
        <f t="shared" si="7"/>
        <v>33000</v>
      </c>
    </row>
    <row r="72" spans="1:55" x14ac:dyDescent="0.25">
      <c r="A72" s="28" t="s">
        <v>2199</v>
      </c>
      <c r="B72" s="428">
        <v>70</v>
      </c>
      <c r="C72" s="13">
        <v>6</v>
      </c>
      <c r="D72" s="4">
        <v>17</v>
      </c>
      <c r="E72" s="445">
        <v>2400</v>
      </c>
      <c r="F72" s="445">
        <v>5</v>
      </c>
      <c r="G72" s="13">
        <v>10</v>
      </c>
      <c r="H72" s="13">
        <v>12</v>
      </c>
      <c r="I72" s="455" t="s">
        <v>2218</v>
      </c>
      <c r="J72" s="451">
        <v>2</v>
      </c>
      <c r="K72" s="445">
        <v>50</v>
      </c>
      <c r="L72" s="445">
        <v>50</v>
      </c>
      <c r="M72" s="445">
        <v>4</v>
      </c>
      <c r="N72" s="13">
        <v>14</v>
      </c>
      <c r="O72" s="446">
        <v>15</v>
      </c>
      <c r="P72" s="445">
        <v>85</v>
      </c>
      <c r="Q72" s="321">
        <v>6</v>
      </c>
      <c r="R72" s="23">
        <v>12</v>
      </c>
      <c r="S72" s="445">
        <v>15</v>
      </c>
      <c r="T72" s="445">
        <f t="shared" si="8"/>
        <v>85</v>
      </c>
      <c r="U72" s="447">
        <v>0.8</v>
      </c>
      <c r="V72" s="448">
        <v>2.04</v>
      </c>
      <c r="W72" s="449">
        <v>3.3000000000000003</v>
      </c>
      <c r="X72" s="448">
        <v>2.52</v>
      </c>
      <c r="Y72" s="448">
        <v>4.76</v>
      </c>
      <c r="Z72" s="448">
        <v>1.6</v>
      </c>
      <c r="AA72" s="448">
        <v>2.8080000000000003</v>
      </c>
      <c r="AB72" s="448">
        <v>0.42</v>
      </c>
      <c r="AC72" s="445">
        <v>350000</v>
      </c>
      <c r="AD72" s="450">
        <v>450</v>
      </c>
      <c r="AE72" s="445">
        <v>10800</v>
      </c>
      <c r="AF72" s="445">
        <v>500</v>
      </c>
      <c r="AG72" s="447">
        <v>1.17</v>
      </c>
      <c r="AH72" s="445">
        <v>3</v>
      </c>
      <c r="AI72" s="445">
        <v>4</v>
      </c>
      <c r="AJ72" s="445">
        <v>2</v>
      </c>
      <c r="AK72" s="445">
        <v>3</v>
      </c>
      <c r="AL72" s="2" t="s">
        <v>2245</v>
      </c>
      <c r="AM72" s="2" t="s">
        <v>2247</v>
      </c>
      <c r="AN72" s="2" t="s">
        <v>2356</v>
      </c>
      <c r="AO72" s="445">
        <v>10</v>
      </c>
      <c r="AP72" s="445">
        <v>20</v>
      </c>
      <c r="AQ72" s="445">
        <v>4</v>
      </c>
      <c r="AR72" s="451">
        <v>6</v>
      </c>
      <c r="AS72" s="451">
        <v>2</v>
      </c>
      <c r="AT72" s="445">
        <v>4</v>
      </c>
      <c r="AU72" s="445">
        <v>18</v>
      </c>
      <c r="AV72" s="445" t="str">
        <f t="shared" si="5"/>
        <v>Vàng:6700:MG01:3</v>
      </c>
      <c r="AW72" s="440">
        <v>150</v>
      </c>
      <c r="AX72" s="450">
        <v>7</v>
      </c>
      <c r="AY72" s="450">
        <v>3</v>
      </c>
      <c r="AZ72" s="450">
        <v>66</v>
      </c>
      <c r="BA72" s="31">
        <v>6700</v>
      </c>
      <c r="BB72" s="31">
        <v>3</v>
      </c>
      <c r="BC72" s="31">
        <f t="shared" si="7"/>
        <v>33500</v>
      </c>
    </row>
    <row r="73" spans="1:55" x14ac:dyDescent="0.25">
      <c r="A73" s="28" t="s">
        <v>2199</v>
      </c>
      <c r="B73" s="29">
        <v>71</v>
      </c>
      <c r="C73" s="13">
        <v>6</v>
      </c>
      <c r="D73" s="4">
        <v>17</v>
      </c>
      <c r="E73" s="445">
        <v>2400</v>
      </c>
      <c r="F73" s="445">
        <v>5</v>
      </c>
      <c r="G73" s="13">
        <v>12</v>
      </c>
      <c r="H73" s="13">
        <v>12</v>
      </c>
      <c r="I73" s="455" t="s">
        <v>2218</v>
      </c>
      <c r="J73" s="451">
        <v>1</v>
      </c>
      <c r="K73" s="445">
        <v>50</v>
      </c>
      <c r="L73" s="445">
        <v>50</v>
      </c>
      <c r="M73" s="445">
        <v>4</v>
      </c>
      <c r="N73" s="13">
        <v>14</v>
      </c>
      <c r="O73" s="446">
        <v>15</v>
      </c>
      <c r="P73" s="445">
        <v>85</v>
      </c>
      <c r="Q73" s="321">
        <v>6</v>
      </c>
      <c r="R73" s="23">
        <v>12</v>
      </c>
      <c r="S73" s="445">
        <v>15</v>
      </c>
      <c r="T73" s="445">
        <f t="shared" si="8"/>
        <v>85</v>
      </c>
      <c r="U73" s="447">
        <v>0.8</v>
      </c>
      <c r="V73" s="448">
        <v>2.04</v>
      </c>
      <c r="W73" s="449">
        <v>3.3000000000000003</v>
      </c>
      <c r="X73" s="448">
        <v>2.52</v>
      </c>
      <c r="Y73" s="448">
        <v>4.76</v>
      </c>
      <c r="Z73" s="448">
        <v>1.6</v>
      </c>
      <c r="AA73" s="457">
        <v>2.7040000000000002</v>
      </c>
      <c r="AB73" s="448">
        <v>0.42</v>
      </c>
      <c r="AC73" s="445">
        <v>355000</v>
      </c>
      <c r="AD73" s="450">
        <v>450</v>
      </c>
      <c r="AE73" s="445">
        <v>10800</v>
      </c>
      <c r="AF73" s="445">
        <v>500</v>
      </c>
      <c r="AG73" s="447">
        <v>1.17</v>
      </c>
      <c r="AH73" s="445">
        <v>3</v>
      </c>
      <c r="AI73" s="445">
        <v>4</v>
      </c>
      <c r="AJ73" s="445">
        <v>2</v>
      </c>
      <c r="AK73" s="445">
        <v>3</v>
      </c>
      <c r="AL73" s="2" t="s">
        <v>2245</v>
      </c>
      <c r="AM73" s="2" t="s">
        <v>2247</v>
      </c>
      <c r="AN73" s="2" t="s">
        <v>2361</v>
      </c>
      <c r="AO73" s="445">
        <v>10</v>
      </c>
      <c r="AP73" s="445">
        <v>20</v>
      </c>
      <c r="AQ73" s="445">
        <v>4</v>
      </c>
      <c r="AR73" s="445">
        <v>7</v>
      </c>
      <c r="AS73" s="445">
        <v>3</v>
      </c>
      <c r="AT73" s="445">
        <v>4</v>
      </c>
      <c r="AU73" s="445">
        <v>20</v>
      </c>
      <c r="AV73" s="445" t="str">
        <f t="shared" si="5"/>
        <v>Vàng:6800:MG01:3</v>
      </c>
      <c r="AW73" s="440">
        <v>150</v>
      </c>
      <c r="AX73" s="450">
        <v>7</v>
      </c>
      <c r="AY73" s="450">
        <v>3</v>
      </c>
      <c r="AZ73" s="450">
        <v>67</v>
      </c>
      <c r="BA73" s="31">
        <v>6800</v>
      </c>
      <c r="BB73" s="31">
        <v>3</v>
      </c>
      <c r="BC73" s="31">
        <f t="shared" si="7"/>
        <v>34000</v>
      </c>
    </row>
    <row r="74" spans="1:55" x14ac:dyDescent="0.25">
      <c r="A74" s="28" t="s">
        <v>2199</v>
      </c>
      <c r="B74" s="428">
        <v>72</v>
      </c>
      <c r="C74" s="13">
        <v>6</v>
      </c>
      <c r="D74" s="4">
        <v>17</v>
      </c>
      <c r="E74" s="445">
        <v>2400</v>
      </c>
      <c r="F74" s="445">
        <v>5</v>
      </c>
      <c r="G74" s="13">
        <v>12</v>
      </c>
      <c r="H74" s="13">
        <v>12</v>
      </c>
      <c r="I74" s="455" t="s">
        <v>2218</v>
      </c>
      <c r="J74" s="451">
        <v>1</v>
      </c>
      <c r="K74" s="445">
        <v>50</v>
      </c>
      <c r="L74" s="445">
        <v>50</v>
      </c>
      <c r="M74" s="445">
        <v>4</v>
      </c>
      <c r="N74" s="13">
        <v>14</v>
      </c>
      <c r="O74" s="446">
        <v>15</v>
      </c>
      <c r="P74" s="445">
        <v>85</v>
      </c>
      <c r="Q74" s="321">
        <v>6</v>
      </c>
      <c r="R74" s="23">
        <v>12</v>
      </c>
      <c r="S74" s="445">
        <v>15</v>
      </c>
      <c r="T74" s="445">
        <f t="shared" si="8"/>
        <v>85</v>
      </c>
      <c r="U74" s="447">
        <v>0.8</v>
      </c>
      <c r="V74" s="448">
        <v>2.04</v>
      </c>
      <c r="W74" s="449">
        <v>3.3000000000000003</v>
      </c>
      <c r="X74" s="448">
        <v>2.52</v>
      </c>
      <c r="Y74" s="448">
        <v>4.76</v>
      </c>
      <c r="Z74" s="448">
        <v>1.6</v>
      </c>
      <c r="AA74" s="448">
        <v>2.7040000000000002</v>
      </c>
      <c r="AB74" s="448">
        <v>0.42</v>
      </c>
      <c r="AC74" s="445">
        <v>360000</v>
      </c>
      <c r="AD74" s="450">
        <v>450</v>
      </c>
      <c r="AE74" s="445">
        <v>10800</v>
      </c>
      <c r="AF74" s="445">
        <v>500</v>
      </c>
      <c r="AG74" s="447">
        <v>1.17</v>
      </c>
      <c r="AH74" s="445">
        <v>3</v>
      </c>
      <c r="AI74" s="445">
        <v>4</v>
      </c>
      <c r="AJ74" s="445">
        <v>2</v>
      </c>
      <c r="AK74" s="445">
        <v>3</v>
      </c>
      <c r="AL74" s="2" t="s">
        <v>2245</v>
      </c>
      <c r="AM74" s="2" t="s">
        <v>2247</v>
      </c>
      <c r="AN74" s="2" t="s">
        <v>2361</v>
      </c>
      <c r="AO74" s="445">
        <v>10</v>
      </c>
      <c r="AP74" s="445">
        <v>20</v>
      </c>
      <c r="AQ74" s="445">
        <v>4</v>
      </c>
      <c r="AR74" s="445">
        <v>7</v>
      </c>
      <c r="AS74" s="445">
        <v>3</v>
      </c>
      <c r="AT74" s="445">
        <v>4</v>
      </c>
      <c r="AU74" s="445">
        <v>20</v>
      </c>
      <c r="AV74" s="445" t="str">
        <f t="shared" si="5"/>
        <v>Vàng:6900:MG01:3</v>
      </c>
      <c r="AW74" s="440">
        <v>150</v>
      </c>
      <c r="AX74" s="450">
        <v>7</v>
      </c>
      <c r="AY74" s="450">
        <v>3</v>
      </c>
      <c r="AZ74" s="450">
        <v>68</v>
      </c>
      <c r="BA74" s="31">
        <v>6900</v>
      </c>
      <c r="BB74" s="31">
        <v>3</v>
      </c>
      <c r="BC74" s="31">
        <f t="shared" si="7"/>
        <v>34500</v>
      </c>
    </row>
    <row r="75" spans="1:55" x14ac:dyDescent="0.25">
      <c r="A75" s="28" t="s">
        <v>2199</v>
      </c>
      <c r="B75" s="29">
        <v>73</v>
      </c>
      <c r="C75" s="13">
        <v>6</v>
      </c>
      <c r="D75" s="4">
        <v>17</v>
      </c>
      <c r="E75" s="445">
        <v>2400</v>
      </c>
      <c r="F75" s="445">
        <v>6</v>
      </c>
      <c r="G75" s="13">
        <v>12</v>
      </c>
      <c r="H75" s="13">
        <v>12</v>
      </c>
      <c r="I75" s="455" t="s">
        <v>2218</v>
      </c>
      <c r="J75" s="451">
        <v>1</v>
      </c>
      <c r="K75" s="445">
        <v>50</v>
      </c>
      <c r="L75" s="445">
        <v>50</v>
      </c>
      <c r="M75" s="445">
        <v>4</v>
      </c>
      <c r="N75" s="13">
        <v>14</v>
      </c>
      <c r="O75" s="446">
        <v>15</v>
      </c>
      <c r="P75" s="445">
        <v>85</v>
      </c>
      <c r="Q75" s="321">
        <v>6</v>
      </c>
      <c r="R75" s="23">
        <v>12</v>
      </c>
      <c r="S75" s="445">
        <v>15</v>
      </c>
      <c r="T75" s="445">
        <f t="shared" si="8"/>
        <v>85</v>
      </c>
      <c r="U75" s="447">
        <v>0.8</v>
      </c>
      <c r="V75" s="448">
        <v>2.04</v>
      </c>
      <c r="W75" s="449">
        <v>3.3000000000000003</v>
      </c>
      <c r="X75" s="448">
        <v>2.52</v>
      </c>
      <c r="Y75" s="448">
        <v>4.76</v>
      </c>
      <c r="Z75" s="448">
        <v>1.6</v>
      </c>
      <c r="AA75" s="448">
        <v>2.7040000000000002</v>
      </c>
      <c r="AB75" s="448">
        <v>0.42</v>
      </c>
      <c r="AC75" s="445">
        <v>365000</v>
      </c>
      <c r="AD75" s="450">
        <v>450</v>
      </c>
      <c r="AE75" s="445">
        <v>10800</v>
      </c>
      <c r="AF75" s="445">
        <v>500</v>
      </c>
      <c r="AG75" s="447">
        <v>1.17</v>
      </c>
      <c r="AH75" s="445">
        <v>3</v>
      </c>
      <c r="AI75" s="445">
        <v>4</v>
      </c>
      <c r="AJ75" s="445">
        <v>2</v>
      </c>
      <c r="AK75" s="445">
        <v>3</v>
      </c>
      <c r="AL75" s="2" t="s">
        <v>2245</v>
      </c>
      <c r="AM75" s="2" t="s">
        <v>2247</v>
      </c>
      <c r="AN75" s="2" t="s">
        <v>2361</v>
      </c>
      <c r="AO75" s="445">
        <v>10</v>
      </c>
      <c r="AP75" s="445">
        <v>20</v>
      </c>
      <c r="AQ75" s="445">
        <v>4</v>
      </c>
      <c r="AR75" s="445">
        <v>7</v>
      </c>
      <c r="AS75" s="445">
        <v>3</v>
      </c>
      <c r="AT75" s="445">
        <v>4</v>
      </c>
      <c r="AU75" s="445">
        <v>20</v>
      </c>
      <c r="AV75" s="445" t="str">
        <f t="shared" si="5"/>
        <v>Vàng:7000:MG01:3</v>
      </c>
      <c r="AW75" s="440">
        <v>150</v>
      </c>
      <c r="AX75" s="450">
        <v>7</v>
      </c>
      <c r="AY75" s="450">
        <v>3</v>
      </c>
      <c r="AZ75" s="450">
        <v>69</v>
      </c>
      <c r="BA75" s="31">
        <v>7000</v>
      </c>
      <c r="BB75" s="31">
        <v>3</v>
      </c>
      <c r="BC75" s="31">
        <f t="shared" si="7"/>
        <v>35000</v>
      </c>
    </row>
    <row r="76" spans="1:55" x14ac:dyDescent="0.25">
      <c r="A76" s="28" t="s">
        <v>2199</v>
      </c>
      <c r="B76" s="428">
        <v>74</v>
      </c>
      <c r="C76" s="13">
        <v>6</v>
      </c>
      <c r="D76" s="4">
        <v>17</v>
      </c>
      <c r="E76" s="445">
        <v>2400</v>
      </c>
      <c r="F76" s="445">
        <v>6</v>
      </c>
      <c r="G76" s="13">
        <v>12</v>
      </c>
      <c r="H76" s="13">
        <v>12</v>
      </c>
      <c r="I76" s="455" t="s">
        <v>2218</v>
      </c>
      <c r="J76" s="451">
        <v>1</v>
      </c>
      <c r="K76" s="445">
        <v>50</v>
      </c>
      <c r="L76" s="445">
        <v>50</v>
      </c>
      <c r="M76" s="445">
        <v>4</v>
      </c>
      <c r="N76" s="13">
        <v>14</v>
      </c>
      <c r="O76" s="446">
        <v>15</v>
      </c>
      <c r="P76" s="445">
        <v>85</v>
      </c>
      <c r="Q76" s="321">
        <v>6</v>
      </c>
      <c r="R76" s="23">
        <v>12</v>
      </c>
      <c r="S76" s="445">
        <v>15</v>
      </c>
      <c r="T76" s="445">
        <f t="shared" si="8"/>
        <v>85</v>
      </c>
      <c r="U76" s="447">
        <v>0.8</v>
      </c>
      <c r="V76" s="448">
        <v>2.04</v>
      </c>
      <c r="W76" s="449">
        <v>3.3000000000000003</v>
      </c>
      <c r="X76" s="448">
        <v>2.52</v>
      </c>
      <c r="Y76" s="448">
        <v>4.76</v>
      </c>
      <c r="Z76" s="448">
        <v>1.6</v>
      </c>
      <c r="AA76" s="448">
        <v>2.6</v>
      </c>
      <c r="AB76" s="448">
        <v>0.42</v>
      </c>
      <c r="AC76" s="445">
        <v>370000</v>
      </c>
      <c r="AD76" s="450">
        <v>450</v>
      </c>
      <c r="AE76" s="445">
        <v>10800</v>
      </c>
      <c r="AF76" s="445">
        <v>500</v>
      </c>
      <c r="AG76" s="447">
        <v>1.17</v>
      </c>
      <c r="AH76" s="445">
        <v>3</v>
      </c>
      <c r="AI76" s="445">
        <v>4</v>
      </c>
      <c r="AJ76" s="445">
        <v>2</v>
      </c>
      <c r="AK76" s="445">
        <v>3</v>
      </c>
      <c r="AL76" s="2" t="s">
        <v>2248</v>
      </c>
      <c r="AM76" s="2" t="s">
        <v>2247</v>
      </c>
      <c r="AN76" s="2" t="s">
        <v>2361</v>
      </c>
      <c r="AO76" s="445">
        <v>10</v>
      </c>
      <c r="AP76" s="445">
        <v>20</v>
      </c>
      <c r="AQ76" s="445">
        <v>4</v>
      </c>
      <c r="AR76" s="445">
        <v>7</v>
      </c>
      <c r="AS76" s="445">
        <v>3</v>
      </c>
      <c r="AT76" s="445">
        <v>4</v>
      </c>
      <c r="AU76" s="445">
        <v>20</v>
      </c>
      <c r="AV76" s="445" t="str">
        <f t="shared" si="5"/>
        <v>Vàng:7100:MG01:3</v>
      </c>
      <c r="AW76" s="440">
        <v>150</v>
      </c>
      <c r="AX76" s="450">
        <v>7</v>
      </c>
      <c r="AY76" s="450">
        <v>3</v>
      </c>
      <c r="AZ76" s="450">
        <v>70</v>
      </c>
      <c r="BA76" s="31">
        <v>7100</v>
      </c>
      <c r="BB76" s="31">
        <v>3</v>
      </c>
      <c r="BC76" s="31">
        <f t="shared" si="7"/>
        <v>35500</v>
      </c>
    </row>
    <row r="77" spans="1:55" x14ac:dyDescent="0.25">
      <c r="A77" s="28" t="s">
        <v>2199</v>
      </c>
      <c r="B77" s="29">
        <v>75</v>
      </c>
      <c r="C77" s="13">
        <v>6</v>
      </c>
      <c r="D77" s="4">
        <v>18</v>
      </c>
      <c r="E77" s="445">
        <v>2400</v>
      </c>
      <c r="F77" s="445">
        <v>6</v>
      </c>
      <c r="G77" s="13">
        <v>12</v>
      </c>
      <c r="H77" s="13">
        <v>12</v>
      </c>
      <c r="I77" s="455" t="s">
        <v>2218</v>
      </c>
      <c r="J77" s="451">
        <v>1</v>
      </c>
      <c r="K77" s="445">
        <v>50</v>
      </c>
      <c r="L77" s="445">
        <v>50</v>
      </c>
      <c r="M77" s="445">
        <v>4</v>
      </c>
      <c r="N77" s="13">
        <v>20</v>
      </c>
      <c r="O77" s="446">
        <v>15</v>
      </c>
      <c r="P77" s="445">
        <v>85</v>
      </c>
      <c r="Q77" s="321">
        <v>6</v>
      </c>
      <c r="R77" s="23">
        <v>12</v>
      </c>
      <c r="S77" s="445">
        <v>15</v>
      </c>
      <c r="T77" s="445">
        <f t="shared" si="8"/>
        <v>85</v>
      </c>
      <c r="U77" s="447">
        <v>0.8</v>
      </c>
      <c r="V77" s="448">
        <v>2.04</v>
      </c>
      <c r="W77" s="449">
        <v>3.3000000000000003</v>
      </c>
      <c r="X77" s="448">
        <v>2.52</v>
      </c>
      <c r="Y77" s="448">
        <v>4.76</v>
      </c>
      <c r="Z77" s="448">
        <v>1.6</v>
      </c>
      <c r="AA77" s="457">
        <v>2.496</v>
      </c>
      <c r="AB77" s="457">
        <v>0.27999999999999997</v>
      </c>
      <c r="AC77" s="445">
        <v>375000</v>
      </c>
      <c r="AD77" s="450">
        <v>450</v>
      </c>
      <c r="AE77" s="445">
        <v>10800</v>
      </c>
      <c r="AF77" s="445">
        <v>500</v>
      </c>
      <c r="AG77" s="447">
        <v>1.17</v>
      </c>
      <c r="AH77" s="445">
        <v>3</v>
      </c>
      <c r="AI77" s="445">
        <v>4</v>
      </c>
      <c r="AJ77" s="445">
        <v>2</v>
      </c>
      <c r="AK77" s="445">
        <v>3</v>
      </c>
      <c r="AL77" s="2" t="s">
        <v>2248</v>
      </c>
      <c r="AM77" s="2" t="s">
        <v>2247</v>
      </c>
      <c r="AN77" s="2" t="s">
        <v>2361</v>
      </c>
      <c r="AO77" s="445">
        <v>10</v>
      </c>
      <c r="AP77" s="445">
        <v>20</v>
      </c>
      <c r="AQ77" s="445">
        <v>4</v>
      </c>
      <c r="AR77" s="445">
        <v>7</v>
      </c>
      <c r="AS77" s="445">
        <v>3</v>
      </c>
      <c r="AT77" s="445">
        <v>4</v>
      </c>
      <c r="AU77" s="445">
        <v>20</v>
      </c>
      <c r="AV77" s="445" t="str">
        <f t="shared" si="5"/>
        <v>Vàng:7200:MG01:3</v>
      </c>
      <c r="AW77" s="440">
        <v>150</v>
      </c>
      <c r="AX77" s="445">
        <v>8</v>
      </c>
      <c r="AY77" s="445">
        <v>3</v>
      </c>
      <c r="AZ77" s="450">
        <v>71</v>
      </c>
      <c r="BA77" s="31">
        <v>7200</v>
      </c>
      <c r="BB77" s="31">
        <v>3</v>
      </c>
      <c r="BC77" s="31">
        <f t="shared" si="7"/>
        <v>36000</v>
      </c>
    </row>
    <row r="78" spans="1:55" x14ac:dyDescent="0.25">
      <c r="A78" s="28" t="s">
        <v>2199</v>
      </c>
      <c r="B78" s="428">
        <v>76</v>
      </c>
      <c r="C78" s="13">
        <v>6</v>
      </c>
      <c r="D78" s="4">
        <v>18</v>
      </c>
      <c r="E78" s="445">
        <v>2400</v>
      </c>
      <c r="F78" s="445">
        <v>6</v>
      </c>
      <c r="G78" s="13">
        <v>12</v>
      </c>
      <c r="H78" s="13">
        <v>12</v>
      </c>
      <c r="I78" s="455" t="s">
        <v>2218</v>
      </c>
      <c r="J78" s="451">
        <v>1</v>
      </c>
      <c r="K78" s="445">
        <v>50</v>
      </c>
      <c r="L78" s="445">
        <v>50</v>
      </c>
      <c r="M78" s="445">
        <v>4</v>
      </c>
      <c r="N78" s="13">
        <v>20</v>
      </c>
      <c r="O78" s="446">
        <v>15</v>
      </c>
      <c r="P78" s="445">
        <v>85</v>
      </c>
      <c r="Q78" s="321">
        <v>6</v>
      </c>
      <c r="R78" s="23">
        <v>12</v>
      </c>
      <c r="S78" s="445">
        <v>15</v>
      </c>
      <c r="T78" s="445">
        <f t="shared" si="8"/>
        <v>85</v>
      </c>
      <c r="U78" s="447">
        <v>0.8</v>
      </c>
      <c r="V78" s="448">
        <v>2.04</v>
      </c>
      <c r="W78" s="449">
        <v>3.3000000000000003</v>
      </c>
      <c r="X78" s="448">
        <v>2.52</v>
      </c>
      <c r="Y78" s="448">
        <v>4.76</v>
      </c>
      <c r="Z78" s="448">
        <v>1.6</v>
      </c>
      <c r="AA78" s="448">
        <v>2.496</v>
      </c>
      <c r="AB78" s="448">
        <v>0.27999999999999997</v>
      </c>
      <c r="AC78" s="445">
        <v>380000</v>
      </c>
      <c r="AD78" s="450">
        <v>450</v>
      </c>
      <c r="AE78" s="445">
        <v>10800</v>
      </c>
      <c r="AF78" s="445">
        <v>500</v>
      </c>
      <c r="AG78" s="447">
        <v>1.17</v>
      </c>
      <c r="AH78" s="445">
        <v>3</v>
      </c>
      <c r="AI78" s="445">
        <v>4</v>
      </c>
      <c r="AJ78" s="445">
        <v>2</v>
      </c>
      <c r="AK78" s="445">
        <v>3</v>
      </c>
      <c r="AL78" s="2" t="s">
        <v>2248</v>
      </c>
      <c r="AM78" s="2" t="s">
        <v>2249</v>
      </c>
      <c r="AN78" s="2" t="s">
        <v>2362</v>
      </c>
      <c r="AO78" s="445">
        <v>10</v>
      </c>
      <c r="AP78" s="445">
        <v>20</v>
      </c>
      <c r="AQ78" s="445">
        <v>4</v>
      </c>
      <c r="AR78" s="445">
        <v>7</v>
      </c>
      <c r="AS78" s="445">
        <v>3</v>
      </c>
      <c r="AT78" s="445">
        <v>4</v>
      </c>
      <c r="AU78" s="445">
        <v>20</v>
      </c>
      <c r="AV78" s="445" t="str">
        <f t="shared" si="5"/>
        <v>Vàng:7300:MG01:3</v>
      </c>
      <c r="AW78" s="440">
        <v>150</v>
      </c>
      <c r="AX78" s="445">
        <v>8</v>
      </c>
      <c r="AY78" s="445">
        <v>4</v>
      </c>
      <c r="AZ78" s="450">
        <v>72</v>
      </c>
      <c r="BA78" s="31">
        <v>7300</v>
      </c>
      <c r="BB78" s="31">
        <v>3</v>
      </c>
      <c r="BC78" s="31">
        <f t="shared" si="7"/>
        <v>36500</v>
      </c>
    </row>
    <row r="79" spans="1:55" x14ac:dyDescent="0.25">
      <c r="A79" s="28" t="s">
        <v>2199</v>
      </c>
      <c r="B79" s="29">
        <v>77</v>
      </c>
      <c r="C79" s="13">
        <v>6</v>
      </c>
      <c r="D79" s="4">
        <v>18</v>
      </c>
      <c r="E79" s="445">
        <v>2400</v>
      </c>
      <c r="F79" s="445">
        <v>6</v>
      </c>
      <c r="G79" s="13">
        <v>12</v>
      </c>
      <c r="H79" s="13">
        <v>12</v>
      </c>
      <c r="I79" s="455" t="s">
        <v>2218</v>
      </c>
      <c r="J79" s="451">
        <v>1</v>
      </c>
      <c r="K79" s="445">
        <v>50</v>
      </c>
      <c r="L79" s="445">
        <v>50</v>
      </c>
      <c r="M79" s="445">
        <v>4</v>
      </c>
      <c r="N79" s="13">
        <v>20</v>
      </c>
      <c r="O79" s="446">
        <v>15</v>
      </c>
      <c r="P79" s="445">
        <v>85</v>
      </c>
      <c r="Q79" s="321">
        <v>6</v>
      </c>
      <c r="R79" s="23">
        <v>12</v>
      </c>
      <c r="S79" s="445">
        <v>15</v>
      </c>
      <c r="T79" s="445">
        <f t="shared" si="8"/>
        <v>85</v>
      </c>
      <c r="U79" s="447">
        <v>0.8</v>
      </c>
      <c r="V79" s="448">
        <v>2.04</v>
      </c>
      <c r="W79" s="449">
        <v>3.3000000000000003</v>
      </c>
      <c r="X79" s="448">
        <v>2.52</v>
      </c>
      <c r="Y79" s="448">
        <v>4.76</v>
      </c>
      <c r="Z79" s="448">
        <v>1.6</v>
      </c>
      <c r="AA79" s="448">
        <v>2.496</v>
      </c>
      <c r="AB79" s="448">
        <v>0.27999999999999997</v>
      </c>
      <c r="AC79" s="445">
        <v>385000</v>
      </c>
      <c r="AD79" s="450">
        <v>450</v>
      </c>
      <c r="AE79" s="445">
        <v>10800</v>
      </c>
      <c r="AF79" s="445">
        <v>500</v>
      </c>
      <c r="AG79" s="447">
        <v>1.17</v>
      </c>
      <c r="AH79" s="445">
        <v>3</v>
      </c>
      <c r="AI79" s="445">
        <v>4</v>
      </c>
      <c r="AJ79" s="445">
        <v>2</v>
      </c>
      <c r="AK79" s="445">
        <v>3</v>
      </c>
      <c r="AL79" s="2" t="s">
        <v>2248</v>
      </c>
      <c r="AM79" s="2" t="s">
        <v>2249</v>
      </c>
      <c r="AN79" s="2" t="s">
        <v>2362</v>
      </c>
      <c r="AO79" s="445">
        <v>10</v>
      </c>
      <c r="AP79" s="445">
        <v>20</v>
      </c>
      <c r="AQ79" s="445">
        <v>4</v>
      </c>
      <c r="AR79" s="445">
        <v>7</v>
      </c>
      <c r="AS79" s="445">
        <v>3</v>
      </c>
      <c r="AT79" s="445">
        <v>4</v>
      </c>
      <c r="AU79" s="445">
        <v>20</v>
      </c>
      <c r="AV79" s="445" t="str">
        <f t="shared" si="5"/>
        <v>Vàng:7400:MG01:3</v>
      </c>
      <c r="AW79" s="440">
        <v>150</v>
      </c>
      <c r="AX79" s="445">
        <v>8</v>
      </c>
      <c r="AY79" s="445">
        <v>4</v>
      </c>
      <c r="AZ79" s="450">
        <v>73</v>
      </c>
      <c r="BA79" s="31">
        <v>7400</v>
      </c>
      <c r="BB79" s="31">
        <v>3</v>
      </c>
      <c r="BC79" s="31">
        <f t="shared" si="7"/>
        <v>37000</v>
      </c>
    </row>
    <row r="80" spans="1:55" x14ac:dyDescent="0.25">
      <c r="A80" s="28" t="s">
        <v>2199</v>
      </c>
      <c r="B80" s="428">
        <v>78</v>
      </c>
      <c r="C80" s="13">
        <v>6</v>
      </c>
      <c r="D80" s="4">
        <v>18</v>
      </c>
      <c r="E80" s="445">
        <v>2400</v>
      </c>
      <c r="F80" s="445">
        <v>6</v>
      </c>
      <c r="G80" s="13">
        <v>12</v>
      </c>
      <c r="H80" s="13">
        <v>12</v>
      </c>
      <c r="I80" s="455" t="s">
        <v>2218</v>
      </c>
      <c r="J80" s="451">
        <v>1</v>
      </c>
      <c r="K80" s="445">
        <v>50</v>
      </c>
      <c r="L80" s="445">
        <v>50</v>
      </c>
      <c r="M80" s="445">
        <v>4</v>
      </c>
      <c r="N80" s="13">
        <v>20</v>
      </c>
      <c r="O80" s="446">
        <v>15</v>
      </c>
      <c r="P80" s="445">
        <v>85</v>
      </c>
      <c r="Q80" s="321">
        <v>6</v>
      </c>
      <c r="R80" s="23">
        <v>12</v>
      </c>
      <c r="S80" s="445">
        <v>15</v>
      </c>
      <c r="T80" s="445">
        <f t="shared" si="8"/>
        <v>85</v>
      </c>
      <c r="U80" s="447">
        <v>0.8</v>
      </c>
      <c r="V80" s="448">
        <v>2.04</v>
      </c>
      <c r="W80" s="449">
        <v>3.3000000000000003</v>
      </c>
      <c r="X80" s="448">
        <v>2.52</v>
      </c>
      <c r="Y80" s="448">
        <v>4.76</v>
      </c>
      <c r="Z80" s="448">
        <v>1.6</v>
      </c>
      <c r="AA80" s="448">
        <v>2.496</v>
      </c>
      <c r="AB80" s="448">
        <v>0.27999999999999997</v>
      </c>
      <c r="AC80" s="445">
        <v>390000</v>
      </c>
      <c r="AD80" s="450">
        <v>450</v>
      </c>
      <c r="AE80" s="445">
        <v>10800</v>
      </c>
      <c r="AF80" s="445">
        <v>500</v>
      </c>
      <c r="AG80" s="447">
        <v>1.17</v>
      </c>
      <c r="AH80" s="445">
        <v>3</v>
      </c>
      <c r="AI80" s="445">
        <v>4</v>
      </c>
      <c r="AJ80" s="445">
        <v>2</v>
      </c>
      <c r="AK80" s="445">
        <v>3</v>
      </c>
      <c r="AL80" s="2" t="s">
        <v>2248</v>
      </c>
      <c r="AM80" s="2" t="s">
        <v>2249</v>
      </c>
      <c r="AN80" s="2" t="s">
        <v>2362</v>
      </c>
      <c r="AO80" s="445">
        <v>10</v>
      </c>
      <c r="AP80" s="445">
        <v>20</v>
      </c>
      <c r="AQ80" s="445">
        <v>4</v>
      </c>
      <c r="AR80" s="445">
        <v>7</v>
      </c>
      <c r="AS80" s="445">
        <v>3</v>
      </c>
      <c r="AT80" s="445">
        <v>4</v>
      </c>
      <c r="AU80" s="445">
        <v>20</v>
      </c>
      <c r="AV80" s="445" t="str">
        <f t="shared" si="5"/>
        <v>Vàng:7500:MG01:3</v>
      </c>
      <c r="AW80" s="440">
        <v>150</v>
      </c>
      <c r="AX80" s="445">
        <v>8</v>
      </c>
      <c r="AY80" s="445">
        <v>4</v>
      </c>
      <c r="AZ80" s="450">
        <v>74</v>
      </c>
      <c r="BA80" s="31">
        <v>7500</v>
      </c>
      <c r="BB80" s="31">
        <v>3</v>
      </c>
      <c r="BC80" s="31">
        <f t="shared" si="7"/>
        <v>37500</v>
      </c>
    </row>
    <row r="81" spans="1:55" x14ac:dyDescent="0.25">
      <c r="A81" s="28" t="s">
        <v>2199</v>
      </c>
      <c r="B81" s="29">
        <v>79</v>
      </c>
      <c r="C81" s="13">
        <v>6</v>
      </c>
      <c r="D81" s="4">
        <v>18</v>
      </c>
      <c r="E81" s="445">
        <v>2400</v>
      </c>
      <c r="F81" s="445">
        <v>6</v>
      </c>
      <c r="G81" s="13">
        <v>12</v>
      </c>
      <c r="H81" s="13">
        <v>12</v>
      </c>
      <c r="I81" s="455" t="s">
        <v>2218</v>
      </c>
      <c r="J81" s="451">
        <v>1</v>
      </c>
      <c r="K81" s="445">
        <v>50</v>
      </c>
      <c r="L81" s="445">
        <v>50</v>
      </c>
      <c r="M81" s="445">
        <v>4</v>
      </c>
      <c r="N81" s="13">
        <v>20</v>
      </c>
      <c r="O81" s="446">
        <v>15</v>
      </c>
      <c r="P81" s="445">
        <v>85</v>
      </c>
      <c r="Q81" s="321">
        <v>6</v>
      </c>
      <c r="R81" s="23">
        <v>12</v>
      </c>
      <c r="S81" s="445">
        <v>15</v>
      </c>
      <c r="T81" s="445">
        <f t="shared" si="8"/>
        <v>85</v>
      </c>
      <c r="U81" s="447">
        <v>0.8</v>
      </c>
      <c r="V81" s="448">
        <v>2.04</v>
      </c>
      <c r="W81" s="449">
        <v>3.3000000000000003</v>
      </c>
      <c r="X81" s="448">
        <v>2.52</v>
      </c>
      <c r="Y81" s="448">
        <v>4.76</v>
      </c>
      <c r="Z81" s="448">
        <v>1.6</v>
      </c>
      <c r="AA81" s="448">
        <v>2.496</v>
      </c>
      <c r="AB81" s="448">
        <v>0.27999999999999997</v>
      </c>
      <c r="AC81" s="445">
        <v>395000</v>
      </c>
      <c r="AD81" s="450">
        <v>450</v>
      </c>
      <c r="AE81" s="445">
        <v>10800</v>
      </c>
      <c r="AF81" s="445">
        <v>500</v>
      </c>
      <c r="AG81" s="447">
        <v>1.17</v>
      </c>
      <c r="AH81" s="445">
        <v>3</v>
      </c>
      <c r="AI81" s="445">
        <v>4</v>
      </c>
      <c r="AJ81" s="445">
        <v>2</v>
      </c>
      <c r="AK81" s="445">
        <v>3</v>
      </c>
      <c r="AL81" s="2" t="s">
        <v>2248</v>
      </c>
      <c r="AM81" s="2" t="s">
        <v>2249</v>
      </c>
      <c r="AN81" s="2" t="s">
        <v>2362</v>
      </c>
      <c r="AO81" s="445">
        <v>10</v>
      </c>
      <c r="AP81" s="445">
        <v>20</v>
      </c>
      <c r="AQ81" s="445">
        <v>4</v>
      </c>
      <c r="AR81" s="445">
        <v>7</v>
      </c>
      <c r="AS81" s="445">
        <v>3</v>
      </c>
      <c r="AT81" s="445">
        <v>4</v>
      </c>
      <c r="AU81" s="445">
        <v>20</v>
      </c>
      <c r="AV81" s="445" t="str">
        <f t="shared" si="5"/>
        <v>Vàng:7600:MG01:3</v>
      </c>
      <c r="AW81" s="440">
        <v>150</v>
      </c>
      <c r="AX81" s="445">
        <v>8</v>
      </c>
      <c r="AY81" s="445">
        <v>4</v>
      </c>
      <c r="AZ81" s="450">
        <v>75</v>
      </c>
      <c r="BA81" s="31">
        <v>7600</v>
      </c>
      <c r="BB81" s="31">
        <v>3</v>
      </c>
      <c r="BC81" s="31">
        <f t="shared" si="7"/>
        <v>38000</v>
      </c>
    </row>
    <row r="82" spans="1:55" x14ac:dyDescent="0.25">
      <c r="A82" s="28" t="s">
        <v>2199</v>
      </c>
      <c r="B82" s="428">
        <v>80</v>
      </c>
      <c r="C82" s="13">
        <v>6</v>
      </c>
      <c r="D82" s="4">
        <v>18</v>
      </c>
      <c r="E82" s="445">
        <v>2700</v>
      </c>
      <c r="F82" s="445">
        <v>6</v>
      </c>
      <c r="G82" s="13">
        <v>12</v>
      </c>
      <c r="H82" s="13">
        <v>12</v>
      </c>
      <c r="I82" s="455" t="s">
        <v>2218</v>
      </c>
      <c r="J82" s="451">
        <v>1</v>
      </c>
      <c r="K82" s="445">
        <v>50</v>
      </c>
      <c r="L82" s="445">
        <v>50</v>
      </c>
      <c r="M82" s="445">
        <v>4</v>
      </c>
      <c r="N82" s="13">
        <v>25</v>
      </c>
      <c r="O82" s="446">
        <v>15</v>
      </c>
      <c r="P82" s="445">
        <v>85</v>
      </c>
      <c r="Q82" s="321">
        <v>6</v>
      </c>
      <c r="R82" s="23">
        <v>12</v>
      </c>
      <c r="S82" s="445">
        <v>15</v>
      </c>
      <c r="T82" s="445">
        <f t="shared" si="8"/>
        <v>85</v>
      </c>
      <c r="U82" s="447">
        <v>0.8</v>
      </c>
      <c r="V82" s="448">
        <v>2.04</v>
      </c>
      <c r="W82" s="449">
        <v>3.3000000000000003</v>
      </c>
      <c r="X82" s="448">
        <v>2.52</v>
      </c>
      <c r="Y82" s="448">
        <v>4.76</v>
      </c>
      <c r="Z82" s="448">
        <v>1.6</v>
      </c>
      <c r="AA82" s="448">
        <v>2.496</v>
      </c>
      <c r="AB82" s="448">
        <v>0.27999999999999997</v>
      </c>
      <c r="AC82" s="445">
        <v>400000</v>
      </c>
      <c r="AD82" s="450">
        <v>450</v>
      </c>
      <c r="AE82" s="445">
        <v>10800</v>
      </c>
      <c r="AF82" s="445">
        <v>500</v>
      </c>
      <c r="AG82" s="447">
        <v>1.17</v>
      </c>
      <c r="AH82" s="445">
        <v>3</v>
      </c>
      <c r="AI82" s="445">
        <v>4</v>
      </c>
      <c r="AJ82" s="445">
        <v>2</v>
      </c>
      <c r="AK82" s="445">
        <v>3</v>
      </c>
      <c r="AL82" s="2" t="s">
        <v>2248</v>
      </c>
      <c r="AM82" s="2" t="s">
        <v>2249</v>
      </c>
      <c r="AN82" s="2" t="s">
        <v>2362</v>
      </c>
      <c r="AO82" s="445">
        <v>10</v>
      </c>
      <c r="AP82" s="445">
        <v>20</v>
      </c>
      <c r="AQ82" s="445">
        <v>4</v>
      </c>
      <c r="AR82" s="445">
        <v>7</v>
      </c>
      <c r="AS82" s="445">
        <v>3</v>
      </c>
      <c r="AT82" s="445">
        <v>4</v>
      </c>
      <c r="AU82" s="445">
        <v>20</v>
      </c>
      <c r="AV82" s="445" t="str">
        <f t="shared" si="5"/>
        <v>Vàng:7700:MG01:3</v>
      </c>
      <c r="AW82" s="440">
        <v>150</v>
      </c>
      <c r="AX82" s="445">
        <v>8</v>
      </c>
      <c r="AY82" s="445">
        <v>4</v>
      </c>
      <c r="AZ82" s="450">
        <v>76</v>
      </c>
      <c r="BA82" s="31">
        <v>7700</v>
      </c>
      <c r="BB82" s="31">
        <v>3</v>
      </c>
      <c r="BC82" s="31">
        <f t="shared" si="7"/>
        <v>38500</v>
      </c>
    </row>
    <row r="83" spans="1:55" x14ac:dyDescent="0.25">
      <c r="A83" s="28" t="s">
        <v>2199</v>
      </c>
      <c r="B83" s="29">
        <v>81</v>
      </c>
      <c r="C83" s="13">
        <v>6</v>
      </c>
      <c r="D83" s="4">
        <v>18</v>
      </c>
      <c r="E83" s="445">
        <v>2700</v>
      </c>
      <c r="F83" s="445">
        <v>6</v>
      </c>
      <c r="G83" s="13">
        <v>12</v>
      </c>
      <c r="H83" s="13">
        <v>12</v>
      </c>
      <c r="I83" s="455" t="s">
        <v>2218</v>
      </c>
      <c r="J83" s="451">
        <v>1</v>
      </c>
      <c r="K83" s="445">
        <v>50</v>
      </c>
      <c r="L83" s="445">
        <v>50</v>
      </c>
      <c r="M83" s="445">
        <v>4</v>
      </c>
      <c r="N83" s="13">
        <v>25</v>
      </c>
      <c r="O83" s="446">
        <v>10</v>
      </c>
      <c r="P83" s="445">
        <v>90</v>
      </c>
      <c r="Q83" s="321">
        <v>6</v>
      </c>
      <c r="R83" s="23">
        <v>12</v>
      </c>
      <c r="S83" s="445">
        <v>10</v>
      </c>
      <c r="T83" s="445">
        <f t="shared" si="8"/>
        <v>90</v>
      </c>
      <c r="U83" s="447">
        <v>0.7</v>
      </c>
      <c r="V83" s="448">
        <v>2.04</v>
      </c>
      <c r="W83" s="449">
        <v>3.3000000000000003</v>
      </c>
      <c r="X83" s="448">
        <v>2.52</v>
      </c>
      <c r="Y83" s="448">
        <v>4.76</v>
      </c>
      <c r="Z83" s="448">
        <v>1.6</v>
      </c>
      <c r="AA83" s="448">
        <v>2.3919999999999999</v>
      </c>
      <c r="AB83" s="448">
        <v>0.27999999999999997</v>
      </c>
      <c r="AC83" s="445">
        <v>405000</v>
      </c>
      <c r="AD83" s="450">
        <v>450</v>
      </c>
      <c r="AE83" s="445">
        <f>4*60*60</f>
        <v>14400</v>
      </c>
      <c r="AF83" s="445">
        <v>500</v>
      </c>
      <c r="AG83" s="447">
        <v>1.17</v>
      </c>
      <c r="AH83" s="445">
        <v>3</v>
      </c>
      <c r="AI83" s="445">
        <v>4</v>
      </c>
      <c r="AJ83" s="445">
        <v>2</v>
      </c>
      <c r="AK83" s="445">
        <v>3</v>
      </c>
      <c r="AL83" s="2" t="s">
        <v>2250</v>
      </c>
      <c r="AM83" s="2" t="s">
        <v>2249</v>
      </c>
      <c r="AN83" s="2" t="s">
        <v>2363</v>
      </c>
      <c r="AO83" s="445">
        <v>10</v>
      </c>
      <c r="AP83" s="445">
        <v>20</v>
      </c>
      <c r="AQ83" s="445">
        <v>4</v>
      </c>
      <c r="AR83" s="445">
        <v>7</v>
      </c>
      <c r="AS83" s="445">
        <v>3</v>
      </c>
      <c r="AT83" s="445">
        <v>4</v>
      </c>
      <c r="AU83" s="445">
        <v>20</v>
      </c>
      <c r="AV83" s="445" t="str">
        <f t="shared" si="5"/>
        <v>Vàng:7800:MG01:3</v>
      </c>
      <c r="AW83" s="440">
        <v>150</v>
      </c>
      <c r="AX83" s="445">
        <v>8</v>
      </c>
      <c r="AY83" s="445">
        <v>4</v>
      </c>
      <c r="AZ83" s="450">
        <v>77</v>
      </c>
      <c r="BA83" s="31">
        <v>7800</v>
      </c>
      <c r="BB83" s="31">
        <v>3</v>
      </c>
      <c r="BC83" s="31">
        <f t="shared" si="7"/>
        <v>39000</v>
      </c>
    </row>
    <row r="84" spans="1:55" x14ac:dyDescent="0.25">
      <c r="A84" s="28" t="s">
        <v>2199</v>
      </c>
      <c r="B84" s="428">
        <v>82</v>
      </c>
      <c r="C84" s="13">
        <v>6</v>
      </c>
      <c r="D84" s="4">
        <v>18</v>
      </c>
      <c r="E84" s="445">
        <v>2700</v>
      </c>
      <c r="F84" s="445">
        <v>6</v>
      </c>
      <c r="G84" s="13">
        <v>12</v>
      </c>
      <c r="H84" s="13">
        <v>12</v>
      </c>
      <c r="I84" s="455" t="s">
        <v>2218</v>
      </c>
      <c r="J84" s="451">
        <v>1</v>
      </c>
      <c r="K84" s="445">
        <v>50</v>
      </c>
      <c r="L84" s="445">
        <v>50</v>
      </c>
      <c r="M84" s="445">
        <v>4</v>
      </c>
      <c r="N84" s="13">
        <v>25</v>
      </c>
      <c r="O84" s="446">
        <v>10</v>
      </c>
      <c r="P84" s="445">
        <v>90</v>
      </c>
      <c r="Q84" s="321">
        <v>6</v>
      </c>
      <c r="R84" s="23">
        <v>12</v>
      </c>
      <c r="S84" s="445">
        <v>10</v>
      </c>
      <c r="T84" s="445">
        <f t="shared" si="8"/>
        <v>90</v>
      </c>
      <c r="U84" s="447">
        <v>0.7</v>
      </c>
      <c r="V84" s="448">
        <v>2.04</v>
      </c>
      <c r="W84" s="449">
        <v>3.3000000000000003</v>
      </c>
      <c r="X84" s="448">
        <v>2.52</v>
      </c>
      <c r="Y84" s="448">
        <v>4.76</v>
      </c>
      <c r="Z84" s="448">
        <v>1.6</v>
      </c>
      <c r="AA84" s="457">
        <v>2.2880000000000003</v>
      </c>
      <c r="AB84" s="448">
        <v>0.27999999999999997</v>
      </c>
      <c r="AC84" s="445">
        <v>410000</v>
      </c>
      <c r="AD84" s="450">
        <v>450</v>
      </c>
      <c r="AE84" s="445">
        <v>14400</v>
      </c>
      <c r="AF84" s="445">
        <v>500</v>
      </c>
      <c r="AG84" s="447">
        <v>1.17</v>
      </c>
      <c r="AH84" s="445">
        <v>3</v>
      </c>
      <c r="AI84" s="445">
        <v>4</v>
      </c>
      <c r="AJ84" s="445">
        <v>2</v>
      </c>
      <c r="AK84" s="445">
        <v>3</v>
      </c>
      <c r="AL84" s="2" t="s">
        <v>2250</v>
      </c>
      <c r="AM84" s="2" t="s">
        <v>2249</v>
      </c>
      <c r="AN84" s="2" t="s">
        <v>2363</v>
      </c>
      <c r="AO84" s="445">
        <v>10</v>
      </c>
      <c r="AP84" s="445">
        <v>20</v>
      </c>
      <c r="AQ84" s="445">
        <v>4</v>
      </c>
      <c r="AR84" s="445">
        <v>7</v>
      </c>
      <c r="AS84" s="445">
        <v>3</v>
      </c>
      <c r="AT84" s="445">
        <v>4</v>
      </c>
      <c r="AU84" s="445">
        <v>20</v>
      </c>
      <c r="AV84" s="445" t="str">
        <f t="shared" si="5"/>
        <v>Vàng:7900:MG01:3</v>
      </c>
      <c r="AW84" s="440">
        <v>150</v>
      </c>
      <c r="AX84" s="445">
        <v>8</v>
      </c>
      <c r="AY84" s="445">
        <v>4</v>
      </c>
      <c r="AZ84" s="450">
        <v>78</v>
      </c>
      <c r="BA84" s="31">
        <v>7900</v>
      </c>
      <c r="BB84" s="31">
        <v>3</v>
      </c>
      <c r="BC84" s="31">
        <f t="shared" si="7"/>
        <v>39500</v>
      </c>
    </row>
    <row r="85" spans="1:55" x14ac:dyDescent="0.25">
      <c r="A85" s="28" t="s">
        <v>2199</v>
      </c>
      <c r="B85" s="29">
        <v>83</v>
      </c>
      <c r="C85" s="13">
        <v>6</v>
      </c>
      <c r="D85" s="4">
        <v>18</v>
      </c>
      <c r="E85" s="445">
        <v>2700</v>
      </c>
      <c r="F85" s="445">
        <v>6</v>
      </c>
      <c r="G85" s="13">
        <v>12</v>
      </c>
      <c r="H85" s="13">
        <v>12</v>
      </c>
      <c r="I85" s="455" t="s">
        <v>2218</v>
      </c>
      <c r="J85" s="451">
        <v>1</v>
      </c>
      <c r="K85" s="445">
        <v>50</v>
      </c>
      <c r="L85" s="445">
        <v>50</v>
      </c>
      <c r="M85" s="445">
        <v>4</v>
      </c>
      <c r="N85" s="13">
        <v>25</v>
      </c>
      <c r="O85" s="446">
        <v>10</v>
      </c>
      <c r="P85" s="445">
        <v>90</v>
      </c>
      <c r="Q85" s="321">
        <v>6</v>
      </c>
      <c r="R85" s="23">
        <v>12</v>
      </c>
      <c r="S85" s="445">
        <v>10</v>
      </c>
      <c r="T85" s="445">
        <f t="shared" si="8"/>
        <v>90</v>
      </c>
      <c r="U85" s="447">
        <v>0.7</v>
      </c>
      <c r="V85" s="448">
        <v>2.04</v>
      </c>
      <c r="W85" s="449">
        <v>3.3000000000000003</v>
      </c>
      <c r="X85" s="448">
        <v>2.52</v>
      </c>
      <c r="Y85" s="448">
        <v>4.76</v>
      </c>
      <c r="Z85" s="448">
        <v>1.6</v>
      </c>
      <c r="AA85" s="448">
        <v>2.2880000000000003</v>
      </c>
      <c r="AB85" s="448">
        <v>0.27999999999999997</v>
      </c>
      <c r="AC85" s="445">
        <v>415000</v>
      </c>
      <c r="AD85" s="450">
        <v>450</v>
      </c>
      <c r="AE85" s="445">
        <v>14400</v>
      </c>
      <c r="AF85" s="445">
        <v>500</v>
      </c>
      <c r="AG85" s="447">
        <v>1.17</v>
      </c>
      <c r="AH85" s="445">
        <v>3</v>
      </c>
      <c r="AI85" s="445">
        <v>4</v>
      </c>
      <c r="AJ85" s="445">
        <v>2</v>
      </c>
      <c r="AK85" s="445">
        <v>3</v>
      </c>
      <c r="AL85" s="2" t="s">
        <v>2251</v>
      </c>
      <c r="AM85" s="2" t="s">
        <v>2249</v>
      </c>
      <c r="AN85" s="2" t="s">
        <v>2363</v>
      </c>
      <c r="AO85" s="445">
        <v>10</v>
      </c>
      <c r="AP85" s="445">
        <v>20</v>
      </c>
      <c r="AQ85" s="445">
        <v>4</v>
      </c>
      <c r="AR85" s="445">
        <v>7</v>
      </c>
      <c r="AS85" s="445">
        <v>3</v>
      </c>
      <c r="AT85" s="445">
        <v>4</v>
      </c>
      <c r="AU85" s="445">
        <v>20</v>
      </c>
      <c r="AV85" s="445" t="str">
        <f t="shared" si="5"/>
        <v>Vàng:8000:MG01:3</v>
      </c>
      <c r="AW85" s="440">
        <v>150</v>
      </c>
      <c r="AX85" s="445">
        <v>8</v>
      </c>
      <c r="AY85" s="445">
        <v>4</v>
      </c>
      <c r="AZ85" s="450">
        <v>79</v>
      </c>
      <c r="BA85" s="31">
        <v>8000</v>
      </c>
      <c r="BB85" s="31">
        <v>3</v>
      </c>
      <c r="BC85" s="31">
        <f t="shared" si="7"/>
        <v>40000</v>
      </c>
    </row>
    <row r="86" spans="1:55" x14ac:dyDescent="0.25">
      <c r="A86" s="28" t="s">
        <v>2199</v>
      </c>
      <c r="B86" s="428">
        <v>84</v>
      </c>
      <c r="C86" s="13">
        <v>6</v>
      </c>
      <c r="D86" s="4">
        <v>18</v>
      </c>
      <c r="E86" s="445">
        <v>2700</v>
      </c>
      <c r="F86" s="445">
        <v>6</v>
      </c>
      <c r="G86" s="13">
        <v>12</v>
      </c>
      <c r="H86" s="13">
        <v>12</v>
      </c>
      <c r="I86" s="455" t="s">
        <v>2218</v>
      </c>
      <c r="J86" s="451">
        <v>1</v>
      </c>
      <c r="K86" s="445">
        <v>50</v>
      </c>
      <c r="L86" s="445">
        <v>50</v>
      </c>
      <c r="M86" s="445">
        <v>4</v>
      </c>
      <c r="N86" s="13">
        <v>25</v>
      </c>
      <c r="O86" s="446">
        <v>10</v>
      </c>
      <c r="P86" s="445">
        <v>90</v>
      </c>
      <c r="Q86" s="321">
        <v>6</v>
      </c>
      <c r="R86" s="23">
        <v>12</v>
      </c>
      <c r="S86" s="445">
        <v>10</v>
      </c>
      <c r="T86" s="445">
        <f t="shared" si="8"/>
        <v>90</v>
      </c>
      <c r="U86" s="447">
        <v>0.7</v>
      </c>
      <c r="V86" s="448">
        <v>2.04</v>
      </c>
      <c r="W86" s="449">
        <v>3.3000000000000003</v>
      </c>
      <c r="X86" s="448">
        <v>2.52</v>
      </c>
      <c r="Y86" s="448">
        <v>4.76</v>
      </c>
      <c r="Z86" s="448">
        <v>1.6</v>
      </c>
      <c r="AA86" s="448">
        <v>2.2880000000000003</v>
      </c>
      <c r="AB86" s="448">
        <v>0.27999999999999997</v>
      </c>
      <c r="AC86" s="445">
        <v>420000</v>
      </c>
      <c r="AD86" s="450">
        <v>450</v>
      </c>
      <c r="AE86" s="445">
        <v>14400</v>
      </c>
      <c r="AF86" s="445">
        <v>500</v>
      </c>
      <c r="AG86" s="447">
        <v>1.17</v>
      </c>
      <c r="AH86" s="445">
        <v>3</v>
      </c>
      <c r="AI86" s="445">
        <v>4</v>
      </c>
      <c r="AJ86" s="445">
        <v>2</v>
      </c>
      <c r="AK86" s="445">
        <v>3</v>
      </c>
      <c r="AL86" s="2" t="s">
        <v>2251</v>
      </c>
      <c r="AM86" s="2" t="s">
        <v>2249</v>
      </c>
      <c r="AN86" s="2" t="s">
        <v>2363</v>
      </c>
      <c r="AO86" s="445">
        <v>10</v>
      </c>
      <c r="AP86" s="445">
        <v>20</v>
      </c>
      <c r="AQ86" s="445">
        <v>4</v>
      </c>
      <c r="AR86" s="445">
        <v>7</v>
      </c>
      <c r="AS86" s="445">
        <v>3</v>
      </c>
      <c r="AT86" s="445">
        <v>4</v>
      </c>
      <c r="AU86" s="445">
        <v>20</v>
      </c>
      <c r="AV86" s="445" t="str">
        <f t="shared" si="5"/>
        <v>Vàng:8100:MG01:3</v>
      </c>
      <c r="AW86" s="440">
        <v>150</v>
      </c>
      <c r="AX86" s="445">
        <v>9</v>
      </c>
      <c r="AY86" s="445">
        <v>4</v>
      </c>
      <c r="AZ86" s="450">
        <v>80</v>
      </c>
      <c r="BA86" s="31">
        <v>8100</v>
      </c>
      <c r="BB86" s="31">
        <v>3</v>
      </c>
      <c r="BC86" s="31">
        <f t="shared" si="7"/>
        <v>40500</v>
      </c>
    </row>
    <row r="87" spans="1:55" x14ac:dyDescent="0.25">
      <c r="A87" s="28" t="s">
        <v>2199</v>
      </c>
      <c r="B87" s="29">
        <v>85</v>
      </c>
      <c r="C87" s="13">
        <v>6</v>
      </c>
      <c r="D87" s="4">
        <v>18</v>
      </c>
      <c r="E87" s="445">
        <v>2700</v>
      </c>
      <c r="F87" s="445">
        <v>6</v>
      </c>
      <c r="G87" s="13">
        <v>12</v>
      </c>
      <c r="H87" s="13">
        <v>12</v>
      </c>
      <c r="I87" s="455" t="s">
        <v>2218</v>
      </c>
      <c r="J87" s="451">
        <v>1</v>
      </c>
      <c r="K87" s="445">
        <v>50</v>
      </c>
      <c r="L87" s="445">
        <v>50</v>
      </c>
      <c r="M87" s="445">
        <v>4</v>
      </c>
      <c r="N87" s="13">
        <v>30</v>
      </c>
      <c r="O87" s="446">
        <v>10</v>
      </c>
      <c r="P87" s="445">
        <v>90</v>
      </c>
      <c r="Q87" s="321">
        <v>6</v>
      </c>
      <c r="R87" s="23">
        <v>12</v>
      </c>
      <c r="S87" s="445">
        <v>10</v>
      </c>
      <c r="T87" s="445">
        <f t="shared" si="8"/>
        <v>90</v>
      </c>
      <c r="U87" s="447">
        <v>0.7</v>
      </c>
      <c r="V87" s="448">
        <v>2.04</v>
      </c>
      <c r="W87" s="449">
        <v>3.3000000000000003</v>
      </c>
      <c r="X87" s="448">
        <v>2.52</v>
      </c>
      <c r="Y87" s="448">
        <v>4.76</v>
      </c>
      <c r="Z87" s="448">
        <v>1.6</v>
      </c>
      <c r="AA87" s="448">
        <v>2.2880000000000003</v>
      </c>
      <c r="AB87" s="448">
        <v>0.27999999999999997</v>
      </c>
      <c r="AC87" s="445">
        <v>425000</v>
      </c>
      <c r="AD87" s="450">
        <v>450</v>
      </c>
      <c r="AE87" s="445">
        <v>14400</v>
      </c>
      <c r="AF87" s="445">
        <v>500</v>
      </c>
      <c r="AG87" s="447">
        <v>1.17</v>
      </c>
      <c r="AH87" s="445">
        <v>3</v>
      </c>
      <c r="AI87" s="445">
        <v>4</v>
      </c>
      <c r="AJ87" s="445">
        <v>2</v>
      </c>
      <c r="AK87" s="445">
        <v>3</v>
      </c>
      <c r="AL87" s="2" t="s">
        <v>2251</v>
      </c>
      <c r="AM87" s="2" t="s">
        <v>2249</v>
      </c>
      <c r="AN87" s="2" t="s">
        <v>2363</v>
      </c>
      <c r="AO87" s="445">
        <v>10</v>
      </c>
      <c r="AP87" s="445">
        <v>20</v>
      </c>
      <c r="AQ87" s="445">
        <v>4</v>
      </c>
      <c r="AR87" s="445">
        <v>7</v>
      </c>
      <c r="AS87" s="445">
        <v>3</v>
      </c>
      <c r="AT87" s="445">
        <v>4</v>
      </c>
      <c r="AU87" s="445">
        <v>20</v>
      </c>
      <c r="AV87" s="445" t="str">
        <f t="shared" si="5"/>
        <v>Vàng:8200:MG01:3</v>
      </c>
      <c r="AW87" s="440">
        <v>150</v>
      </c>
      <c r="AX87" s="445">
        <v>9</v>
      </c>
      <c r="AY87" s="445">
        <v>4</v>
      </c>
      <c r="AZ87" s="450">
        <v>81</v>
      </c>
      <c r="BA87" s="31">
        <v>8200</v>
      </c>
      <c r="BB87" s="31">
        <v>3</v>
      </c>
      <c r="BC87" s="31">
        <f t="shared" si="7"/>
        <v>41000</v>
      </c>
    </row>
    <row r="88" spans="1:55" x14ac:dyDescent="0.25">
      <c r="A88" s="28" t="s">
        <v>2199</v>
      </c>
      <c r="B88" s="428">
        <v>86</v>
      </c>
      <c r="C88" s="13">
        <v>6</v>
      </c>
      <c r="D88" s="4">
        <v>18</v>
      </c>
      <c r="E88" s="445">
        <v>2700</v>
      </c>
      <c r="F88" s="445">
        <v>6</v>
      </c>
      <c r="G88" s="13">
        <v>12</v>
      </c>
      <c r="H88" s="13">
        <v>12</v>
      </c>
      <c r="I88" s="455" t="s">
        <v>2218</v>
      </c>
      <c r="J88" s="451">
        <v>1</v>
      </c>
      <c r="K88" s="445">
        <v>50</v>
      </c>
      <c r="L88" s="445">
        <v>50</v>
      </c>
      <c r="M88" s="445">
        <v>4</v>
      </c>
      <c r="N88" s="13">
        <v>30</v>
      </c>
      <c r="O88" s="446">
        <v>10</v>
      </c>
      <c r="P88" s="445">
        <v>90</v>
      </c>
      <c r="Q88" s="321">
        <v>6</v>
      </c>
      <c r="R88" s="23">
        <v>12</v>
      </c>
      <c r="S88" s="445">
        <v>10</v>
      </c>
      <c r="T88" s="445">
        <f t="shared" si="8"/>
        <v>90</v>
      </c>
      <c r="U88" s="447">
        <v>0.7</v>
      </c>
      <c r="V88" s="448">
        <v>2.04</v>
      </c>
      <c r="W88" s="449">
        <v>3.3000000000000003</v>
      </c>
      <c r="X88" s="448">
        <v>2.52</v>
      </c>
      <c r="Y88" s="448">
        <v>4.76</v>
      </c>
      <c r="Z88" s="448">
        <v>1.6</v>
      </c>
      <c r="AA88" s="457">
        <v>2.1840000000000002</v>
      </c>
      <c r="AB88" s="448">
        <v>0.27999999999999997</v>
      </c>
      <c r="AC88" s="445">
        <v>430000</v>
      </c>
      <c r="AD88" s="450">
        <v>450</v>
      </c>
      <c r="AE88" s="445">
        <v>14400</v>
      </c>
      <c r="AF88" s="445">
        <v>500</v>
      </c>
      <c r="AG88" s="447">
        <v>1.17</v>
      </c>
      <c r="AH88" s="445">
        <v>3</v>
      </c>
      <c r="AI88" s="445">
        <v>4</v>
      </c>
      <c r="AJ88" s="445">
        <v>2</v>
      </c>
      <c r="AK88" s="445">
        <v>3</v>
      </c>
      <c r="AL88" s="2" t="s">
        <v>2251</v>
      </c>
      <c r="AM88" s="2" t="s">
        <v>2252</v>
      </c>
      <c r="AN88" s="2" t="s">
        <v>2364</v>
      </c>
      <c r="AO88" s="445">
        <v>10</v>
      </c>
      <c r="AP88" s="445">
        <v>20</v>
      </c>
      <c r="AQ88" s="445">
        <v>4</v>
      </c>
      <c r="AR88" s="445">
        <v>7</v>
      </c>
      <c r="AS88" s="445">
        <v>3</v>
      </c>
      <c r="AT88" s="445">
        <v>4</v>
      </c>
      <c r="AU88" s="445">
        <v>20</v>
      </c>
      <c r="AV88" s="445" t="str">
        <f t="shared" si="5"/>
        <v>Vàng:8300:MG01:3</v>
      </c>
      <c r="AW88" s="440">
        <v>150</v>
      </c>
      <c r="AX88" s="445">
        <v>9</v>
      </c>
      <c r="AY88" s="445">
        <v>4</v>
      </c>
      <c r="AZ88" s="450">
        <v>82</v>
      </c>
      <c r="BA88" s="31">
        <v>8300</v>
      </c>
      <c r="BB88" s="31">
        <v>3</v>
      </c>
      <c r="BC88" s="31">
        <f t="shared" si="7"/>
        <v>41500</v>
      </c>
    </row>
    <row r="89" spans="1:55" x14ac:dyDescent="0.25">
      <c r="A89" s="28" t="s">
        <v>2199</v>
      </c>
      <c r="B89" s="29">
        <v>87</v>
      </c>
      <c r="C89" s="13">
        <v>6</v>
      </c>
      <c r="D89" s="4">
        <v>18</v>
      </c>
      <c r="E89" s="445">
        <v>2700</v>
      </c>
      <c r="F89" s="445">
        <v>6</v>
      </c>
      <c r="G89" s="13">
        <v>12</v>
      </c>
      <c r="H89" s="13">
        <v>12</v>
      </c>
      <c r="I89" s="455" t="s">
        <v>2218</v>
      </c>
      <c r="J89" s="451">
        <v>1</v>
      </c>
      <c r="K89" s="445">
        <v>50</v>
      </c>
      <c r="L89" s="445">
        <v>50</v>
      </c>
      <c r="M89" s="445">
        <v>4</v>
      </c>
      <c r="N89" s="13">
        <v>30</v>
      </c>
      <c r="O89" s="446">
        <v>10</v>
      </c>
      <c r="P89" s="445">
        <v>90</v>
      </c>
      <c r="Q89" s="321">
        <v>6</v>
      </c>
      <c r="R89" s="23">
        <v>12</v>
      </c>
      <c r="S89" s="445">
        <v>10</v>
      </c>
      <c r="T89" s="445">
        <f t="shared" si="8"/>
        <v>90</v>
      </c>
      <c r="U89" s="447">
        <v>0.7</v>
      </c>
      <c r="V89" s="448">
        <v>2.04</v>
      </c>
      <c r="W89" s="449">
        <v>3.3000000000000003</v>
      </c>
      <c r="X89" s="448">
        <v>2.52</v>
      </c>
      <c r="Y89" s="448">
        <v>4.76</v>
      </c>
      <c r="Z89" s="448">
        <v>1.6</v>
      </c>
      <c r="AA89" s="448">
        <v>2.08</v>
      </c>
      <c r="AB89" s="448">
        <v>0.27999999999999997</v>
      </c>
      <c r="AC89" s="445">
        <v>435000</v>
      </c>
      <c r="AD89" s="450">
        <v>450</v>
      </c>
      <c r="AE89" s="445">
        <v>14400</v>
      </c>
      <c r="AF89" s="445">
        <v>500</v>
      </c>
      <c r="AG89" s="447">
        <v>1.17</v>
      </c>
      <c r="AH89" s="445">
        <v>3</v>
      </c>
      <c r="AI89" s="445">
        <v>4</v>
      </c>
      <c r="AJ89" s="445">
        <v>2</v>
      </c>
      <c r="AK89" s="445">
        <v>3</v>
      </c>
      <c r="AL89" s="2" t="s">
        <v>2251</v>
      </c>
      <c r="AM89" s="2" t="s">
        <v>2252</v>
      </c>
      <c r="AN89" s="2" t="s">
        <v>2364</v>
      </c>
      <c r="AO89" s="445">
        <v>10</v>
      </c>
      <c r="AP89" s="445">
        <v>20</v>
      </c>
      <c r="AQ89" s="445">
        <v>4</v>
      </c>
      <c r="AR89" s="445">
        <v>7</v>
      </c>
      <c r="AS89" s="445">
        <v>3</v>
      </c>
      <c r="AT89" s="445">
        <v>4</v>
      </c>
      <c r="AU89" s="445">
        <v>20</v>
      </c>
      <c r="AV89" s="445" t="str">
        <f t="shared" si="5"/>
        <v>Vàng:8400:MG01:3</v>
      </c>
      <c r="AW89" s="440">
        <v>150</v>
      </c>
      <c r="AX89" s="445">
        <v>9</v>
      </c>
      <c r="AY89" s="445">
        <v>4</v>
      </c>
      <c r="AZ89" s="450">
        <v>83</v>
      </c>
      <c r="BA89" s="31">
        <v>8400</v>
      </c>
      <c r="BB89" s="31">
        <v>3</v>
      </c>
      <c r="BC89" s="31">
        <f t="shared" si="7"/>
        <v>42000</v>
      </c>
    </row>
    <row r="90" spans="1:55" x14ac:dyDescent="0.25">
      <c r="A90" s="28" t="s">
        <v>2199</v>
      </c>
      <c r="B90" s="428">
        <v>88</v>
      </c>
      <c r="C90" s="13">
        <v>6</v>
      </c>
      <c r="D90" s="4">
        <v>18</v>
      </c>
      <c r="E90" s="445">
        <v>2700</v>
      </c>
      <c r="F90" s="445">
        <v>6</v>
      </c>
      <c r="G90" s="13">
        <v>12</v>
      </c>
      <c r="H90" s="13">
        <v>12</v>
      </c>
      <c r="I90" s="455" t="s">
        <v>2218</v>
      </c>
      <c r="J90" s="451">
        <v>1</v>
      </c>
      <c r="K90" s="445">
        <v>50</v>
      </c>
      <c r="L90" s="445">
        <v>50</v>
      </c>
      <c r="M90" s="445">
        <v>4</v>
      </c>
      <c r="N90" s="13">
        <v>30</v>
      </c>
      <c r="O90" s="446">
        <v>10</v>
      </c>
      <c r="P90" s="445">
        <v>90</v>
      </c>
      <c r="Q90" s="321">
        <v>6</v>
      </c>
      <c r="R90" s="23">
        <v>12</v>
      </c>
      <c r="S90" s="445">
        <v>10</v>
      </c>
      <c r="T90" s="445">
        <f t="shared" si="8"/>
        <v>90</v>
      </c>
      <c r="U90" s="447">
        <v>0.7</v>
      </c>
      <c r="V90" s="448">
        <v>2.04</v>
      </c>
      <c r="W90" s="449">
        <v>3.3000000000000003</v>
      </c>
      <c r="X90" s="448">
        <v>2.52</v>
      </c>
      <c r="Y90" s="448">
        <v>4.76</v>
      </c>
      <c r="Z90" s="448">
        <v>1.6</v>
      </c>
      <c r="AA90" s="448">
        <v>1.9759999999999998</v>
      </c>
      <c r="AB90" s="448">
        <v>0.27999999999999997</v>
      </c>
      <c r="AC90" s="445">
        <v>440000</v>
      </c>
      <c r="AD90" s="450">
        <v>450</v>
      </c>
      <c r="AE90" s="445">
        <v>14400</v>
      </c>
      <c r="AF90" s="445">
        <v>500</v>
      </c>
      <c r="AG90" s="447">
        <v>1.17</v>
      </c>
      <c r="AH90" s="445">
        <v>3</v>
      </c>
      <c r="AI90" s="445">
        <v>4</v>
      </c>
      <c r="AJ90" s="445">
        <v>2</v>
      </c>
      <c r="AK90" s="445">
        <v>3</v>
      </c>
      <c r="AL90" s="2" t="s">
        <v>2251</v>
      </c>
      <c r="AM90" s="2" t="s">
        <v>2252</v>
      </c>
      <c r="AN90" s="2" t="s">
        <v>2364</v>
      </c>
      <c r="AO90" s="445">
        <v>10</v>
      </c>
      <c r="AP90" s="445">
        <v>20</v>
      </c>
      <c r="AQ90" s="445">
        <v>4</v>
      </c>
      <c r="AR90" s="445">
        <v>7</v>
      </c>
      <c r="AS90" s="445">
        <v>3</v>
      </c>
      <c r="AT90" s="445">
        <v>4</v>
      </c>
      <c r="AU90" s="445">
        <v>20</v>
      </c>
      <c r="AV90" s="445" t="str">
        <f t="shared" si="5"/>
        <v>Vàng:8500:MG01:3</v>
      </c>
      <c r="AW90" s="440">
        <v>150</v>
      </c>
      <c r="AX90" s="445">
        <v>9</v>
      </c>
      <c r="AY90" s="445">
        <v>4</v>
      </c>
      <c r="AZ90" s="450">
        <v>84</v>
      </c>
      <c r="BA90" s="31">
        <v>8500</v>
      </c>
      <c r="BB90" s="31">
        <v>3</v>
      </c>
      <c r="BC90" s="31">
        <f t="shared" si="7"/>
        <v>42500</v>
      </c>
    </row>
    <row r="91" spans="1:55" x14ac:dyDescent="0.25">
      <c r="A91" s="28" t="s">
        <v>2199</v>
      </c>
      <c r="B91" s="29">
        <v>89</v>
      </c>
      <c r="C91" s="13">
        <v>6</v>
      </c>
      <c r="D91" s="4">
        <v>18</v>
      </c>
      <c r="E91" s="445">
        <v>2700</v>
      </c>
      <c r="F91" s="445">
        <v>6</v>
      </c>
      <c r="G91" s="13">
        <v>12</v>
      </c>
      <c r="H91" s="13">
        <v>12</v>
      </c>
      <c r="I91" s="455" t="s">
        <v>2218</v>
      </c>
      <c r="J91" s="451">
        <v>1</v>
      </c>
      <c r="K91" s="445">
        <v>50</v>
      </c>
      <c r="L91" s="445">
        <v>50</v>
      </c>
      <c r="M91" s="445">
        <v>4</v>
      </c>
      <c r="N91" s="13">
        <v>30</v>
      </c>
      <c r="O91" s="446">
        <v>10</v>
      </c>
      <c r="P91" s="445">
        <v>90</v>
      </c>
      <c r="Q91" s="321">
        <v>6</v>
      </c>
      <c r="R91" s="23">
        <v>12</v>
      </c>
      <c r="S91" s="445">
        <v>10</v>
      </c>
      <c r="T91" s="445">
        <f t="shared" si="8"/>
        <v>90</v>
      </c>
      <c r="U91" s="447">
        <v>0.7</v>
      </c>
      <c r="V91" s="448">
        <v>2.04</v>
      </c>
      <c r="W91" s="449">
        <v>3.3000000000000003</v>
      </c>
      <c r="X91" s="448">
        <v>2.52</v>
      </c>
      <c r="Y91" s="448">
        <v>4.76</v>
      </c>
      <c r="Z91" s="448">
        <v>1.6</v>
      </c>
      <c r="AA91" s="457">
        <v>1.8720000000000003</v>
      </c>
      <c r="AB91" s="448">
        <v>0.27999999999999997</v>
      </c>
      <c r="AC91" s="445">
        <v>445000</v>
      </c>
      <c r="AD91" s="450">
        <v>450</v>
      </c>
      <c r="AE91" s="445">
        <v>14400</v>
      </c>
      <c r="AF91" s="445">
        <v>500</v>
      </c>
      <c r="AG91" s="447">
        <v>1.17</v>
      </c>
      <c r="AH91" s="445">
        <v>3</v>
      </c>
      <c r="AI91" s="445">
        <v>4</v>
      </c>
      <c r="AJ91" s="445">
        <v>2</v>
      </c>
      <c r="AK91" s="445">
        <v>3</v>
      </c>
      <c r="AL91" s="2" t="s">
        <v>2251</v>
      </c>
      <c r="AM91" s="2" t="s">
        <v>2252</v>
      </c>
      <c r="AN91" s="2" t="s">
        <v>2364</v>
      </c>
      <c r="AO91" s="445">
        <v>10</v>
      </c>
      <c r="AP91" s="445">
        <v>20</v>
      </c>
      <c r="AQ91" s="445">
        <v>4</v>
      </c>
      <c r="AR91" s="445">
        <v>7</v>
      </c>
      <c r="AS91" s="445">
        <v>3</v>
      </c>
      <c r="AT91" s="445">
        <v>4</v>
      </c>
      <c r="AU91" s="445">
        <v>20</v>
      </c>
      <c r="AV91" s="445" t="str">
        <f t="shared" si="5"/>
        <v>Vàng:8600:MG01:3</v>
      </c>
      <c r="AW91" s="440">
        <v>150</v>
      </c>
      <c r="AX91" s="445">
        <v>9</v>
      </c>
      <c r="AY91" s="445">
        <v>4</v>
      </c>
      <c r="AZ91" s="450">
        <v>85</v>
      </c>
      <c r="BA91" s="31">
        <v>8600</v>
      </c>
      <c r="BB91" s="31">
        <v>3</v>
      </c>
      <c r="BC91" s="31">
        <f t="shared" si="7"/>
        <v>43000</v>
      </c>
    </row>
    <row r="92" spans="1:55" x14ac:dyDescent="0.25">
      <c r="A92" s="28" t="s">
        <v>2199</v>
      </c>
      <c r="B92" s="428">
        <v>90</v>
      </c>
      <c r="C92" s="13">
        <v>6</v>
      </c>
      <c r="D92" s="4">
        <v>18</v>
      </c>
      <c r="E92" s="445">
        <v>3000</v>
      </c>
      <c r="F92" s="445">
        <v>6</v>
      </c>
      <c r="G92" s="13">
        <v>12</v>
      </c>
      <c r="H92" s="13">
        <v>12</v>
      </c>
      <c r="I92" s="455" t="s">
        <v>2218</v>
      </c>
      <c r="J92" s="451">
        <v>1</v>
      </c>
      <c r="K92" s="445">
        <v>50</v>
      </c>
      <c r="L92" s="445">
        <v>50</v>
      </c>
      <c r="M92" s="445">
        <v>4</v>
      </c>
      <c r="N92" s="13">
        <v>35</v>
      </c>
      <c r="O92" s="446">
        <v>10</v>
      </c>
      <c r="P92" s="445">
        <v>90</v>
      </c>
      <c r="Q92" s="321">
        <v>6</v>
      </c>
      <c r="R92" s="23">
        <v>12</v>
      </c>
      <c r="S92" s="445">
        <v>10</v>
      </c>
      <c r="T92" s="445">
        <f t="shared" si="8"/>
        <v>90</v>
      </c>
      <c r="U92" s="447">
        <v>0.7</v>
      </c>
      <c r="V92" s="448">
        <v>2.04</v>
      </c>
      <c r="W92" s="449">
        <v>3.3000000000000003</v>
      </c>
      <c r="X92" s="448">
        <v>2.52</v>
      </c>
      <c r="Y92" s="448">
        <v>4.76</v>
      </c>
      <c r="Z92" s="448">
        <v>1.6</v>
      </c>
      <c r="AA92" s="448">
        <v>1.8720000000000003</v>
      </c>
      <c r="AB92" s="448">
        <v>0.27999999999999997</v>
      </c>
      <c r="AC92" s="445">
        <v>450000</v>
      </c>
      <c r="AD92" s="450">
        <v>450</v>
      </c>
      <c r="AE92" s="445">
        <v>14400</v>
      </c>
      <c r="AF92" s="445">
        <v>500</v>
      </c>
      <c r="AG92" s="447">
        <v>1.17</v>
      </c>
      <c r="AH92" s="445">
        <v>3</v>
      </c>
      <c r="AI92" s="445">
        <v>4</v>
      </c>
      <c r="AJ92" s="445">
        <v>2</v>
      </c>
      <c r="AK92" s="445">
        <v>3</v>
      </c>
      <c r="AL92" s="2" t="s">
        <v>2251</v>
      </c>
      <c r="AM92" s="2" t="s">
        <v>2252</v>
      </c>
      <c r="AN92" s="2" t="s">
        <v>2364</v>
      </c>
      <c r="AO92" s="445">
        <v>10</v>
      </c>
      <c r="AP92" s="445">
        <v>20</v>
      </c>
      <c r="AQ92" s="445">
        <v>4</v>
      </c>
      <c r="AR92" s="445">
        <v>7</v>
      </c>
      <c r="AS92" s="445">
        <v>3</v>
      </c>
      <c r="AT92" s="445">
        <v>4</v>
      </c>
      <c r="AU92" s="445">
        <v>20</v>
      </c>
      <c r="AV92" s="445" t="str">
        <f t="shared" si="5"/>
        <v>Vàng:8700:MG01:3</v>
      </c>
      <c r="AW92" s="440">
        <v>150</v>
      </c>
      <c r="AX92" s="445">
        <v>9</v>
      </c>
      <c r="AY92" s="445">
        <v>4</v>
      </c>
      <c r="AZ92" s="450">
        <v>86</v>
      </c>
      <c r="BA92" s="31">
        <v>8700</v>
      </c>
      <c r="BB92" s="31">
        <v>3</v>
      </c>
      <c r="BC92" s="31">
        <f t="shared" si="7"/>
        <v>43500</v>
      </c>
    </row>
    <row r="93" spans="1:55" x14ac:dyDescent="0.25">
      <c r="A93" s="28" t="s">
        <v>2199</v>
      </c>
      <c r="B93" s="29">
        <v>91</v>
      </c>
      <c r="C93" s="13">
        <v>6</v>
      </c>
      <c r="D93" s="4">
        <v>18</v>
      </c>
      <c r="E93" s="445">
        <v>3000</v>
      </c>
      <c r="F93" s="445">
        <v>6</v>
      </c>
      <c r="G93" s="13">
        <v>12</v>
      </c>
      <c r="H93" s="13">
        <v>12</v>
      </c>
      <c r="I93" s="455" t="s">
        <v>2218</v>
      </c>
      <c r="J93" s="451">
        <v>1</v>
      </c>
      <c r="K93" s="445">
        <v>50</v>
      </c>
      <c r="L93" s="445">
        <v>50</v>
      </c>
      <c r="M93" s="445">
        <v>4</v>
      </c>
      <c r="N93" s="13">
        <v>35</v>
      </c>
      <c r="O93" s="446">
        <v>10</v>
      </c>
      <c r="P93" s="445">
        <v>90</v>
      </c>
      <c r="Q93" s="321">
        <v>6</v>
      </c>
      <c r="R93" s="23">
        <v>12</v>
      </c>
      <c r="S93" s="445">
        <v>10</v>
      </c>
      <c r="T93" s="445">
        <f t="shared" si="8"/>
        <v>90</v>
      </c>
      <c r="U93" s="447">
        <v>0.7</v>
      </c>
      <c r="V93" s="448">
        <v>2.04</v>
      </c>
      <c r="W93" s="449">
        <v>3.3000000000000003</v>
      </c>
      <c r="X93" s="448">
        <v>2.52</v>
      </c>
      <c r="Y93" s="448">
        <v>4.76</v>
      </c>
      <c r="Z93" s="448">
        <v>1.6</v>
      </c>
      <c r="AA93" s="448">
        <v>1.8720000000000003</v>
      </c>
      <c r="AB93" s="448">
        <v>0.27999999999999997</v>
      </c>
      <c r="AC93" s="445">
        <v>455000</v>
      </c>
      <c r="AD93" s="450">
        <v>450</v>
      </c>
      <c r="AE93" s="445">
        <v>14400</v>
      </c>
      <c r="AF93" s="445">
        <v>500</v>
      </c>
      <c r="AG93" s="447">
        <v>1.17</v>
      </c>
      <c r="AH93" s="445">
        <v>3</v>
      </c>
      <c r="AI93" s="445">
        <v>4</v>
      </c>
      <c r="AJ93" s="445">
        <v>2</v>
      </c>
      <c r="AK93" s="445">
        <v>3</v>
      </c>
      <c r="AL93" s="2" t="s">
        <v>2251</v>
      </c>
      <c r="AM93" s="2" t="s">
        <v>2253</v>
      </c>
      <c r="AN93" s="2" t="s">
        <v>2365</v>
      </c>
      <c r="AO93" s="445">
        <v>10</v>
      </c>
      <c r="AP93" s="445">
        <v>20</v>
      </c>
      <c r="AQ93" s="445">
        <v>4</v>
      </c>
      <c r="AR93" s="445">
        <v>7</v>
      </c>
      <c r="AS93" s="445">
        <v>3</v>
      </c>
      <c r="AT93" s="445">
        <v>4</v>
      </c>
      <c r="AU93" s="445">
        <v>20</v>
      </c>
      <c r="AV93" s="445" t="str">
        <f t="shared" si="5"/>
        <v>Vàng:8800:MG01:3</v>
      </c>
      <c r="AW93" s="440">
        <v>150</v>
      </c>
      <c r="AX93" s="445">
        <v>9</v>
      </c>
      <c r="AY93" s="445">
        <v>4</v>
      </c>
      <c r="AZ93" s="450">
        <v>87</v>
      </c>
      <c r="BA93" s="31">
        <v>8800</v>
      </c>
      <c r="BB93" s="31">
        <v>3</v>
      </c>
      <c r="BC93" s="31">
        <f t="shared" si="7"/>
        <v>44000</v>
      </c>
    </row>
    <row r="94" spans="1:55" x14ac:dyDescent="0.25">
      <c r="A94" s="28" t="s">
        <v>2199</v>
      </c>
      <c r="B94" s="428">
        <v>92</v>
      </c>
      <c r="C94" s="13">
        <v>6</v>
      </c>
      <c r="D94" s="4">
        <v>18</v>
      </c>
      <c r="E94" s="445">
        <v>3000</v>
      </c>
      <c r="F94" s="445">
        <v>6</v>
      </c>
      <c r="G94" s="13">
        <v>12</v>
      </c>
      <c r="H94" s="13">
        <v>12</v>
      </c>
      <c r="I94" s="455" t="s">
        <v>2218</v>
      </c>
      <c r="J94" s="451">
        <v>1</v>
      </c>
      <c r="K94" s="445">
        <v>50</v>
      </c>
      <c r="L94" s="445">
        <v>50</v>
      </c>
      <c r="M94" s="445">
        <v>4</v>
      </c>
      <c r="N94" s="13">
        <v>35</v>
      </c>
      <c r="O94" s="446">
        <v>10</v>
      </c>
      <c r="P94" s="445">
        <v>90</v>
      </c>
      <c r="Q94" s="321">
        <v>6</v>
      </c>
      <c r="R94" s="23">
        <v>12</v>
      </c>
      <c r="S94" s="445">
        <v>10</v>
      </c>
      <c r="T94" s="445">
        <f t="shared" si="8"/>
        <v>90</v>
      </c>
      <c r="U94" s="447">
        <v>0.7</v>
      </c>
      <c r="V94" s="448">
        <v>2.04</v>
      </c>
      <c r="W94" s="449">
        <v>3.3000000000000003</v>
      </c>
      <c r="X94" s="448">
        <v>2.52</v>
      </c>
      <c r="Y94" s="448">
        <v>4.76</v>
      </c>
      <c r="Z94" s="448">
        <v>1.6</v>
      </c>
      <c r="AA94" s="448">
        <v>1.8720000000000003</v>
      </c>
      <c r="AB94" s="448">
        <v>0.27999999999999997</v>
      </c>
      <c r="AC94" s="445">
        <v>460000</v>
      </c>
      <c r="AD94" s="450">
        <v>450</v>
      </c>
      <c r="AE94" s="445">
        <v>14400</v>
      </c>
      <c r="AF94" s="445">
        <v>500</v>
      </c>
      <c r="AG94" s="447">
        <v>1.17</v>
      </c>
      <c r="AH94" s="445">
        <v>3</v>
      </c>
      <c r="AI94" s="445">
        <v>4</v>
      </c>
      <c r="AJ94" s="445">
        <v>2</v>
      </c>
      <c r="AK94" s="445">
        <v>3</v>
      </c>
      <c r="AL94" s="2" t="s">
        <v>2251</v>
      </c>
      <c r="AM94" s="2" t="s">
        <v>2253</v>
      </c>
      <c r="AN94" s="2" t="s">
        <v>2365</v>
      </c>
      <c r="AO94" s="445">
        <v>10</v>
      </c>
      <c r="AP94" s="445">
        <v>20</v>
      </c>
      <c r="AQ94" s="445">
        <v>4</v>
      </c>
      <c r="AR94" s="445">
        <v>7</v>
      </c>
      <c r="AS94" s="445">
        <v>3</v>
      </c>
      <c r="AT94" s="445">
        <v>4</v>
      </c>
      <c r="AU94" s="445">
        <v>20</v>
      </c>
      <c r="AV94" s="445" t="str">
        <f t="shared" ref="AV94:AV157" si="9">CONCATENATE($BA$1&amp;":"&amp;BA94&amp;":"&amp;$BB$1&amp;":"&amp;BB94)</f>
        <v>Vàng:8900:MG01:3</v>
      </c>
      <c r="AW94" s="440">
        <v>150</v>
      </c>
      <c r="AX94" s="445">
        <v>9</v>
      </c>
      <c r="AY94" s="445">
        <v>4</v>
      </c>
      <c r="AZ94" s="450">
        <v>88</v>
      </c>
      <c r="BA94" s="31">
        <v>8900</v>
      </c>
      <c r="BB94" s="31">
        <v>3</v>
      </c>
      <c r="BC94" s="31">
        <f t="shared" si="7"/>
        <v>44500</v>
      </c>
    </row>
    <row r="95" spans="1:55" x14ac:dyDescent="0.25">
      <c r="A95" s="28" t="s">
        <v>2199</v>
      </c>
      <c r="B95" s="29">
        <v>93</v>
      </c>
      <c r="C95" s="13">
        <v>6</v>
      </c>
      <c r="D95" s="4">
        <v>18</v>
      </c>
      <c r="E95" s="445">
        <v>3000</v>
      </c>
      <c r="F95" s="445">
        <v>6</v>
      </c>
      <c r="G95" s="13">
        <v>12</v>
      </c>
      <c r="H95" s="13">
        <v>12</v>
      </c>
      <c r="I95" s="455" t="s">
        <v>2218</v>
      </c>
      <c r="J95" s="451">
        <v>1</v>
      </c>
      <c r="K95" s="445">
        <v>50</v>
      </c>
      <c r="L95" s="445">
        <v>50</v>
      </c>
      <c r="M95" s="445">
        <v>4</v>
      </c>
      <c r="N95" s="13">
        <v>35</v>
      </c>
      <c r="O95" s="446">
        <v>10</v>
      </c>
      <c r="P95" s="445">
        <v>90</v>
      </c>
      <c r="Q95" s="321">
        <v>6</v>
      </c>
      <c r="R95" s="23">
        <v>12</v>
      </c>
      <c r="S95" s="445">
        <v>10</v>
      </c>
      <c r="T95" s="445">
        <f t="shared" si="8"/>
        <v>90</v>
      </c>
      <c r="U95" s="447">
        <v>0.7</v>
      </c>
      <c r="V95" s="448">
        <v>2.04</v>
      </c>
      <c r="W95" s="449">
        <v>3.3000000000000003</v>
      </c>
      <c r="X95" s="448">
        <v>2.52</v>
      </c>
      <c r="Y95" s="448">
        <v>4.76</v>
      </c>
      <c r="Z95" s="448">
        <v>1.6</v>
      </c>
      <c r="AA95" s="457">
        <v>1.768</v>
      </c>
      <c r="AB95" s="448">
        <v>0.27999999999999997</v>
      </c>
      <c r="AC95" s="445">
        <v>465000</v>
      </c>
      <c r="AD95" s="450">
        <v>450</v>
      </c>
      <c r="AE95" s="445">
        <v>14400</v>
      </c>
      <c r="AF95" s="445">
        <v>500</v>
      </c>
      <c r="AG95" s="447">
        <v>1.17</v>
      </c>
      <c r="AH95" s="445">
        <v>3</v>
      </c>
      <c r="AI95" s="445">
        <v>4</v>
      </c>
      <c r="AJ95" s="445">
        <v>2</v>
      </c>
      <c r="AK95" s="445">
        <v>3</v>
      </c>
      <c r="AL95" s="2" t="s">
        <v>2251</v>
      </c>
      <c r="AM95" s="2" t="s">
        <v>2253</v>
      </c>
      <c r="AN95" s="2" t="s">
        <v>2365</v>
      </c>
      <c r="AO95" s="445">
        <v>10</v>
      </c>
      <c r="AP95" s="445">
        <v>20</v>
      </c>
      <c r="AQ95" s="445">
        <v>4</v>
      </c>
      <c r="AR95" s="445">
        <v>7</v>
      </c>
      <c r="AS95" s="445">
        <v>3</v>
      </c>
      <c r="AT95" s="445">
        <v>4</v>
      </c>
      <c r="AU95" s="445">
        <v>20</v>
      </c>
      <c r="AV95" s="445" t="str">
        <f t="shared" si="9"/>
        <v>Vàng:9000:MG01:3</v>
      </c>
      <c r="AW95" s="440">
        <v>150</v>
      </c>
      <c r="AX95" s="445">
        <v>9</v>
      </c>
      <c r="AY95" s="445">
        <v>4</v>
      </c>
      <c r="AZ95" s="450">
        <v>89</v>
      </c>
      <c r="BA95" s="31">
        <v>9000</v>
      </c>
      <c r="BB95" s="31">
        <v>3</v>
      </c>
      <c r="BC95" s="31">
        <f t="shared" si="7"/>
        <v>45000</v>
      </c>
    </row>
    <row r="96" spans="1:55" x14ac:dyDescent="0.25">
      <c r="A96" s="28" t="s">
        <v>2199</v>
      </c>
      <c r="B96" s="428">
        <v>94</v>
      </c>
      <c r="C96" s="13">
        <v>6</v>
      </c>
      <c r="D96" s="4">
        <v>18</v>
      </c>
      <c r="E96" s="445">
        <v>3000</v>
      </c>
      <c r="F96" s="445">
        <v>6</v>
      </c>
      <c r="G96" s="13">
        <v>12</v>
      </c>
      <c r="H96" s="13">
        <v>12</v>
      </c>
      <c r="I96" s="455" t="s">
        <v>2218</v>
      </c>
      <c r="J96" s="451">
        <v>1</v>
      </c>
      <c r="K96" s="445">
        <v>50</v>
      </c>
      <c r="L96" s="445">
        <v>50</v>
      </c>
      <c r="M96" s="445">
        <v>4</v>
      </c>
      <c r="N96" s="13">
        <v>35</v>
      </c>
      <c r="O96" s="446">
        <v>10</v>
      </c>
      <c r="P96" s="445">
        <v>90</v>
      </c>
      <c r="Q96" s="321">
        <v>6</v>
      </c>
      <c r="R96" s="23">
        <v>12</v>
      </c>
      <c r="S96" s="445">
        <v>10</v>
      </c>
      <c r="T96" s="445">
        <f t="shared" si="8"/>
        <v>90</v>
      </c>
      <c r="U96" s="447">
        <v>0.7</v>
      </c>
      <c r="V96" s="448">
        <v>2.04</v>
      </c>
      <c r="W96" s="449">
        <v>3.3000000000000003</v>
      </c>
      <c r="X96" s="448">
        <v>2.52</v>
      </c>
      <c r="Y96" s="448">
        <v>4.76</v>
      </c>
      <c r="Z96" s="448">
        <v>1.6</v>
      </c>
      <c r="AA96" s="448">
        <v>1.768</v>
      </c>
      <c r="AB96" s="448">
        <v>0.27999999999999997</v>
      </c>
      <c r="AC96" s="445">
        <v>470000</v>
      </c>
      <c r="AD96" s="450">
        <v>450</v>
      </c>
      <c r="AE96" s="445">
        <v>14400</v>
      </c>
      <c r="AF96" s="445">
        <v>500</v>
      </c>
      <c r="AG96" s="447">
        <v>1.17</v>
      </c>
      <c r="AH96" s="445">
        <v>3</v>
      </c>
      <c r="AI96" s="445">
        <v>4</v>
      </c>
      <c r="AJ96" s="445">
        <v>2</v>
      </c>
      <c r="AK96" s="445">
        <v>3</v>
      </c>
      <c r="AL96" s="2" t="s">
        <v>2251</v>
      </c>
      <c r="AM96" s="2" t="s">
        <v>2253</v>
      </c>
      <c r="AN96" s="2" t="s">
        <v>2365</v>
      </c>
      <c r="AO96" s="445">
        <v>10</v>
      </c>
      <c r="AP96" s="445">
        <v>20</v>
      </c>
      <c r="AQ96" s="445">
        <v>4</v>
      </c>
      <c r="AR96" s="445">
        <v>7</v>
      </c>
      <c r="AS96" s="445">
        <v>3</v>
      </c>
      <c r="AT96" s="445">
        <v>4</v>
      </c>
      <c r="AU96" s="445">
        <v>20</v>
      </c>
      <c r="AV96" s="445" t="str">
        <f t="shared" si="9"/>
        <v>Vàng:9100:MG01:3</v>
      </c>
      <c r="AW96" s="440">
        <v>150</v>
      </c>
      <c r="AX96" s="445">
        <v>10</v>
      </c>
      <c r="AY96" s="445">
        <v>4</v>
      </c>
      <c r="AZ96" s="450">
        <v>90</v>
      </c>
      <c r="BA96" s="31">
        <v>9100</v>
      </c>
      <c r="BB96" s="31">
        <v>3</v>
      </c>
      <c r="BC96" s="31">
        <f t="shared" si="7"/>
        <v>45500</v>
      </c>
    </row>
    <row r="97" spans="1:55" x14ac:dyDescent="0.25">
      <c r="A97" s="28" t="s">
        <v>2199</v>
      </c>
      <c r="B97" s="29">
        <v>95</v>
      </c>
      <c r="C97" s="13">
        <v>6</v>
      </c>
      <c r="D97" s="4">
        <v>18</v>
      </c>
      <c r="E97" s="445">
        <v>3000</v>
      </c>
      <c r="F97" s="445">
        <v>6</v>
      </c>
      <c r="G97" s="13">
        <v>12</v>
      </c>
      <c r="H97" s="13">
        <v>12</v>
      </c>
      <c r="I97" s="455" t="s">
        <v>2218</v>
      </c>
      <c r="J97" s="451">
        <v>1</v>
      </c>
      <c r="K97" s="445">
        <v>50</v>
      </c>
      <c r="L97" s="445">
        <v>50</v>
      </c>
      <c r="M97" s="445">
        <v>4</v>
      </c>
      <c r="N97" s="13">
        <v>40</v>
      </c>
      <c r="O97" s="446">
        <v>10</v>
      </c>
      <c r="P97" s="445">
        <v>90</v>
      </c>
      <c r="Q97" s="321">
        <v>6</v>
      </c>
      <c r="R97" s="23">
        <v>12</v>
      </c>
      <c r="S97" s="445">
        <v>10</v>
      </c>
      <c r="T97" s="445">
        <f t="shared" si="8"/>
        <v>90</v>
      </c>
      <c r="U97" s="447">
        <v>0.7</v>
      </c>
      <c r="V97" s="448">
        <v>2.04</v>
      </c>
      <c r="W97" s="449">
        <v>3.3000000000000003</v>
      </c>
      <c r="X97" s="448">
        <v>2.52</v>
      </c>
      <c r="Y97" s="448">
        <v>4.76</v>
      </c>
      <c r="Z97" s="448">
        <v>1.6</v>
      </c>
      <c r="AA97" s="448">
        <v>1.768</v>
      </c>
      <c r="AB97" s="448">
        <v>0.27999999999999997</v>
      </c>
      <c r="AC97" s="445">
        <v>475000</v>
      </c>
      <c r="AD97" s="450">
        <v>450</v>
      </c>
      <c r="AE97" s="445">
        <v>14400</v>
      </c>
      <c r="AF97" s="445">
        <v>500</v>
      </c>
      <c r="AG97" s="447">
        <v>1.17</v>
      </c>
      <c r="AH97" s="445">
        <v>3</v>
      </c>
      <c r="AI97" s="445">
        <v>4</v>
      </c>
      <c r="AJ97" s="445">
        <v>2</v>
      </c>
      <c r="AK97" s="445">
        <v>3</v>
      </c>
      <c r="AL97" s="2" t="s">
        <v>2254</v>
      </c>
      <c r="AM97" s="2" t="s">
        <v>2253</v>
      </c>
      <c r="AN97" s="2" t="s">
        <v>2366</v>
      </c>
      <c r="AO97" s="445">
        <v>10</v>
      </c>
      <c r="AP97" s="445">
        <v>20</v>
      </c>
      <c r="AQ97" s="445">
        <v>4</v>
      </c>
      <c r="AR97" s="445">
        <v>7</v>
      </c>
      <c r="AS97" s="445">
        <v>3</v>
      </c>
      <c r="AT97" s="445">
        <v>4</v>
      </c>
      <c r="AU97" s="445">
        <v>20</v>
      </c>
      <c r="AV97" s="445" t="str">
        <f t="shared" si="9"/>
        <v>Vàng:9200:MG01:3</v>
      </c>
      <c r="AW97" s="440">
        <v>150</v>
      </c>
      <c r="AX97" s="445">
        <v>10</v>
      </c>
      <c r="AY97" s="445">
        <v>4</v>
      </c>
      <c r="AZ97" s="450">
        <v>91</v>
      </c>
      <c r="BA97" s="31">
        <v>9200</v>
      </c>
      <c r="BB97" s="31">
        <v>3</v>
      </c>
      <c r="BC97" s="31">
        <f t="shared" si="7"/>
        <v>46000</v>
      </c>
    </row>
    <row r="98" spans="1:55" x14ac:dyDescent="0.25">
      <c r="A98" s="28" t="s">
        <v>2199</v>
      </c>
      <c r="B98" s="428">
        <v>96</v>
      </c>
      <c r="C98" s="13">
        <v>6</v>
      </c>
      <c r="D98" s="4">
        <v>18</v>
      </c>
      <c r="E98" s="445">
        <v>3000</v>
      </c>
      <c r="F98" s="445">
        <v>6</v>
      </c>
      <c r="G98" s="13">
        <v>12</v>
      </c>
      <c r="H98" s="13">
        <v>12</v>
      </c>
      <c r="I98" s="455" t="s">
        <v>2218</v>
      </c>
      <c r="J98" s="451">
        <v>1</v>
      </c>
      <c r="K98" s="445">
        <v>50</v>
      </c>
      <c r="L98" s="445">
        <v>50</v>
      </c>
      <c r="M98" s="445">
        <v>4</v>
      </c>
      <c r="N98" s="13">
        <v>40</v>
      </c>
      <c r="O98" s="446">
        <v>10</v>
      </c>
      <c r="P98" s="445">
        <v>90</v>
      </c>
      <c r="Q98" s="321">
        <v>6</v>
      </c>
      <c r="R98" s="23">
        <v>12</v>
      </c>
      <c r="S98" s="445">
        <v>10</v>
      </c>
      <c r="T98" s="445">
        <f t="shared" si="8"/>
        <v>90</v>
      </c>
      <c r="U98" s="447">
        <v>0.7</v>
      </c>
      <c r="V98" s="448">
        <v>2.04</v>
      </c>
      <c r="W98" s="449">
        <v>3.3000000000000003</v>
      </c>
      <c r="X98" s="448">
        <v>2.52</v>
      </c>
      <c r="Y98" s="448">
        <v>4.76</v>
      </c>
      <c r="Z98" s="448">
        <v>1.6</v>
      </c>
      <c r="AA98" s="457">
        <v>1.6640000000000001</v>
      </c>
      <c r="AB98" s="448">
        <v>0.27999999999999997</v>
      </c>
      <c r="AC98" s="445">
        <v>480000</v>
      </c>
      <c r="AD98" s="450">
        <v>450</v>
      </c>
      <c r="AE98" s="445">
        <v>14400</v>
      </c>
      <c r="AF98" s="445">
        <v>500</v>
      </c>
      <c r="AG98" s="447">
        <v>1.17</v>
      </c>
      <c r="AH98" s="445">
        <v>3</v>
      </c>
      <c r="AI98" s="445">
        <v>4</v>
      </c>
      <c r="AJ98" s="445">
        <v>2</v>
      </c>
      <c r="AK98" s="445">
        <v>3</v>
      </c>
      <c r="AL98" s="2" t="s">
        <v>2254</v>
      </c>
      <c r="AM98" s="2" t="s">
        <v>2255</v>
      </c>
      <c r="AN98" s="2" t="s">
        <v>2367</v>
      </c>
      <c r="AO98" s="445">
        <v>10</v>
      </c>
      <c r="AP98" s="445">
        <v>20</v>
      </c>
      <c r="AQ98" s="445">
        <v>4</v>
      </c>
      <c r="AR98" s="445">
        <v>7</v>
      </c>
      <c r="AS98" s="445">
        <v>3</v>
      </c>
      <c r="AT98" s="445">
        <v>4</v>
      </c>
      <c r="AU98" s="445">
        <v>20</v>
      </c>
      <c r="AV98" s="445" t="str">
        <f t="shared" si="9"/>
        <v>Vàng:9300:MG01:3</v>
      </c>
      <c r="AW98" s="440">
        <v>150</v>
      </c>
      <c r="AX98" s="445">
        <v>10</v>
      </c>
      <c r="AY98" s="445">
        <v>4</v>
      </c>
      <c r="AZ98" s="450">
        <v>92</v>
      </c>
      <c r="BA98" s="31">
        <v>9300</v>
      </c>
      <c r="BB98" s="31">
        <v>3</v>
      </c>
      <c r="BC98" s="31">
        <f t="shared" si="7"/>
        <v>46500</v>
      </c>
    </row>
    <row r="99" spans="1:55" x14ac:dyDescent="0.25">
      <c r="A99" s="28" t="s">
        <v>2199</v>
      </c>
      <c r="B99" s="29">
        <v>97</v>
      </c>
      <c r="C99" s="13">
        <v>6</v>
      </c>
      <c r="D99" s="4">
        <v>18</v>
      </c>
      <c r="E99" s="445">
        <v>3000</v>
      </c>
      <c r="F99" s="445">
        <v>6</v>
      </c>
      <c r="G99" s="13">
        <v>12</v>
      </c>
      <c r="H99" s="13">
        <v>12</v>
      </c>
      <c r="I99" s="455" t="s">
        <v>2218</v>
      </c>
      <c r="J99" s="451">
        <v>1</v>
      </c>
      <c r="K99" s="445">
        <v>50</v>
      </c>
      <c r="L99" s="445">
        <v>50</v>
      </c>
      <c r="M99" s="445">
        <v>4</v>
      </c>
      <c r="N99" s="13">
        <v>40</v>
      </c>
      <c r="O99" s="446">
        <v>10</v>
      </c>
      <c r="P99" s="445">
        <v>90</v>
      </c>
      <c r="Q99" s="321">
        <v>6</v>
      </c>
      <c r="R99" s="23">
        <v>12</v>
      </c>
      <c r="S99" s="445">
        <v>10</v>
      </c>
      <c r="T99" s="445">
        <f t="shared" si="8"/>
        <v>90</v>
      </c>
      <c r="U99" s="447">
        <v>0.7</v>
      </c>
      <c r="V99" s="448">
        <v>2.04</v>
      </c>
      <c r="W99" s="449">
        <v>3.3000000000000003</v>
      </c>
      <c r="X99" s="448">
        <v>2.52</v>
      </c>
      <c r="Y99" s="448">
        <v>4.76</v>
      </c>
      <c r="Z99" s="448">
        <v>1.6</v>
      </c>
      <c r="AA99" s="448">
        <v>1.6640000000000001</v>
      </c>
      <c r="AB99" s="448">
        <v>0.27999999999999997</v>
      </c>
      <c r="AC99" s="445">
        <v>485000</v>
      </c>
      <c r="AD99" s="450">
        <v>450</v>
      </c>
      <c r="AE99" s="445">
        <v>14400</v>
      </c>
      <c r="AF99" s="445">
        <v>500</v>
      </c>
      <c r="AG99" s="447">
        <v>1.17</v>
      </c>
      <c r="AH99" s="445">
        <v>3</v>
      </c>
      <c r="AI99" s="445">
        <v>4</v>
      </c>
      <c r="AJ99" s="445">
        <v>2</v>
      </c>
      <c r="AK99" s="445">
        <v>3</v>
      </c>
      <c r="AL99" s="2" t="s">
        <v>2254</v>
      </c>
      <c r="AM99" s="2" t="s">
        <v>2256</v>
      </c>
      <c r="AN99" s="2" t="s">
        <v>2367</v>
      </c>
      <c r="AO99" s="445">
        <v>10</v>
      </c>
      <c r="AP99" s="445">
        <v>20</v>
      </c>
      <c r="AQ99" s="445">
        <v>4</v>
      </c>
      <c r="AR99" s="445">
        <v>7</v>
      </c>
      <c r="AS99" s="445">
        <v>3</v>
      </c>
      <c r="AT99" s="445">
        <v>4</v>
      </c>
      <c r="AU99" s="445">
        <v>20</v>
      </c>
      <c r="AV99" s="445" t="str">
        <f t="shared" si="9"/>
        <v>Vàng:9400:MG01:3</v>
      </c>
      <c r="AW99" s="440">
        <v>150</v>
      </c>
      <c r="AX99" s="445">
        <v>10</v>
      </c>
      <c r="AY99" s="445">
        <v>4</v>
      </c>
      <c r="AZ99" s="450">
        <v>93</v>
      </c>
      <c r="BA99" s="31">
        <v>9400</v>
      </c>
      <c r="BB99" s="31">
        <v>3</v>
      </c>
      <c r="BC99" s="31">
        <f t="shared" si="7"/>
        <v>47000</v>
      </c>
    </row>
    <row r="100" spans="1:55" x14ac:dyDescent="0.25">
      <c r="A100" s="28" t="s">
        <v>2199</v>
      </c>
      <c r="B100" s="428">
        <v>98</v>
      </c>
      <c r="C100" s="13">
        <v>6</v>
      </c>
      <c r="D100" s="4">
        <v>18</v>
      </c>
      <c r="E100" s="445">
        <v>3000</v>
      </c>
      <c r="F100" s="445">
        <v>6</v>
      </c>
      <c r="G100" s="13">
        <v>12</v>
      </c>
      <c r="H100" s="13">
        <v>12</v>
      </c>
      <c r="I100" s="455" t="s">
        <v>2218</v>
      </c>
      <c r="J100" s="451">
        <v>1</v>
      </c>
      <c r="K100" s="445">
        <v>50</v>
      </c>
      <c r="L100" s="445">
        <v>50</v>
      </c>
      <c r="M100" s="445">
        <v>4</v>
      </c>
      <c r="N100" s="13">
        <v>40</v>
      </c>
      <c r="O100" s="446">
        <v>10</v>
      </c>
      <c r="P100" s="445">
        <v>90</v>
      </c>
      <c r="Q100" s="321">
        <v>6</v>
      </c>
      <c r="R100" s="23">
        <v>12</v>
      </c>
      <c r="S100" s="445">
        <v>10</v>
      </c>
      <c r="T100" s="445">
        <f t="shared" si="8"/>
        <v>90</v>
      </c>
      <c r="U100" s="447">
        <v>0.7</v>
      </c>
      <c r="V100" s="448">
        <v>2.04</v>
      </c>
      <c r="W100" s="449">
        <v>3.3000000000000003</v>
      </c>
      <c r="X100" s="448">
        <v>2.52</v>
      </c>
      <c r="Y100" s="448">
        <v>4.76</v>
      </c>
      <c r="Z100" s="448">
        <v>1.6</v>
      </c>
      <c r="AA100" s="448">
        <v>1.6640000000000001</v>
      </c>
      <c r="AB100" s="448">
        <v>0.27999999999999997</v>
      </c>
      <c r="AC100" s="445">
        <v>490000</v>
      </c>
      <c r="AD100" s="450">
        <v>450</v>
      </c>
      <c r="AE100" s="445">
        <v>14400</v>
      </c>
      <c r="AF100" s="445">
        <v>500</v>
      </c>
      <c r="AG100" s="447">
        <v>1.17</v>
      </c>
      <c r="AH100" s="445">
        <v>3</v>
      </c>
      <c r="AI100" s="445">
        <v>4</v>
      </c>
      <c r="AJ100" s="445">
        <v>2</v>
      </c>
      <c r="AK100" s="445">
        <v>3</v>
      </c>
      <c r="AL100" s="2" t="s">
        <v>2254</v>
      </c>
      <c r="AM100" s="2" t="s">
        <v>2256</v>
      </c>
      <c r="AN100" s="2" t="s">
        <v>2367</v>
      </c>
      <c r="AO100" s="445">
        <v>10</v>
      </c>
      <c r="AP100" s="445">
        <v>20</v>
      </c>
      <c r="AQ100" s="445">
        <v>4</v>
      </c>
      <c r="AR100" s="445">
        <v>7</v>
      </c>
      <c r="AS100" s="445">
        <v>3</v>
      </c>
      <c r="AT100" s="445">
        <v>4</v>
      </c>
      <c r="AU100" s="445">
        <v>20</v>
      </c>
      <c r="AV100" s="445" t="str">
        <f t="shared" si="9"/>
        <v>Vàng:9500:MG01:3</v>
      </c>
      <c r="AW100" s="440">
        <v>150</v>
      </c>
      <c r="AX100" s="445">
        <v>10</v>
      </c>
      <c r="AY100" s="445">
        <v>4</v>
      </c>
      <c r="AZ100" s="450">
        <v>94</v>
      </c>
      <c r="BA100" s="31">
        <v>9500</v>
      </c>
      <c r="BB100" s="31">
        <v>3</v>
      </c>
      <c r="BC100" s="31">
        <f t="shared" si="7"/>
        <v>47500</v>
      </c>
    </row>
    <row r="101" spans="1:55" x14ac:dyDescent="0.25">
      <c r="A101" s="28" t="s">
        <v>2199</v>
      </c>
      <c r="B101" s="29">
        <v>99</v>
      </c>
      <c r="C101" s="13">
        <v>6</v>
      </c>
      <c r="D101" s="4">
        <v>18</v>
      </c>
      <c r="E101" s="445">
        <v>3000</v>
      </c>
      <c r="F101" s="445">
        <v>6</v>
      </c>
      <c r="G101" s="13">
        <v>12</v>
      </c>
      <c r="H101" s="13">
        <v>12</v>
      </c>
      <c r="I101" s="455" t="s">
        <v>2218</v>
      </c>
      <c r="J101" s="451">
        <v>1</v>
      </c>
      <c r="K101" s="445">
        <v>50</v>
      </c>
      <c r="L101" s="445">
        <v>50</v>
      </c>
      <c r="M101" s="445">
        <v>4</v>
      </c>
      <c r="N101" s="13">
        <v>40</v>
      </c>
      <c r="O101" s="446">
        <v>10</v>
      </c>
      <c r="P101" s="445">
        <v>90</v>
      </c>
      <c r="Q101" s="321">
        <v>6</v>
      </c>
      <c r="R101" s="23">
        <v>12</v>
      </c>
      <c r="S101" s="445">
        <v>10</v>
      </c>
      <c r="T101" s="445">
        <f t="shared" si="8"/>
        <v>90</v>
      </c>
      <c r="U101" s="447">
        <v>0.7</v>
      </c>
      <c r="V101" s="448">
        <v>2.04</v>
      </c>
      <c r="W101" s="449">
        <v>3.3000000000000003</v>
      </c>
      <c r="X101" s="448">
        <v>2.52</v>
      </c>
      <c r="Y101" s="448">
        <v>4.76</v>
      </c>
      <c r="Z101" s="448">
        <v>1.6</v>
      </c>
      <c r="AA101" s="448">
        <v>1.6640000000000001</v>
      </c>
      <c r="AB101" s="448">
        <v>0.27999999999999997</v>
      </c>
      <c r="AC101" s="445">
        <v>495000</v>
      </c>
      <c r="AD101" s="450">
        <v>450</v>
      </c>
      <c r="AE101" s="445">
        <v>14400</v>
      </c>
      <c r="AF101" s="445">
        <v>500</v>
      </c>
      <c r="AG101" s="447">
        <v>1.17</v>
      </c>
      <c r="AH101" s="445">
        <v>3</v>
      </c>
      <c r="AI101" s="445">
        <v>4</v>
      </c>
      <c r="AJ101" s="445">
        <v>2</v>
      </c>
      <c r="AK101" s="445">
        <v>3</v>
      </c>
      <c r="AL101" s="2" t="s">
        <v>2254</v>
      </c>
      <c r="AM101" s="2" t="s">
        <v>2256</v>
      </c>
      <c r="AN101" s="2" t="s">
        <v>2367</v>
      </c>
      <c r="AO101" s="445">
        <v>10</v>
      </c>
      <c r="AP101" s="445">
        <v>20</v>
      </c>
      <c r="AQ101" s="445">
        <v>4</v>
      </c>
      <c r="AR101" s="445">
        <v>7</v>
      </c>
      <c r="AS101" s="445">
        <v>3</v>
      </c>
      <c r="AT101" s="445">
        <v>4</v>
      </c>
      <c r="AU101" s="445">
        <v>20</v>
      </c>
      <c r="AV101" s="445" t="str">
        <f t="shared" si="9"/>
        <v>Vàng:9600:MG01:3</v>
      </c>
      <c r="AW101" s="440">
        <v>150</v>
      </c>
      <c r="AX101" s="445">
        <v>10</v>
      </c>
      <c r="AY101" s="445">
        <v>4</v>
      </c>
      <c r="AZ101" s="450">
        <v>95</v>
      </c>
      <c r="BA101" s="31">
        <v>9600</v>
      </c>
      <c r="BB101" s="31">
        <v>3</v>
      </c>
      <c r="BC101" s="31">
        <f t="shared" si="7"/>
        <v>48000</v>
      </c>
    </row>
    <row r="102" spans="1:55" x14ac:dyDescent="0.25">
      <c r="A102" s="28" t="s">
        <v>2199</v>
      </c>
      <c r="B102" s="428">
        <v>100</v>
      </c>
      <c r="C102" s="13">
        <v>6</v>
      </c>
      <c r="D102" s="4">
        <v>18</v>
      </c>
      <c r="E102" s="451">
        <v>3600</v>
      </c>
      <c r="F102" s="445">
        <v>6</v>
      </c>
      <c r="G102" s="13">
        <v>12</v>
      </c>
      <c r="H102" s="13">
        <v>12</v>
      </c>
      <c r="I102" s="455" t="s">
        <v>2218</v>
      </c>
      <c r="J102" s="451">
        <v>1</v>
      </c>
      <c r="K102" s="445">
        <v>50</v>
      </c>
      <c r="L102" s="445">
        <v>50</v>
      </c>
      <c r="M102" s="445">
        <v>4</v>
      </c>
      <c r="N102" s="13">
        <v>40</v>
      </c>
      <c r="O102" s="446">
        <v>10</v>
      </c>
      <c r="P102" s="445">
        <v>90</v>
      </c>
      <c r="Q102" s="321">
        <v>6</v>
      </c>
      <c r="R102" s="23">
        <v>12</v>
      </c>
      <c r="S102" s="445">
        <v>10</v>
      </c>
      <c r="T102" s="445">
        <f t="shared" si="8"/>
        <v>90</v>
      </c>
      <c r="U102" s="447">
        <v>0.7</v>
      </c>
      <c r="V102" s="448">
        <v>2.04</v>
      </c>
      <c r="W102" s="449">
        <v>3.3000000000000003</v>
      </c>
      <c r="X102" s="448">
        <v>2.52</v>
      </c>
      <c r="Y102" s="448">
        <v>4.76</v>
      </c>
      <c r="Z102" s="448">
        <v>1.6</v>
      </c>
      <c r="AA102" s="448">
        <v>1.6640000000000001</v>
      </c>
      <c r="AB102" s="448">
        <v>0.27999999999999997</v>
      </c>
      <c r="AC102" s="445">
        <v>500000</v>
      </c>
      <c r="AD102" s="450">
        <v>450</v>
      </c>
      <c r="AE102" s="445">
        <v>14400</v>
      </c>
      <c r="AF102" s="445">
        <v>500</v>
      </c>
      <c r="AG102" s="447">
        <v>1.17</v>
      </c>
      <c r="AH102" s="445">
        <v>3</v>
      </c>
      <c r="AI102" s="445">
        <v>4</v>
      </c>
      <c r="AJ102" s="445">
        <v>2</v>
      </c>
      <c r="AK102" s="445">
        <v>3</v>
      </c>
      <c r="AL102" s="2" t="s">
        <v>2254</v>
      </c>
      <c r="AM102" s="2" t="s">
        <v>2256</v>
      </c>
      <c r="AN102" s="2" t="s">
        <v>2367</v>
      </c>
      <c r="AO102" s="445">
        <v>10</v>
      </c>
      <c r="AP102" s="445">
        <v>20</v>
      </c>
      <c r="AQ102" s="445">
        <v>4</v>
      </c>
      <c r="AR102" s="445">
        <v>7</v>
      </c>
      <c r="AS102" s="445">
        <v>3</v>
      </c>
      <c r="AT102" s="445">
        <v>4</v>
      </c>
      <c r="AU102" s="445">
        <v>20</v>
      </c>
      <c r="AV102" s="445" t="str">
        <f t="shared" si="9"/>
        <v>Vàng:9700:MG01:3</v>
      </c>
      <c r="AW102" s="440">
        <v>150</v>
      </c>
      <c r="AX102" s="445">
        <v>10</v>
      </c>
      <c r="AY102" s="445">
        <v>4</v>
      </c>
      <c r="AZ102" s="450">
        <v>96</v>
      </c>
      <c r="BA102" s="31">
        <v>9700</v>
      </c>
      <c r="BB102" s="31">
        <v>3</v>
      </c>
      <c r="BC102" s="31">
        <f t="shared" si="7"/>
        <v>48500</v>
      </c>
    </row>
    <row r="103" spans="1:55" x14ac:dyDescent="0.25">
      <c r="A103" s="28" t="s">
        <v>2199</v>
      </c>
      <c r="B103" s="29">
        <v>101</v>
      </c>
      <c r="C103" s="13">
        <v>6</v>
      </c>
      <c r="D103" s="4">
        <v>18</v>
      </c>
      <c r="E103" s="451">
        <v>3600</v>
      </c>
      <c r="F103" s="445">
        <v>6</v>
      </c>
      <c r="G103" s="13">
        <v>12</v>
      </c>
      <c r="H103" s="13">
        <v>12</v>
      </c>
      <c r="I103" s="455" t="s">
        <v>2218</v>
      </c>
      <c r="J103" s="451">
        <v>1</v>
      </c>
      <c r="K103" s="445">
        <v>50</v>
      </c>
      <c r="L103" s="445">
        <v>50</v>
      </c>
      <c r="M103" s="445">
        <v>4</v>
      </c>
      <c r="N103" s="13">
        <v>40</v>
      </c>
      <c r="O103" s="446">
        <v>10</v>
      </c>
      <c r="P103" s="445">
        <v>90</v>
      </c>
      <c r="Q103" s="321">
        <v>6</v>
      </c>
      <c r="R103" s="23">
        <v>12</v>
      </c>
      <c r="S103" s="445">
        <v>10</v>
      </c>
      <c r="T103" s="445">
        <f t="shared" si="8"/>
        <v>90</v>
      </c>
      <c r="U103" s="447">
        <v>0.7</v>
      </c>
      <c r="V103" s="448">
        <v>2.04</v>
      </c>
      <c r="W103" s="449">
        <v>3.3000000000000003</v>
      </c>
      <c r="X103" s="448">
        <v>2.52</v>
      </c>
      <c r="Y103" s="448">
        <v>4.76</v>
      </c>
      <c r="Z103" s="448">
        <v>1.6</v>
      </c>
      <c r="AA103" s="448">
        <v>1.6640000000000001</v>
      </c>
      <c r="AB103" s="448">
        <v>0.27999999999999997</v>
      </c>
      <c r="AC103" s="445">
        <v>505000</v>
      </c>
      <c r="AD103" s="450">
        <v>450</v>
      </c>
      <c r="AE103" s="445">
        <v>14400</v>
      </c>
      <c r="AF103" s="445">
        <v>500</v>
      </c>
      <c r="AG103" s="447">
        <v>1.17</v>
      </c>
      <c r="AH103" s="445">
        <v>3</v>
      </c>
      <c r="AI103" s="445">
        <v>4</v>
      </c>
      <c r="AJ103" s="445">
        <v>2</v>
      </c>
      <c r="AK103" s="445">
        <v>3</v>
      </c>
      <c r="AL103" s="2" t="s">
        <v>2254</v>
      </c>
      <c r="AM103" s="2" t="s">
        <v>2257</v>
      </c>
      <c r="AN103" s="2" t="s">
        <v>2368</v>
      </c>
      <c r="AO103" s="445">
        <v>10</v>
      </c>
      <c r="AP103" s="445">
        <v>20</v>
      </c>
      <c r="AQ103" s="445">
        <v>4</v>
      </c>
      <c r="AR103" s="445">
        <v>8</v>
      </c>
      <c r="AS103" s="445">
        <v>3</v>
      </c>
      <c r="AT103" s="445">
        <v>4</v>
      </c>
      <c r="AU103" s="445">
        <v>25</v>
      </c>
      <c r="AV103" s="445" t="str">
        <f t="shared" si="9"/>
        <v>Vàng:9800:MG01:3</v>
      </c>
      <c r="AW103" s="440">
        <v>180</v>
      </c>
      <c r="AX103" s="445">
        <v>10</v>
      </c>
      <c r="AY103" s="445">
        <v>4</v>
      </c>
      <c r="AZ103" s="450">
        <v>97</v>
      </c>
      <c r="BA103" s="31">
        <v>9800</v>
      </c>
      <c r="BB103" s="31">
        <v>3</v>
      </c>
      <c r="BC103" s="31">
        <f t="shared" si="7"/>
        <v>49000</v>
      </c>
    </row>
    <row r="104" spans="1:55" x14ac:dyDescent="0.25">
      <c r="A104" s="28" t="s">
        <v>2199</v>
      </c>
      <c r="B104" s="428">
        <v>102</v>
      </c>
      <c r="C104" s="13">
        <v>6</v>
      </c>
      <c r="D104" s="4">
        <v>18</v>
      </c>
      <c r="E104" s="451">
        <v>3600</v>
      </c>
      <c r="F104" s="445">
        <v>6</v>
      </c>
      <c r="G104" s="13">
        <v>12</v>
      </c>
      <c r="H104" s="13">
        <v>14</v>
      </c>
      <c r="I104" s="455" t="s">
        <v>2218</v>
      </c>
      <c r="J104" s="451">
        <v>1</v>
      </c>
      <c r="K104" s="445">
        <v>50</v>
      </c>
      <c r="L104" s="445">
        <v>50</v>
      </c>
      <c r="M104" s="445">
        <v>4</v>
      </c>
      <c r="N104" s="13">
        <v>40</v>
      </c>
      <c r="O104" s="446">
        <v>10</v>
      </c>
      <c r="P104" s="445">
        <v>90</v>
      </c>
      <c r="Q104" s="321">
        <v>6</v>
      </c>
      <c r="R104" s="23">
        <v>12</v>
      </c>
      <c r="S104" s="445">
        <v>10</v>
      </c>
      <c r="T104" s="445">
        <f t="shared" si="8"/>
        <v>90</v>
      </c>
      <c r="U104" s="447">
        <v>0.7</v>
      </c>
      <c r="V104" s="448">
        <v>2.04</v>
      </c>
      <c r="W104" s="449">
        <v>3.3000000000000003</v>
      </c>
      <c r="X104" s="448">
        <v>2.52</v>
      </c>
      <c r="Y104" s="448">
        <v>4.76</v>
      </c>
      <c r="Z104" s="448">
        <v>1.6</v>
      </c>
      <c r="AA104" s="448">
        <v>1.6640000000000001</v>
      </c>
      <c r="AB104" s="448">
        <v>0.27999999999999997</v>
      </c>
      <c r="AC104" s="445">
        <v>510000</v>
      </c>
      <c r="AD104" s="450">
        <v>450</v>
      </c>
      <c r="AE104" s="445">
        <v>14400</v>
      </c>
      <c r="AF104" s="445">
        <v>500</v>
      </c>
      <c r="AG104" s="447">
        <v>1.17</v>
      </c>
      <c r="AH104" s="445">
        <v>3</v>
      </c>
      <c r="AI104" s="445">
        <v>4</v>
      </c>
      <c r="AJ104" s="445">
        <v>2</v>
      </c>
      <c r="AK104" s="445">
        <v>3</v>
      </c>
      <c r="AL104" s="2" t="s">
        <v>2254</v>
      </c>
      <c r="AM104" s="2" t="s">
        <v>2257</v>
      </c>
      <c r="AN104" s="2" t="s">
        <v>2368</v>
      </c>
      <c r="AO104" s="445">
        <v>10</v>
      </c>
      <c r="AP104" s="445">
        <v>20</v>
      </c>
      <c r="AQ104" s="445">
        <v>4</v>
      </c>
      <c r="AR104" s="445">
        <v>8</v>
      </c>
      <c r="AS104" s="445">
        <v>3</v>
      </c>
      <c r="AT104" s="445">
        <v>4</v>
      </c>
      <c r="AU104" s="445">
        <v>25</v>
      </c>
      <c r="AV104" s="445" t="str">
        <f t="shared" si="9"/>
        <v>Vàng:9900:MG01:3</v>
      </c>
      <c r="AW104" s="440">
        <v>180</v>
      </c>
      <c r="AX104" s="445">
        <v>10</v>
      </c>
      <c r="AY104" s="445">
        <v>4</v>
      </c>
      <c r="AZ104" s="450">
        <v>98</v>
      </c>
      <c r="BA104" s="31">
        <v>9900</v>
      </c>
      <c r="BB104" s="31">
        <v>3</v>
      </c>
      <c r="BC104" s="31">
        <f t="shared" si="7"/>
        <v>49500</v>
      </c>
    </row>
    <row r="105" spans="1:55" x14ac:dyDescent="0.25">
      <c r="A105" s="28" t="s">
        <v>2199</v>
      </c>
      <c r="B105" s="29">
        <v>103</v>
      </c>
      <c r="C105" s="13">
        <v>6</v>
      </c>
      <c r="D105" s="4">
        <v>18</v>
      </c>
      <c r="E105" s="451">
        <v>3600</v>
      </c>
      <c r="F105" s="445">
        <v>6</v>
      </c>
      <c r="G105" s="13">
        <v>12</v>
      </c>
      <c r="H105" s="13">
        <v>14</v>
      </c>
      <c r="I105" s="455" t="s">
        <v>2218</v>
      </c>
      <c r="J105" s="451">
        <v>1</v>
      </c>
      <c r="K105" s="445">
        <v>50</v>
      </c>
      <c r="L105" s="445">
        <v>50</v>
      </c>
      <c r="M105" s="445">
        <v>4</v>
      </c>
      <c r="N105" s="13">
        <v>40</v>
      </c>
      <c r="O105" s="446">
        <v>10</v>
      </c>
      <c r="P105" s="445">
        <v>90</v>
      </c>
      <c r="Q105" s="321">
        <v>6</v>
      </c>
      <c r="R105" s="23">
        <v>12</v>
      </c>
      <c r="S105" s="445">
        <v>10</v>
      </c>
      <c r="T105" s="445">
        <f t="shared" si="8"/>
        <v>90</v>
      </c>
      <c r="U105" s="447">
        <v>0.7</v>
      </c>
      <c r="V105" s="448">
        <v>2.04</v>
      </c>
      <c r="W105" s="449">
        <v>3.3000000000000003</v>
      </c>
      <c r="X105" s="448">
        <v>2.52</v>
      </c>
      <c r="Y105" s="448">
        <v>4.76</v>
      </c>
      <c r="Z105" s="448">
        <v>1.6</v>
      </c>
      <c r="AA105" s="448">
        <v>1.6640000000000001</v>
      </c>
      <c r="AB105" s="448">
        <v>0.27999999999999997</v>
      </c>
      <c r="AC105" s="445">
        <v>515000</v>
      </c>
      <c r="AD105" s="450">
        <v>450</v>
      </c>
      <c r="AE105" s="445">
        <v>14400</v>
      </c>
      <c r="AF105" s="445">
        <v>500</v>
      </c>
      <c r="AG105" s="447">
        <v>1.17</v>
      </c>
      <c r="AH105" s="445">
        <v>3</v>
      </c>
      <c r="AI105" s="445">
        <v>4</v>
      </c>
      <c r="AJ105" s="445">
        <v>2</v>
      </c>
      <c r="AK105" s="445">
        <v>3</v>
      </c>
      <c r="AL105" s="2" t="s">
        <v>2254</v>
      </c>
      <c r="AM105" s="2" t="s">
        <v>2257</v>
      </c>
      <c r="AN105" s="2" t="s">
        <v>2368</v>
      </c>
      <c r="AO105" s="445">
        <v>10</v>
      </c>
      <c r="AP105" s="445">
        <v>20</v>
      </c>
      <c r="AQ105" s="445">
        <v>4</v>
      </c>
      <c r="AR105" s="445">
        <v>8</v>
      </c>
      <c r="AS105" s="445">
        <v>3</v>
      </c>
      <c r="AT105" s="445">
        <v>4</v>
      </c>
      <c r="AU105" s="445">
        <v>25</v>
      </c>
      <c r="AV105" s="445" t="str">
        <f t="shared" si="9"/>
        <v>Vàng:10000:MG01:3</v>
      </c>
      <c r="AW105" s="440">
        <v>180</v>
      </c>
      <c r="AX105" s="445">
        <v>10</v>
      </c>
      <c r="AY105" s="445">
        <v>4</v>
      </c>
      <c r="AZ105" s="450">
        <v>99</v>
      </c>
      <c r="BA105" s="31">
        <v>10000</v>
      </c>
      <c r="BB105" s="31">
        <v>3</v>
      </c>
      <c r="BC105" s="31">
        <f t="shared" si="7"/>
        <v>50000</v>
      </c>
    </row>
    <row r="106" spans="1:55" x14ac:dyDescent="0.25">
      <c r="A106" s="28" t="s">
        <v>2199</v>
      </c>
      <c r="B106" s="428">
        <v>104</v>
      </c>
      <c r="C106" s="13">
        <v>6</v>
      </c>
      <c r="D106" s="4">
        <v>18</v>
      </c>
      <c r="E106" s="451">
        <v>3600</v>
      </c>
      <c r="F106" s="445">
        <v>6</v>
      </c>
      <c r="G106" s="13">
        <v>12</v>
      </c>
      <c r="H106" s="13">
        <v>14</v>
      </c>
      <c r="I106" s="455" t="s">
        <v>2218</v>
      </c>
      <c r="J106" s="451">
        <v>1</v>
      </c>
      <c r="K106" s="445">
        <v>50</v>
      </c>
      <c r="L106" s="445">
        <v>50</v>
      </c>
      <c r="M106" s="445">
        <v>4</v>
      </c>
      <c r="N106" s="13">
        <v>40</v>
      </c>
      <c r="O106" s="446">
        <v>10</v>
      </c>
      <c r="P106" s="445">
        <v>90</v>
      </c>
      <c r="Q106" s="321">
        <v>6</v>
      </c>
      <c r="R106" s="23">
        <v>12</v>
      </c>
      <c r="S106" s="445">
        <v>10</v>
      </c>
      <c r="T106" s="445">
        <f t="shared" si="8"/>
        <v>90</v>
      </c>
      <c r="U106" s="447">
        <v>0.7</v>
      </c>
      <c r="V106" s="448">
        <v>2.04</v>
      </c>
      <c r="W106" s="449">
        <v>3.3000000000000003</v>
      </c>
      <c r="X106" s="448">
        <v>2.52</v>
      </c>
      <c r="Y106" s="448">
        <v>4.76</v>
      </c>
      <c r="Z106" s="448">
        <v>1.6</v>
      </c>
      <c r="AA106" s="448">
        <v>1.6640000000000001</v>
      </c>
      <c r="AB106" s="448">
        <v>0.27999999999999997</v>
      </c>
      <c r="AC106" s="445">
        <v>520000</v>
      </c>
      <c r="AD106" s="450">
        <v>450</v>
      </c>
      <c r="AE106" s="445">
        <v>14400</v>
      </c>
      <c r="AF106" s="445">
        <v>500</v>
      </c>
      <c r="AG106" s="447">
        <v>1.17</v>
      </c>
      <c r="AH106" s="445">
        <v>3</v>
      </c>
      <c r="AI106" s="445">
        <v>4</v>
      </c>
      <c r="AJ106" s="445">
        <v>2</v>
      </c>
      <c r="AK106" s="445">
        <v>3</v>
      </c>
      <c r="AL106" s="2" t="s">
        <v>2254</v>
      </c>
      <c r="AM106" s="2" t="s">
        <v>2257</v>
      </c>
      <c r="AN106" s="2" t="s">
        <v>2368</v>
      </c>
      <c r="AO106" s="445">
        <v>10</v>
      </c>
      <c r="AP106" s="445">
        <v>20</v>
      </c>
      <c r="AQ106" s="445">
        <v>4</v>
      </c>
      <c r="AR106" s="445">
        <v>8</v>
      </c>
      <c r="AS106" s="445">
        <v>3</v>
      </c>
      <c r="AT106" s="445">
        <v>4</v>
      </c>
      <c r="AU106" s="445">
        <v>25</v>
      </c>
      <c r="AV106" s="445" t="str">
        <f t="shared" si="9"/>
        <v>Vàng:10100:MG01:3</v>
      </c>
      <c r="AW106" s="440">
        <v>180</v>
      </c>
      <c r="AX106" s="445">
        <v>11</v>
      </c>
      <c r="AY106" s="445">
        <v>4</v>
      </c>
      <c r="AZ106" s="450">
        <v>100</v>
      </c>
      <c r="BA106" s="31">
        <v>10100</v>
      </c>
      <c r="BB106" s="31">
        <v>3</v>
      </c>
      <c r="BC106" s="31">
        <f t="shared" si="7"/>
        <v>50500</v>
      </c>
    </row>
    <row r="107" spans="1:55" x14ac:dyDescent="0.25">
      <c r="A107" s="28" t="s">
        <v>2199</v>
      </c>
      <c r="B107" s="29">
        <v>105</v>
      </c>
      <c r="C107" s="13">
        <v>6</v>
      </c>
      <c r="D107" s="4">
        <v>18</v>
      </c>
      <c r="E107" s="451">
        <v>3600</v>
      </c>
      <c r="F107" s="445">
        <v>6</v>
      </c>
      <c r="G107" s="13">
        <v>12</v>
      </c>
      <c r="H107" s="13">
        <v>14</v>
      </c>
      <c r="I107" s="455" t="s">
        <v>2218</v>
      </c>
      <c r="J107" s="451">
        <v>1</v>
      </c>
      <c r="K107" s="445">
        <v>50</v>
      </c>
      <c r="L107" s="445">
        <v>50</v>
      </c>
      <c r="M107" s="445">
        <v>4</v>
      </c>
      <c r="N107" s="13">
        <v>40</v>
      </c>
      <c r="O107" s="446">
        <v>10</v>
      </c>
      <c r="P107" s="445">
        <v>90</v>
      </c>
      <c r="Q107" s="321">
        <v>6</v>
      </c>
      <c r="R107" s="23">
        <v>12</v>
      </c>
      <c r="S107" s="445">
        <v>10</v>
      </c>
      <c r="T107" s="445">
        <f t="shared" si="8"/>
        <v>90</v>
      </c>
      <c r="U107" s="447">
        <v>0.7</v>
      </c>
      <c r="V107" s="448">
        <v>2.04</v>
      </c>
      <c r="W107" s="449">
        <v>3.3000000000000003</v>
      </c>
      <c r="X107" s="448">
        <v>2.52</v>
      </c>
      <c r="Y107" s="448">
        <v>4.76</v>
      </c>
      <c r="Z107" s="448">
        <v>1.6</v>
      </c>
      <c r="AA107" s="448">
        <v>1.6640000000000001</v>
      </c>
      <c r="AB107" s="448">
        <v>0.27999999999999997</v>
      </c>
      <c r="AC107" s="445">
        <v>525000</v>
      </c>
      <c r="AD107" s="450">
        <v>450</v>
      </c>
      <c r="AE107" s="445">
        <v>14400</v>
      </c>
      <c r="AF107" s="445">
        <v>500</v>
      </c>
      <c r="AG107" s="447">
        <v>1.17</v>
      </c>
      <c r="AH107" s="445">
        <v>3</v>
      </c>
      <c r="AI107" s="445">
        <v>4</v>
      </c>
      <c r="AJ107" s="445">
        <v>2</v>
      </c>
      <c r="AK107" s="445">
        <v>3</v>
      </c>
      <c r="AL107" s="2" t="s">
        <v>2254</v>
      </c>
      <c r="AM107" s="2" t="s">
        <v>2257</v>
      </c>
      <c r="AN107" s="2" t="s">
        <v>2369</v>
      </c>
      <c r="AO107" s="445">
        <v>10</v>
      </c>
      <c r="AP107" s="445">
        <v>20</v>
      </c>
      <c r="AQ107" s="445">
        <v>4</v>
      </c>
      <c r="AR107" s="445">
        <v>8</v>
      </c>
      <c r="AS107" s="445">
        <v>3</v>
      </c>
      <c r="AT107" s="445">
        <v>4</v>
      </c>
      <c r="AU107" s="445">
        <v>25</v>
      </c>
      <c r="AV107" s="445" t="str">
        <f t="shared" si="9"/>
        <v>Vàng:10200:MG01:3</v>
      </c>
      <c r="AW107" s="440">
        <v>180</v>
      </c>
      <c r="AX107" s="445">
        <v>11</v>
      </c>
      <c r="AY107" s="445">
        <v>4</v>
      </c>
      <c r="AZ107" s="450">
        <v>101</v>
      </c>
      <c r="BA107" s="31">
        <v>10200</v>
      </c>
      <c r="BB107" s="31">
        <v>3</v>
      </c>
      <c r="BC107" s="31">
        <f t="shared" si="7"/>
        <v>51000</v>
      </c>
    </row>
    <row r="108" spans="1:55" x14ac:dyDescent="0.25">
      <c r="A108" s="28" t="s">
        <v>2199</v>
      </c>
      <c r="B108" s="428">
        <v>106</v>
      </c>
      <c r="C108" s="13">
        <v>6</v>
      </c>
      <c r="D108" s="4">
        <v>18</v>
      </c>
      <c r="E108" s="451">
        <v>3600</v>
      </c>
      <c r="F108" s="445">
        <v>6</v>
      </c>
      <c r="G108" s="13">
        <v>12</v>
      </c>
      <c r="H108" s="13">
        <v>14</v>
      </c>
      <c r="I108" s="455" t="s">
        <v>2218</v>
      </c>
      <c r="J108" s="451">
        <v>1</v>
      </c>
      <c r="K108" s="445">
        <v>50</v>
      </c>
      <c r="L108" s="445">
        <v>50</v>
      </c>
      <c r="M108" s="445">
        <v>4</v>
      </c>
      <c r="N108" s="13">
        <v>40</v>
      </c>
      <c r="O108" s="446">
        <v>10</v>
      </c>
      <c r="P108" s="445">
        <v>90</v>
      </c>
      <c r="Q108" s="321">
        <v>6</v>
      </c>
      <c r="R108" s="23">
        <v>12</v>
      </c>
      <c r="S108" s="445">
        <v>10</v>
      </c>
      <c r="T108" s="445">
        <f t="shared" si="8"/>
        <v>90</v>
      </c>
      <c r="U108" s="447">
        <v>0.7</v>
      </c>
      <c r="V108" s="448">
        <v>2.04</v>
      </c>
      <c r="W108" s="449">
        <v>3.3000000000000003</v>
      </c>
      <c r="X108" s="448">
        <v>2.52</v>
      </c>
      <c r="Y108" s="448">
        <v>4.76</v>
      </c>
      <c r="Z108" s="448">
        <v>1.6</v>
      </c>
      <c r="AA108" s="448">
        <v>1.6640000000000001</v>
      </c>
      <c r="AB108" s="448">
        <v>0.27999999999999997</v>
      </c>
      <c r="AC108" s="445">
        <v>530000</v>
      </c>
      <c r="AD108" s="450">
        <v>450</v>
      </c>
      <c r="AE108" s="445">
        <v>14400</v>
      </c>
      <c r="AF108" s="445">
        <v>500</v>
      </c>
      <c r="AG108" s="447">
        <v>1.17</v>
      </c>
      <c r="AH108" s="445">
        <v>3</v>
      </c>
      <c r="AI108" s="445">
        <v>4</v>
      </c>
      <c r="AJ108" s="445">
        <v>2</v>
      </c>
      <c r="AK108" s="445">
        <v>3</v>
      </c>
      <c r="AL108" s="2" t="s">
        <v>2258</v>
      </c>
      <c r="AM108" s="2" t="s">
        <v>2259</v>
      </c>
      <c r="AN108" s="2" t="s">
        <v>2370</v>
      </c>
      <c r="AO108" s="445">
        <v>10</v>
      </c>
      <c r="AP108" s="445">
        <v>20</v>
      </c>
      <c r="AQ108" s="445">
        <v>4</v>
      </c>
      <c r="AR108" s="445">
        <v>8</v>
      </c>
      <c r="AS108" s="445">
        <v>3</v>
      </c>
      <c r="AT108" s="445">
        <v>4</v>
      </c>
      <c r="AU108" s="445">
        <v>25</v>
      </c>
      <c r="AV108" s="445" t="str">
        <f t="shared" si="9"/>
        <v>Vàng:10300:MG01:3</v>
      </c>
      <c r="AW108" s="440">
        <v>180</v>
      </c>
      <c r="AX108" s="445">
        <v>11</v>
      </c>
      <c r="AY108" s="445">
        <v>4</v>
      </c>
      <c r="AZ108" s="450">
        <v>102</v>
      </c>
      <c r="BA108" s="31">
        <v>10300</v>
      </c>
      <c r="BB108" s="31">
        <v>3</v>
      </c>
      <c r="BC108" s="31">
        <f t="shared" si="7"/>
        <v>51500</v>
      </c>
    </row>
    <row r="109" spans="1:55" x14ac:dyDescent="0.25">
      <c r="A109" s="28" t="s">
        <v>2199</v>
      </c>
      <c r="B109" s="29">
        <v>107</v>
      </c>
      <c r="C109" s="13">
        <v>6</v>
      </c>
      <c r="D109" s="4">
        <v>18</v>
      </c>
      <c r="E109" s="451">
        <v>3600</v>
      </c>
      <c r="F109" s="445">
        <v>6</v>
      </c>
      <c r="G109" s="13">
        <v>12</v>
      </c>
      <c r="H109" s="13">
        <v>14</v>
      </c>
      <c r="I109" s="455" t="s">
        <v>2218</v>
      </c>
      <c r="J109" s="451">
        <v>1</v>
      </c>
      <c r="K109" s="445">
        <v>50</v>
      </c>
      <c r="L109" s="445">
        <v>50</v>
      </c>
      <c r="M109" s="445">
        <v>4</v>
      </c>
      <c r="N109" s="13">
        <v>40</v>
      </c>
      <c r="O109" s="446">
        <v>10</v>
      </c>
      <c r="P109" s="445">
        <v>90</v>
      </c>
      <c r="Q109" s="321">
        <v>6</v>
      </c>
      <c r="R109" s="23">
        <v>12</v>
      </c>
      <c r="S109" s="445">
        <v>10</v>
      </c>
      <c r="T109" s="445">
        <f t="shared" si="8"/>
        <v>90</v>
      </c>
      <c r="U109" s="447">
        <v>0.7</v>
      </c>
      <c r="V109" s="448">
        <v>2.04</v>
      </c>
      <c r="W109" s="449">
        <v>3.3000000000000003</v>
      </c>
      <c r="X109" s="448">
        <v>2.52</v>
      </c>
      <c r="Y109" s="448">
        <v>4.76</v>
      </c>
      <c r="Z109" s="448">
        <v>1.6</v>
      </c>
      <c r="AA109" s="457">
        <v>1.56</v>
      </c>
      <c r="AB109" s="448">
        <v>0.27999999999999997</v>
      </c>
      <c r="AC109" s="445">
        <v>535000</v>
      </c>
      <c r="AD109" s="450">
        <v>450</v>
      </c>
      <c r="AE109" s="445">
        <v>14400</v>
      </c>
      <c r="AF109" s="445">
        <v>500</v>
      </c>
      <c r="AG109" s="447">
        <v>1.17</v>
      </c>
      <c r="AH109" s="445">
        <v>3</v>
      </c>
      <c r="AI109" s="445">
        <v>4</v>
      </c>
      <c r="AJ109" s="445">
        <v>2</v>
      </c>
      <c r="AK109" s="445">
        <v>3</v>
      </c>
      <c r="AL109" s="2" t="s">
        <v>2258</v>
      </c>
      <c r="AM109" s="2" t="s">
        <v>2259</v>
      </c>
      <c r="AN109" s="2" t="s">
        <v>2370</v>
      </c>
      <c r="AO109" s="445">
        <v>10</v>
      </c>
      <c r="AP109" s="445">
        <v>20</v>
      </c>
      <c r="AQ109" s="445">
        <v>4</v>
      </c>
      <c r="AR109" s="445">
        <v>8</v>
      </c>
      <c r="AS109" s="445">
        <v>3</v>
      </c>
      <c r="AT109" s="445">
        <v>4</v>
      </c>
      <c r="AU109" s="445">
        <v>25</v>
      </c>
      <c r="AV109" s="445" t="str">
        <f t="shared" si="9"/>
        <v>Vàng:10400:MG01:3</v>
      </c>
      <c r="AW109" s="440">
        <v>180</v>
      </c>
      <c r="AX109" s="445">
        <v>11</v>
      </c>
      <c r="AY109" s="445">
        <v>4</v>
      </c>
      <c r="AZ109" s="450">
        <v>103</v>
      </c>
      <c r="BA109" s="31">
        <v>10400</v>
      </c>
      <c r="BB109" s="31">
        <v>3</v>
      </c>
      <c r="BC109" s="31">
        <f t="shared" si="7"/>
        <v>52000</v>
      </c>
    </row>
    <row r="110" spans="1:55" x14ac:dyDescent="0.25">
      <c r="A110" s="28" t="s">
        <v>2199</v>
      </c>
      <c r="B110" s="428">
        <v>108</v>
      </c>
      <c r="C110" s="13">
        <v>6</v>
      </c>
      <c r="D110" s="4">
        <v>18</v>
      </c>
      <c r="E110" s="451">
        <v>3600</v>
      </c>
      <c r="F110" s="445">
        <v>6</v>
      </c>
      <c r="G110" s="13">
        <v>12</v>
      </c>
      <c r="H110" s="13">
        <v>14</v>
      </c>
      <c r="I110" s="455" t="s">
        <v>2218</v>
      </c>
      <c r="J110" s="451">
        <v>1</v>
      </c>
      <c r="K110" s="445">
        <v>50</v>
      </c>
      <c r="L110" s="445">
        <v>50</v>
      </c>
      <c r="M110" s="445">
        <v>4</v>
      </c>
      <c r="N110" s="13">
        <v>40</v>
      </c>
      <c r="O110" s="446">
        <v>10</v>
      </c>
      <c r="P110" s="445">
        <v>90</v>
      </c>
      <c r="Q110" s="321">
        <v>6</v>
      </c>
      <c r="R110" s="23">
        <v>12</v>
      </c>
      <c r="S110" s="445">
        <v>10</v>
      </c>
      <c r="T110" s="445">
        <f t="shared" si="8"/>
        <v>90</v>
      </c>
      <c r="U110" s="447">
        <v>0.7</v>
      </c>
      <c r="V110" s="448">
        <v>2.04</v>
      </c>
      <c r="W110" s="449">
        <v>3.3000000000000003</v>
      </c>
      <c r="X110" s="448">
        <v>2.52</v>
      </c>
      <c r="Y110" s="448">
        <v>4.76</v>
      </c>
      <c r="Z110" s="448">
        <v>1.6</v>
      </c>
      <c r="AA110" s="448">
        <v>1.56</v>
      </c>
      <c r="AB110" s="448">
        <v>0.27999999999999997</v>
      </c>
      <c r="AC110" s="445">
        <v>540000</v>
      </c>
      <c r="AD110" s="450">
        <v>450</v>
      </c>
      <c r="AE110" s="445">
        <v>14400</v>
      </c>
      <c r="AF110" s="445">
        <v>500</v>
      </c>
      <c r="AG110" s="447">
        <v>1.17</v>
      </c>
      <c r="AH110" s="445">
        <v>3</v>
      </c>
      <c r="AI110" s="445">
        <v>4</v>
      </c>
      <c r="AJ110" s="445">
        <v>2</v>
      </c>
      <c r="AK110" s="445">
        <v>3</v>
      </c>
      <c r="AL110" s="2" t="s">
        <v>2258</v>
      </c>
      <c r="AM110" s="2" t="s">
        <v>2259</v>
      </c>
      <c r="AN110" s="2" t="s">
        <v>2370</v>
      </c>
      <c r="AO110" s="445">
        <v>10</v>
      </c>
      <c r="AP110" s="445">
        <v>20</v>
      </c>
      <c r="AQ110" s="445">
        <v>4</v>
      </c>
      <c r="AR110" s="445">
        <v>8</v>
      </c>
      <c r="AS110" s="445">
        <v>3</v>
      </c>
      <c r="AT110" s="445">
        <v>4</v>
      </c>
      <c r="AU110" s="445">
        <v>25</v>
      </c>
      <c r="AV110" s="445" t="str">
        <f t="shared" si="9"/>
        <v>Vàng:10500:MG01:3</v>
      </c>
      <c r="AW110" s="440">
        <v>180</v>
      </c>
      <c r="AX110" s="445">
        <v>11</v>
      </c>
      <c r="AY110" s="445">
        <v>4</v>
      </c>
      <c r="AZ110" s="450">
        <v>104</v>
      </c>
      <c r="BA110" s="31">
        <v>10500</v>
      </c>
      <c r="BB110" s="31">
        <v>3</v>
      </c>
      <c r="BC110" s="31">
        <f t="shared" si="7"/>
        <v>52500</v>
      </c>
    </row>
    <row r="111" spans="1:55" x14ac:dyDescent="0.25">
      <c r="A111" s="28" t="s">
        <v>2199</v>
      </c>
      <c r="B111" s="29">
        <v>109</v>
      </c>
      <c r="C111" s="13">
        <v>6</v>
      </c>
      <c r="D111" s="4">
        <v>18</v>
      </c>
      <c r="E111" s="451">
        <v>3600</v>
      </c>
      <c r="F111" s="445">
        <v>6</v>
      </c>
      <c r="G111" s="13">
        <v>12</v>
      </c>
      <c r="H111" s="13">
        <v>14</v>
      </c>
      <c r="I111" s="455" t="s">
        <v>2218</v>
      </c>
      <c r="J111" s="451">
        <v>1</v>
      </c>
      <c r="K111" s="445">
        <v>50</v>
      </c>
      <c r="L111" s="445">
        <v>50</v>
      </c>
      <c r="M111" s="445">
        <v>4</v>
      </c>
      <c r="N111" s="13">
        <v>40</v>
      </c>
      <c r="O111" s="446">
        <v>10</v>
      </c>
      <c r="P111" s="445">
        <v>90</v>
      </c>
      <c r="Q111" s="321">
        <v>6</v>
      </c>
      <c r="R111" s="23">
        <v>12</v>
      </c>
      <c r="S111" s="445">
        <v>10</v>
      </c>
      <c r="T111" s="445">
        <f t="shared" si="8"/>
        <v>90</v>
      </c>
      <c r="U111" s="447">
        <v>0.7</v>
      </c>
      <c r="V111" s="448">
        <v>2.04</v>
      </c>
      <c r="W111" s="449">
        <v>3.3000000000000003</v>
      </c>
      <c r="X111" s="448">
        <v>2.52</v>
      </c>
      <c r="Y111" s="448">
        <v>4.76</v>
      </c>
      <c r="Z111" s="448">
        <v>1.6</v>
      </c>
      <c r="AA111" s="448">
        <v>1.56</v>
      </c>
      <c r="AB111" s="448">
        <v>0.27999999999999997</v>
      </c>
      <c r="AC111" s="445">
        <v>545000</v>
      </c>
      <c r="AD111" s="450">
        <v>450</v>
      </c>
      <c r="AE111" s="445">
        <v>14400</v>
      </c>
      <c r="AF111" s="445">
        <v>500</v>
      </c>
      <c r="AG111" s="447">
        <v>1.17</v>
      </c>
      <c r="AH111" s="445">
        <v>3</v>
      </c>
      <c r="AI111" s="445">
        <v>4</v>
      </c>
      <c r="AJ111" s="445">
        <v>2</v>
      </c>
      <c r="AK111" s="445">
        <v>3</v>
      </c>
      <c r="AL111" s="2" t="s">
        <v>2258</v>
      </c>
      <c r="AM111" s="2" t="s">
        <v>2259</v>
      </c>
      <c r="AN111" s="2" t="s">
        <v>2370</v>
      </c>
      <c r="AO111" s="445">
        <v>10</v>
      </c>
      <c r="AP111" s="445">
        <v>20</v>
      </c>
      <c r="AQ111" s="445">
        <v>4</v>
      </c>
      <c r="AR111" s="445">
        <v>8</v>
      </c>
      <c r="AS111" s="445">
        <v>3</v>
      </c>
      <c r="AT111" s="445">
        <v>4</v>
      </c>
      <c r="AU111" s="445">
        <v>25</v>
      </c>
      <c r="AV111" s="445" t="str">
        <f t="shared" si="9"/>
        <v>Vàng:10600:MG01:3</v>
      </c>
      <c r="AW111" s="440">
        <v>180</v>
      </c>
      <c r="AX111" s="445">
        <v>11</v>
      </c>
      <c r="AY111" s="445">
        <v>4</v>
      </c>
      <c r="AZ111" s="450">
        <v>105</v>
      </c>
      <c r="BA111" s="31">
        <v>10600</v>
      </c>
      <c r="BB111" s="31">
        <v>3</v>
      </c>
      <c r="BC111" s="31">
        <f t="shared" si="7"/>
        <v>53000</v>
      </c>
    </row>
    <row r="112" spans="1:55" x14ac:dyDescent="0.25">
      <c r="A112" s="28" t="s">
        <v>2199</v>
      </c>
      <c r="B112" s="428">
        <v>110</v>
      </c>
      <c r="C112" s="13">
        <v>6</v>
      </c>
      <c r="D112" s="4">
        <v>18</v>
      </c>
      <c r="E112" s="451">
        <v>3600</v>
      </c>
      <c r="F112" s="445">
        <v>6</v>
      </c>
      <c r="G112" s="13">
        <v>12</v>
      </c>
      <c r="H112" s="13">
        <v>14</v>
      </c>
      <c r="I112" s="455" t="s">
        <v>2218</v>
      </c>
      <c r="J112" s="451">
        <v>1</v>
      </c>
      <c r="K112" s="445">
        <v>50</v>
      </c>
      <c r="L112" s="445">
        <v>50</v>
      </c>
      <c r="M112" s="445">
        <v>5</v>
      </c>
      <c r="N112" s="13">
        <v>40</v>
      </c>
      <c r="O112" s="446">
        <v>10</v>
      </c>
      <c r="P112" s="445">
        <v>90</v>
      </c>
      <c r="Q112" s="321">
        <v>6</v>
      </c>
      <c r="R112" s="23">
        <v>12</v>
      </c>
      <c r="S112" s="445">
        <v>10</v>
      </c>
      <c r="T112" s="445">
        <f t="shared" si="8"/>
        <v>90</v>
      </c>
      <c r="U112" s="447">
        <v>0.7</v>
      </c>
      <c r="V112" s="448">
        <v>2.04</v>
      </c>
      <c r="W112" s="449">
        <v>3.3000000000000003</v>
      </c>
      <c r="X112" s="448">
        <v>2.52</v>
      </c>
      <c r="Y112" s="448">
        <v>4.76</v>
      </c>
      <c r="Z112" s="448">
        <v>1.6</v>
      </c>
      <c r="AA112" s="448">
        <v>1.56</v>
      </c>
      <c r="AB112" s="448">
        <v>0.27999999999999997</v>
      </c>
      <c r="AC112" s="445">
        <v>550000</v>
      </c>
      <c r="AD112" s="450">
        <v>450</v>
      </c>
      <c r="AE112" s="445">
        <v>14400</v>
      </c>
      <c r="AF112" s="445">
        <v>500</v>
      </c>
      <c r="AG112" s="447">
        <v>1.17</v>
      </c>
      <c r="AH112" s="445">
        <v>3</v>
      </c>
      <c r="AI112" s="445">
        <v>4</v>
      </c>
      <c r="AJ112" s="445">
        <v>2</v>
      </c>
      <c r="AK112" s="445">
        <v>3</v>
      </c>
      <c r="AL112" s="2" t="s">
        <v>2258</v>
      </c>
      <c r="AM112" s="2" t="s">
        <v>2259</v>
      </c>
      <c r="AN112" s="2" t="s">
        <v>2370</v>
      </c>
      <c r="AO112" s="445">
        <v>10</v>
      </c>
      <c r="AP112" s="445">
        <v>20</v>
      </c>
      <c r="AQ112" s="445">
        <v>4</v>
      </c>
      <c r="AR112" s="445">
        <v>8</v>
      </c>
      <c r="AS112" s="445">
        <v>3</v>
      </c>
      <c r="AT112" s="445">
        <v>4</v>
      </c>
      <c r="AU112" s="445">
        <v>25</v>
      </c>
      <c r="AV112" s="445" t="str">
        <f t="shared" si="9"/>
        <v>Vàng:10700:MG01:3</v>
      </c>
      <c r="AW112" s="440">
        <v>180</v>
      </c>
      <c r="AX112" s="445">
        <v>11</v>
      </c>
      <c r="AY112" s="445">
        <v>4</v>
      </c>
      <c r="AZ112" s="450">
        <v>106</v>
      </c>
      <c r="BA112" s="31">
        <v>10700</v>
      </c>
      <c r="BB112" s="31">
        <v>3</v>
      </c>
      <c r="BC112" s="31">
        <f t="shared" si="7"/>
        <v>53500</v>
      </c>
    </row>
    <row r="113" spans="1:55" x14ac:dyDescent="0.25">
      <c r="A113" s="28" t="s">
        <v>2199</v>
      </c>
      <c r="B113" s="29">
        <v>111</v>
      </c>
      <c r="C113" s="13">
        <v>6</v>
      </c>
      <c r="D113" s="4">
        <v>18</v>
      </c>
      <c r="E113" s="451">
        <v>4200</v>
      </c>
      <c r="F113" s="445">
        <v>6</v>
      </c>
      <c r="G113" s="13">
        <v>12</v>
      </c>
      <c r="H113" s="13">
        <v>14</v>
      </c>
      <c r="I113" s="455" t="s">
        <v>2218</v>
      </c>
      <c r="J113" s="451">
        <v>1</v>
      </c>
      <c r="K113" s="445">
        <v>50</v>
      </c>
      <c r="L113" s="445">
        <v>50</v>
      </c>
      <c r="M113" s="445">
        <v>5</v>
      </c>
      <c r="N113" s="13">
        <v>40</v>
      </c>
      <c r="O113" s="446">
        <v>10</v>
      </c>
      <c r="P113" s="445">
        <v>90</v>
      </c>
      <c r="Q113" s="321">
        <v>6</v>
      </c>
      <c r="R113" s="23">
        <v>12</v>
      </c>
      <c r="S113" s="445">
        <v>10</v>
      </c>
      <c r="T113" s="445">
        <f t="shared" si="8"/>
        <v>90</v>
      </c>
      <c r="U113" s="447">
        <v>0.7</v>
      </c>
      <c r="V113" s="448">
        <v>2.04</v>
      </c>
      <c r="W113" s="449">
        <v>3.3000000000000003</v>
      </c>
      <c r="X113" s="448">
        <v>2.52</v>
      </c>
      <c r="Y113" s="448">
        <v>4.76</v>
      </c>
      <c r="Z113" s="448">
        <v>1.6</v>
      </c>
      <c r="AA113" s="448">
        <v>1.56</v>
      </c>
      <c r="AB113" s="448">
        <v>0.27999999999999997</v>
      </c>
      <c r="AC113" s="445">
        <v>555000</v>
      </c>
      <c r="AD113" s="450">
        <v>450</v>
      </c>
      <c r="AE113" s="445">
        <v>14400</v>
      </c>
      <c r="AF113" s="445">
        <v>500</v>
      </c>
      <c r="AG113" s="447">
        <v>1.17</v>
      </c>
      <c r="AH113" s="445">
        <v>3</v>
      </c>
      <c r="AI113" s="445">
        <v>4</v>
      </c>
      <c r="AJ113" s="445">
        <v>2</v>
      </c>
      <c r="AK113" s="445">
        <v>3</v>
      </c>
      <c r="AL113" s="2" t="s">
        <v>2260</v>
      </c>
      <c r="AM113" s="2" t="s">
        <v>2261</v>
      </c>
      <c r="AN113" s="2" t="s">
        <v>2371</v>
      </c>
      <c r="AO113" s="445">
        <v>10</v>
      </c>
      <c r="AP113" s="445">
        <v>20</v>
      </c>
      <c r="AQ113" s="445">
        <v>4</v>
      </c>
      <c r="AR113" s="445">
        <v>8</v>
      </c>
      <c r="AS113" s="445">
        <v>3</v>
      </c>
      <c r="AT113" s="445">
        <v>4</v>
      </c>
      <c r="AU113" s="445">
        <v>25</v>
      </c>
      <c r="AV113" s="445" t="str">
        <f t="shared" si="9"/>
        <v>Vàng:10800:MG01:3</v>
      </c>
      <c r="AW113" s="440">
        <v>180</v>
      </c>
      <c r="AX113" s="445">
        <v>11</v>
      </c>
      <c r="AY113" s="445">
        <v>4</v>
      </c>
      <c r="AZ113" s="450">
        <v>107</v>
      </c>
      <c r="BA113" s="31">
        <v>10800</v>
      </c>
      <c r="BB113" s="31">
        <v>3</v>
      </c>
      <c r="BC113" s="31">
        <f t="shared" si="7"/>
        <v>54000</v>
      </c>
    </row>
    <row r="114" spans="1:55" x14ac:dyDescent="0.25">
      <c r="A114" s="28" t="s">
        <v>2199</v>
      </c>
      <c r="B114" s="428">
        <v>112</v>
      </c>
      <c r="C114" s="13">
        <v>6</v>
      </c>
      <c r="D114" s="4">
        <v>18</v>
      </c>
      <c r="E114" s="451">
        <v>4200</v>
      </c>
      <c r="F114" s="445">
        <v>6</v>
      </c>
      <c r="G114" s="13">
        <v>12</v>
      </c>
      <c r="H114" s="13">
        <v>14</v>
      </c>
      <c r="I114" s="455" t="s">
        <v>2218</v>
      </c>
      <c r="J114" s="451">
        <v>1</v>
      </c>
      <c r="K114" s="445">
        <v>50</v>
      </c>
      <c r="L114" s="445">
        <v>50</v>
      </c>
      <c r="M114" s="445">
        <v>5</v>
      </c>
      <c r="N114" s="13">
        <v>40</v>
      </c>
      <c r="O114" s="446">
        <v>10</v>
      </c>
      <c r="P114" s="445">
        <v>90</v>
      </c>
      <c r="Q114" s="321">
        <v>6</v>
      </c>
      <c r="R114" s="23">
        <v>12</v>
      </c>
      <c r="S114" s="445">
        <v>10</v>
      </c>
      <c r="T114" s="445">
        <f t="shared" si="8"/>
        <v>90</v>
      </c>
      <c r="U114" s="447">
        <v>0.7</v>
      </c>
      <c r="V114" s="448">
        <v>2.04</v>
      </c>
      <c r="W114" s="449">
        <v>3.3000000000000003</v>
      </c>
      <c r="X114" s="448">
        <v>2.52</v>
      </c>
      <c r="Y114" s="448">
        <v>4.76</v>
      </c>
      <c r="Z114" s="448">
        <v>1.6</v>
      </c>
      <c r="AA114" s="448">
        <v>1.56</v>
      </c>
      <c r="AB114" s="448">
        <v>0.27999999999999997</v>
      </c>
      <c r="AC114" s="445">
        <v>560000</v>
      </c>
      <c r="AD114" s="450">
        <v>450</v>
      </c>
      <c r="AE114" s="445">
        <v>14400</v>
      </c>
      <c r="AF114" s="445">
        <v>500</v>
      </c>
      <c r="AG114" s="447">
        <v>1.17</v>
      </c>
      <c r="AH114" s="445">
        <v>3</v>
      </c>
      <c r="AI114" s="445">
        <v>4</v>
      </c>
      <c r="AJ114" s="445">
        <v>2</v>
      </c>
      <c r="AK114" s="445">
        <v>3</v>
      </c>
      <c r="AL114" s="2" t="s">
        <v>2260</v>
      </c>
      <c r="AM114" s="2" t="s">
        <v>2261</v>
      </c>
      <c r="AN114" s="2" t="s">
        <v>2371</v>
      </c>
      <c r="AO114" s="445">
        <v>10</v>
      </c>
      <c r="AP114" s="445">
        <v>20</v>
      </c>
      <c r="AQ114" s="445">
        <v>4</v>
      </c>
      <c r="AR114" s="445">
        <v>8</v>
      </c>
      <c r="AS114" s="445">
        <v>3</v>
      </c>
      <c r="AT114" s="445">
        <v>4</v>
      </c>
      <c r="AU114" s="445">
        <v>25</v>
      </c>
      <c r="AV114" s="445" t="str">
        <f t="shared" si="9"/>
        <v>Vàng:10900:MG01:3</v>
      </c>
      <c r="AW114" s="440">
        <v>180</v>
      </c>
      <c r="AX114" s="445">
        <v>11</v>
      </c>
      <c r="AY114" s="445">
        <v>4</v>
      </c>
      <c r="AZ114" s="450">
        <v>108</v>
      </c>
      <c r="BA114" s="31">
        <v>10900</v>
      </c>
      <c r="BB114" s="31">
        <v>3</v>
      </c>
      <c r="BC114" s="31">
        <f t="shared" si="7"/>
        <v>54500</v>
      </c>
    </row>
    <row r="115" spans="1:55" x14ac:dyDescent="0.25">
      <c r="A115" s="28" t="s">
        <v>2199</v>
      </c>
      <c r="B115" s="29">
        <v>113</v>
      </c>
      <c r="C115" s="13">
        <v>6</v>
      </c>
      <c r="D115" s="4">
        <v>18</v>
      </c>
      <c r="E115" s="451">
        <v>4200</v>
      </c>
      <c r="F115" s="445">
        <v>6</v>
      </c>
      <c r="G115" s="13">
        <v>12</v>
      </c>
      <c r="H115" s="13">
        <v>14</v>
      </c>
      <c r="I115" s="455" t="s">
        <v>2218</v>
      </c>
      <c r="J115" s="451">
        <v>1</v>
      </c>
      <c r="K115" s="445">
        <v>50</v>
      </c>
      <c r="L115" s="445">
        <v>50</v>
      </c>
      <c r="M115" s="445">
        <v>5</v>
      </c>
      <c r="N115" s="13">
        <v>40</v>
      </c>
      <c r="O115" s="446">
        <v>10</v>
      </c>
      <c r="P115" s="445">
        <v>90</v>
      </c>
      <c r="Q115" s="321">
        <v>6</v>
      </c>
      <c r="R115" s="23">
        <v>12</v>
      </c>
      <c r="S115" s="445">
        <v>10</v>
      </c>
      <c r="T115" s="445">
        <f t="shared" si="8"/>
        <v>90</v>
      </c>
      <c r="U115" s="447">
        <v>0.7</v>
      </c>
      <c r="V115" s="448">
        <v>2.04</v>
      </c>
      <c r="W115" s="449">
        <v>3.3000000000000003</v>
      </c>
      <c r="X115" s="448">
        <v>2.52</v>
      </c>
      <c r="Y115" s="448">
        <v>4.76</v>
      </c>
      <c r="Z115" s="448">
        <v>1.6</v>
      </c>
      <c r="AA115" s="448">
        <v>1.56</v>
      </c>
      <c r="AB115" s="448">
        <v>0.27999999999999997</v>
      </c>
      <c r="AC115" s="445">
        <v>565000</v>
      </c>
      <c r="AD115" s="450">
        <v>450</v>
      </c>
      <c r="AE115" s="445">
        <v>14400</v>
      </c>
      <c r="AF115" s="445">
        <v>500</v>
      </c>
      <c r="AG115" s="447">
        <v>1.17</v>
      </c>
      <c r="AH115" s="445">
        <v>3</v>
      </c>
      <c r="AI115" s="445">
        <v>4</v>
      </c>
      <c r="AJ115" s="445">
        <v>2</v>
      </c>
      <c r="AK115" s="445">
        <v>3</v>
      </c>
      <c r="AL115" s="2" t="s">
        <v>2260</v>
      </c>
      <c r="AM115" s="2" t="s">
        <v>2261</v>
      </c>
      <c r="AN115" s="2" t="s">
        <v>2371</v>
      </c>
      <c r="AO115" s="445">
        <v>10</v>
      </c>
      <c r="AP115" s="445">
        <v>20</v>
      </c>
      <c r="AQ115" s="445">
        <v>4</v>
      </c>
      <c r="AR115" s="445">
        <v>8</v>
      </c>
      <c r="AS115" s="445">
        <v>3</v>
      </c>
      <c r="AT115" s="445">
        <v>4</v>
      </c>
      <c r="AU115" s="445">
        <v>25</v>
      </c>
      <c r="AV115" s="445" t="str">
        <f t="shared" si="9"/>
        <v>Vàng:11000:MG01:3</v>
      </c>
      <c r="AW115" s="440">
        <v>180</v>
      </c>
      <c r="AX115" s="445">
        <v>11</v>
      </c>
      <c r="AY115" s="445">
        <v>4</v>
      </c>
      <c r="AZ115" s="450">
        <v>109</v>
      </c>
      <c r="BA115" s="31">
        <v>11000</v>
      </c>
      <c r="BB115" s="31">
        <v>3</v>
      </c>
      <c r="BC115" s="31">
        <f t="shared" si="7"/>
        <v>55000</v>
      </c>
    </row>
    <row r="116" spans="1:55" x14ac:dyDescent="0.25">
      <c r="A116" s="28" t="s">
        <v>2199</v>
      </c>
      <c r="B116" s="428">
        <v>114</v>
      </c>
      <c r="C116" s="13">
        <v>6</v>
      </c>
      <c r="D116" s="4">
        <v>18</v>
      </c>
      <c r="E116" s="451">
        <v>4200</v>
      </c>
      <c r="F116" s="445">
        <v>6</v>
      </c>
      <c r="G116" s="13">
        <v>12</v>
      </c>
      <c r="H116" s="13">
        <v>14</v>
      </c>
      <c r="I116" s="455" t="s">
        <v>2218</v>
      </c>
      <c r="J116" s="451">
        <v>1</v>
      </c>
      <c r="K116" s="445">
        <v>50</v>
      </c>
      <c r="L116" s="445">
        <v>50</v>
      </c>
      <c r="M116" s="445">
        <v>5</v>
      </c>
      <c r="N116" s="13">
        <v>40</v>
      </c>
      <c r="O116" s="446">
        <v>10</v>
      </c>
      <c r="P116" s="445">
        <v>90</v>
      </c>
      <c r="Q116" s="321">
        <v>6</v>
      </c>
      <c r="R116" s="23">
        <v>12</v>
      </c>
      <c r="S116" s="445">
        <v>10</v>
      </c>
      <c r="T116" s="445">
        <f t="shared" si="8"/>
        <v>90</v>
      </c>
      <c r="U116" s="447">
        <v>0.7</v>
      </c>
      <c r="V116" s="448">
        <v>2.04</v>
      </c>
      <c r="W116" s="449">
        <v>3.3000000000000003</v>
      </c>
      <c r="X116" s="448">
        <v>2.52</v>
      </c>
      <c r="Y116" s="448">
        <v>4.76</v>
      </c>
      <c r="Z116" s="448">
        <v>1.6</v>
      </c>
      <c r="AA116" s="448">
        <v>1.56</v>
      </c>
      <c r="AB116" s="448">
        <v>0.27999999999999997</v>
      </c>
      <c r="AC116" s="445">
        <v>570000</v>
      </c>
      <c r="AD116" s="450">
        <v>450</v>
      </c>
      <c r="AE116" s="445">
        <v>14400</v>
      </c>
      <c r="AF116" s="445">
        <v>500</v>
      </c>
      <c r="AG116" s="447">
        <v>1.17</v>
      </c>
      <c r="AH116" s="445">
        <v>3</v>
      </c>
      <c r="AI116" s="445">
        <v>4</v>
      </c>
      <c r="AJ116" s="445">
        <v>2</v>
      </c>
      <c r="AK116" s="445">
        <v>3</v>
      </c>
      <c r="AL116" s="2" t="s">
        <v>2260</v>
      </c>
      <c r="AM116" s="2" t="s">
        <v>2261</v>
      </c>
      <c r="AN116" s="2" t="s">
        <v>2371</v>
      </c>
      <c r="AO116" s="445">
        <v>10</v>
      </c>
      <c r="AP116" s="445">
        <v>20</v>
      </c>
      <c r="AQ116" s="445">
        <v>4</v>
      </c>
      <c r="AR116" s="445">
        <v>8</v>
      </c>
      <c r="AS116" s="445">
        <v>3</v>
      </c>
      <c r="AT116" s="445">
        <v>4</v>
      </c>
      <c r="AU116" s="445">
        <v>25</v>
      </c>
      <c r="AV116" s="445" t="str">
        <f t="shared" si="9"/>
        <v>Vàng:11100:MG01:3</v>
      </c>
      <c r="AW116" s="440">
        <v>180</v>
      </c>
      <c r="AX116" s="445">
        <v>12</v>
      </c>
      <c r="AY116" s="445">
        <v>4</v>
      </c>
      <c r="AZ116" s="450">
        <v>110</v>
      </c>
      <c r="BA116" s="31">
        <v>11100</v>
      </c>
      <c r="BB116" s="31">
        <v>3</v>
      </c>
      <c r="BC116" s="31">
        <f t="shared" si="7"/>
        <v>55500</v>
      </c>
    </row>
    <row r="117" spans="1:55" x14ac:dyDescent="0.25">
      <c r="A117" s="28" t="s">
        <v>2199</v>
      </c>
      <c r="B117" s="29">
        <v>115</v>
      </c>
      <c r="C117" s="13">
        <v>6</v>
      </c>
      <c r="D117" s="4">
        <v>18</v>
      </c>
      <c r="E117" s="451">
        <v>4200</v>
      </c>
      <c r="F117" s="445">
        <v>6</v>
      </c>
      <c r="G117" s="13">
        <v>12</v>
      </c>
      <c r="H117" s="13">
        <v>14</v>
      </c>
      <c r="I117" s="455" t="s">
        <v>2218</v>
      </c>
      <c r="J117" s="451">
        <v>1</v>
      </c>
      <c r="K117" s="445">
        <v>50</v>
      </c>
      <c r="L117" s="445">
        <v>50</v>
      </c>
      <c r="M117" s="445">
        <v>5</v>
      </c>
      <c r="N117" s="13">
        <v>40</v>
      </c>
      <c r="O117" s="446">
        <v>10</v>
      </c>
      <c r="P117" s="445">
        <v>90</v>
      </c>
      <c r="Q117" s="321">
        <v>6</v>
      </c>
      <c r="R117" s="23">
        <v>12</v>
      </c>
      <c r="S117" s="445">
        <v>10</v>
      </c>
      <c r="T117" s="445">
        <f t="shared" si="8"/>
        <v>90</v>
      </c>
      <c r="U117" s="447">
        <v>0.7</v>
      </c>
      <c r="V117" s="448">
        <v>2.04</v>
      </c>
      <c r="W117" s="449">
        <v>3.3000000000000003</v>
      </c>
      <c r="X117" s="448">
        <v>2.52</v>
      </c>
      <c r="Y117" s="448">
        <v>4.76</v>
      </c>
      <c r="Z117" s="448">
        <v>1.6</v>
      </c>
      <c r="AA117" s="448">
        <v>1.56</v>
      </c>
      <c r="AB117" s="448">
        <v>0.27999999999999997</v>
      </c>
      <c r="AC117" s="445">
        <v>575000</v>
      </c>
      <c r="AD117" s="450">
        <v>450</v>
      </c>
      <c r="AE117" s="445">
        <v>14400</v>
      </c>
      <c r="AF117" s="445">
        <v>500</v>
      </c>
      <c r="AG117" s="447">
        <v>1.17</v>
      </c>
      <c r="AH117" s="445">
        <v>3</v>
      </c>
      <c r="AI117" s="445">
        <v>4</v>
      </c>
      <c r="AJ117" s="445">
        <v>2</v>
      </c>
      <c r="AK117" s="445">
        <v>3</v>
      </c>
      <c r="AL117" s="2" t="s">
        <v>2260</v>
      </c>
      <c r="AM117" s="2" t="s">
        <v>2261</v>
      </c>
      <c r="AN117" s="2" t="s">
        <v>2371</v>
      </c>
      <c r="AO117" s="445">
        <v>10</v>
      </c>
      <c r="AP117" s="445">
        <v>20</v>
      </c>
      <c r="AQ117" s="445">
        <v>4</v>
      </c>
      <c r="AR117" s="445">
        <v>8</v>
      </c>
      <c r="AS117" s="445">
        <v>3</v>
      </c>
      <c r="AT117" s="445">
        <v>4</v>
      </c>
      <c r="AU117" s="445">
        <v>25</v>
      </c>
      <c r="AV117" s="445" t="str">
        <f t="shared" si="9"/>
        <v>Vàng:11200:MG01:3</v>
      </c>
      <c r="AW117" s="440">
        <v>180</v>
      </c>
      <c r="AX117" s="445">
        <v>12</v>
      </c>
      <c r="AY117" s="445">
        <v>4</v>
      </c>
      <c r="AZ117" s="450">
        <v>111</v>
      </c>
      <c r="BA117" s="31">
        <v>11200</v>
      </c>
      <c r="BB117" s="31">
        <v>3</v>
      </c>
      <c r="BC117" s="31">
        <f t="shared" si="7"/>
        <v>56000</v>
      </c>
    </row>
    <row r="118" spans="1:55" x14ac:dyDescent="0.25">
      <c r="A118" s="28" t="s">
        <v>2199</v>
      </c>
      <c r="B118" s="428">
        <v>116</v>
      </c>
      <c r="C118" s="13">
        <v>6</v>
      </c>
      <c r="D118" s="4">
        <v>18</v>
      </c>
      <c r="E118" s="451">
        <v>4200</v>
      </c>
      <c r="F118" s="445">
        <v>6</v>
      </c>
      <c r="G118" s="13">
        <v>12</v>
      </c>
      <c r="H118" s="13">
        <v>14</v>
      </c>
      <c r="I118" s="455" t="s">
        <v>2218</v>
      </c>
      <c r="J118" s="451">
        <v>1</v>
      </c>
      <c r="K118" s="445">
        <v>50</v>
      </c>
      <c r="L118" s="445">
        <v>50</v>
      </c>
      <c r="M118" s="445">
        <v>5</v>
      </c>
      <c r="N118" s="13">
        <v>40</v>
      </c>
      <c r="O118" s="446">
        <v>10</v>
      </c>
      <c r="P118" s="445">
        <v>90</v>
      </c>
      <c r="Q118" s="321">
        <v>6</v>
      </c>
      <c r="R118" s="23">
        <v>12</v>
      </c>
      <c r="S118" s="445">
        <v>10</v>
      </c>
      <c r="T118" s="445">
        <f t="shared" si="8"/>
        <v>90</v>
      </c>
      <c r="U118" s="447">
        <v>0.7</v>
      </c>
      <c r="V118" s="448">
        <v>2.04</v>
      </c>
      <c r="W118" s="449">
        <v>3.3000000000000003</v>
      </c>
      <c r="X118" s="448">
        <v>2.52</v>
      </c>
      <c r="Y118" s="448">
        <v>4.76</v>
      </c>
      <c r="Z118" s="448">
        <v>1.6</v>
      </c>
      <c r="AA118" s="448">
        <v>1.56</v>
      </c>
      <c r="AB118" s="448">
        <v>0.27999999999999997</v>
      </c>
      <c r="AC118" s="445">
        <v>580000</v>
      </c>
      <c r="AD118" s="450">
        <v>450</v>
      </c>
      <c r="AE118" s="445">
        <v>14400</v>
      </c>
      <c r="AF118" s="445">
        <v>500</v>
      </c>
      <c r="AG118" s="447">
        <v>1.17</v>
      </c>
      <c r="AH118" s="445">
        <v>3</v>
      </c>
      <c r="AI118" s="445">
        <v>4</v>
      </c>
      <c r="AJ118" s="445">
        <v>2</v>
      </c>
      <c r="AK118" s="445">
        <v>3</v>
      </c>
      <c r="AL118" s="2" t="s">
        <v>2260</v>
      </c>
      <c r="AM118" s="2" t="s">
        <v>2261</v>
      </c>
      <c r="AN118" s="2" t="s">
        <v>2372</v>
      </c>
      <c r="AO118" s="445">
        <v>10</v>
      </c>
      <c r="AP118" s="445">
        <v>20</v>
      </c>
      <c r="AQ118" s="445">
        <v>4</v>
      </c>
      <c r="AR118" s="445">
        <v>8</v>
      </c>
      <c r="AS118" s="445">
        <v>3</v>
      </c>
      <c r="AT118" s="445">
        <v>4</v>
      </c>
      <c r="AU118" s="445">
        <v>25</v>
      </c>
      <c r="AV118" s="445" t="str">
        <f t="shared" si="9"/>
        <v>Vàng:11300:MG01:3</v>
      </c>
      <c r="AW118" s="440">
        <v>180</v>
      </c>
      <c r="AX118" s="445">
        <v>12</v>
      </c>
      <c r="AY118" s="445">
        <v>4</v>
      </c>
      <c r="AZ118" s="450">
        <v>112</v>
      </c>
      <c r="BA118" s="31">
        <v>11300</v>
      </c>
      <c r="BB118" s="31">
        <v>3</v>
      </c>
      <c r="BC118" s="31">
        <f t="shared" si="7"/>
        <v>56500</v>
      </c>
    </row>
    <row r="119" spans="1:55" x14ac:dyDescent="0.25">
      <c r="A119" s="28" t="s">
        <v>2199</v>
      </c>
      <c r="B119" s="29">
        <v>117</v>
      </c>
      <c r="C119" s="13">
        <v>6</v>
      </c>
      <c r="D119" s="4">
        <v>18</v>
      </c>
      <c r="E119" s="451">
        <v>4200</v>
      </c>
      <c r="F119" s="445">
        <v>6</v>
      </c>
      <c r="G119" s="13">
        <v>12</v>
      </c>
      <c r="H119" s="13">
        <v>14</v>
      </c>
      <c r="I119" s="455" t="s">
        <v>2218</v>
      </c>
      <c r="J119" s="451">
        <v>1</v>
      </c>
      <c r="K119" s="445">
        <v>50</v>
      </c>
      <c r="L119" s="445">
        <v>50</v>
      </c>
      <c r="M119" s="445">
        <v>5</v>
      </c>
      <c r="N119" s="13">
        <v>40</v>
      </c>
      <c r="O119" s="446">
        <v>10</v>
      </c>
      <c r="P119" s="445">
        <v>90</v>
      </c>
      <c r="Q119" s="321">
        <v>6</v>
      </c>
      <c r="R119" s="23">
        <v>12</v>
      </c>
      <c r="S119" s="445">
        <v>10</v>
      </c>
      <c r="T119" s="445">
        <f t="shared" si="8"/>
        <v>90</v>
      </c>
      <c r="U119" s="447">
        <v>0.7</v>
      </c>
      <c r="V119" s="448">
        <v>2.04</v>
      </c>
      <c r="W119" s="449">
        <v>3.3000000000000003</v>
      </c>
      <c r="X119" s="448">
        <v>2.52</v>
      </c>
      <c r="Y119" s="448">
        <v>4.76</v>
      </c>
      <c r="Z119" s="448">
        <v>1.6</v>
      </c>
      <c r="AA119" s="448">
        <v>1.56</v>
      </c>
      <c r="AB119" s="448">
        <v>0.27999999999999997</v>
      </c>
      <c r="AC119" s="445">
        <v>585000</v>
      </c>
      <c r="AD119" s="450">
        <v>450</v>
      </c>
      <c r="AE119" s="445">
        <v>14400</v>
      </c>
      <c r="AF119" s="445">
        <v>500</v>
      </c>
      <c r="AG119" s="447">
        <v>1.17</v>
      </c>
      <c r="AH119" s="445">
        <v>3</v>
      </c>
      <c r="AI119" s="445">
        <v>4</v>
      </c>
      <c r="AJ119" s="445">
        <v>2</v>
      </c>
      <c r="AK119" s="445">
        <v>3</v>
      </c>
      <c r="AL119" s="2" t="s">
        <v>2260</v>
      </c>
      <c r="AM119" s="2" t="s">
        <v>2261</v>
      </c>
      <c r="AN119" s="2" t="s">
        <v>2372</v>
      </c>
      <c r="AO119" s="445">
        <v>10</v>
      </c>
      <c r="AP119" s="445">
        <v>20</v>
      </c>
      <c r="AQ119" s="445">
        <v>4</v>
      </c>
      <c r="AR119" s="445">
        <v>8</v>
      </c>
      <c r="AS119" s="445">
        <v>3</v>
      </c>
      <c r="AT119" s="445">
        <v>4</v>
      </c>
      <c r="AU119" s="445">
        <v>25</v>
      </c>
      <c r="AV119" s="445" t="str">
        <f t="shared" si="9"/>
        <v>Vàng:11400:MG01:3</v>
      </c>
      <c r="AW119" s="440">
        <v>180</v>
      </c>
      <c r="AX119" s="445">
        <v>12</v>
      </c>
      <c r="AY119" s="445">
        <v>4</v>
      </c>
      <c r="AZ119" s="450">
        <v>113</v>
      </c>
      <c r="BA119" s="31">
        <v>11400</v>
      </c>
      <c r="BB119" s="31">
        <v>3</v>
      </c>
      <c r="BC119" s="31">
        <f t="shared" si="7"/>
        <v>57000</v>
      </c>
    </row>
    <row r="120" spans="1:55" x14ac:dyDescent="0.25">
      <c r="A120" s="28" t="s">
        <v>2199</v>
      </c>
      <c r="B120" s="428">
        <v>118</v>
      </c>
      <c r="C120" s="13">
        <v>6</v>
      </c>
      <c r="D120" s="4">
        <v>18</v>
      </c>
      <c r="E120" s="451">
        <v>4200</v>
      </c>
      <c r="F120" s="445">
        <v>6</v>
      </c>
      <c r="G120" s="13">
        <v>12</v>
      </c>
      <c r="H120" s="13">
        <v>14</v>
      </c>
      <c r="I120" s="455" t="s">
        <v>2218</v>
      </c>
      <c r="J120" s="451">
        <v>1</v>
      </c>
      <c r="K120" s="445">
        <v>50</v>
      </c>
      <c r="L120" s="445">
        <v>50</v>
      </c>
      <c r="M120" s="445">
        <v>5</v>
      </c>
      <c r="N120" s="13">
        <v>40</v>
      </c>
      <c r="O120" s="446">
        <v>10</v>
      </c>
      <c r="P120" s="445">
        <v>90</v>
      </c>
      <c r="Q120" s="321">
        <v>6</v>
      </c>
      <c r="R120" s="23">
        <v>12</v>
      </c>
      <c r="S120" s="445">
        <v>10</v>
      </c>
      <c r="T120" s="445">
        <f t="shared" si="8"/>
        <v>90</v>
      </c>
      <c r="U120" s="447">
        <v>0.7</v>
      </c>
      <c r="V120" s="448">
        <v>2.04</v>
      </c>
      <c r="W120" s="449">
        <v>3.3000000000000003</v>
      </c>
      <c r="X120" s="448">
        <v>2.52</v>
      </c>
      <c r="Y120" s="448">
        <v>4.76</v>
      </c>
      <c r="Z120" s="448">
        <v>1.6</v>
      </c>
      <c r="AA120" s="457">
        <v>1.456</v>
      </c>
      <c r="AB120" s="448">
        <v>0.27999999999999997</v>
      </c>
      <c r="AC120" s="445">
        <v>590000</v>
      </c>
      <c r="AD120" s="450">
        <v>450</v>
      </c>
      <c r="AE120" s="445">
        <v>14400</v>
      </c>
      <c r="AF120" s="445">
        <v>500</v>
      </c>
      <c r="AG120" s="447">
        <v>1.17</v>
      </c>
      <c r="AH120" s="445">
        <v>3</v>
      </c>
      <c r="AI120" s="445">
        <v>4</v>
      </c>
      <c r="AJ120" s="445">
        <v>2</v>
      </c>
      <c r="AK120" s="445">
        <v>3</v>
      </c>
      <c r="AL120" s="2" t="s">
        <v>2260</v>
      </c>
      <c r="AM120" s="2" t="s">
        <v>2261</v>
      </c>
      <c r="AN120" s="2" t="s">
        <v>2372</v>
      </c>
      <c r="AO120" s="445">
        <v>10</v>
      </c>
      <c r="AP120" s="445">
        <v>20</v>
      </c>
      <c r="AQ120" s="445">
        <v>4</v>
      </c>
      <c r="AR120" s="445">
        <v>8</v>
      </c>
      <c r="AS120" s="445">
        <v>3</v>
      </c>
      <c r="AT120" s="445">
        <v>4</v>
      </c>
      <c r="AU120" s="445">
        <v>25</v>
      </c>
      <c r="AV120" s="445" t="str">
        <f t="shared" si="9"/>
        <v>Vàng:11500:MG01:3</v>
      </c>
      <c r="AW120" s="440">
        <v>180</v>
      </c>
      <c r="AX120" s="445">
        <v>12</v>
      </c>
      <c r="AY120" s="445">
        <v>4</v>
      </c>
      <c r="AZ120" s="450">
        <v>114</v>
      </c>
      <c r="BA120" s="31">
        <v>11500</v>
      </c>
      <c r="BB120" s="31">
        <v>3</v>
      </c>
      <c r="BC120" s="31">
        <f t="shared" si="7"/>
        <v>57500</v>
      </c>
    </row>
    <row r="121" spans="1:55" x14ac:dyDescent="0.25">
      <c r="A121" s="28" t="s">
        <v>2199</v>
      </c>
      <c r="B121" s="29">
        <v>119</v>
      </c>
      <c r="C121" s="13">
        <v>6</v>
      </c>
      <c r="D121" s="4">
        <v>18</v>
      </c>
      <c r="E121" s="451">
        <v>4200</v>
      </c>
      <c r="F121" s="445">
        <v>6</v>
      </c>
      <c r="G121" s="13">
        <v>12</v>
      </c>
      <c r="H121" s="13">
        <v>14</v>
      </c>
      <c r="I121" s="455" t="s">
        <v>2218</v>
      </c>
      <c r="J121" s="451">
        <v>1</v>
      </c>
      <c r="K121" s="445">
        <v>50</v>
      </c>
      <c r="L121" s="445">
        <v>50</v>
      </c>
      <c r="M121" s="445">
        <v>5</v>
      </c>
      <c r="N121" s="13">
        <v>40</v>
      </c>
      <c r="O121" s="446">
        <v>10</v>
      </c>
      <c r="P121" s="445">
        <v>90</v>
      </c>
      <c r="Q121" s="321">
        <v>6</v>
      </c>
      <c r="R121" s="23">
        <v>12</v>
      </c>
      <c r="S121" s="445">
        <v>10</v>
      </c>
      <c r="T121" s="445">
        <f t="shared" si="8"/>
        <v>90</v>
      </c>
      <c r="U121" s="447">
        <v>0.7</v>
      </c>
      <c r="V121" s="448">
        <v>2.04</v>
      </c>
      <c r="W121" s="449">
        <v>3.3000000000000003</v>
      </c>
      <c r="X121" s="448">
        <v>2.52</v>
      </c>
      <c r="Y121" s="448">
        <v>4.76</v>
      </c>
      <c r="Z121" s="448">
        <v>1.6</v>
      </c>
      <c r="AA121" s="448">
        <v>1.456</v>
      </c>
      <c r="AB121" s="448">
        <v>0.27999999999999997</v>
      </c>
      <c r="AC121" s="445">
        <v>595000</v>
      </c>
      <c r="AD121" s="450">
        <v>450</v>
      </c>
      <c r="AE121" s="445">
        <v>14400</v>
      </c>
      <c r="AF121" s="445">
        <v>500</v>
      </c>
      <c r="AG121" s="447">
        <v>1.17</v>
      </c>
      <c r="AH121" s="445">
        <v>3</v>
      </c>
      <c r="AI121" s="445">
        <v>4</v>
      </c>
      <c r="AJ121" s="445">
        <v>2</v>
      </c>
      <c r="AK121" s="445">
        <v>3</v>
      </c>
      <c r="AL121" s="2" t="s">
        <v>2260</v>
      </c>
      <c r="AM121" s="2" t="s">
        <v>2261</v>
      </c>
      <c r="AN121" s="2" t="s">
        <v>2372</v>
      </c>
      <c r="AO121" s="445">
        <v>10</v>
      </c>
      <c r="AP121" s="445">
        <v>20</v>
      </c>
      <c r="AQ121" s="445">
        <v>4</v>
      </c>
      <c r="AR121" s="445">
        <v>8</v>
      </c>
      <c r="AS121" s="445">
        <v>3</v>
      </c>
      <c r="AT121" s="445">
        <v>4</v>
      </c>
      <c r="AU121" s="445">
        <v>25</v>
      </c>
      <c r="AV121" s="445" t="str">
        <f t="shared" si="9"/>
        <v>Vàng:11600:MG01:3</v>
      </c>
      <c r="AW121" s="440">
        <v>180</v>
      </c>
      <c r="AX121" s="445">
        <v>12</v>
      </c>
      <c r="AY121" s="445">
        <v>4</v>
      </c>
      <c r="AZ121" s="450">
        <v>115</v>
      </c>
      <c r="BA121" s="31">
        <v>11600</v>
      </c>
      <c r="BB121" s="31">
        <v>3</v>
      </c>
      <c r="BC121" s="31">
        <f t="shared" si="7"/>
        <v>58000</v>
      </c>
    </row>
    <row r="122" spans="1:55" x14ac:dyDescent="0.25">
      <c r="A122" s="28" t="s">
        <v>2199</v>
      </c>
      <c r="B122" s="428">
        <v>120</v>
      </c>
      <c r="C122" s="13">
        <v>6</v>
      </c>
      <c r="D122" s="4">
        <v>18</v>
      </c>
      <c r="E122" s="451">
        <v>4200</v>
      </c>
      <c r="F122" s="445">
        <v>6</v>
      </c>
      <c r="G122" s="13">
        <v>12</v>
      </c>
      <c r="H122" s="13">
        <v>14</v>
      </c>
      <c r="I122" s="455" t="s">
        <v>2218</v>
      </c>
      <c r="J122" s="451">
        <v>1</v>
      </c>
      <c r="K122" s="445">
        <v>50</v>
      </c>
      <c r="L122" s="445">
        <v>50</v>
      </c>
      <c r="M122" s="445">
        <v>5</v>
      </c>
      <c r="N122" s="13">
        <v>40</v>
      </c>
      <c r="O122" s="446">
        <v>10</v>
      </c>
      <c r="P122" s="445">
        <v>90</v>
      </c>
      <c r="Q122" s="321">
        <v>6</v>
      </c>
      <c r="R122" s="23">
        <v>12</v>
      </c>
      <c r="S122" s="445">
        <v>10</v>
      </c>
      <c r="T122" s="445">
        <f t="shared" si="8"/>
        <v>90</v>
      </c>
      <c r="U122" s="447">
        <v>0.7</v>
      </c>
      <c r="V122" s="448">
        <v>2.04</v>
      </c>
      <c r="W122" s="449">
        <v>3.3000000000000003</v>
      </c>
      <c r="X122" s="448">
        <v>2.52</v>
      </c>
      <c r="Y122" s="448">
        <v>4.76</v>
      </c>
      <c r="Z122" s="448">
        <v>1.6</v>
      </c>
      <c r="AA122" s="448">
        <v>1.456</v>
      </c>
      <c r="AB122" s="448">
        <v>0.27999999999999997</v>
      </c>
      <c r="AC122" s="445">
        <v>600000</v>
      </c>
      <c r="AD122" s="450">
        <v>450</v>
      </c>
      <c r="AE122" s="445">
        <v>14400</v>
      </c>
      <c r="AF122" s="445">
        <v>500</v>
      </c>
      <c r="AG122" s="447">
        <v>1.17</v>
      </c>
      <c r="AH122" s="445">
        <v>3</v>
      </c>
      <c r="AI122" s="445">
        <v>4</v>
      </c>
      <c r="AJ122" s="445">
        <v>2</v>
      </c>
      <c r="AK122" s="445">
        <v>3</v>
      </c>
      <c r="AL122" s="2" t="s">
        <v>2260</v>
      </c>
      <c r="AM122" s="2" t="s">
        <v>2261</v>
      </c>
      <c r="AN122" s="2" t="s">
        <v>2372</v>
      </c>
      <c r="AO122" s="445">
        <v>10</v>
      </c>
      <c r="AP122" s="445">
        <v>20</v>
      </c>
      <c r="AQ122" s="445">
        <v>4</v>
      </c>
      <c r="AR122" s="445">
        <v>8</v>
      </c>
      <c r="AS122" s="445">
        <v>3</v>
      </c>
      <c r="AT122" s="445">
        <v>4</v>
      </c>
      <c r="AU122" s="445">
        <v>25</v>
      </c>
      <c r="AV122" s="445" t="str">
        <f t="shared" si="9"/>
        <v>Vàng:11700:MG01:3</v>
      </c>
      <c r="AW122" s="440">
        <v>180</v>
      </c>
      <c r="AX122" s="445">
        <v>12</v>
      </c>
      <c r="AY122" s="445">
        <v>4</v>
      </c>
      <c r="AZ122" s="450">
        <v>116</v>
      </c>
      <c r="BA122" s="31">
        <v>11700</v>
      </c>
      <c r="BB122" s="31">
        <v>3</v>
      </c>
      <c r="BC122" s="31">
        <f t="shared" si="7"/>
        <v>58500</v>
      </c>
    </row>
    <row r="123" spans="1:55" x14ac:dyDescent="0.25">
      <c r="A123" s="28" t="s">
        <v>2199</v>
      </c>
      <c r="B123" s="29">
        <v>121</v>
      </c>
      <c r="C123" s="13">
        <v>6</v>
      </c>
      <c r="D123" s="4">
        <v>18</v>
      </c>
      <c r="E123" s="451">
        <v>4800</v>
      </c>
      <c r="F123" s="445">
        <v>6</v>
      </c>
      <c r="G123" s="13">
        <v>12</v>
      </c>
      <c r="H123" s="13">
        <v>14</v>
      </c>
      <c r="I123" s="455" t="s">
        <v>2218</v>
      </c>
      <c r="J123" s="451">
        <v>1</v>
      </c>
      <c r="K123" s="445">
        <v>50</v>
      </c>
      <c r="L123" s="445">
        <v>50</v>
      </c>
      <c r="M123" s="445">
        <v>5</v>
      </c>
      <c r="N123" s="13">
        <v>40</v>
      </c>
      <c r="O123" s="446">
        <v>10</v>
      </c>
      <c r="P123" s="445">
        <v>90</v>
      </c>
      <c r="Q123" s="321">
        <v>6</v>
      </c>
      <c r="R123" s="23">
        <v>12</v>
      </c>
      <c r="S123" s="445">
        <v>10</v>
      </c>
      <c r="T123" s="445">
        <f t="shared" si="8"/>
        <v>90</v>
      </c>
      <c r="U123" s="447">
        <v>0.6</v>
      </c>
      <c r="V123" s="448">
        <v>2.04</v>
      </c>
      <c r="W123" s="449">
        <v>3.3000000000000003</v>
      </c>
      <c r="X123" s="448">
        <v>2.52</v>
      </c>
      <c r="Y123" s="448">
        <v>4.76</v>
      </c>
      <c r="Z123" s="448">
        <v>1.6</v>
      </c>
      <c r="AA123" s="448">
        <v>1.456</v>
      </c>
      <c r="AB123" s="448">
        <v>0.27999999999999997</v>
      </c>
      <c r="AC123" s="445">
        <v>605000</v>
      </c>
      <c r="AD123" s="450">
        <v>450</v>
      </c>
      <c r="AE123" s="445">
        <v>14400</v>
      </c>
      <c r="AF123" s="445">
        <v>500</v>
      </c>
      <c r="AG123" s="447">
        <v>1.17</v>
      </c>
      <c r="AH123" s="445">
        <v>3</v>
      </c>
      <c r="AI123" s="445">
        <v>4</v>
      </c>
      <c r="AJ123" s="445">
        <v>2</v>
      </c>
      <c r="AK123" s="445">
        <v>3</v>
      </c>
      <c r="AL123" s="2" t="s">
        <v>2260</v>
      </c>
      <c r="AM123" s="2" t="s">
        <v>2261</v>
      </c>
      <c r="AN123" s="2" t="s">
        <v>2373</v>
      </c>
      <c r="AO123" s="445">
        <v>10</v>
      </c>
      <c r="AP123" s="445">
        <v>20</v>
      </c>
      <c r="AQ123" s="445">
        <v>4</v>
      </c>
      <c r="AR123" s="445">
        <v>8</v>
      </c>
      <c r="AS123" s="445">
        <v>3</v>
      </c>
      <c r="AT123" s="445">
        <v>4</v>
      </c>
      <c r="AU123" s="445">
        <v>25</v>
      </c>
      <c r="AV123" s="445" t="str">
        <f t="shared" si="9"/>
        <v>Vàng:12000:MG01:3</v>
      </c>
      <c r="AW123" s="440">
        <v>180</v>
      </c>
      <c r="AX123" s="445">
        <v>12</v>
      </c>
      <c r="AY123" s="445">
        <v>4</v>
      </c>
      <c r="AZ123" s="450">
        <v>117</v>
      </c>
      <c r="BA123" s="31">
        <v>12000</v>
      </c>
      <c r="BB123" s="31">
        <v>3</v>
      </c>
      <c r="BC123" s="31">
        <f t="shared" si="7"/>
        <v>60000</v>
      </c>
    </row>
    <row r="124" spans="1:55" x14ac:dyDescent="0.25">
      <c r="A124" s="28" t="s">
        <v>2199</v>
      </c>
      <c r="B124" s="428">
        <v>122</v>
      </c>
      <c r="C124" s="13">
        <v>6</v>
      </c>
      <c r="D124" s="4">
        <v>18</v>
      </c>
      <c r="E124" s="451">
        <v>4800</v>
      </c>
      <c r="F124" s="445">
        <v>6</v>
      </c>
      <c r="G124" s="13">
        <v>12</v>
      </c>
      <c r="H124" s="13">
        <v>14</v>
      </c>
      <c r="I124" s="455" t="s">
        <v>2218</v>
      </c>
      <c r="J124" s="451">
        <v>1</v>
      </c>
      <c r="K124" s="445">
        <v>50</v>
      </c>
      <c r="L124" s="445">
        <v>50</v>
      </c>
      <c r="M124" s="445">
        <v>5</v>
      </c>
      <c r="N124" s="13">
        <v>40</v>
      </c>
      <c r="O124" s="446">
        <v>10</v>
      </c>
      <c r="P124" s="445">
        <v>90</v>
      </c>
      <c r="Q124" s="321">
        <v>6</v>
      </c>
      <c r="R124" s="23">
        <v>12</v>
      </c>
      <c r="S124" s="445">
        <v>10</v>
      </c>
      <c r="T124" s="445">
        <f t="shared" si="8"/>
        <v>90</v>
      </c>
      <c r="U124" s="447">
        <v>0.6</v>
      </c>
      <c r="V124" s="448">
        <v>2.04</v>
      </c>
      <c r="W124" s="449">
        <v>3.3000000000000003</v>
      </c>
      <c r="X124" s="448">
        <v>2.52</v>
      </c>
      <c r="Y124" s="448">
        <v>4.76</v>
      </c>
      <c r="Z124" s="448">
        <v>1.6</v>
      </c>
      <c r="AA124" s="448">
        <v>1.456</v>
      </c>
      <c r="AB124" s="448">
        <v>0.27999999999999997</v>
      </c>
      <c r="AC124" s="445">
        <v>610000</v>
      </c>
      <c r="AD124" s="450">
        <v>450</v>
      </c>
      <c r="AE124" s="445">
        <v>14400</v>
      </c>
      <c r="AF124" s="445">
        <v>500</v>
      </c>
      <c r="AG124" s="447">
        <v>1.17</v>
      </c>
      <c r="AH124" s="445">
        <v>3</v>
      </c>
      <c r="AI124" s="445">
        <v>4</v>
      </c>
      <c r="AJ124" s="445">
        <v>2</v>
      </c>
      <c r="AK124" s="445">
        <v>3</v>
      </c>
      <c r="AL124" s="2" t="s">
        <v>2260</v>
      </c>
      <c r="AM124" s="2" t="s">
        <v>2261</v>
      </c>
      <c r="AN124" s="2" t="s">
        <v>2373</v>
      </c>
      <c r="AO124" s="445">
        <v>10</v>
      </c>
      <c r="AP124" s="445">
        <v>20</v>
      </c>
      <c r="AQ124" s="445">
        <v>4</v>
      </c>
      <c r="AR124" s="445">
        <v>8</v>
      </c>
      <c r="AS124" s="445">
        <v>3</v>
      </c>
      <c r="AT124" s="445">
        <v>4</v>
      </c>
      <c r="AU124" s="445">
        <v>25</v>
      </c>
      <c r="AV124" s="445" t="str">
        <f t="shared" si="9"/>
        <v>Vàng:13000:MG01:3</v>
      </c>
      <c r="AW124" s="440">
        <v>180</v>
      </c>
      <c r="AX124" s="445">
        <v>12</v>
      </c>
      <c r="AY124" s="445">
        <v>4</v>
      </c>
      <c r="AZ124" s="450">
        <v>118</v>
      </c>
      <c r="BA124" s="31">
        <v>13000</v>
      </c>
      <c r="BB124" s="31">
        <v>3</v>
      </c>
      <c r="BC124" s="31">
        <f t="shared" si="7"/>
        <v>65000</v>
      </c>
    </row>
    <row r="125" spans="1:55" x14ac:dyDescent="0.25">
      <c r="A125" s="28" t="s">
        <v>2199</v>
      </c>
      <c r="B125" s="29">
        <v>123</v>
      </c>
      <c r="C125" s="13">
        <v>6</v>
      </c>
      <c r="D125" s="4">
        <v>18</v>
      </c>
      <c r="E125" s="451">
        <v>4800</v>
      </c>
      <c r="F125" s="445">
        <v>6</v>
      </c>
      <c r="G125" s="13">
        <v>12</v>
      </c>
      <c r="H125" s="13">
        <v>14</v>
      </c>
      <c r="I125" s="455" t="s">
        <v>2218</v>
      </c>
      <c r="J125" s="451">
        <v>1</v>
      </c>
      <c r="K125" s="445">
        <v>50</v>
      </c>
      <c r="L125" s="445">
        <v>50</v>
      </c>
      <c r="M125" s="445">
        <v>5</v>
      </c>
      <c r="N125" s="13">
        <v>40</v>
      </c>
      <c r="O125" s="446">
        <v>10</v>
      </c>
      <c r="P125" s="445">
        <v>90</v>
      </c>
      <c r="Q125" s="321">
        <v>6</v>
      </c>
      <c r="R125" s="23">
        <v>12</v>
      </c>
      <c r="S125" s="445">
        <v>10</v>
      </c>
      <c r="T125" s="445">
        <f t="shared" si="8"/>
        <v>90</v>
      </c>
      <c r="U125" s="447">
        <v>0.6</v>
      </c>
      <c r="V125" s="448">
        <v>2.04</v>
      </c>
      <c r="W125" s="449">
        <v>3.3000000000000003</v>
      </c>
      <c r="X125" s="448">
        <v>2.52</v>
      </c>
      <c r="Y125" s="448">
        <v>4.76</v>
      </c>
      <c r="Z125" s="448">
        <v>1.6</v>
      </c>
      <c r="AA125" s="448">
        <v>1.456</v>
      </c>
      <c r="AB125" s="448">
        <v>0.27999999999999997</v>
      </c>
      <c r="AC125" s="445">
        <v>615000</v>
      </c>
      <c r="AD125" s="450">
        <v>450</v>
      </c>
      <c r="AE125" s="445">
        <v>14400</v>
      </c>
      <c r="AF125" s="445">
        <v>500</v>
      </c>
      <c r="AG125" s="447">
        <v>1.17</v>
      </c>
      <c r="AH125" s="445">
        <v>3</v>
      </c>
      <c r="AI125" s="445">
        <v>4</v>
      </c>
      <c r="AJ125" s="445">
        <v>2</v>
      </c>
      <c r="AK125" s="445">
        <v>3</v>
      </c>
      <c r="AL125" s="2" t="s">
        <v>2260</v>
      </c>
      <c r="AM125" s="2" t="s">
        <v>2261</v>
      </c>
      <c r="AN125" s="2" t="s">
        <v>2373</v>
      </c>
      <c r="AO125" s="445">
        <v>10</v>
      </c>
      <c r="AP125" s="445">
        <v>20</v>
      </c>
      <c r="AQ125" s="445">
        <v>4</v>
      </c>
      <c r="AR125" s="445">
        <v>8</v>
      </c>
      <c r="AS125" s="445">
        <v>3</v>
      </c>
      <c r="AT125" s="445">
        <v>4</v>
      </c>
      <c r="AU125" s="445">
        <v>25</v>
      </c>
      <c r="AV125" s="445" t="str">
        <f t="shared" si="9"/>
        <v>Vàng:14000:MG01:3</v>
      </c>
      <c r="AW125" s="440">
        <v>180</v>
      </c>
      <c r="AX125" s="445">
        <v>12</v>
      </c>
      <c r="AY125" s="445">
        <v>4</v>
      </c>
      <c r="AZ125" s="450">
        <v>119</v>
      </c>
      <c r="BA125" s="31">
        <v>14000</v>
      </c>
      <c r="BB125" s="31">
        <v>3</v>
      </c>
      <c r="BC125" s="31">
        <f t="shared" si="7"/>
        <v>70000</v>
      </c>
    </row>
    <row r="126" spans="1:55" x14ac:dyDescent="0.25">
      <c r="A126" s="28" t="s">
        <v>2199</v>
      </c>
      <c r="B126" s="428">
        <v>124</v>
      </c>
      <c r="C126" s="13">
        <v>6</v>
      </c>
      <c r="D126" s="4">
        <v>18</v>
      </c>
      <c r="E126" s="451">
        <v>4800</v>
      </c>
      <c r="F126" s="445">
        <v>6</v>
      </c>
      <c r="G126" s="13">
        <v>12</v>
      </c>
      <c r="H126" s="13">
        <v>14</v>
      </c>
      <c r="I126" s="455" t="s">
        <v>2218</v>
      </c>
      <c r="J126" s="451">
        <v>1</v>
      </c>
      <c r="K126" s="445">
        <v>50</v>
      </c>
      <c r="L126" s="445">
        <v>50</v>
      </c>
      <c r="M126" s="445">
        <v>5</v>
      </c>
      <c r="N126" s="13">
        <v>40</v>
      </c>
      <c r="O126" s="446">
        <v>10</v>
      </c>
      <c r="P126" s="445">
        <v>90</v>
      </c>
      <c r="Q126" s="321">
        <v>6</v>
      </c>
      <c r="R126" s="23">
        <v>12</v>
      </c>
      <c r="S126" s="445">
        <v>10</v>
      </c>
      <c r="T126" s="445">
        <f t="shared" si="8"/>
        <v>90</v>
      </c>
      <c r="U126" s="447">
        <v>0.6</v>
      </c>
      <c r="V126" s="448">
        <v>2.04</v>
      </c>
      <c r="W126" s="449">
        <v>3.3000000000000003</v>
      </c>
      <c r="X126" s="448">
        <v>2.52</v>
      </c>
      <c r="Y126" s="448">
        <v>4.76</v>
      </c>
      <c r="Z126" s="448">
        <v>1.6</v>
      </c>
      <c r="AA126" s="448">
        <v>1.456</v>
      </c>
      <c r="AB126" s="448">
        <v>0.27999999999999997</v>
      </c>
      <c r="AC126" s="445">
        <v>620000</v>
      </c>
      <c r="AD126" s="450">
        <v>450</v>
      </c>
      <c r="AE126" s="445">
        <v>14400</v>
      </c>
      <c r="AF126" s="445">
        <v>500</v>
      </c>
      <c r="AG126" s="447">
        <v>1.17</v>
      </c>
      <c r="AH126" s="445">
        <v>3</v>
      </c>
      <c r="AI126" s="445">
        <v>4</v>
      </c>
      <c r="AJ126" s="445">
        <v>2</v>
      </c>
      <c r="AK126" s="445">
        <v>3</v>
      </c>
      <c r="AL126" s="2" t="s">
        <v>2260</v>
      </c>
      <c r="AM126" s="2" t="s">
        <v>2261</v>
      </c>
      <c r="AN126" s="2" t="s">
        <v>2373</v>
      </c>
      <c r="AO126" s="445">
        <v>10</v>
      </c>
      <c r="AP126" s="445">
        <v>20</v>
      </c>
      <c r="AQ126" s="445">
        <v>4</v>
      </c>
      <c r="AR126" s="445">
        <v>8</v>
      </c>
      <c r="AS126" s="445">
        <v>3</v>
      </c>
      <c r="AT126" s="445">
        <v>4</v>
      </c>
      <c r="AU126" s="445">
        <v>25</v>
      </c>
      <c r="AV126" s="445" t="str">
        <f t="shared" si="9"/>
        <v>Vàng:15000:MG01:3</v>
      </c>
      <c r="AW126" s="440">
        <v>180</v>
      </c>
      <c r="AX126" s="445">
        <v>12</v>
      </c>
      <c r="AY126" s="445">
        <v>4</v>
      </c>
      <c r="AZ126" s="450">
        <v>120</v>
      </c>
      <c r="BA126" s="31">
        <v>15000</v>
      </c>
      <c r="BB126" s="31">
        <v>3</v>
      </c>
      <c r="BC126" s="31">
        <f t="shared" si="7"/>
        <v>75000</v>
      </c>
    </row>
    <row r="127" spans="1:55" x14ac:dyDescent="0.25">
      <c r="A127" s="28" t="s">
        <v>2199</v>
      </c>
      <c r="B127" s="29">
        <v>125</v>
      </c>
      <c r="C127" s="13">
        <v>6</v>
      </c>
      <c r="D127" s="4">
        <v>18</v>
      </c>
      <c r="E127" s="451">
        <v>4800</v>
      </c>
      <c r="F127" s="445">
        <v>6</v>
      </c>
      <c r="G127" s="13">
        <v>12</v>
      </c>
      <c r="H127" s="13">
        <v>14</v>
      </c>
      <c r="I127" s="455" t="s">
        <v>2218</v>
      </c>
      <c r="J127" s="451">
        <v>1</v>
      </c>
      <c r="K127" s="445">
        <v>50</v>
      </c>
      <c r="L127" s="445">
        <v>50</v>
      </c>
      <c r="M127" s="445">
        <v>5</v>
      </c>
      <c r="N127" s="13">
        <v>40</v>
      </c>
      <c r="O127" s="446">
        <v>10</v>
      </c>
      <c r="P127" s="445">
        <v>90</v>
      </c>
      <c r="Q127" s="321">
        <v>6</v>
      </c>
      <c r="R127" s="23">
        <v>12</v>
      </c>
      <c r="S127" s="445">
        <v>10</v>
      </c>
      <c r="T127" s="445">
        <f t="shared" si="8"/>
        <v>90</v>
      </c>
      <c r="U127" s="447">
        <v>0.6</v>
      </c>
      <c r="V127" s="448">
        <v>2.04</v>
      </c>
      <c r="W127" s="449">
        <v>3.3000000000000003</v>
      </c>
      <c r="X127" s="448">
        <v>2.52</v>
      </c>
      <c r="Y127" s="448">
        <v>4.76</v>
      </c>
      <c r="Z127" s="448">
        <v>1.6</v>
      </c>
      <c r="AA127" s="448">
        <v>1.456</v>
      </c>
      <c r="AB127" s="448">
        <v>0.27999999999999997</v>
      </c>
      <c r="AC127" s="445">
        <v>625000</v>
      </c>
      <c r="AD127" s="450">
        <v>450</v>
      </c>
      <c r="AE127" s="445">
        <v>14400</v>
      </c>
      <c r="AF127" s="445">
        <v>500</v>
      </c>
      <c r="AG127" s="447">
        <v>1.17</v>
      </c>
      <c r="AH127" s="445">
        <v>3</v>
      </c>
      <c r="AI127" s="445">
        <v>4</v>
      </c>
      <c r="AJ127" s="445">
        <v>2</v>
      </c>
      <c r="AK127" s="445">
        <v>3</v>
      </c>
      <c r="AL127" s="2" t="s">
        <v>2260</v>
      </c>
      <c r="AM127" s="2" t="s">
        <v>2261</v>
      </c>
      <c r="AN127" s="2" t="s">
        <v>2373</v>
      </c>
      <c r="AO127" s="445">
        <v>10</v>
      </c>
      <c r="AP127" s="445">
        <v>20</v>
      </c>
      <c r="AQ127" s="445">
        <v>4</v>
      </c>
      <c r="AR127" s="445">
        <v>8</v>
      </c>
      <c r="AS127" s="445">
        <v>3</v>
      </c>
      <c r="AT127" s="445">
        <v>4</v>
      </c>
      <c r="AU127" s="445">
        <v>25</v>
      </c>
      <c r="AV127" s="445" t="str">
        <f t="shared" si="9"/>
        <v>Vàng:16000:MG01:3</v>
      </c>
      <c r="AW127" s="440">
        <v>180</v>
      </c>
      <c r="AX127" s="445">
        <v>12</v>
      </c>
      <c r="AY127" s="445">
        <v>4</v>
      </c>
      <c r="AZ127" s="450">
        <v>121</v>
      </c>
      <c r="BA127" s="31">
        <v>16000</v>
      </c>
      <c r="BB127" s="31">
        <v>3</v>
      </c>
      <c r="BC127" s="31">
        <f t="shared" si="7"/>
        <v>80000</v>
      </c>
    </row>
    <row r="128" spans="1:55" x14ac:dyDescent="0.25">
      <c r="A128" s="28" t="s">
        <v>2199</v>
      </c>
      <c r="B128" s="428">
        <v>126</v>
      </c>
      <c r="C128" s="13">
        <v>6</v>
      </c>
      <c r="D128" s="4">
        <v>18</v>
      </c>
      <c r="E128" s="451">
        <v>4800</v>
      </c>
      <c r="F128" s="445">
        <v>6</v>
      </c>
      <c r="G128" s="13">
        <v>12</v>
      </c>
      <c r="H128" s="13">
        <v>14</v>
      </c>
      <c r="I128" s="455" t="s">
        <v>2218</v>
      </c>
      <c r="J128" s="451">
        <v>1</v>
      </c>
      <c r="K128" s="445">
        <v>50</v>
      </c>
      <c r="L128" s="445">
        <v>50</v>
      </c>
      <c r="M128" s="445">
        <v>5</v>
      </c>
      <c r="N128" s="13">
        <v>40</v>
      </c>
      <c r="O128" s="446">
        <v>10</v>
      </c>
      <c r="P128" s="445">
        <v>90</v>
      </c>
      <c r="Q128" s="321">
        <v>6</v>
      </c>
      <c r="R128" s="23">
        <v>12</v>
      </c>
      <c r="S128" s="445">
        <v>10</v>
      </c>
      <c r="T128" s="445">
        <f t="shared" si="8"/>
        <v>90</v>
      </c>
      <c r="U128" s="447">
        <v>0.6</v>
      </c>
      <c r="V128" s="448">
        <v>2.04</v>
      </c>
      <c r="W128" s="449">
        <v>3.3000000000000003</v>
      </c>
      <c r="X128" s="448">
        <v>2.52</v>
      </c>
      <c r="Y128" s="448">
        <v>4.76</v>
      </c>
      <c r="Z128" s="448">
        <v>1.6</v>
      </c>
      <c r="AA128" s="448">
        <v>1.456</v>
      </c>
      <c r="AB128" s="448">
        <v>0.27999999999999997</v>
      </c>
      <c r="AC128" s="445">
        <v>630000</v>
      </c>
      <c r="AD128" s="450">
        <v>450</v>
      </c>
      <c r="AE128" s="445">
        <v>14400</v>
      </c>
      <c r="AF128" s="445">
        <v>500</v>
      </c>
      <c r="AG128" s="447">
        <v>1.17</v>
      </c>
      <c r="AH128" s="445">
        <v>3</v>
      </c>
      <c r="AI128" s="445">
        <v>4</v>
      </c>
      <c r="AJ128" s="445">
        <v>2</v>
      </c>
      <c r="AK128" s="445">
        <v>3</v>
      </c>
      <c r="AL128" s="2" t="s">
        <v>2260</v>
      </c>
      <c r="AM128" s="2" t="s">
        <v>2261</v>
      </c>
      <c r="AN128" s="2" t="s">
        <v>2374</v>
      </c>
      <c r="AO128" s="445">
        <v>10</v>
      </c>
      <c r="AP128" s="445">
        <v>20</v>
      </c>
      <c r="AQ128" s="445">
        <v>4</v>
      </c>
      <c r="AR128" s="445">
        <v>8</v>
      </c>
      <c r="AS128" s="445">
        <v>3</v>
      </c>
      <c r="AT128" s="445">
        <v>4</v>
      </c>
      <c r="AU128" s="445">
        <v>25</v>
      </c>
      <c r="AV128" s="445" t="str">
        <f t="shared" si="9"/>
        <v>Vàng:17000:MG01:3</v>
      </c>
      <c r="AW128" s="440">
        <v>180</v>
      </c>
      <c r="AX128" s="445">
        <v>12</v>
      </c>
      <c r="AY128" s="445">
        <v>5</v>
      </c>
      <c r="AZ128" s="450">
        <v>122</v>
      </c>
      <c r="BA128" s="31">
        <v>17000</v>
      </c>
      <c r="BB128" s="31">
        <v>3</v>
      </c>
      <c r="BC128" s="31">
        <f t="shared" si="7"/>
        <v>85000</v>
      </c>
    </row>
    <row r="129" spans="1:55" x14ac:dyDescent="0.25">
      <c r="A129" s="28" t="s">
        <v>2199</v>
      </c>
      <c r="B129" s="29">
        <v>127</v>
      </c>
      <c r="C129" s="13">
        <v>6</v>
      </c>
      <c r="D129" s="4">
        <v>18</v>
      </c>
      <c r="E129" s="451">
        <v>4800</v>
      </c>
      <c r="F129" s="445">
        <v>6</v>
      </c>
      <c r="G129" s="13">
        <v>12</v>
      </c>
      <c r="H129" s="13">
        <v>14</v>
      </c>
      <c r="I129" s="455" t="s">
        <v>2218</v>
      </c>
      <c r="J129" s="451">
        <v>1</v>
      </c>
      <c r="K129" s="445">
        <v>50</v>
      </c>
      <c r="L129" s="445">
        <v>50</v>
      </c>
      <c r="M129" s="445">
        <v>5</v>
      </c>
      <c r="N129" s="13">
        <v>40</v>
      </c>
      <c r="O129" s="446">
        <v>10</v>
      </c>
      <c r="P129" s="445">
        <v>90</v>
      </c>
      <c r="Q129" s="321">
        <v>6</v>
      </c>
      <c r="R129" s="23">
        <v>12</v>
      </c>
      <c r="S129" s="445">
        <v>10</v>
      </c>
      <c r="T129" s="445">
        <f t="shared" si="8"/>
        <v>90</v>
      </c>
      <c r="U129" s="447">
        <v>0.6</v>
      </c>
      <c r="V129" s="448">
        <v>2.04</v>
      </c>
      <c r="W129" s="449">
        <v>3.3000000000000003</v>
      </c>
      <c r="X129" s="448">
        <v>2.52</v>
      </c>
      <c r="Y129" s="448">
        <v>4.76</v>
      </c>
      <c r="Z129" s="448">
        <v>1.6</v>
      </c>
      <c r="AA129" s="448">
        <v>1.456</v>
      </c>
      <c r="AB129" s="448">
        <v>0.27999999999999997</v>
      </c>
      <c r="AC129" s="445">
        <v>635000</v>
      </c>
      <c r="AD129" s="450">
        <v>450</v>
      </c>
      <c r="AE129" s="445">
        <v>14400</v>
      </c>
      <c r="AF129" s="445">
        <v>500</v>
      </c>
      <c r="AG129" s="447">
        <v>1.17</v>
      </c>
      <c r="AH129" s="445">
        <v>3</v>
      </c>
      <c r="AI129" s="445">
        <v>4</v>
      </c>
      <c r="AJ129" s="445">
        <v>2</v>
      </c>
      <c r="AK129" s="445">
        <v>3</v>
      </c>
      <c r="AL129" s="2" t="s">
        <v>2260</v>
      </c>
      <c r="AM129" s="2" t="s">
        <v>2261</v>
      </c>
      <c r="AN129" s="2" t="s">
        <v>2374</v>
      </c>
      <c r="AO129" s="445">
        <v>10</v>
      </c>
      <c r="AP129" s="445">
        <v>20</v>
      </c>
      <c r="AQ129" s="445">
        <v>4</v>
      </c>
      <c r="AR129" s="445">
        <v>8</v>
      </c>
      <c r="AS129" s="445">
        <v>3</v>
      </c>
      <c r="AT129" s="445">
        <v>4</v>
      </c>
      <c r="AU129" s="445">
        <v>25</v>
      </c>
      <c r="AV129" s="445" t="str">
        <f t="shared" si="9"/>
        <v>Vàng:18000:MG01:3</v>
      </c>
      <c r="AW129" s="440">
        <v>180</v>
      </c>
      <c r="AX129" s="445">
        <v>12</v>
      </c>
      <c r="AY129" s="445">
        <v>5</v>
      </c>
      <c r="AZ129" s="450">
        <v>123</v>
      </c>
      <c r="BA129" s="31">
        <v>18000</v>
      </c>
      <c r="BB129" s="31">
        <v>3</v>
      </c>
      <c r="BC129" s="31">
        <f t="shared" si="7"/>
        <v>90000</v>
      </c>
    </row>
    <row r="130" spans="1:55" x14ac:dyDescent="0.25">
      <c r="A130" s="28" t="s">
        <v>2199</v>
      </c>
      <c r="B130" s="428">
        <v>128</v>
      </c>
      <c r="C130" s="13">
        <v>6</v>
      </c>
      <c r="D130" s="4">
        <v>18</v>
      </c>
      <c r="E130" s="451">
        <v>4800</v>
      </c>
      <c r="F130" s="445">
        <v>6</v>
      </c>
      <c r="G130" s="13">
        <v>12</v>
      </c>
      <c r="H130" s="13">
        <v>14</v>
      </c>
      <c r="I130" s="455" t="s">
        <v>2218</v>
      </c>
      <c r="J130" s="451">
        <v>1</v>
      </c>
      <c r="K130" s="445">
        <v>50</v>
      </c>
      <c r="L130" s="445">
        <v>50</v>
      </c>
      <c r="M130" s="445">
        <v>5</v>
      </c>
      <c r="N130" s="13">
        <v>40</v>
      </c>
      <c r="O130" s="446">
        <v>10</v>
      </c>
      <c r="P130" s="445">
        <v>90</v>
      </c>
      <c r="Q130" s="321">
        <v>6</v>
      </c>
      <c r="R130" s="23">
        <v>12</v>
      </c>
      <c r="S130" s="445">
        <v>10</v>
      </c>
      <c r="T130" s="445">
        <f t="shared" si="8"/>
        <v>90</v>
      </c>
      <c r="U130" s="447">
        <v>0.6</v>
      </c>
      <c r="V130" s="448">
        <v>2.04</v>
      </c>
      <c r="W130" s="449">
        <v>3.3000000000000003</v>
      </c>
      <c r="X130" s="448">
        <v>2.52</v>
      </c>
      <c r="Y130" s="448">
        <v>4.76</v>
      </c>
      <c r="Z130" s="448">
        <v>1.6</v>
      </c>
      <c r="AA130" s="448">
        <v>1.456</v>
      </c>
      <c r="AB130" s="457">
        <v>0.13999999999999999</v>
      </c>
      <c r="AC130" s="445">
        <v>640000</v>
      </c>
      <c r="AD130" s="450">
        <v>450</v>
      </c>
      <c r="AE130" s="445">
        <v>14400</v>
      </c>
      <c r="AF130" s="445">
        <v>500</v>
      </c>
      <c r="AG130" s="447">
        <v>1.17</v>
      </c>
      <c r="AH130" s="445">
        <v>3</v>
      </c>
      <c r="AI130" s="445">
        <v>4</v>
      </c>
      <c r="AJ130" s="445">
        <v>2</v>
      </c>
      <c r="AK130" s="445">
        <v>3</v>
      </c>
      <c r="AL130" s="2" t="s">
        <v>2260</v>
      </c>
      <c r="AM130" s="2" t="s">
        <v>2261</v>
      </c>
      <c r="AN130" s="2" t="s">
        <v>2374</v>
      </c>
      <c r="AO130" s="445">
        <v>10</v>
      </c>
      <c r="AP130" s="445">
        <v>20</v>
      </c>
      <c r="AQ130" s="445">
        <v>4</v>
      </c>
      <c r="AR130" s="445">
        <v>8</v>
      </c>
      <c r="AS130" s="445">
        <v>3</v>
      </c>
      <c r="AT130" s="445">
        <v>4</v>
      </c>
      <c r="AU130" s="445">
        <v>25</v>
      </c>
      <c r="AV130" s="445" t="str">
        <f t="shared" si="9"/>
        <v>Vàng:19000:MG01:3</v>
      </c>
      <c r="AW130" s="440">
        <v>180</v>
      </c>
      <c r="AX130" s="445">
        <v>12</v>
      </c>
      <c r="AY130" s="445">
        <v>5</v>
      </c>
      <c r="AZ130" s="450">
        <v>124</v>
      </c>
      <c r="BA130" s="31">
        <v>19000</v>
      </c>
      <c r="BB130" s="31">
        <v>3</v>
      </c>
      <c r="BC130" s="31">
        <f t="shared" si="7"/>
        <v>95000</v>
      </c>
    </row>
    <row r="131" spans="1:55" x14ac:dyDescent="0.25">
      <c r="A131" s="28" t="s">
        <v>2199</v>
      </c>
      <c r="B131" s="29">
        <v>129</v>
      </c>
      <c r="C131" s="13">
        <v>6</v>
      </c>
      <c r="D131" s="4">
        <v>18</v>
      </c>
      <c r="E131" s="451">
        <v>4800</v>
      </c>
      <c r="F131" s="445">
        <v>6</v>
      </c>
      <c r="G131" s="13">
        <v>12</v>
      </c>
      <c r="H131" s="13">
        <v>14</v>
      </c>
      <c r="I131" s="455" t="s">
        <v>2218</v>
      </c>
      <c r="J131" s="451">
        <v>1</v>
      </c>
      <c r="K131" s="445">
        <v>50</v>
      </c>
      <c r="L131" s="445">
        <v>50</v>
      </c>
      <c r="M131" s="445">
        <v>5</v>
      </c>
      <c r="N131" s="13">
        <v>40</v>
      </c>
      <c r="O131" s="446">
        <v>10</v>
      </c>
      <c r="P131" s="445">
        <v>90</v>
      </c>
      <c r="Q131" s="321">
        <v>6</v>
      </c>
      <c r="R131" s="23">
        <v>12</v>
      </c>
      <c r="S131" s="445">
        <v>10</v>
      </c>
      <c r="T131" s="445">
        <f t="shared" si="8"/>
        <v>90</v>
      </c>
      <c r="U131" s="447">
        <v>0.6</v>
      </c>
      <c r="V131" s="448">
        <v>2.04</v>
      </c>
      <c r="W131" s="449">
        <v>3.3000000000000003</v>
      </c>
      <c r="X131" s="448">
        <v>2.52</v>
      </c>
      <c r="Y131" s="448">
        <v>4.76</v>
      </c>
      <c r="Z131" s="448">
        <v>1.6</v>
      </c>
      <c r="AA131" s="448">
        <v>1.456</v>
      </c>
      <c r="AB131" s="448">
        <v>0.13999999999999999</v>
      </c>
      <c r="AC131" s="445">
        <v>645000</v>
      </c>
      <c r="AD131" s="450">
        <v>450</v>
      </c>
      <c r="AE131" s="445">
        <v>14400</v>
      </c>
      <c r="AF131" s="445">
        <v>500</v>
      </c>
      <c r="AG131" s="447">
        <v>1.17</v>
      </c>
      <c r="AH131" s="445">
        <v>3</v>
      </c>
      <c r="AI131" s="445">
        <v>4</v>
      </c>
      <c r="AJ131" s="445">
        <v>2</v>
      </c>
      <c r="AK131" s="445">
        <v>3</v>
      </c>
      <c r="AL131" s="2" t="s">
        <v>2260</v>
      </c>
      <c r="AM131" s="2" t="s">
        <v>2261</v>
      </c>
      <c r="AN131" s="2" t="s">
        <v>2374</v>
      </c>
      <c r="AO131" s="445">
        <v>10</v>
      </c>
      <c r="AP131" s="445">
        <v>20</v>
      </c>
      <c r="AQ131" s="445">
        <v>4</v>
      </c>
      <c r="AR131" s="445">
        <v>8</v>
      </c>
      <c r="AS131" s="445">
        <v>3</v>
      </c>
      <c r="AT131" s="445">
        <v>4</v>
      </c>
      <c r="AU131" s="445">
        <v>25</v>
      </c>
      <c r="AV131" s="445" t="str">
        <f t="shared" si="9"/>
        <v>Vàng:20000:MG01:3</v>
      </c>
      <c r="AW131" s="440">
        <v>180</v>
      </c>
      <c r="AX131" s="445">
        <v>12</v>
      </c>
      <c r="AY131" s="445">
        <v>5</v>
      </c>
      <c r="AZ131" s="450">
        <v>125</v>
      </c>
      <c r="BA131" s="31">
        <v>20000</v>
      </c>
      <c r="BB131" s="31">
        <v>3</v>
      </c>
      <c r="BC131" s="31">
        <f t="shared" ref="BC131:BC194" si="10">BA131*$BC$1</f>
        <v>100000</v>
      </c>
    </row>
    <row r="132" spans="1:55" x14ac:dyDescent="0.25">
      <c r="A132" s="28" t="s">
        <v>2199</v>
      </c>
      <c r="B132" s="428">
        <v>130</v>
      </c>
      <c r="C132" s="13">
        <v>6</v>
      </c>
      <c r="D132" s="4">
        <v>18</v>
      </c>
      <c r="E132" s="451">
        <v>4800</v>
      </c>
      <c r="F132" s="445">
        <v>6</v>
      </c>
      <c r="G132" s="13">
        <v>12</v>
      </c>
      <c r="H132" s="13">
        <v>14</v>
      </c>
      <c r="I132" s="455" t="s">
        <v>2218</v>
      </c>
      <c r="J132" s="451">
        <v>1</v>
      </c>
      <c r="K132" s="445">
        <v>50</v>
      </c>
      <c r="L132" s="445">
        <v>50</v>
      </c>
      <c r="M132" s="445">
        <v>5</v>
      </c>
      <c r="N132" s="13">
        <v>40</v>
      </c>
      <c r="O132" s="446">
        <v>10</v>
      </c>
      <c r="P132" s="445">
        <v>90</v>
      </c>
      <c r="Q132" s="321">
        <v>6</v>
      </c>
      <c r="R132" s="23">
        <v>12</v>
      </c>
      <c r="S132" s="445">
        <v>10</v>
      </c>
      <c r="T132" s="445">
        <f t="shared" si="8"/>
        <v>90</v>
      </c>
      <c r="U132" s="447">
        <v>0.6</v>
      </c>
      <c r="V132" s="448">
        <v>2.04</v>
      </c>
      <c r="W132" s="449">
        <v>3.3000000000000003</v>
      </c>
      <c r="X132" s="448">
        <v>2.52</v>
      </c>
      <c r="Y132" s="448">
        <v>4.76</v>
      </c>
      <c r="Z132" s="448">
        <v>1.6</v>
      </c>
      <c r="AA132" s="448">
        <v>1.456</v>
      </c>
      <c r="AB132" s="448">
        <v>0.13999999999999999</v>
      </c>
      <c r="AC132" s="445">
        <v>650000</v>
      </c>
      <c r="AD132" s="450">
        <v>450</v>
      </c>
      <c r="AE132" s="445">
        <v>14400</v>
      </c>
      <c r="AF132" s="445">
        <v>500</v>
      </c>
      <c r="AG132" s="447">
        <v>1.17</v>
      </c>
      <c r="AH132" s="445">
        <v>3</v>
      </c>
      <c r="AI132" s="445">
        <v>4</v>
      </c>
      <c r="AJ132" s="445">
        <v>2</v>
      </c>
      <c r="AK132" s="445">
        <v>3</v>
      </c>
      <c r="AL132" s="2" t="s">
        <v>2260</v>
      </c>
      <c r="AM132" s="2" t="s">
        <v>2261</v>
      </c>
      <c r="AN132" s="2" t="s">
        <v>2374</v>
      </c>
      <c r="AO132" s="445">
        <v>10</v>
      </c>
      <c r="AP132" s="445">
        <v>20</v>
      </c>
      <c r="AQ132" s="445">
        <v>4</v>
      </c>
      <c r="AR132" s="445">
        <v>8</v>
      </c>
      <c r="AS132" s="445">
        <v>3</v>
      </c>
      <c r="AT132" s="445">
        <v>4</v>
      </c>
      <c r="AU132" s="445">
        <v>25</v>
      </c>
      <c r="AV132" s="445" t="str">
        <f t="shared" si="9"/>
        <v>Vàng:21000:MG01:3</v>
      </c>
      <c r="AW132" s="440">
        <v>180</v>
      </c>
      <c r="AX132" s="445">
        <v>12</v>
      </c>
      <c r="AY132" s="445">
        <v>5</v>
      </c>
      <c r="AZ132" s="450">
        <v>126</v>
      </c>
      <c r="BA132" s="31">
        <v>21000</v>
      </c>
      <c r="BB132" s="31">
        <v>3</v>
      </c>
      <c r="BC132" s="31">
        <f t="shared" si="10"/>
        <v>105000</v>
      </c>
    </row>
    <row r="133" spans="1:55" x14ac:dyDescent="0.25">
      <c r="A133" s="28" t="s">
        <v>2199</v>
      </c>
      <c r="B133" s="29">
        <v>131</v>
      </c>
      <c r="C133" s="13">
        <v>6</v>
      </c>
      <c r="D133" s="4">
        <v>18</v>
      </c>
      <c r="E133" s="451">
        <v>5400</v>
      </c>
      <c r="F133" s="445">
        <v>6</v>
      </c>
      <c r="G133" s="13">
        <v>12</v>
      </c>
      <c r="H133" s="13">
        <v>14</v>
      </c>
      <c r="I133" s="455" t="s">
        <v>2218</v>
      </c>
      <c r="J133" s="451">
        <v>1</v>
      </c>
      <c r="K133" s="445">
        <v>50</v>
      </c>
      <c r="L133" s="445">
        <v>50</v>
      </c>
      <c r="M133" s="445">
        <v>5</v>
      </c>
      <c r="N133" s="13">
        <v>40</v>
      </c>
      <c r="O133" s="446">
        <v>10</v>
      </c>
      <c r="P133" s="445">
        <v>90</v>
      </c>
      <c r="Q133" s="321">
        <v>6</v>
      </c>
      <c r="R133" s="23">
        <v>12</v>
      </c>
      <c r="S133" s="445">
        <v>10</v>
      </c>
      <c r="T133" s="445">
        <f t="shared" si="8"/>
        <v>90</v>
      </c>
      <c r="U133" s="447">
        <v>0.6</v>
      </c>
      <c r="V133" s="448">
        <v>2.04</v>
      </c>
      <c r="W133" s="449">
        <v>3.3000000000000003</v>
      </c>
      <c r="X133" s="448">
        <v>2.52</v>
      </c>
      <c r="Y133" s="448">
        <v>4.76</v>
      </c>
      <c r="Z133" s="448">
        <v>1.6</v>
      </c>
      <c r="AA133" s="448">
        <v>1.456</v>
      </c>
      <c r="AB133" s="448">
        <v>0.13999999999999999</v>
      </c>
      <c r="AC133" s="445">
        <v>655000</v>
      </c>
      <c r="AD133" s="450">
        <v>450</v>
      </c>
      <c r="AE133" s="445">
        <v>14400</v>
      </c>
      <c r="AF133" s="445">
        <v>500</v>
      </c>
      <c r="AG133" s="447">
        <v>1.17</v>
      </c>
      <c r="AH133" s="445">
        <v>3</v>
      </c>
      <c r="AI133" s="445">
        <v>4</v>
      </c>
      <c r="AJ133" s="445">
        <v>2</v>
      </c>
      <c r="AK133" s="445">
        <v>3</v>
      </c>
      <c r="AL133" s="2" t="s">
        <v>2260</v>
      </c>
      <c r="AM133" s="2" t="s">
        <v>2261</v>
      </c>
      <c r="AN133" s="2" t="s">
        <v>2375</v>
      </c>
      <c r="AO133" s="445">
        <v>10</v>
      </c>
      <c r="AP133" s="445">
        <v>20</v>
      </c>
      <c r="AQ133" s="445">
        <v>4</v>
      </c>
      <c r="AR133" s="445">
        <v>8</v>
      </c>
      <c r="AS133" s="445">
        <v>3</v>
      </c>
      <c r="AT133" s="445">
        <v>4</v>
      </c>
      <c r="AU133" s="445">
        <v>25</v>
      </c>
      <c r="AV133" s="445" t="str">
        <f t="shared" si="9"/>
        <v>Vàng:22000:MG01:3</v>
      </c>
      <c r="AW133" s="440">
        <v>180</v>
      </c>
      <c r="AX133" s="445">
        <v>12</v>
      </c>
      <c r="AY133" s="445">
        <v>5</v>
      </c>
      <c r="AZ133" s="450">
        <v>127</v>
      </c>
      <c r="BA133" s="31">
        <v>22000</v>
      </c>
      <c r="BB133" s="31">
        <v>3</v>
      </c>
      <c r="BC133" s="31">
        <f t="shared" si="10"/>
        <v>110000</v>
      </c>
    </row>
    <row r="134" spans="1:55" x14ac:dyDescent="0.25">
      <c r="A134" s="28" t="s">
        <v>2199</v>
      </c>
      <c r="B134" s="428">
        <v>132</v>
      </c>
      <c r="C134" s="13">
        <v>6</v>
      </c>
      <c r="D134" s="4">
        <v>18</v>
      </c>
      <c r="E134" s="451">
        <v>5400</v>
      </c>
      <c r="F134" s="445">
        <v>6</v>
      </c>
      <c r="G134" s="13">
        <v>12</v>
      </c>
      <c r="H134" s="13">
        <v>14</v>
      </c>
      <c r="I134" s="455" t="s">
        <v>2218</v>
      </c>
      <c r="J134" s="451">
        <v>1</v>
      </c>
      <c r="K134" s="445">
        <v>50</v>
      </c>
      <c r="L134" s="445">
        <v>50</v>
      </c>
      <c r="M134" s="445">
        <v>5</v>
      </c>
      <c r="N134" s="13">
        <v>40</v>
      </c>
      <c r="O134" s="446">
        <v>10</v>
      </c>
      <c r="P134" s="445">
        <v>90</v>
      </c>
      <c r="Q134" s="321">
        <v>6</v>
      </c>
      <c r="R134" s="23">
        <v>12</v>
      </c>
      <c r="S134" s="445">
        <v>10</v>
      </c>
      <c r="T134" s="445">
        <f t="shared" ref="T134:T197" si="11">100-S134</f>
        <v>90</v>
      </c>
      <c r="U134" s="447">
        <v>0.6</v>
      </c>
      <c r="V134" s="448">
        <v>2.04</v>
      </c>
      <c r="W134" s="449">
        <v>3.3000000000000003</v>
      </c>
      <c r="X134" s="448">
        <v>2.52</v>
      </c>
      <c r="Y134" s="448">
        <v>4.76</v>
      </c>
      <c r="Z134" s="448">
        <v>1.6</v>
      </c>
      <c r="AA134" s="448">
        <v>1.456</v>
      </c>
      <c r="AB134" s="448">
        <v>0.13999999999999999</v>
      </c>
      <c r="AC134" s="445">
        <v>660000</v>
      </c>
      <c r="AD134" s="450">
        <v>450</v>
      </c>
      <c r="AE134" s="445">
        <v>14400</v>
      </c>
      <c r="AF134" s="445">
        <v>500</v>
      </c>
      <c r="AG134" s="447">
        <v>1.17</v>
      </c>
      <c r="AH134" s="445">
        <v>3</v>
      </c>
      <c r="AI134" s="445">
        <v>4</v>
      </c>
      <c r="AJ134" s="445">
        <v>2</v>
      </c>
      <c r="AK134" s="445">
        <v>3</v>
      </c>
      <c r="AL134" s="2" t="s">
        <v>2260</v>
      </c>
      <c r="AM134" s="2" t="s">
        <v>2261</v>
      </c>
      <c r="AN134" s="2" t="s">
        <v>2375</v>
      </c>
      <c r="AO134" s="445">
        <v>10</v>
      </c>
      <c r="AP134" s="445">
        <v>20</v>
      </c>
      <c r="AQ134" s="445">
        <v>4</v>
      </c>
      <c r="AR134" s="445">
        <v>8</v>
      </c>
      <c r="AS134" s="445">
        <v>3</v>
      </c>
      <c r="AT134" s="445">
        <v>4</v>
      </c>
      <c r="AU134" s="445">
        <v>25</v>
      </c>
      <c r="AV134" s="445" t="str">
        <f t="shared" si="9"/>
        <v>Vàng:23000:MG01:3</v>
      </c>
      <c r="AW134" s="440">
        <v>180</v>
      </c>
      <c r="AX134" s="445">
        <v>12</v>
      </c>
      <c r="AY134" s="445">
        <v>5</v>
      </c>
      <c r="AZ134" s="450">
        <v>128</v>
      </c>
      <c r="BA134" s="31">
        <v>23000</v>
      </c>
      <c r="BB134" s="31">
        <v>3</v>
      </c>
      <c r="BC134" s="31">
        <f t="shared" si="10"/>
        <v>115000</v>
      </c>
    </row>
    <row r="135" spans="1:55" x14ac:dyDescent="0.25">
      <c r="A135" s="28" t="s">
        <v>2199</v>
      </c>
      <c r="B135" s="29">
        <v>133</v>
      </c>
      <c r="C135" s="13">
        <v>6</v>
      </c>
      <c r="D135" s="4">
        <v>18</v>
      </c>
      <c r="E135" s="451">
        <v>5400</v>
      </c>
      <c r="F135" s="445">
        <v>6</v>
      </c>
      <c r="G135" s="13">
        <v>12</v>
      </c>
      <c r="H135" s="13">
        <v>14</v>
      </c>
      <c r="I135" s="455" t="s">
        <v>2218</v>
      </c>
      <c r="J135" s="451">
        <v>1</v>
      </c>
      <c r="K135" s="445">
        <v>50</v>
      </c>
      <c r="L135" s="445">
        <v>50</v>
      </c>
      <c r="M135" s="445">
        <v>5</v>
      </c>
      <c r="N135" s="13">
        <v>40</v>
      </c>
      <c r="O135" s="446">
        <v>10</v>
      </c>
      <c r="P135" s="445">
        <v>90</v>
      </c>
      <c r="Q135" s="321">
        <v>6</v>
      </c>
      <c r="R135" s="23">
        <v>12</v>
      </c>
      <c r="S135" s="445">
        <v>10</v>
      </c>
      <c r="T135" s="445">
        <f t="shared" si="11"/>
        <v>90</v>
      </c>
      <c r="U135" s="447">
        <v>0.6</v>
      </c>
      <c r="V135" s="448">
        <v>2.04</v>
      </c>
      <c r="W135" s="449">
        <v>3.3000000000000003</v>
      </c>
      <c r="X135" s="448">
        <v>2.52</v>
      </c>
      <c r="Y135" s="448">
        <v>4.76</v>
      </c>
      <c r="Z135" s="448">
        <v>1.6</v>
      </c>
      <c r="AA135" s="448">
        <v>1.456</v>
      </c>
      <c r="AB135" s="448">
        <v>0.13999999999999999</v>
      </c>
      <c r="AC135" s="445">
        <v>665000</v>
      </c>
      <c r="AD135" s="450">
        <v>450</v>
      </c>
      <c r="AE135" s="445">
        <v>14400</v>
      </c>
      <c r="AF135" s="445">
        <v>500</v>
      </c>
      <c r="AG135" s="447">
        <v>1.17</v>
      </c>
      <c r="AH135" s="445">
        <v>3</v>
      </c>
      <c r="AI135" s="445">
        <v>4</v>
      </c>
      <c r="AJ135" s="445">
        <v>2</v>
      </c>
      <c r="AK135" s="445">
        <v>3</v>
      </c>
      <c r="AL135" s="2" t="s">
        <v>2260</v>
      </c>
      <c r="AM135" s="2" t="s">
        <v>2261</v>
      </c>
      <c r="AN135" s="2" t="s">
        <v>2375</v>
      </c>
      <c r="AO135" s="445">
        <v>10</v>
      </c>
      <c r="AP135" s="445">
        <v>20</v>
      </c>
      <c r="AQ135" s="445">
        <v>4</v>
      </c>
      <c r="AR135" s="445">
        <v>8</v>
      </c>
      <c r="AS135" s="445">
        <v>3</v>
      </c>
      <c r="AT135" s="445">
        <v>4</v>
      </c>
      <c r="AU135" s="445">
        <v>25</v>
      </c>
      <c r="AV135" s="445" t="str">
        <f t="shared" si="9"/>
        <v>Vàng:24000:MG01:3</v>
      </c>
      <c r="AW135" s="440">
        <v>180</v>
      </c>
      <c r="AX135" s="445">
        <v>12</v>
      </c>
      <c r="AY135" s="445">
        <v>5</v>
      </c>
      <c r="AZ135" s="450">
        <v>129</v>
      </c>
      <c r="BA135" s="31">
        <v>24000</v>
      </c>
      <c r="BB135" s="31">
        <v>3</v>
      </c>
      <c r="BC135" s="31">
        <f t="shared" si="10"/>
        <v>120000</v>
      </c>
    </row>
    <row r="136" spans="1:55" x14ac:dyDescent="0.25">
      <c r="A136" s="28" t="s">
        <v>2199</v>
      </c>
      <c r="B136" s="428">
        <v>134</v>
      </c>
      <c r="C136" s="13">
        <v>6</v>
      </c>
      <c r="D136" s="4">
        <v>18</v>
      </c>
      <c r="E136" s="451">
        <v>5400</v>
      </c>
      <c r="F136" s="445">
        <v>6</v>
      </c>
      <c r="G136" s="13">
        <v>12</v>
      </c>
      <c r="H136" s="13">
        <v>14</v>
      </c>
      <c r="I136" s="455" t="s">
        <v>2218</v>
      </c>
      <c r="J136" s="451">
        <v>1</v>
      </c>
      <c r="K136" s="445">
        <v>50</v>
      </c>
      <c r="L136" s="445">
        <v>50</v>
      </c>
      <c r="M136" s="445">
        <v>5</v>
      </c>
      <c r="N136" s="13">
        <v>40</v>
      </c>
      <c r="O136" s="446">
        <v>10</v>
      </c>
      <c r="P136" s="445">
        <v>90</v>
      </c>
      <c r="Q136" s="321">
        <v>6</v>
      </c>
      <c r="R136" s="23">
        <v>12</v>
      </c>
      <c r="S136" s="445">
        <v>10</v>
      </c>
      <c r="T136" s="445">
        <f t="shared" si="11"/>
        <v>90</v>
      </c>
      <c r="U136" s="447">
        <v>0.6</v>
      </c>
      <c r="V136" s="448">
        <v>2.04</v>
      </c>
      <c r="W136" s="449">
        <v>3.3000000000000003</v>
      </c>
      <c r="X136" s="448">
        <v>2.52</v>
      </c>
      <c r="Y136" s="448">
        <v>4.76</v>
      </c>
      <c r="Z136" s="448">
        <v>1.6</v>
      </c>
      <c r="AA136" s="448">
        <v>1.456</v>
      </c>
      <c r="AB136" s="448">
        <v>0.13999999999999999</v>
      </c>
      <c r="AC136" s="445">
        <v>670000</v>
      </c>
      <c r="AD136" s="450">
        <v>450</v>
      </c>
      <c r="AE136" s="445">
        <v>14400</v>
      </c>
      <c r="AF136" s="445">
        <v>500</v>
      </c>
      <c r="AG136" s="447">
        <v>1.17</v>
      </c>
      <c r="AH136" s="445">
        <v>3</v>
      </c>
      <c r="AI136" s="445">
        <v>4</v>
      </c>
      <c r="AJ136" s="445">
        <v>2</v>
      </c>
      <c r="AK136" s="445">
        <v>3</v>
      </c>
      <c r="AL136" s="2" t="s">
        <v>2260</v>
      </c>
      <c r="AM136" s="2" t="s">
        <v>2261</v>
      </c>
      <c r="AN136" s="2" t="s">
        <v>2375</v>
      </c>
      <c r="AO136" s="445">
        <v>10</v>
      </c>
      <c r="AP136" s="445">
        <v>20</v>
      </c>
      <c r="AQ136" s="445">
        <v>4</v>
      </c>
      <c r="AR136" s="445">
        <v>8</v>
      </c>
      <c r="AS136" s="445">
        <v>3</v>
      </c>
      <c r="AT136" s="445">
        <v>4</v>
      </c>
      <c r="AU136" s="445">
        <v>25</v>
      </c>
      <c r="AV136" s="445" t="str">
        <f t="shared" si="9"/>
        <v>Vàng:25000:MG01:3</v>
      </c>
      <c r="AW136" s="440">
        <v>180</v>
      </c>
      <c r="AX136" s="445">
        <v>12</v>
      </c>
      <c r="AY136" s="445">
        <v>5</v>
      </c>
      <c r="AZ136" s="450">
        <v>130</v>
      </c>
      <c r="BA136" s="31">
        <v>25000</v>
      </c>
      <c r="BB136" s="31">
        <v>3</v>
      </c>
      <c r="BC136" s="31">
        <f t="shared" si="10"/>
        <v>125000</v>
      </c>
    </row>
    <row r="137" spans="1:55" x14ac:dyDescent="0.25">
      <c r="A137" s="28" t="s">
        <v>2199</v>
      </c>
      <c r="B137" s="29">
        <v>135</v>
      </c>
      <c r="C137" s="13">
        <v>6</v>
      </c>
      <c r="D137" s="4">
        <v>18</v>
      </c>
      <c r="E137" s="451">
        <v>5400</v>
      </c>
      <c r="F137" s="445">
        <v>6</v>
      </c>
      <c r="G137" s="13">
        <v>12</v>
      </c>
      <c r="H137" s="13">
        <v>14</v>
      </c>
      <c r="I137" s="455" t="s">
        <v>2218</v>
      </c>
      <c r="J137" s="451">
        <v>1</v>
      </c>
      <c r="K137" s="445">
        <v>50</v>
      </c>
      <c r="L137" s="445">
        <v>50</v>
      </c>
      <c r="M137" s="445">
        <v>5</v>
      </c>
      <c r="N137" s="13">
        <v>40</v>
      </c>
      <c r="O137" s="446">
        <v>10</v>
      </c>
      <c r="P137" s="445">
        <v>90</v>
      </c>
      <c r="Q137" s="321">
        <v>6</v>
      </c>
      <c r="R137" s="23">
        <v>12</v>
      </c>
      <c r="S137" s="445">
        <v>10</v>
      </c>
      <c r="T137" s="445">
        <f t="shared" si="11"/>
        <v>90</v>
      </c>
      <c r="U137" s="447">
        <v>0.6</v>
      </c>
      <c r="V137" s="448">
        <v>2.04</v>
      </c>
      <c r="W137" s="449">
        <v>3.3000000000000003</v>
      </c>
      <c r="X137" s="448">
        <v>2.52</v>
      </c>
      <c r="Y137" s="448">
        <v>4.76</v>
      </c>
      <c r="Z137" s="448">
        <v>1.6</v>
      </c>
      <c r="AA137" s="448">
        <v>1.456</v>
      </c>
      <c r="AB137" s="448">
        <v>0.13999999999999999</v>
      </c>
      <c r="AC137" s="445">
        <v>675000</v>
      </c>
      <c r="AD137" s="450">
        <v>450</v>
      </c>
      <c r="AE137" s="445">
        <v>14400</v>
      </c>
      <c r="AF137" s="445">
        <v>500</v>
      </c>
      <c r="AG137" s="447">
        <v>1.17</v>
      </c>
      <c r="AH137" s="445">
        <v>3</v>
      </c>
      <c r="AI137" s="445">
        <v>4</v>
      </c>
      <c r="AJ137" s="445">
        <v>2</v>
      </c>
      <c r="AK137" s="445">
        <v>3</v>
      </c>
      <c r="AL137" s="2" t="s">
        <v>2260</v>
      </c>
      <c r="AM137" s="2" t="s">
        <v>2261</v>
      </c>
      <c r="AN137" s="2" t="s">
        <v>2375</v>
      </c>
      <c r="AO137" s="445">
        <v>10</v>
      </c>
      <c r="AP137" s="445">
        <v>20</v>
      </c>
      <c r="AQ137" s="445">
        <v>4</v>
      </c>
      <c r="AR137" s="445">
        <v>8</v>
      </c>
      <c r="AS137" s="445">
        <v>3</v>
      </c>
      <c r="AT137" s="445">
        <v>4</v>
      </c>
      <c r="AU137" s="445">
        <v>25</v>
      </c>
      <c r="AV137" s="445" t="str">
        <f t="shared" si="9"/>
        <v>Vàng:26000:MG01:3</v>
      </c>
      <c r="AW137" s="440">
        <v>180</v>
      </c>
      <c r="AX137" s="445">
        <v>12</v>
      </c>
      <c r="AY137" s="445">
        <v>5</v>
      </c>
      <c r="AZ137" s="450">
        <v>131</v>
      </c>
      <c r="BA137" s="31">
        <v>26000</v>
      </c>
      <c r="BB137" s="31">
        <v>3</v>
      </c>
      <c r="BC137" s="31">
        <f t="shared" si="10"/>
        <v>130000</v>
      </c>
    </row>
    <row r="138" spans="1:55" x14ac:dyDescent="0.25">
      <c r="A138" s="28" t="s">
        <v>2199</v>
      </c>
      <c r="B138" s="428">
        <v>136</v>
      </c>
      <c r="C138" s="13">
        <v>6</v>
      </c>
      <c r="D138" s="4">
        <v>18</v>
      </c>
      <c r="E138" s="451">
        <v>5400</v>
      </c>
      <c r="F138" s="445">
        <v>6</v>
      </c>
      <c r="G138" s="13">
        <v>12</v>
      </c>
      <c r="H138" s="13">
        <v>14</v>
      </c>
      <c r="I138" s="455" t="s">
        <v>2218</v>
      </c>
      <c r="J138" s="451">
        <v>1</v>
      </c>
      <c r="K138" s="445">
        <v>50</v>
      </c>
      <c r="L138" s="445">
        <v>50</v>
      </c>
      <c r="M138" s="445">
        <v>5</v>
      </c>
      <c r="N138" s="13">
        <v>40</v>
      </c>
      <c r="O138" s="446">
        <v>10</v>
      </c>
      <c r="P138" s="445">
        <v>90</v>
      </c>
      <c r="Q138" s="321">
        <v>6</v>
      </c>
      <c r="R138" s="23">
        <v>12</v>
      </c>
      <c r="S138" s="445">
        <v>10</v>
      </c>
      <c r="T138" s="445">
        <f t="shared" si="11"/>
        <v>90</v>
      </c>
      <c r="U138" s="447">
        <v>0.6</v>
      </c>
      <c r="V138" s="448">
        <v>2.04</v>
      </c>
      <c r="W138" s="449">
        <v>3.3000000000000003</v>
      </c>
      <c r="X138" s="448">
        <v>2.52</v>
      </c>
      <c r="Y138" s="448">
        <v>4.76</v>
      </c>
      <c r="Z138" s="448">
        <v>1.6</v>
      </c>
      <c r="AA138" s="448">
        <v>1.456</v>
      </c>
      <c r="AB138" s="448">
        <v>0.13999999999999999</v>
      </c>
      <c r="AC138" s="445">
        <v>680000</v>
      </c>
      <c r="AD138" s="450">
        <v>450</v>
      </c>
      <c r="AE138" s="445">
        <v>14400</v>
      </c>
      <c r="AF138" s="445">
        <v>500</v>
      </c>
      <c r="AG138" s="447">
        <v>1.17</v>
      </c>
      <c r="AH138" s="445">
        <v>3</v>
      </c>
      <c r="AI138" s="445">
        <v>4</v>
      </c>
      <c r="AJ138" s="445">
        <v>2</v>
      </c>
      <c r="AK138" s="445">
        <v>3</v>
      </c>
      <c r="AL138" s="2" t="s">
        <v>2260</v>
      </c>
      <c r="AM138" s="2" t="s">
        <v>2261</v>
      </c>
      <c r="AN138" s="2" t="s">
        <v>2376</v>
      </c>
      <c r="AO138" s="445">
        <v>10</v>
      </c>
      <c r="AP138" s="445">
        <v>20</v>
      </c>
      <c r="AQ138" s="445">
        <v>4</v>
      </c>
      <c r="AR138" s="445">
        <v>8</v>
      </c>
      <c r="AS138" s="445">
        <v>3</v>
      </c>
      <c r="AT138" s="445">
        <v>4</v>
      </c>
      <c r="AU138" s="445">
        <v>25</v>
      </c>
      <c r="AV138" s="445" t="str">
        <f t="shared" si="9"/>
        <v>Vàng:27000:MG01:3</v>
      </c>
      <c r="AW138" s="440">
        <v>180</v>
      </c>
      <c r="AX138" s="445">
        <v>12</v>
      </c>
      <c r="AY138" s="445">
        <v>5</v>
      </c>
      <c r="AZ138" s="450">
        <v>132</v>
      </c>
      <c r="BA138" s="31">
        <v>27000</v>
      </c>
      <c r="BB138" s="31">
        <v>3</v>
      </c>
      <c r="BC138" s="31">
        <f t="shared" si="10"/>
        <v>135000</v>
      </c>
    </row>
    <row r="139" spans="1:55" x14ac:dyDescent="0.25">
      <c r="A139" s="28" t="s">
        <v>2199</v>
      </c>
      <c r="B139" s="29">
        <v>137</v>
      </c>
      <c r="C139" s="13">
        <v>6</v>
      </c>
      <c r="D139" s="4">
        <v>18</v>
      </c>
      <c r="E139" s="451">
        <v>5400</v>
      </c>
      <c r="F139" s="445">
        <v>6</v>
      </c>
      <c r="G139" s="13">
        <v>12</v>
      </c>
      <c r="H139" s="13">
        <v>14</v>
      </c>
      <c r="I139" s="455" t="s">
        <v>2218</v>
      </c>
      <c r="J139" s="451">
        <v>1</v>
      </c>
      <c r="K139" s="445">
        <v>50</v>
      </c>
      <c r="L139" s="445">
        <v>50</v>
      </c>
      <c r="M139" s="445">
        <v>5</v>
      </c>
      <c r="N139" s="13">
        <v>40</v>
      </c>
      <c r="O139" s="446">
        <v>10</v>
      </c>
      <c r="P139" s="445">
        <v>90</v>
      </c>
      <c r="Q139" s="321">
        <v>6</v>
      </c>
      <c r="R139" s="23">
        <v>12</v>
      </c>
      <c r="S139" s="445">
        <v>10</v>
      </c>
      <c r="T139" s="445">
        <f t="shared" si="11"/>
        <v>90</v>
      </c>
      <c r="U139" s="447">
        <v>0.6</v>
      </c>
      <c r="V139" s="448">
        <v>2.04</v>
      </c>
      <c r="W139" s="449">
        <v>3.3000000000000003</v>
      </c>
      <c r="X139" s="448">
        <v>2.52</v>
      </c>
      <c r="Y139" s="448">
        <v>4.76</v>
      </c>
      <c r="Z139" s="448">
        <v>1.6</v>
      </c>
      <c r="AA139" s="448">
        <v>1.456</v>
      </c>
      <c r="AB139" s="448">
        <v>0.13999999999999999</v>
      </c>
      <c r="AC139" s="445">
        <v>685000</v>
      </c>
      <c r="AD139" s="450">
        <v>450</v>
      </c>
      <c r="AE139" s="445">
        <v>14400</v>
      </c>
      <c r="AF139" s="445">
        <v>500</v>
      </c>
      <c r="AG139" s="447">
        <v>1.17</v>
      </c>
      <c r="AH139" s="445">
        <v>3</v>
      </c>
      <c r="AI139" s="445">
        <v>4</v>
      </c>
      <c r="AJ139" s="445">
        <v>2</v>
      </c>
      <c r="AK139" s="445">
        <v>3</v>
      </c>
      <c r="AL139" s="2" t="s">
        <v>2260</v>
      </c>
      <c r="AM139" s="2" t="s">
        <v>2261</v>
      </c>
      <c r="AN139" s="2" t="s">
        <v>2376</v>
      </c>
      <c r="AO139" s="445">
        <v>10</v>
      </c>
      <c r="AP139" s="445">
        <v>20</v>
      </c>
      <c r="AQ139" s="445">
        <v>4</v>
      </c>
      <c r="AR139" s="445">
        <v>8</v>
      </c>
      <c r="AS139" s="445">
        <v>3</v>
      </c>
      <c r="AT139" s="445">
        <v>4</v>
      </c>
      <c r="AU139" s="445">
        <v>25</v>
      </c>
      <c r="AV139" s="445" t="str">
        <f t="shared" si="9"/>
        <v>Vàng:28000:MG01:3</v>
      </c>
      <c r="AW139" s="440">
        <v>180</v>
      </c>
      <c r="AX139" s="445">
        <v>12</v>
      </c>
      <c r="AY139" s="445">
        <v>5</v>
      </c>
      <c r="AZ139" s="450">
        <v>133</v>
      </c>
      <c r="BA139" s="31">
        <v>28000</v>
      </c>
      <c r="BB139" s="31">
        <v>3</v>
      </c>
      <c r="BC139" s="31">
        <f t="shared" si="10"/>
        <v>140000</v>
      </c>
    </row>
    <row r="140" spans="1:55" x14ac:dyDescent="0.25">
      <c r="A140" s="28" t="s">
        <v>2199</v>
      </c>
      <c r="B140" s="428">
        <v>138</v>
      </c>
      <c r="C140" s="13">
        <v>6</v>
      </c>
      <c r="D140" s="4">
        <v>18</v>
      </c>
      <c r="E140" s="451">
        <v>5400</v>
      </c>
      <c r="F140" s="445">
        <v>6</v>
      </c>
      <c r="G140" s="13">
        <v>12</v>
      </c>
      <c r="H140" s="13">
        <v>14</v>
      </c>
      <c r="I140" s="455" t="s">
        <v>2218</v>
      </c>
      <c r="J140" s="451">
        <v>1</v>
      </c>
      <c r="K140" s="445">
        <v>50</v>
      </c>
      <c r="L140" s="445">
        <v>50</v>
      </c>
      <c r="M140" s="445">
        <v>5</v>
      </c>
      <c r="N140" s="13">
        <v>40</v>
      </c>
      <c r="O140" s="446">
        <v>10</v>
      </c>
      <c r="P140" s="445">
        <v>90</v>
      </c>
      <c r="Q140" s="321">
        <v>6</v>
      </c>
      <c r="R140" s="23">
        <v>12</v>
      </c>
      <c r="S140" s="445">
        <v>10</v>
      </c>
      <c r="T140" s="445">
        <f t="shared" si="11"/>
        <v>90</v>
      </c>
      <c r="U140" s="447">
        <v>0.6</v>
      </c>
      <c r="V140" s="448">
        <v>2.04</v>
      </c>
      <c r="W140" s="449">
        <v>3.3000000000000003</v>
      </c>
      <c r="X140" s="448">
        <v>2.52</v>
      </c>
      <c r="Y140" s="448">
        <v>4.76</v>
      </c>
      <c r="Z140" s="448">
        <v>1.6</v>
      </c>
      <c r="AA140" s="448">
        <v>1.456</v>
      </c>
      <c r="AB140" s="448">
        <v>0.13999999999999999</v>
      </c>
      <c r="AC140" s="445">
        <v>690000</v>
      </c>
      <c r="AD140" s="450">
        <v>450</v>
      </c>
      <c r="AE140" s="445">
        <v>14400</v>
      </c>
      <c r="AF140" s="445">
        <v>500</v>
      </c>
      <c r="AG140" s="447">
        <v>1.17</v>
      </c>
      <c r="AH140" s="445">
        <v>3</v>
      </c>
      <c r="AI140" s="445">
        <v>4</v>
      </c>
      <c r="AJ140" s="445">
        <v>2</v>
      </c>
      <c r="AK140" s="445">
        <v>3</v>
      </c>
      <c r="AL140" s="2" t="s">
        <v>2260</v>
      </c>
      <c r="AM140" s="2" t="s">
        <v>2261</v>
      </c>
      <c r="AN140" s="2" t="s">
        <v>2376</v>
      </c>
      <c r="AO140" s="445">
        <v>10</v>
      </c>
      <c r="AP140" s="445">
        <v>20</v>
      </c>
      <c r="AQ140" s="445">
        <v>4</v>
      </c>
      <c r="AR140" s="445">
        <v>8</v>
      </c>
      <c r="AS140" s="445">
        <v>3</v>
      </c>
      <c r="AT140" s="445">
        <v>4</v>
      </c>
      <c r="AU140" s="445">
        <v>25</v>
      </c>
      <c r="AV140" s="445" t="str">
        <f t="shared" si="9"/>
        <v>Vàng:29000:MG01:3</v>
      </c>
      <c r="AW140" s="440">
        <v>180</v>
      </c>
      <c r="AX140" s="445">
        <v>12</v>
      </c>
      <c r="AY140" s="445">
        <v>5</v>
      </c>
      <c r="AZ140" s="450">
        <v>134</v>
      </c>
      <c r="BA140" s="31">
        <v>29000</v>
      </c>
      <c r="BB140" s="31">
        <v>3</v>
      </c>
      <c r="BC140" s="31">
        <f t="shared" si="10"/>
        <v>145000</v>
      </c>
    </row>
    <row r="141" spans="1:55" x14ac:dyDescent="0.25">
      <c r="A141" s="28" t="s">
        <v>2199</v>
      </c>
      <c r="B141" s="29">
        <v>139</v>
      </c>
      <c r="C141" s="13">
        <v>6</v>
      </c>
      <c r="D141" s="4">
        <v>18</v>
      </c>
      <c r="E141" s="451">
        <v>5400</v>
      </c>
      <c r="F141" s="445">
        <v>6</v>
      </c>
      <c r="G141" s="13">
        <v>12</v>
      </c>
      <c r="H141" s="13">
        <v>14</v>
      </c>
      <c r="I141" s="455" t="s">
        <v>2218</v>
      </c>
      <c r="J141" s="451">
        <v>1</v>
      </c>
      <c r="K141" s="445">
        <v>50</v>
      </c>
      <c r="L141" s="445">
        <v>50</v>
      </c>
      <c r="M141" s="445">
        <v>5</v>
      </c>
      <c r="N141" s="13">
        <v>40</v>
      </c>
      <c r="O141" s="446">
        <v>10</v>
      </c>
      <c r="P141" s="445">
        <v>90</v>
      </c>
      <c r="Q141" s="321">
        <v>6</v>
      </c>
      <c r="R141" s="23">
        <v>12</v>
      </c>
      <c r="S141" s="445">
        <v>10</v>
      </c>
      <c r="T141" s="445">
        <f t="shared" si="11"/>
        <v>90</v>
      </c>
      <c r="U141" s="447">
        <v>0.6</v>
      </c>
      <c r="V141" s="448">
        <v>2.04</v>
      </c>
      <c r="W141" s="449">
        <v>3.3000000000000003</v>
      </c>
      <c r="X141" s="448">
        <v>2.52</v>
      </c>
      <c r="Y141" s="448">
        <v>4.76</v>
      </c>
      <c r="Z141" s="448">
        <v>1.6</v>
      </c>
      <c r="AA141" s="448">
        <v>1.456</v>
      </c>
      <c r="AB141" s="448">
        <v>0.13999999999999999</v>
      </c>
      <c r="AC141" s="445">
        <v>695000</v>
      </c>
      <c r="AD141" s="450">
        <v>450</v>
      </c>
      <c r="AE141" s="445">
        <v>14400</v>
      </c>
      <c r="AF141" s="445">
        <v>500</v>
      </c>
      <c r="AG141" s="447">
        <v>1.17</v>
      </c>
      <c r="AH141" s="445">
        <v>3</v>
      </c>
      <c r="AI141" s="445">
        <v>4</v>
      </c>
      <c r="AJ141" s="445">
        <v>2</v>
      </c>
      <c r="AK141" s="445">
        <v>3</v>
      </c>
      <c r="AL141" s="2" t="s">
        <v>2260</v>
      </c>
      <c r="AM141" s="2" t="s">
        <v>2261</v>
      </c>
      <c r="AN141" s="2" t="s">
        <v>2376</v>
      </c>
      <c r="AO141" s="445">
        <v>10</v>
      </c>
      <c r="AP141" s="445">
        <v>20</v>
      </c>
      <c r="AQ141" s="445">
        <v>4</v>
      </c>
      <c r="AR141" s="445">
        <v>8</v>
      </c>
      <c r="AS141" s="445">
        <v>3</v>
      </c>
      <c r="AT141" s="445">
        <v>4</v>
      </c>
      <c r="AU141" s="445">
        <v>25</v>
      </c>
      <c r="AV141" s="445" t="str">
        <f t="shared" si="9"/>
        <v>Vàng:30000:MG01:3</v>
      </c>
      <c r="AW141" s="440">
        <v>180</v>
      </c>
      <c r="AX141" s="445">
        <v>12</v>
      </c>
      <c r="AY141" s="445">
        <v>5</v>
      </c>
      <c r="AZ141" s="450">
        <v>135</v>
      </c>
      <c r="BA141" s="31">
        <v>30000</v>
      </c>
      <c r="BB141" s="31">
        <v>3</v>
      </c>
      <c r="BC141" s="31">
        <f t="shared" si="10"/>
        <v>150000</v>
      </c>
    </row>
    <row r="142" spans="1:55" x14ac:dyDescent="0.25">
      <c r="A142" s="28" t="s">
        <v>2199</v>
      </c>
      <c r="B142" s="428">
        <v>140</v>
      </c>
      <c r="C142" s="13">
        <v>6</v>
      </c>
      <c r="D142" s="4">
        <v>18</v>
      </c>
      <c r="E142" s="451">
        <v>5400</v>
      </c>
      <c r="F142" s="445">
        <v>6</v>
      </c>
      <c r="G142" s="13">
        <v>12</v>
      </c>
      <c r="H142" s="13">
        <v>14</v>
      </c>
      <c r="I142" s="455" t="s">
        <v>2218</v>
      </c>
      <c r="J142" s="451">
        <v>1</v>
      </c>
      <c r="K142" s="445">
        <v>50</v>
      </c>
      <c r="L142" s="445">
        <v>50</v>
      </c>
      <c r="M142" s="445">
        <v>5</v>
      </c>
      <c r="N142" s="13">
        <v>40</v>
      </c>
      <c r="O142" s="446">
        <v>10</v>
      </c>
      <c r="P142" s="445">
        <v>90</v>
      </c>
      <c r="Q142" s="321">
        <v>6</v>
      </c>
      <c r="R142" s="23">
        <v>12</v>
      </c>
      <c r="S142" s="445">
        <v>10</v>
      </c>
      <c r="T142" s="445">
        <f t="shared" si="11"/>
        <v>90</v>
      </c>
      <c r="U142" s="447">
        <v>0.6</v>
      </c>
      <c r="V142" s="448">
        <v>2.04</v>
      </c>
      <c r="W142" s="449">
        <v>3.3000000000000003</v>
      </c>
      <c r="X142" s="448">
        <v>2.52</v>
      </c>
      <c r="Y142" s="448">
        <v>4.76</v>
      </c>
      <c r="Z142" s="448">
        <v>1.6</v>
      </c>
      <c r="AA142" s="448">
        <v>1.456</v>
      </c>
      <c r="AB142" s="448">
        <v>0.13999999999999999</v>
      </c>
      <c r="AC142" s="445">
        <v>700000</v>
      </c>
      <c r="AD142" s="450">
        <v>450</v>
      </c>
      <c r="AE142" s="445">
        <v>14400</v>
      </c>
      <c r="AF142" s="445">
        <v>500</v>
      </c>
      <c r="AG142" s="447">
        <v>1.17</v>
      </c>
      <c r="AH142" s="445">
        <v>3</v>
      </c>
      <c r="AI142" s="445">
        <v>4</v>
      </c>
      <c r="AJ142" s="445">
        <v>2</v>
      </c>
      <c r="AK142" s="445">
        <v>3</v>
      </c>
      <c r="AL142" s="2" t="s">
        <v>2260</v>
      </c>
      <c r="AM142" s="2" t="s">
        <v>2261</v>
      </c>
      <c r="AN142" s="2" t="s">
        <v>2376</v>
      </c>
      <c r="AO142" s="445">
        <v>10</v>
      </c>
      <c r="AP142" s="445">
        <v>20</v>
      </c>
      <c r="AQ142" s="445">
        <v>4</v>
      </c>
      <c r="AR142" s="445">
        <v>8</v>
      </c>
      <c r="AS142" s="445">
        <v>3</v>
      </c>
      <c r="AT142" s="445">
        <v>4</v>
      </c>
      <c r="AU142" s="445">
        <v>25</v>
      </c>
      <c r="AV142" s="445" t="str">
        <f t="shared" si="9"/>
        <v>Vàng:30000:MG01:3</v>
      </c>
      <c r="AW142" s="440">
        <v>180</v>
      </c>
      <c r="AX142" s="445">
        <v>12</v>
      </c>
      <c r="AY142" s="445">
        <v>5</v>
      </c>
      <c r="AZ142" s="450">
        <v>136</v>
      </c>
      <c r="BA142" s="31">
        <v>30000</v>
      </c>
      <c r="BB142" s="31">
        <v>3</v>
      </c>
      <c r="BC142" s="31">
        <f t="shared" si="10"/>
        <v>150000</v>
      </c>
    </row>
    <row r="143" spans="1:55" x14ac:dyDescent="0.25">
      <c r="A143" s="28" t="s">
        <v>2199</v>
      </c>
      <c r="B143" s="29">
        <v>141</v>
      </c>
      <c r="C143" s="13">
        <v>6</v>
      </c>
      <c r="D143" s="4">
        <v>18</v>
      </c>
      <c r="E143" s="451">
        <v>5400</v>
      </c>
      <c r="F143" s="445">
        <v>6</v>
      </c>
      <c r="G143" s="13">
        <v>12</v>
      </c>
      <c r="H143" s="13">
        <v>14</v>
      </c>
      <c r="I143" s="455" t="s">
        <v>2218</v>
      </c>
      <c r="J143" s="451">
        <v>1</v>
      </c>
      <c r="K143" s="445">
        <v>50</v>
      </c>
      <c r="L143" s="445">
        <v>50</v>
      </c>
      <c r="M143" s="445">
        <v>5</v>
      </c>
      <c r="N143" s="13">
        <v>40</v>
      </c>
      <c r="O143" s="446">
        <v>10</v>
      </c>
      <c r="P143" s="445">
        <v>90</v>
      </c>
      <c r="Q143" s="321">
        <v>6</v>
      </c>
      <c r="R143" s="23">
        <v>12</v>
      </c>
      <c r="S143" s="445">
        <v>10</v>
      </c>
      <c r="T143" s="445">
        <f t="shared" si="11"/>
        <v>90</v>
      </c>
      <c r="U143" s="447">
        <v>0.6</v>
      </c>
      <c r="V143" s="448">
        <v>2.04</v>
      </c>
      <c r="W143" s="449">
        <v>3.3000000000000003</v>
      </c>
      <c r="X143" s="448">
        <v>2.52</v>
      </c>
      <c r="Y143" s="448">
        <v>4.76</v>
      </c>
      <c r="Z143" s="448">
        <v>1.6</v>
      </c>
      <c r="AA143" s="457">
        <v>1.3520000000000001</v>
      </c>
      <c r="AB143" s="448">
        <v>0.13999999999999999</v>
      </c>
      <c r="AC143" s="445">
        <v>705000</v>
      </c>
      <c r="AD143" s="450">
        <v>450</v>
      </c>
      <c r="AE143" s="445">
        <v>14400</v>
      </c>
      <c r="AF143" s="445">
        <v>500</v>
      </c>
      <c r="AG143" s="447">
        <v>1.17</v>
      </c>
      <c r="AH143" s="445">
        <v>3</v>
      </c>
      <c r="AI143" s="445">
        <v>4</v>
      </c>
      <c r="AJ143" s="445">
        <v>2</v>
      </c>
      <c r="AK143" s="445">
        <v>3</v>
      </c>
      <c r="AL143" s="2" t="s">
        <v>2260</v>
      </c>
      <c r="AM143" s="2" t="s">
        <v>2261</v>
      </c>
      <c r="AN143" s="2" t="s">
        <v>2376</v>
      </c>
      <c r="AO143" s="445">
        <v>10</v>
      </c>
      <c r="AP143" s="445">
        <v>20</v>
      </c>
      <c r="AQ143" s="445">
        <v>4</v>
      </c>
      <c r="AR143" s="445">
        <v>8</v>
      </c>
      <c r="AS143" s="445">
        <v>3</v>
      </c>
      <c r="AT143" s="445">
        <v>4</v>
      </c>
      <c r="AU143" s="445">
        <v>25</v>
      </c>
      <c r="AV143" s="445" t="str">
        <f t="shared" si="9"/>
        <v>Vàng:30000:MG01:3</v>
      </c>
      <c r="AW143" s="440">
        <v>180</v>
      </c>
      <c r="AX143" s="445">
        <v>12</v>
      </c>
      <c r="AY143" s="445">
        <v>5</v>
      </c>
      <c r="AZ143" s="450">
        <v>137</v>
      </c>
      <c r="BA143" s="31">
        <v>30000</v>
      </c>
      <c r="BB143" s="31">
        <v>3</v>
      </c>
      <c r="BC143" s="31">
        <f t="shared" si="10"/>
        <v>150000</v>
      </c>
    </row>
    <row r="144" spans="1:55" x14ac:dyDescent="0.25">
      <c r="A144" s="28" t="s">
        <v>2199</v>
      </c>
      <c r="B144" s="428">
        <v>142</v>
      </c>
      <c r="C144" s="13">
        <v>6</v>
      </c>
      <c r="D144" s="4">
        <v>18</v>
      </c>
      <c r="E144" s="451">
        <v>5400</v>
      </c>
      <c r="F144" s="445">
        <v>6</v>
      </c>
      <c r="G144" s="13">
        <v>12</v>
      </c>
      <c r="H144" s="13">
        <v>14</v>
      </c>
      <c r="I144" s="455" t="s">
        <v>2218</v>
      </c>
      <c r="J144" s="451">
        <v>1</v>
      </c>
      <c r="K144" s="445">
        <v>50</v>
      </c>
      <c r="L144" s="445">
        <v>50</v>
      </c>
      <c r="M144" s="445">
        <v>5</v>
      </c>
      <c r="N144" s="13">
        <v>40</v>
      </c>
      <c r="O144" s="446">
        <v>10</v>
      </c>
      <c r="P144" s="445">
        <v>90</v>
      </c>
      <c r="Q144" s="321">
        <v>6</v>
      </c>
      <c r="R144" s="23">
        <v>12</v>
      </c>
      <c r="S144" s="445">
        <v>10</v>
      </c>
      <c r="T144" s="445">
        <f t="shared" si="11"/>
        <v>90</v>
      </c>
      <c r="U144" s="447">
        <v>0.6</v>
      </c>
      <c r="V144" s="448">
        <v>2.04</v>
      </c>
      <c r="W144" s="449">
        <v>3.3000000000000003</v>
      </c>
      <c r="X144" s="448">
        <v>2.52</v>
      </c>
      <c r="Y144" s="448">
        <v>4.76</v>
      </c>
      <c r="Z144" s="448">
        <v>1.6</v>
      </c>
      <c r="AA144" s="448">
        <v>1.3520000000000001</v>
      </c>
      <c r="AB144" s="448">
        <v>0.13999999999999999</v>
      </c>
      <c r="AC144" s="445">
        <v>710000</v>
      </c>
      <c r="AD144" s="450">
        <v>450</v>
      </c>
      <c r="AE144" s="445">
        <v>14400</v>
      </c>
      <c r="AF144" s="445">
        <v>500</v>
      </c>
      <c r="AG144" s="447">
        <v>1.17</v>
      </c>
      <c r="AH144" s="445">
        <v>3</v>
      </c>
      <c r="AI144" s="445">
        <v>4</v>
      </c>
      <c r="AJ144" s="445">
        <v>2</v>
      </c>
      <c r="AK144" s="445">
        <v>3</v>
      </c>
      <c r="AL144" s="2" t="s">
        <v>2260</v>
      </c>
      <c r="AM144" s="2" t="s">
        <v>2261</v>
      </c>
      <c r="AN144" s="2" t="s">
        <v>2376</v>
      </c>
      <c r="AO144" s="445">
        <v>10</v>
      </c>
      <c r="AP144" s="445">
        <v>20</v>
      </c>
      <c r="AQ144" s="445">
        <v>4</v>
      </c>
      <c r="AR144" s="445">
        <v>8</v>
      </c>
      <c r="AS144" s="445">
        <v>3</v>
      </c>
      <c r="AT144" s="445">
        <v>4</v>
      </c>
      <c r="AU144" s="445">
        <v>25</v>
      </c>
      <c r="AV144" s="445" t="str">
        <f t="shared" si="9"/>
        <v>Vàng:30000:MG01:3</v>
      </c>
      <c r="AW144" s="440">
        <v>180</v>
      </c>
      <c r="AX144" s="445">
        <v>12</v>
      </c>
      <c r="AY144" s="445">
        <v>5</v>
      </c>
      <c r="AZ144" s="450">
        <v>138</v>
      </c>
      <c r="BA144" s="31">
        <v>30000</v>
      </c>
      <c r="BB144" s="31">
        <v>3</v>
      </c>
      <c r="BC144" s="31">
        <f t="shared" si="10"/>
        <v>150000</v>
      </c>
    </row>
    <row r="145" spans="1:55" x14ac:dyDescent="0.25">
      <c r="A145" s="28" t="s">
        <v>2199</v>
      </c>
      <c r="B145" s="29">
        <v>143</v>
      </c>
      <c r="C145" s="13">
        <v>6</v>
      </c>
      <c r="D145" s="4">
        <v>18</v>
      </c>
      <c r="E145" s="451">
        <v>5400</v>
      </c>
      <c r="F145" s="445">
        <v>6</v>
      </c>
      <c r="G145" s="13">
        <v>12</v>
      </c>
      <c r="H145" s="13">
        <v>14</v>
      </c>
      <c r="I145" s="455" t="s">
        <v>2218</v>
      </c>
      <c r="J145" s="451">
        <v>1</v>
      </c>
      <c r="K145" s="445">
        <v>50</v>
      </c>
      <c r="L145" s="445">
        <v>50</v>
      </c>
      <c r="M145" s="445">
        <v>5</v>
      </c>
      <c r="N145" s="13">
        <v>40</v>
      </c>
      <c r="O145" s="446">
        <v>10</v>
      </c>
      <c r="P145" s="445">
        <v>90</v>
      </c>
      <c r="Q145" s="321">
        <v>6</v>
      </c>
      <c r="R145" s="23">
        <v>12</v>
      </c>
      <c r="S145" s="445">
        <v>10</v>
      </c>
      <c r="T145" s="445">
        <f t="shared" si="11"/>
        <v>90</v>
      </c>
      <c r="U145" s="447">
        <v>0.6</v>
      </c>
      <c r="V145" s="448">
        <v>2.04</v>
      </c>
      <c r="W145" s="449">
        <v>3.3000000000000003</v>
      </c>
      <c r="X145" s="448">
        <v>2.52</v>
      </c>
      <c r="Y145" s="448">
        <v>4.76</v>
      </c>
      <c r="Z145" s="448">
        <v>1.6</v>
      </c>
      <c r="AA145" s="448">
        <v>1.3520000000000001</v>
      </c>
      <c r="AB145" s="448">
        <v>0.13999999999999999</v>
      </c>
      <c r="AC145" s="445">
        <v>715000</v>
      </c>
      <c r="AD145" s="450">
        <v>450</v>
      </c>
      <c r="AE145" s="445">
        <v>14400</v>
      </c>
      <c r="AF145" s="445">
        <v>500</v>
      </c>
      <c r="AG145" s="447">
        <v>1.17</v>
      </c>
      <c r="AH145" s="445">
        <v>3</v>
      </c>
      <c r="AI145" s="445">
        <v>4</v>
      </c>
      <c r="AJ145" s="445">
        <v>2</v>
      </c>
      <c r="AK145" s="445">
        <v>3</v>
      </c>
      <c r="AL145" s="2" t="s">
        <v>2260</v>
      </c>
      <c r="AM145" s="2" t="s">
        <v>2261</v>
      </c>
      <c r="AN145" s="2" t="s">
        <v>2376</v>
      </c>
      <c r="AO145" s="445">
        <v>10</v>
      </c>
      <c r="AP145" s="445">
        <v>20</v>
      </c>
      <c r="AQ145" s="445">
        <v>4</v>
      </c>
      <c r="AR145" s="445">
        <v>8</v>
      </c>
      <c r="AS145" s="445">
        <v>3</v>
      </c>
      <c r="AT145" s="445">
        <v>4</v>
      </c>
      <c r="AU145" s="445">
        <v>25</v>
      </c>
      <c r="AV145" s="445" t="str">
        <f t="shared" si="9"/>
        <v>Vàng:30000:MG01:3</v>
      </c>
      <c r="AW145" s="440">
        <v>180</v>
      </c>
      <c r="AX145" s="445">
        <v>12</v>
      </c>
      <c r="AY145" s="445">
        <v>5</v>
      </c>
      <c r="AZ145" s="450">
        <v>139</v>
      </c>
      <c r="BA145" s="31">
        <v>30000</v>
      </c>
      <c r="BB145" s="31">
        <v>3</v>
      </c>
      <c r="BC145" s="31">
        <f t="shared" si="10"/>
        <v>150000</v>
      </c>
    </row>
    <row r="146" spans="1:55" x14ac:dyDescent="0.25">
      <c r="A146" s="28" t="s">
        <v>2199</v>
      </c>
      <c r="B146" s="428">
        <v>144</v>
      </c>
      <c r="C146" s="13">
        <v>6</v>
      </c>
      <c r="D146" s="4">
        <v>18</v>
      </c>
      <c r="E146" s="451">
        <v>5400</v>
      </c>
      <c r="F146" s="445">
        <v>6</v>
      </c>
      <c r="G146" s="13">
        <v>12</v>
      </c>
      <c r="H146" s="13">
        <v>14</v>
      </c>
      <c r="I146" s="455" t="s">
        <v>2218</v>
      </c>
      <c r="J146" s="451">
        <v>1</v>
      </c>
      <c r="K146" s="445">
        <v>50</v>
      </c>
      <c r="L146" s="445">
        <v>50</v>
      </c>
      <c r="M146" s="445">
        <v>5</v>
      </c>
      <c r="N146" s="13">
        <v>40</v>
      </c>
      <c r="O146" s="446">
        <v>10</v>
      </c>
      <c r="P146" s="445">
        <v>90</v>
      </c>
      <c r="Q146" s="321">
        <v>6</v>
      </c>
      <c r="R146" s="23">
        <v>12</v>
      </c>
      <c r="S146" s="445">
        <v>10</v>
      </c>
      <c r="T146" s="445">
        <f t="shared" si="11"/>
        <v>90</v>
      </c>
      <c r="U146" s="447">
        <v>0.6</v>
      </c>
      <c r="V146" s="448">
        <v>2.04</v>
      </c>
      <c r="W146" s="449">
        <v>3.3000000000000003</v>
      </c>
      <c r="X146" s="448">
        <v>2.52</v>
      </c>
      <c r="Y146" s="448">
        <v>4.76</v>
      </c>
      <c r="Z146" s="448">
        <v>1.6</v>
      </c>
      <c r="AA146" s="448">
        <v>1.3520000000000001</v>
      </c>
      <c r="AB146" s="448">
        <v>0.13999999999999999</v>
      </c>
      <c r="AC146" s="445">
        <v>720000</v>
      </c>
      <c r="AD146" s="450">
        <v>450</v>
      </c>
      <c r="AE146" s="445">
        <v>14400</v>
      </c>
      <c r="AF146" s="445">
        <v>500</v>
      </c>
      <c r="AG146" s="447">
        <v>1.17</v>
      </c>
      <c r="AH146" s="445">
        <v>3</v>
      </c>
      <c r="AI146" s="445">
        <v>4</v>
      </c>
      <c r="AJ146" s="445">
        <v>2</v>
      </c>
      <c r="AK146" s="445">
        <v>3</v>
      </c>
      <c r="AL146" s="2" t="s">
        <v>2260</v>
      </c>
      <c r="AM146" s="2" t="s">
        <v>2261</v>
      </c>
      <c r="AN146" s="2" t="s">
        <v>2376</v>
      </c>
      <c r="AO146" s="445">
        <v>10</v>
      </c>
      <c r="AP146" s="445">
        <v>20</v>
      </c>
      <c r="AQ146" s="445">
        <v>4</v>
      </c>
      <c r="AR146" s="445">
        <v>8</v>
      </c>
      <c r="AS146" s="445">
        <v>3</v>
      </c>
      <c r="AT146" s="445">
        <v>4</v>
      </c>
      <c r="AU146" s="445">
        <v>25</v>
      </c>
      <c r="AV146" s="445" t="str">
        <f t="shared" si="9"/>
        <v>Vàng:30000:MG01:3</v>
      </c>
      <c r="AW146" s="440">
        <v>180</v>
      </c>
      <c r="AX146" s="445">
        <v>12</v>
      </c>
      <c r="AY146" s="445">
        <v>5</v>
      </c>
      <c r="AZ146" s="450">
        <v>140</v>
      </c>
      <c r="BA146" s="31">
        <v>30000</v>
      </c>
      <c r="BB146" s="31">
        <v>3</v>
      </c>
      <c r="BC146" s="31">
        <f t="shared" si="10"/>
        <v>150000</v>
      </c>
    </row>
    <row r="147" spans="1:55" x14ac:dyDescent="0.25">
      <c r="A147" s="28" t="s">
        <v>2199</v>
      </c>
      <c r="B147" s="29">
        <v>145</v>
      </c>
      <c r="C147" s="13">
        <v>6</v>
      </c>
      <c r="D147" s="4">
        <v>18</v>
      </c>
      <c r="E147" s="451">
        <v>5400</v>
      </c>
      <c r="F147" s="445">
        <v>6</v>
      </c>
      <c r="G147" s="13">
        <v>12</v>
      </c>
      <c r="H147" s="13">
        <v>14</v>
      </c>
      <c r="I147" s="455" t="s">
        <v>2218</v>
      </c>
      <c r="J147" s="451">
        <v>1</v>
      </c>
      <c r="K147" s="445">
        <v>50</v>
      </c>
      <c r="L147" s="445">
        <v>50</v>
      </c>
      <c r="M147" s="445">
        <v>5</v>
      </c>
      <c r="N147" s="13">
        <v>40</v>
      </c>
      <c r="O147" s="446">
        <v>10</v>
      </c>
      <c r="P147" s="445">
        <v>90</v>
      </c>
      <c r="Q147" s="321">
        <v>6</v>
      </c>
      <c r="R147" s="23">
        <v>12</v>
      </c>
      <c r="S147" s="445">
        <v>10</v>
      </c>
      <c r="T147" s="445">
        <f t="shared" si="11"/>
        <v>90</v>
      </c>
      <c r="U147" s="447">
        <v>0.6</v>
      </c>
      <c r="V147" s="448">
        <v>2.04</v>
      </c>
      <c r="W147" s="449">
        <v>3.3000000000000003</v>
      </c>
      <c r="X147" s="448">
        <v>2.52</v>
      </c>
      <c r="Y147" s="448">
        <v>4.76</v>
      </c>
      <c r="Z147" s="448">
        <v>1.6</v>
      </c>
      <c r="AA147" s="448">
        <v>1.3520000000000001</v>
      </c>
      <c r="AB147" s="448">
        <v>0.13999999999999999</v>
      </c>
      <c r="AC147" s="445">
        <v>725000</v>
      </c>
      <c r="AD147" s="450">
        <v>450</v>
      </c>
      <c r="AE147" s="445">
        <v>14400</v>
      </c>
      <c r="AF147" s="445">
        <v>500</v>
      </c>
      <c r="AG147" s="447">
        <v>1.17</v>
      </c>
      <c r="AH147" s="445">
        <v>3</v>
      </c>
      <c r="AI147" s="445">
        <v>4</v>
      </c>
      <c r="AJ147" s="445">
        <v>2</v>
      </c>
      <c r="AK147" s="445">
        <v>3</v>
      </c>
      <c r="AL147" s="2" t="s">
        <v>2260</v>
      </c>
      <c r="AM147" s="2" t="s">
        <v>2261</v>
      </c>
      <c r="AN147" s="2" t="s">
        <v>2376</v>
      </c>
      <c r="AO147" s="445">
        <v>10</v>
      </c>
      <c r="AP147" s="445">
        <v>20</v>
      </c>
      <c r="AQ147" s="445">
        <v>4</v>
      </c>
      <c r="AR147" s="445">
        <v>8</v>
      </c>
      <c r="AS147" s="445">
        <v>3</v>
      </c>
      <c r="AT147" s="445">
        <v>4</v>
      </c>
      <c r="AU147" s="445">
        <v>25</v>
      </c>
      <c r="AV147" s="445" t="str">
        <f t="shared" si="9"/>
        <v>Vàng:30000:MG01:3</v>
      </c>
      <c r="AW147" s="440">
        <v>180</v>
      </c>
      <c r="AX147" s="445">
        <v>12</v>
      </c>
      <c r="AY147" s="445">
        <v>5</v>
      </c>
      <c r="AZ147" s="450">
        <v>141</v>
      </c>
      <c r="BA147" s="31">
        <v>30000</v>
      </c>
      <c r="BB147" s="31">
        <v>3</v>
      </c>
      <c r="BC147" s="31">
        <f t="shared" si="10"/>
        <v>150000</v>
      </c>
    </row>
    <row r="148" spans="1:55" x14ac:dyDescent="0.25">
      <c r="A148" s="28" t="s">
        <v>2199</v>
      </c>
      <c r="B148" s="428">
        <v>146</v>
      </c>
      <c r="C148" s="13">
        <v>6</v>
      </c>
      <c r="D148" s="4">
        <v>18</v>
      </c>
      <c r="E148" s="451">
        <v>5400</v>
      </c>
      <c r="F148" s="445">
        <v>6</v>
      </c>
      <c r="G148" s="13">
        <v>12</v>
      </c>
      <c r="H148" s="13">
        <v>14</v>
      </c>
      <c r="I148" s="455" t="s">
        <v>2218</v>
      </c>
      <c r="J148" s="451">
        <v>1</v>
      </c>
      <c r="K148" s="445">
        <v>50</v>
      </c>
      <c r="L148" s="445">
        <v>50</v>
      </c>
      <c r="M148" s="445">
        <v>5</v>
      </c>
      <c r="N148" s="13">
        <v>40</v>
      </c>
      <c r="O148" s="446">
        <v>10</v>
      </c>
      <c r="P148" s="445">
        <v>90</v>
      </c>
      <c r="Q148" s="321">
        <v>6</v>
      </c>
      <c r="R148" s="23">
        <v>12</v>
      </c>
      <c r="S148" s="445">
        <v>10</v>
      </c>
      <c r="T148" s="445">
        <f t="shared" si="11"/>
        <v>90</v>
      </c>
      <c r="U148" s="447">
        <v>0.6</v>
      </c>
      <c r="V148" s="448">
        <v>2.04</v>
      </c>
      <c r="W148" s="449">
        <v>3.3000000000000003</v>
      </c>
      <c r="X148" s="448">
        <v>2.52</v>
      </c>
      <c r="Y148" s="448">
        <v>4.76</v>
      </c>
      <c r="Z148" s="448">
        <v>1.6</v>
      </c>
      <c r="AA148" s="448">
        <v>1.3520000000000001</v>
      </c>
      <c r="AB148" s="448">
        <v>0.13999999999999999</v>
      </c>
      <c r="AC148" s="445">
        <v>730000</v>
      </c>
      <c r="AD148" s="450">
        <v>450</v>
      </c>
      <c r="AE148" s="445">
        <v>14400</v>
      </c>
      <c r="AF148" s="445">
        <v>500</v>
      </c>
      <c r="AG148" s="447">
        <v>1.17</v>
      </c>
      <c r="AH148" s="445">
        <v>3</v>
      </c>
      <c r="AI148" s="445">
        <v>4</v>
      </c>
      <c r="AJ148" s="445">
        <v>2</v>
      </c>
      <c r="AK148" s="445">
        <v>3</v>
      </c>
      <c r="AL148" s="2" t="s">
        <v>2260</v>
      </c>
      <c r="AM148" s="2" t="s">
        <v>2261</v>
      </c>
      <c r="AN148" s="2" t="s">
        <v>2376</v>
      </c>
      <c r="AO148" s="445">
        <v>10</v>
      </c>
      <c r="AP148" s="445">
        <v>20</v>
      </c>
      <c r="AQ148" s="445">
        <v>4</v>
      </c>
      <c r="AR148" s="445">
        <v>8</v>
      </c>
      <c r="AS148" s="445">
        <v>3</v>
      </c>
      <c r="AT148" s="445">
        <v>4</v>
      </c>
      <c r="AU148" s="445">
        <v>25</v>
      </c>
      <c r="AV148" s="445" t="str">
        <f t="shared" si="9"/>
        <v>Vàng:30000:MG01:3</v>
      </c>
      <c r="AW148" s="440">
        <v>180</v>
      </c>
      <c r="AX148" s="445">
        <v>12</v>
      </c>
      <c r="AY148" s="445">
        <v>5</v>
      </c>
      <c r="AZ148" s="450">
        <v>142</v>
      </c>
      <c r="BA148" s="31">
        <v>30000</v>
      </c>
      <c r="BB148" s="31">
        <v>3</v>
      </c>
      <c r="BC148" s="31">
        <f t="shared" si="10"/>
        <v>150000</v>
      </c>
    </row>
    <row r="149" spans="1:55" x14ac:dyDescent="0.25">
      <c r="A149" s="28" t="s">
        <v>2199</v>
      </c>
      <c r="B149" s="29">
        <v>147</v>
      </c>
      <c r="C149" s="13">
        <v>6</v>
      </c>
      <c r="D149" s="4">
        <v>18</v>
      </c>
      <c r="E149" s="451">
        <v>5400</v>
      </c>
      <c r="F149" s="445">
        <v>6</v>
      </c>
      <c r="G149" s="13">
        <v>12</v>
      </c>
      <c r="H149" s="13">
        <v>14</v>
      </c>
      <c r="I149" s="455" t="s">
        <v>2218</v>
      </c>
      <c r="J149" s="451">
        <v>1</v>
      </c>
      <c r="K149" s="445">
        <v>50</v>
      </c>
      <c r="L149" s="445">
        <v>50</v>
      </c>
      <c r="M149" s="445">
        <v>5</v>
      </c>
      <c r="N149" s="13">
        <v>40</v>
      </c>
      <c r="O149" s="446">
        <v>10</v>
      </c>
      <c r="P149" s="445">
        <v>90</v>
      </c>
      <c r="Q149" s="321">
        <v>6</v>
      </c>
      <c r="R149" s="23">
        <v>12</v>
      </c>
      <c r="S149" s="445">
        <v>10</v>
      </c>
      <c r="T149" s="445">
        <f t="shared" si="11"/>
        <v>90</v>
      </c>
      <c r="U149" s="447">
        <v>0.6</v>
      </c>
      <c r="V149" s="448">
        <v>2.04</v>
      </c>
      <c r="W149" s="449">
        <v>3.3000000000000003</v>
      </c>
      <c r="X149" s="448">
        <v>2.52</v>
      </c>
      <c r="Y149" s="448">
        <v>4.76</v>
      </c>
      <c r="Z149" s="448">
        <v>1.6</v>
      </c>
      <c r="AA149" s="448">
        <v>1.3520000000000001</v>
      </c>
      <c r="AB149" s="448">
        <v>0.13999999999999999</v>
      </c>
      <c r="AC149" s="445">
        <v>735000</v>
      </c>
      <c r="AD149" s="450">
        <v>450</v>
      </c>
      <c r="AE149" s="445">
        <v>14400</v>
      </c>
      <c r="AF149" s="445">
        <v>500</v>
      </c>
      <c r="AG149" s="447">
        <v>1.17</v>
      </c>
      <c r="AH149" s="445">
        <v>3</v>
      </c>
      <c r="AI149" s="445">
        <v>4</v>
      </c>
      <c r="AJ149" s="445">
        <v>2</v>
      </c>
      <c r="AK149" s="445">
        <v>3</v>
      </c>
      <c r="AL149" s="2" t="s">
        <v>2260</v>
      </c>
      <c r="AM149" s="2" t="s">
        <v>2261</v>
      </c>
      <c r="AN149" s="2" t="s">
        <v>2376</v>
      </c>
      <c r="AO149" s="445">
        <v>10</v>
      </c>
      <c r="AP149" s="445">
        <v>20</v>
      </c>
      <c r="AQ149" s="445">
        <v>4</v>
      </c>
      <c r="AR149" s="445">
        <v>8</v>
      </c>
      <c r="AS149" s="445">
        <v>3</v>
      </c>
      <c r="AT149" s="445">
        <v>4</v>
      </c>
      <c r="AU149" s="445">
        <v>25</v>
      </c>
      <c r="AV149" s="445" t="str">
        <f t="shared" si="9"/>
        <v>Vàng:30000:MG01:3</v>
      </c>
      <c r="AW149" s="440">
        <v>180</v>
      </c>
      <c r="AX149" s="445">
        <v>12</v>
      </c>
      <c r="AY149" s="445">
        <v>5</v>
      </c>
      <c r="AZ149" s="450">
        <v>143</v>
      </c>
      <c r="BA149" s="31">
        <v>30000</v>
      </c>
      <c r="BB149" s="31">
        <v>3</v>
      </c>
      <c r="BC149" s="31">
        <f t="shared" si="10"/>
        <v>150000</v>
      </c>
    </row>
    <row r="150" spans="1:55" x14ac:dyDescent="0.25">
      <c r="A150" s="28" t="s">
        <v>2199</v>
      </c>
      <c r="B150" s="428">
        <v>148</v>
      </c>
      <c r="C150" s="13">
        <v>6</v>
      </c>
      <c r="D150" s="4">
        <v>18</v>
      </c>
      <c r="E150" s="451">
        <v>5400</v>
      </c>
      <c r="F150" s="445">
        <v>6</v>
      </c>
      <c r="G150" s="13">
        <v>12</v>
      </c>
      <c r="H150" s="13">
        <v>14</v>
      </c>
      <c r="I150" s="455" t="s">
        <v>2218</v>
      </c>
      <c r="J150" s="451">
        <v>1</v>
      </c>
      <c r="K150" s="445">
        <v>50</v>
      </c>
      <c r="L150" s="445">
        <v>50</v>
      </c>
      <c r="M150" s="445">
        <v>5</v>
      </c>
      <c r="N150" s="13">
        <v>40</v>
      </c>
      <c r="O150" s="446">
        <v>10</v>
      </c>
      <c r="P150" s="445">
        <v>90</v>
      </c>
      <c r="Q150" s="321">
        <v>6</v>
      </c>
      <c r="R150" s="23">
        <v>12</v>
      </c>
      <c r="S150" s="445">
        <v>10</v>
      </c>
      <c r="T150" s="445">
        <f t="shared" si="11"/>
        <v>90</v>
      </c>
      <c r="U150" s="447">
        <v>0.6</v>
      </c>
      <c r="V150" s="448">
        <v>2.04</v>
      </c>
      <c r="W150" s="449">
        <v>3.3000000000000003</v>
      </c>
      <c r="X150" s="448">
        <v>2.52</v>
      </c>
      <c r="Y150" s="448">
        <v>4.76</v>
      </c>
      <c r="Z150" s="448">
        <v>1.6</v>
      </c>
      <c r="AA150" s="448">
        <v>1.3520000000000001</v>
      </c>
      <c r="AB150" s="448">
        <v>0.13999999999999999</v>
      </c>
      <c r="AC150" s="445">
        <v>740000</v>
      </c>
      <c r="AD150" s="450">
        <v>450</v>
      </c>
      <c r="AE150" s="445">
        <v>14400</v>
      </c>
      <c r="AF150" s="445">
        <v>500</v>
      </c>
      <c r="AG150" s="447">
        <v>1.17</v>
      </c>
      <c r="AH150" s="445">
        <v>3</v>
      </c>
      <c r="AI150" s="445">
        <v>4</v>
      </c>
      <c r="AJ150" s="445">
        <v>2</v>
      </c>
      <c r="AK150" s="445">
        <v>3</v>
      </c>
      <c r="AL150" s="2" t="s">
        <v>2260</v>
      </c>
      <c r="AM150" s="2" t="s">
        <v>2261</v>
      </c>
      <c r="AN150" s="2" t="s">
        <v>2376</v>
      </c>
      <c r="AO150" s="445">
        <v>10</v>
      </c>
      <c r="AP150" s="445">
        <v>20</v>
      </c>
      <c r="AQ150" s="445">
        <v>4</v>
      </c>
      <c r="AR150" s="445">
        <v>8</v>
      </c>
      <c r="AS150" s="445">
        <v>3</v>
      </c>
      <c r="AT150" s="445">
        <v>4</v>
      </c>
      <c r="AU150" s="445">
        <v>25</v>
      </c>
      <c r="AV150" s="445" t="str">
        <f t="shared" si="9"/>
        <v>Vàng:30000:MG01:3</v>
      </c>
      <c r="AW150" s="440">
        <v>180</v>
      </c>
      <c r="AX150" s="445">
        <v>12</v>
      </c>
      <c r="AY150" s="445">
        <v>5</v>
      </c>
      <c r="AZ150" s="450">
        <v>144</v>
      </c>
      <c r="BA150" s="31">
        <v>30000</v>
      </c>
      <c r="BB150" s="31">
        <v>3</v>
      </c>
      <c r="BC150" s="31">
        <f t="shared" si="10"/>
        <v>150000</v>
      </c>
    </row>
    <row r="151" spans="1:55" x14ac:dyDescent="0.25">
      <c r="A151" s="28" t="s">
        <v>2199</v>
      </c>
      <c r="B151" s="29">
        <v>149</v>
      </c>
      <c r="C151" s="13">
        <v>6</v>
      </c>
      <c r="D151" s="4">
        <v>18</v>
      </c>
      <c r="E151" s="451">
        <v>5400</v>
      </c>
      <c r="F151" s="445">
        <v>6</v>
      </c>
      <c r="G151" s="13">
        <v>12</v>
      </c>
      <c r="H151" s="13">
        <v>14</v>
      </c>
      <c r="I151" s="455" t="s">
        <v>2218</v>
      </c>
      <c r="J151" s="451">
        <v>1</v>
      </c>
      <c r="K151" s="445">
        <v>50</v>
      </c>
      <c r="L151" s="445">
        <v>50</v>
      </c>
      <c r="M151" s="445">
        <v>5</v>
      </c>
      <c r="N151" s="13">
        <v>40</v>
      </c>
      <c r="O151" s="446">
        <v>10</v>
      </c>
      <c r="P151" s="445">
        <v>90</v>
      </c>
      <c r="Q151" s="321">
        <v>6</v>
      </c>
      <c r="R151" s="23">
        <v>12</v>
      </c>
      <c r="S151" s="445">
        <v>10</v>
      </c>
      <c r="T151" s="445">
        <f t="shared" si="11"/>
        <v>90</v>
      </c>
      <c r="U151" s="447">
        <v>0.6</v>
      </c>
      <c r="V151" s="448">
        <v>2.04</v>
      </c>
      <c r="W151" s="449">
        <v>3.3000000000000003</v>
      </c>
      <c r="X151" s="448">
        <v>2.52</v>
      </c>
      <c r="Y151" s="448">
        <v>4.76</v>
      </c>
      <c r="Z151" s="448">
        <v>1.6</v>
      </c>
      <c r="AA151" s="448">
        <v>1.3520000000000001</v>
      </c>
      <c r="AB151" s="448">
        <v>0.13999999999999999</v>
      </c>
      <c r="AC151" s="445">
        <v>745000</v>
      </c>
      <c r="AD151" s="450">
        <v>450</v>
      </c>
      <c r="AE151" s="445">
        <v>14400</v>
      </c>
      <c r="AF151" s="445">
        <v>500</v>
      </c>
      <c r="AG151" s="447">
        <v>1.17</v>
      </c>
      <c r="AH151" s="445">
        <v>3</v>
      </c>
      <c r="AI151" s="445">
        <v>4</v>
      </c>
      <c r="AJ151" s="445">
        <v>2</v>
      </c>
      <c r="AK151" s="445">
        <v>3</v>
      </c>
      <c r="AL151" s="2" t="s">
        <v>2260</v>
      </c>
      <c r="AM151" s="2" t="s">
        <v>2261</v>
      </c>
      <c r="AN151" s="2" t="s">
        <v>2376</v>
      </c>
      <c r="AO151" s="445">
        <v>10</v>
      </c>
      <c r="AP151" s="445">
        <v>20</v>
      </c>
      <c r="AQ151" s="445">
        <v>4</v>
      </c>
      <c r="AR151" s="445">
        <v>8</v>
      </c>
      <c r="AS151" s="445">
        <v>3</v>
      </c>
      <c r="AT151" s="445">
        <v>4</v>
      </c>
      <c r="AU151" s="445">
        <v>25</v>
      </c>
      <c r="AV151" s="445" t="str">
        <f t="shared" si="9"/>
        <v>Vàng:30000:MG01:3</v>
      </c>
      <c r="AW151" s="440">
        <v>180</v>
      </c>
      <c r="AX151" s="445">
        <v>12</v>
      </c>
      <c r="AY151" s="445">
        <v>5</v>
      </c>
      <c r="AZ151" s="450">
        <v>145</v>
      </c>
      <c r="BA151" s="31">
        <v>30000</v>
      </c>
      <c r="BB151" s="31">
        <v>3</v>
      </c>
      <c r="BC151" s="31">
        <f t="shared" si="10"/>
        <v>150000</v>
      </c>
    </row>
    <row r="152" spans="1:55" x14ac:dyDescent="0.25">
      <c r="A152" s="28" t="s">
        <v>2199</v>
      </c>
      <c r="B152" s="428">
        <v>150</v>
      </c>
      <c r="C152" s="13">
        <v>6</v>
      </c>
      <c r="D152" s="4">
        <v>19</v>
      </c>
      <c r="E152" s="451">
        <v>5400</v>
      </c>
      <c r="F152" s="445">
        <v>6</v>
      </c>
      <c r="G152" s="13">
        <v>12</v>
      </c>
      <c r="H152" s="13">
        <v>16</v>
      </c>
      <c r="I152" s="455" t="s">
        <v>2218</v>
      </c>
      <c r="J152" s="451">
        <v>1</v>
      </c>
      <c r="K152" s="445">
        <v>50</v>
      </c>
      <c r="L152" s="445">
        <v>50</v>
      </c>
      <c r="M152" s="445">
        <v>5</v>
      </c>
      <c r="N152" s="13">
        <v>40</v>
      </c>
      <c r="O152" s="446">
        <v>10</v>
      </c>
      <c r="P152" s="445">
        <v>90</v>
      </c>
      <c r="Q152" s="321">
        <v>6</v>
      </c>
      <c r="R152" s="23">
        <v>15</v>
      </c>
      <c r="S152" s="445">
        <v>10</v>
      </c>
      <c r="T152" s="445">
        <f t="shared" si="11"/>
        <v>90</v>
      </c>
      <c r="U152" s="447">
        <v>0.6</v>
      </c>
      <c r="V152" s="448">
        <v>2.04</v>
      </c>
      <c r="W152" s="449">
        <v>3.3000000000000003</v>
      </c>
      <c r="X152" s="448">
        <v>2.52</v>
      </c>
      <c r="Y152" s="448">
        <v>4.76</v>
      </c>
      <c r="Z152" s="448">
        <v>1.6</v>
      </c>
      <c r="AA152" s="448">
        <v>1.3520000000000001</v>
      </c>
      <c r="AB152" s="448">
        <v>0.13999999999999999</v>
      </c>
      <c r="AC152" s="445">
        <v>750000</v>
      </c>
      <c r="AD152" s="450">
        <v>450</v>
      </c>
      <c r="AE152" s="445">
        <v>14400</v>
      </c>
      <c r="AF152" s="445">
        <v>500</v>
      </c>
      <c r="AG152" s="447">
        <v>1.17</v>
      </c>
      <c r="AH152" s="445">
        <v>3</v>
      </c>
      <c r="AI152" s="445">
        <v>4</v>
      </c>
      <c r="AJ152" s="445">
        <v>2</v>
      </c>
      <c r="AK152" s="445">
        <v>3</v>
      </c>
      <c r="AL152" s="2" t="s">
        <v>2260</v>
      </c>
      <c r="AM152" s="2" t="s">
        <v>2261</v>
      </c>
      <c r="AN152" s="2" t="s">
        <v>2376</v>
      </c>
      <c r="AO152" s="445">
        <v>10</v>
      </c>
      <c r="AP152" s="445">
        <v>20</v>
      </c>
      <c r="AQ152" s="445">
        <v>4</v>
      </c>
      <c r="AR152" s="445">
        <v>8</v>
      </c>
      <c r="AS152" s="445">
        <v>3</v>
      </c>
      <c r="AT152" s="445">
        <v>4</v>
      </c>
      <c r="AU152" s="445">
        <v>25</v>
      </c>
      <c r="AV152" s="445" t="str">
        <f t="shared" si="9"/>
        <v>Vàng:30000:MG01:3</v>
      </c>
      <c r="AW152" s="440">
        <v>180</v>
      </c>
      <c r="AX152" s="445">
        <v>12</v>
      </c>
      <c r="AY152" s="445">
        <v>5</v>
      </c>
      <c r="AZ152" s="450">
        <v>146</v>
      </c>
      <c r="BA152" s="31">
        <v>30000</v>
      </c>
      <c r="BB152" s="31">
        <v>3</v>
      </c>
      <c r="BC152" s="31">
        <f t="shared" si="10"/>
        <v>150000</v>
      </c>
    </row>
    <row r="153" spans="1:55" x14ac:dyDescent="0.25">
      <c r="A153" s="28" t="s">
        <v>2199</v>
      </c>
      <c r="B153" s="29">
        <v>151</v>
      </c>
      <c r="C153" s="13">
        <v>7</v>
      </c>
      <c r="D153" s="4">
        <v>19</v>
      </c>
      <c r="E153" s="451">
        <v>6000</v>
      </c>
      <c r="F153" s="445">
        <v>6</v>
      </c>
      <c r="G153" s="13">
        <v>14</v>
      </c>
      <c r="H153" s="13">
        <v>16</v>
      </c>
      <c r="I153" s="455" t="s">
        <v>2218</v>
      </c>
      <c r="J153" s="451">
        <v>1</v>
      </c>
      <c r="K153" s="445">
        <v>50</v>
      </c>
      <c r="L153" s="445">
        <v>50</v>
      </c>
      <c r="M153" s="445">
        <v>5</v>
      </c>
      <c r="N153" s="13">
        <v>40</v>
      </c>
      <c r="O153" s="446">
        <v>10</v>
      </c>
      <c r="P153" s="445">
        <v>90</v>
      </c>
      <c r="Q153" s="321">
        <v>6</v>
      </c>
      <c r="R153" s="23">
        <v>15</v>
      </c>
      <c r="S153" s="445">
        <v>10</v>
      </c>
      <c r="T153" s="445">
        <f t="shared" si="11"/>
        <v>90</v>
      </c>
      <c r="U153" s="447">
        <v>0.6</v>
      </c>
      <c r="V153" s="448">
        <v>2.5499999999999998</v>
      </c>
      <c r="W153" s="449">
        <v>3.3000000000000003</v>
      </c>
      <c r="X153" s="459">
        <v>2.3400000000000003</v>
      </c>
      <c r="Y153" s="448">
        <v>4.76</v>
      </c>
      <c r="Z153" s="448">
        <v>1.6</v>
      </c>
      <c r="AA153" s="448">
        <v>1.3520000000000001</v>
      </c>
      <c r="AB153" s="448">
        <v>0.13999999999999999</v>
      </c>
      <c r="AC153" s="445">
        <v>755000</v>
      </c>
      <c r="AD153" s="450">
        <v>450</v>
      </c>
      <c r="AE153" s="445">
        <v>14400</v>
      </c>
      <c r="AF153" s="445">
        <v>500</v>
      </c>
      <c r="AG153" s="447">
        <v>1.17</v>
      </c>
      <c r="AH153" s="445">
        <v>3</v>
      </c>
      <c r="AI153" s="445">
        <v>4</v>
      </c>
      <c r="AJ153" s="445">
        <v>2</v>
      </c>
      <c r="AK153" s="445">
        <v>3</v>
      </c>
      <c r="AL153" s="2" t="s">
        <v>2260</v>
      </c>
      <c r="AM153" s="2" t="s">
        <v>2261</v>
      </c>
      <c r="AN153" s="2" t="s">
        <v>2376</v>
      </c>
      <c r="AO153" s="445">
        <v>10</v>
      </c>
      <c r="AP153" s="445">
        <v>20</v>
      </c>
      <c r="AQ153" s="445">
        <v>4</v>
      </c>
      <c r="AR153" s="445">
        <v>8</v>
      </c>
      <c r="AS153" s="445">
        <v>3</v>
      </c>
      <c r="AT153" s="445">
        <v>5</v>
      </c>
      <c r="AU153" s="445">
        <v>25</v>
      </c>
      <c r="AV153" s="445" t="str">
        <f t="shared" si="9"/>
        <v>Vàng:30000:MG01:3</v>
      </c>
      <c r="AW153" s="440">
        <v>200</v>
      </c>
      <c r="AX153" s="445">
        <v>12</v>
      </c>
      <c r="AY153" s="445">
        <v>5</v>
      </c>
      <c r="AZ153" s="450">
        <v>147</v>
      </c>
      <c r="BA153" s="31">
        <v>30000</v>
      </c>
      <c r="BB153" s="31">
        <v>3</v>
      </c>
      <c r="BC153" s="31">
        <f t="shared" si="10"/>
        <v>150000</v>
      </c>
    </row>
    <row r="154" spans="1:55" x14ac:dyDescent="0.25">
      <c r="A154" s="28" t="s">
        <v>2199</v>
      </c>
      <c r="B154" s="428">
        <v>152</v>
      </c>
      <c r="C154" s="13">
        <v>7</v>
      </c>
      <c r="D154" s="4">
        <v>19</v>
      </c>
      <c r="E154" s="451">
        <v>6000</v>
      </c>
      <c r="F154" s="445">
        <v>6</v>
      </c>
      <c r="G154" s="13">
        <v>14</v>
      </c>
      <c r="H154" s="13">
        <v>16</v>
      </c>
      <c r="I154" s="455" t="s">
        <v>2218</v>
      </c>
      <c r="J154" s="451">
        <v>1</v>
      </c>
      <c r="K154" s="445">
        <v>50</v>
      </c>
      <c r="L154" s="445">
        <v>50</v>
      </c>
      <c r="M154" s="445">
        <v>5</v>
      </c>
      <c r="N154" s="13">
        <v>40</v>
      </c>
      <c r="O154" s="446">
        <v>10</v>
      </c>
      <c r="P154" s="445">
        <v>90</v>
      </c>
      <c r="Q154" s="321">
        <v>6</v>
      </c>
      <c r="R154" s="23">
        <v>15</v>
      </c>
      <c r="S154" s="445">
        <v>10</v>
      </c>
      <c r="T154" s="445">
        <f t="shared" si="11"/>
        <v>90</v>
      </c>
      <c r="U154" s="447">
        <v>0.6</v>
      </c>
      <c r="V154" s="448">
        <v>2.5499999999999998</v>
      </c>
      <c r="W154" s="449">
        <v>3.3000000000000003</v>
      </c>
      <c r="X154" s="448">
        <v>2.3400000000000003</v>
      </c>
      <c r="Y154" s="448">
        <v>4.76</v>
      </c>
      <c r="Z154" s="448">
        <v>1.6</v>
      </c>
      <c r="AA154" s="448">
        <v>1.248</v>
      </c>
      <c r="AB154" s="448">
        <v>0.13999999999999999</v>
      </c>
      <c r="AC154" s="445">
        <v>760000</v>
      </c>
      <c r="AD154" s="450">
        <v>450</v>
      </c>
      <c r="AE154" s="445">
        <v>14400</v>
      </c>
      <c r="AF154" s="445">
        <v>500</v>
      </c>
      <c r="AG154" s="447">
        <v>1.17</v>
      </c>
      <c r="AH154" s="445">
        <v>3</v>
      </c>
      <c r="AI154" s="445">
        <v>4</v>
      </c>
      <c r="AJ154" s="445">
        <v>2</v>
      </c>
      <c r="AK154" s="445">
        <v>3</v>
      </c>
      <c r="AL154" s="2" t="s">
        <v>2260</v>
      </c>
      <c r="AM154" s="2" t="s">
        <v>2261</v>
      </c>
      <c r="AN154" s="2" t="s">
        <v>2376</v>
      </c>
      <c r="AO154" s="445">
        <v>10</v>
      </c>
      <c r="AP154" s="445">
        <v>20</v>
      </c>
      <c r="AQ154" s="445">
        <v>4</v>
      </c>
      <c r="AR154" s="445">
        <v>8</v>
      </c>
      <c r="AS154" s="445">
        <v>3</v>
      </c>
      <c r="AT154" s="445">
        <v>5</v>
      </c>
      <c r="AU154" s="445">
        <v>25</v>
      </c>
      <c r="AV154" s="445" t="str">
        <f t="shared" si="9"/>
        <v>Vàng:30000:MG01:3</v>
      </c>
      <c r="AW154" s="440">
        <v>200</v>
      </c>
      <c r="AX154" s="445">
        <v>12</v>
      </c>
      <c r="AY154" s="445">
        <v>5</v>
      </c>
      <c r="AZ154" s="450">
        <v>148</v>
      </c>
      <c r="BA154" s="31">
        <v>30000</v>
      </c>
      <c r="BB154" s="31">
        <v>3</v>
      </c>
      <c r="BC154" s="31">
        <f t="shared" si="10"/>
        <v>150000</v>
      </c>
    </row>
    <row r="155" spans="1:55" x14ac:dyDescent="0.25">
      <c r="A155" s="28" t="s">
        <v>2199</v>
      </c>
      <c r="B155" s="428">
        <v>153</v>
      </c>
      <c r="C155" s="13">
        <v>7</v>
      </c>
      <c r="D155" s="4">
        <v>19</v>
      </c>
      <c r="E155" s="451">
        <v>6000</v>
      </c>
      <c r="F155" s="445">
        <v>6</v>
      </c>
      <c r="G155" s="13">
        <v>14</v>
      </c>
      <c r="H155" s="13">
        <v>16</v>
      </c>
      <c r="I155" s="455" t="s">
        <v>2218</v>
      </c>
      <c r="J155" s="451">
        <v>1</v>
      </c>
      <c r="K155" s="445">
        <v>50</v>
      </c>
      <c r="L155" s="445">
        <v>50</v>
      </c>
      <c r="M155" s="445">
        <v>5</v>
      </c>
      <c r="N155" s="13">
        <v>40</v>
      </c>
      <c r="O155" s="446">
        <v>10</v>
      </c>
      <c r="P155" s="445">
        <v>90</v>
      </c>
      <c r="Q155" s="321">
        <v>6</v>
      </c>
      <c r="R155" s="23">
        <v>15</v>
      </c>
      <c r="S155" s="445">
        <v>10</v>
      </c>
      <c r="T155" s="445">
        <f t="shared" si="11"/>
        <v>90</v>
      </c>
      <c r="U155" s="447">
        <v>0.6</v>
      </c>
      <c r="V155" s="448">
        <v>2.5499999999999998</v>
      </c>
      <c r="W155" s="449">
        <v>3.3000000000000003</v>
      </c>
      <c r="X155" s="448">
        <v>2.3400000000000003</v>
      </c>
      <c r="Y155" s="448">
        <v>4.76</v>
      </c>
      <c r="Z155" s="448">
        <v>1.6</v>
      </c>
      <c r="AA155" s="457">
        <v>1.1440000000000001</v>
      </c>
      <c r="AB155" s="448">
        <v>0.13999999999999999</v>
      </c>
      <c r="AC155" s="445">
        <v>765000</v>
      </c>
      <c r="AD155" s="450">
        <v>450</v>
      </c>
      <c r="AE155" s="445">
        <v>14400</v>
      </c>
      <c r="AF155" s="445">
        <v>500</v>
      </c>
      <c r="AG155" s="447">
        <v>1.17</v>
      </c>
      <c r="AH155" s="445">
        <v>3</v>
      </c>
      <c r="AI155" s="445">
        <v>4</v>
      </c>
      <c r="AJ155" s="445">
        <v>2</v>
      </c>
      <c r="AK155" s="445">
        <v>3</v>
      </c>
      <c r="AL155" s="2" t="s">
        <v>2260</v>
      </c>
      <c r="AM155" s="2" t="s">
        <v>2261</v>
      </c>
      <c r="AN155" s="2" t="s">
        <v>2376</v>
      </c>
      <c r="AO155" s="445">
        <v>10</v>
      </c>
      <c r="AP155" s="445">
        <v>20</v>
      </c>
      <c r="AQ155" s="445">
        <v>4</v>
      </c>
      <c r="AR155" s="445">
        <v>8</v>
      </c>
      <c r="AS155" s="445">
        <v>3</v>
      </c>
      <c r="AT155" s="445">
        <v>5</v>
      </c>
      <c r="AU155" s="445">
        <v>25</v>
      </c>
      <c r="AV155" s="445" t="str">
        <f t="shared" si="9"/>
        <v>Vàng:30000:MG01:3</v>
      </c>
      <c r="AW155" s="440">
        <v>200</v>
      </c>
      <c r="AX155" s="445">
        <v>12</v>
      </c>
      <c r="AY155" s="445">
        <v>5</v>
      </c>
      <c r="AZ155" s="450">
        <v>149</v>
      </c>
      <c r="BA155" s="31">
        <v>30000</v>
      </c>
      <c r="BB155" s="31">
        <v>3</v>
      </c>
      <c r="BC155" s="31">
        <f t="shared" si="10"/>
        <v>150000</v>
      </c>
    </row>
    <row r="156" spans="1:55" x14ac:dyDescent="0.25">
      <c r="A156" s="28" t="s">
        <v>2199</v>
      </c>
      <c r="B156" s="29">
        <v>154</v>
      </c>
      <c r="C156" s="13">
        <v>7</v>
      </c>
      <c r="D156" s="4">
        <v>19</v>
      </c>
      <c r="E156" s="451">
        <v>6000</v>
      </c>
      <c r="F156" s="445">
        <v>6</v>
      </c>
      <c r="G156" s="13">
        <v>14</v>
      </c>
      <c r="H156" s="13">
        <v>16</v>
      </c>
      <c r="I156" s="455" t="s">
        <v>2218</v>
      </c>
      <c r="J156" s="451">
        <v>1</v>
      </c>
      <c r="K156" s="445">
        <v>50</v>
      </c>
      <c r="L156" s="445">
        <v>50</v>
      </c>
      <c r="M156" s="445">
        <v>5</v>
      </c>
      <c r="N156" s="13">
        <v>40</v>
      </c>
      <c r="O156" s="446">
        <v>10</v>
      </c>
      <c r="P156" s="445">
        <v>90</v>
      </c>
      <c r="Q156" s="321">
        <v>6</v>
      </c>
      <c r="R156" s="23">
        <v>15</v>
      </c>
      <c r="S156" s="445">
        <v>10</v>
      </c>
      <c r="T156" s="445">
        <f t="shared" si="11"/>
        <v>90</v>
      </c>
      <c r="U156" s="447">
        <v>0.6</v>
      </c>
      <c r="V156" s="448">
        <v>2.5499999999999998</v>
      </c>
      <c r="W156" s="449">
        <v>3.3000000000000003</v>
      </c>
      <c r="X156" s="448">
        <v>2.3400000000000003</v>
      </c>
      <c r="Y156" s="448">
        <v>4.76</v>
      </c>
      <c r="Z156" s="448">
        <v>1.6</v>
      </c>
      <c r="AA156" s="448">
        <v>1.1440000000000001</v>
      </c>
      <c r="AB156" s="448">
        <v>0.13999999999999999</v>
      </c>
      <c r="AC156" s="445">
        <v>770000</v>
      </c>
      <c r="AD156" s="450">
        <v>450</v>
      </c>
      <c r="AE156" s="445">
        <v>14400</v>
      </c>
      <c r="AF156" s="445">
        <v>500</v>
      </c>
      <c r="AG156" s="447">
        <v>1.17</v>
      </c>
      <c r="AH156" s="445">
        <v>3</v>
      </c>
      <c r="AI156" s="445">
        <v>4</v>
      </c>
      <c r="AJ156" s="445">
        <v>2</v>
      </c>
      <c r="AK156" s="445">
        <v>3</v>
      </c>
      <c r="AL156" s="2" t="s">
        <v>2260</v>
      </c>
      <c r="AM156" s="2" t="s">
        <v>2261</v>
      </c>
      <c r="AN156" s="2" t="s">
        <v>2376</v>
      </c>
      <c r="AO156" s="445">
        <v>10</v>
      </c>
      <c r="AP156" s="445">
        <v>20</v>
      </c>
      <c r="AQ156" s="445">
        <v>4</v>
      </c>
      <c r="AR156" s="445">
        <v>8</v>
      </c>
      <c r="AS156" s="445">
        <v>3</v>
      </c>
      <c r="AT156" s="445">
        <v>5</v>
      </c>
      <c r="AU156" s="445">
        <v>25</v>
      </c>
      <c r="AV156" s="445" t="str">
        <f t="shared" si="9"/>
        <v>Vàng:30000:MG01:3</v>
      </c>
      <c r="AW156" s="440">
        <v>200</v>
      </c>
      <c r="AX156" s="445">
        <v>12</v>
      </c>
      <c r="AY156" s="445">
        <v>5</v>
      </c>
      <c r="AZ156" s="450">
        <v>150</v>
      </c>
      <c r="BA156" s="31">
        <v>30000</v>
      </c>
      <c r="BB156" s="31">
        <v>3</v>
      </c>
      <c r="BC156" s="31">
        <f t="shared" si="10"/>
        <v>150000</v>
      </c>
    </row>
    <row r="157" spans="1:55" x14ac:dyDescent="0.25">
      <c r="A157" s="28" t="s">
        <v>2199</v>
      </c>
      <c r="B157" s="428">
        <v>155</v>
      </c>
      <c r="C157" s="13">
        <v>7</v>
      </c>
      <c r="D157" s="4">
        <v>19</v>
      </c>
      <c r="E157" s="451">
        <v>6000</v>
      </c>
      <c r="F157" s="445">
        <v>6</v>
      </c>
      <c r="G157" s="13">
        <v>14</v>
      </c>
      <c r="H157" s="13">
        <v>16</v>
      </c>
      <c r="I157" s="455" t="s">
        <v>2218</v>
      </c>
      <c r="J157" s="451">
        <v>1</v>
      </c>
      <c r="K157" s="445">
        <v>50</v>
      </c>
      <c r="L157" s="445">
        <v>50</v>
      </c>
      <c r="M157" s="445">
        <v>5</v>
      </c>
      <c r="N157" s="13">
        <v>40</v>
      </c>
      <c r="O157" s="446">
        <v>10</v>
      </c>
      <c r="P157" s="445">
        <v>90</v>
      </c>
      <c r="Q157" s="321">
        <v>6</v>
      </c>
      <c r="R157" s="23">
        <v>15</v>
      </c>
      <c r="S157" s="445">
        <v>10</v>
      </c>
      <c r="T157" s="445">
        <f t="shared" si="11"/>
        <v>90</v>
      </c>
      <c r="U157" s="447">
        <v>0.6</v>
      </c>
      <c r="V157" s="448">
        <v>2.5499999999999998</v>
      </c>
      <c r="W157" s="449">
        <v>3.3000000000000003</v>
      </c>
      <c r="X157" s="448">
        <v>2.3400000000000003</v>
      </c>
      <c r="Y157" s="448">
        <v>4.76</v>
      </c>
      <c r="Z157" s="448">
        <v>1.6</v>
      </c>
      <c r="AA157" s="448">
        <v>1.1440000000000001</v>
      </c>
      <c r="AB157" s="448">
        <v>0.13999999999999999</v>
      </c>
      <c r="AC157" s="445">
        <v>775000</v>
      </c>
      <c r="AD157" s="450">
        <v>450</v>
      </c>
      <c r="AE157" s="445">
        <v>14400</v>
      </c>
      <c r="AF157" s="445">
        <v>500</v>
      </c>
      <c r="AG157" s="447">
        <v>1.17</v>
      </c>
      <c r="AH157" s="445">
        <v>3</v>
      </c>
      <c r="AI157" s="445">
        <v>4</v>
      </c>
      <c r="AJ157" s="445">
        <v>2</v>
      </c>
      <c r="AK157" s="445">
        <v>3</v>
      </c>
      <c r="AL157" s="2" t="s">
        <v>2260</v>
      </c>
      <c r="AM157" s="2" t="s">
        <v>2261</v>
      </c>
      <c r="AN157" s="2" t="s">
        <v>2376</v>
      </c>
      <c r="AO157" s="445">
        <v>10</v>
      </c>
      <c r="AP157" s="445">
        <v>20</v>
      </c>
      <c r="AQ157" s="445">
        <v>4</v>
      </c>
      <c r="AR157" s="445">
        <v>8</v>
      </c>
      <c r="AS157" s="445">
        <v>3</v>
      </c>
      <c r="AT157" s="445">
        <v>5</v>
      </c>
      <c r="AU157" s="445">
        <v>25</v>
      </c>
      <c r="AV157" s="445" t="str">
        <f t="shared" si="9"/>
        <v>Vàng:30000:MG01:3</v>
      </c>
      <c r="AW157" s="440">
        <v>200</v>
      </c>
      <c r="AX157" s="445">
        <v>12</v>
      </c>
      <c r="AY157" s="445">
        <v>5</v>
      </c>
      <c r="AZ157" s="450">
        <v>151</v>
      </c>
      <c r="BA157" s="31">
        <v>30000</v>
      </c>
      <c r="BB157" s="31">
        <v>3</v>
      </c>
      <c r="BC157" s="31">
        <f t="shared" si="10"/>
        <v>150000</v>
      </c>
    </row>
    <row r="158" spans="1:55" x14ac:dyDescent="0.25">
      <c r="A158" s="28" t="s">
        <v>2199</v>
      </c>
      <c r="B158" s="29">
        <v>156</v>
      </c>
      <c r="C158" s="13">
        <v>7</v>
      </c>
      <c r="D158" s="4">
        <v>19</v>
      </c>
      <c r="E158" s="451">
        <v>6000</v>
      </c>
      <c r="F158" s="445">
        <v>6</v>
      </c>
      <c r="G158" s="13">
        <v>14</v>
      </c>
      <c r="H158" s="13">
        <v>16</v>
      </c>
      <c r="I158" s="455" t="s">
        <v>2218</v>
      </c>
      <c r="J158" s="451">
        <v>1</v>
      </c>
      <c r="K158" s="445">
        <v>50</v>
      </c>
      <c r="L158" s="445">
        <v>50</v>
      </c>
      <c r="M158" s="445">
        <v>5</v>
      </c>
      <c r="N158" s="13">
        <v>40</v>
      </c>
      <c r="O158" s="446">
        <v>10</v>
      </c>
      <c r="P158" s="445">
        <v>90</v>
      </c>
      <c r="Q158" s="321">
        <v>6</v>
      </c>
      <c r="R158" s="23">
        <v>15</v>
      </c>
      <c r="S158" s="445">
        <v>10</v>
      </c>
      <c r="T158" s="445">
        <f t="shared" si="11"/>
        <v>90</v>
      </c>
      <c r="U158" s="447">
        <v>0.6</v>
      </c>
      <c r="V158" s="448">
        <v>2.5499999999999998</v>
      </c>
      <c r="W158" s="449">
        <v>3.3000000000000003</v>
      </c>
      <c r="X158" s="448">
        <v>2.3400000000000003</v>
      </c>
      <c r="Y158" s="448">
        <v>4.76</v>
      </c>
      <c r="Z158" s="448">
        <v>1.6</v>
      </c>
      <c r="AA158" s="448">
        <v>1.1440000000000001</v>
      </c>
      <c r="AB158" s="448">
        <v>0.13999999999999999</v>
      </c>
      <c r="AC158" s="445">
        <v>780000</v>
      </c>
      <c r="AD158" s="450">
        <v>450</v>
      </c>
      <c r="AE158" s="445">
        <v>14400</v>
      </c>
      <c r="AF158" s="445">
        <v>500</v>
      </c>
      <c r="AG158" s="447">
        <v>1.17</v>
      </c>
      <c r="AH158" s="445">
        <v>3</v>
      </c>
      <c r="AI158" s="445">
        <v>4</v>
      </c>
      <c r="AJ158" s="445">
        <v>2</v>
      </c>
      <c r="AK158" s="445">
        <v>3</v>
      </c>
      <c r="AL158" s="2" t="s">
        <v>2260</v>
      </c>
      <c r="AM158" s="2" t="s">
        <v>2261</v>
      </c>
      <c r="AN158" s="2" t="s">
        <v>2376</v>
      </c>
      <c r="AO158" s="445">
        <v>10</v>
      </c>
      <c r="AP158" s="445">
        <v>20</v>
      </c>
      <c r="AQ158" s="445">
        <v>4</v>
      </c>
      <c r="AR158" s="445">
        <v>8</v>
      </c>
      <c r="AS158" s="445">
        <v>3</v>
      </c>
      <c r="AT158" s="445">
        <v>5</v>
      </c>
      <c r="AU158" s="445">
        <v>25</v>
      </c>
      <c r="AV158" s="445" t="str">
        <f t="shared" ref="AV158:AV221" si="12">CONCATENATE($BA$1&amp;":"&amp;BA158&amp;":"&amp;$BB$1&amp;":"&amp;BB158)</f>
        <v>Vàng:30000:MG01:3</v>
      </c>
      <c r="AW158" s="440">
        <v>200</v>
      </c>
      <c r="AX158" s="445">
        <v>12</v>
      </c>
      <c r="AY158" s="445">
        <v>5</v>
      </c>
      <c r="AZ158" s="450">
        <v>152</v>
      </c>
      <c r="BA158" s="31">
        <v>30000</v>
      </c>
      <c r="BB158" s="31">
        <v>3</v>
      </c>
      <c r="BC158" s="31">
        <f t="shared" si="10"/>
        <v>150000</v>
      </c>
    </row>
    <row r="159" spans="1:55" x14ac:dyDescent="0.25">
      <c r="A159" s="28" t="s">
        <v>2199</v>
      </c>
      <c r="B159" s="428">
        <v>157</v>
      </c>
      <c r="C159" s="13">
        <v>7</v>
      </c>
      <c r="D159" s="4">
        <v>19</v>
      </c>
      <c r="E159" s="451">
        <v>6000</v>
      </c>
      <c r="F159" s="445">
        <v>6</v>
      </c>
      <c r="G159" s="13">
        <v>14</v>
      </c>
      <c r="H159" s="13">
        <v>16</v>
      </c>
      <c r="I159" s="455" t="s">
        <v>2218</v>
      </c>
      <c r="J159" s="451">
        <v>1</v>
      </c>
      <c r="K159" s="445">
        <v>50</v>
      </c>
      <c r="L159" s="445">
        <v>50</v>
      </c>
      <c r="M159" s="445">
        <v>5</v>
      </c>
      <c r="N159" s="13">
        <v>40</v>
      </c>
      <c r="O159" s="446">
        <v>10</v>
      </c>
      <c r="P159" s="445">
        <v>90</v>
      </c>
      <c r="Q159" s="321">
        <v>6</v>
      </c>
      <c r="R159" s="23">
        <v>15</v>
      </c>
      <c r="S159" s="445">
        <v>10</v>
      </c>
      <c r="T159" s="445">
        <f t="shared" si="11"/>
        <v>90</v>
      </c>
      <c r="U159" s="447">
        <v>0.6</v>
      </c>
      <c r="V159" s="448">
        <v>2.5499999999999998</v>
      </c>
      <c r="W159" s="449">
        <v>3.3000000000000003</v>
      </c>
      <c r="X159" s="448">
        <v>2.3400000000000003</v>
      </c>
      <c r="Y159" s="448">
        <v>4.76</v>
      </c>
      <c r="Z159" s="448">
        <v>1.6</v>
      </c>
      <c r="AA159" s="448">
        <v>1.1440000000000001</v>
      </c>
      <c r="AB159" s="448">
        <v>0.13999999999999999</v>
      </c>
      <c r="AC159" s="445">
        <v>785000</v>
      </c>
      <c r="AD159" s="450">
        <v>450</v>
      </c>
      <c r="AE159" s="445">
        <v>14400</v>
      </c>
      <c r="AF159" s="445">
        <v>500</v>
      </c>
      <c r="AG159" s="447">
        <v>1.17</v>
      </c>
      <c r="AH159" s="445">
        <v>3</v>
      </c>
      <c r="AI159" s="445">
        <v>4</v>
      </c>
      <c r="AJ159" s="445">
        <v>2</v>
      </c>
      <c r="AK159" s="445">
        <v>3</v>
      </c>
      <c r="AL159" s="2" t="s">
        <v>2260</v>
      </c>
      <c r="AM159" s="2" t="s">
        <v>2261</v>
      </c>
      <c r="AN159" s="2" t="s">
        <v>2376</v>
      </c>
      <c r="AO159" s="445">
        <v>10</v>
      </c>
      <c r="AP159" s="445">
        <v>20</v>
      </c>
      <c r="AQ159" s="445">
        <v>4</v>
      </c>
      <c r="AR159" s="445">
        <v>8</v>
      </c>
      <c r="AS159" s="445">
        <v>3</v>
      </c>
      <c r="AT159" s="445">
        <v>5</v>
      </c>
      <c r="AU159" s="445">
        <v>25</v>
      </c>
      <c r="AV159" s="445" t="str">
        <f t="shared" si="12"/>
        <v>Vàng:30000:MG01:3</v>
      </c>
      <c r="AW159" s="440">
        <v>200</v>
      </c>
      <c r="AX159" s="445">
        <v>12</v>
      </c>
      <c r="AY159" s="445">
        <v>5</v>
      </c>
      <c r="AZ159" s="450">
        <v>153</v>
      </c>
      <c r="BA159" s="31">
        <v>30000</v>
      </c>
      <c r="BB159" s="31">
        <v>3</v>
      </c>
      <c r="BC159" s="31">
        <f t="shared" si="10"/>
        <v>150000</v>
      </c>
    </row>
    <row r="160" spans="1:55" x14ac:dyDescent="0.25">
      <c r="A160" s="28" t="s">
        <v>2199</v>
      </c>
      <c r="B160" s="29">
        <v>158</v>
      </c>
      <c r="C160" s="13">
        <v>7</v>
      </c>
      <c r="D160" s="4">
        <v>19</v>
      </c>
      <c r="E160" s="451">
        <v>6000</v>
      </c>
      <c r="F160" s="445">
        <v>6</v>
      </c>
      <c r="G160" s="13">
        <v>14</v>
      </c>
      <c r="H160" s="13">
        <v>16</v>
      </c>
      <c r="I160" s="455" t="s">
        <v>2218</v>
      </c>
      <c r="J160" s="451">
        <v>1</v>
      </c>
      <c r="K160" s="445">
        <v>50</v>
      </c>
      <c r="L160" s="445">
        <v>50</v>
      </c>
      <c r="M160" s="445">
        <v>5</v>
      </c>
      <c r="N160" s="13">
        <v>40</v>
      </c>
      <c r="O160" s="446">
        <v>10</v>
      </c>
      <c r="P160" s="445">
        <v>90</v>
      </c>
      <c r="Q160" s="321">
        <v>6</v>
      </c>
      <c r="R160" s="23">
        <v>15</v>
      </c>
      <c r="S160" s="445">
        <v>10</v>
      </c>
      <c r="T160" s="445">
        <f t="shared" si="11"/>
        <v>90</v>
      </c>
      <c r="U160" s="447">
        <v>0.6</v>
      </c>
      <c r="V160" s="448">
        <v>2.5499999999999998</v>
      </c>
      <c r="W160" s="449">
        <v>3.3000000000000003</v>
      </c>
      <c r="X160" s="448">
        <v>2.3400000000000003</v>
      </c>
      <c r="Y160" s="448">
        <v>4.76</v>
      </c>
      <c r="Z160" s="448">
        <v>1.6</v>
      </c>
      <c r="AA160" s="448">
        <v>1.1440000000000001</v>
      </c>
      <c r="AB160" s="448">
        <v>0.13999999999999999</v>
      </c>
      <c r="AC160" s="445">
        <v>790000</v>
      </c>
      <c r="AD160" s="450">
        <v>450</v>
      </c>
      <c r="AE160" s="445">
        <v>14400</v>
      </c>
      <c r="AF160" s="445">
        <v>500</v>
      </c>
      <c r="AG160" s="447">
        <v>1.17</v>
      </c>
      <c r="AH160" s="445">
        <v>3</v>
      </c>
      <c r="AI160" s="445">
        <v>4</v>
      </c>
      <c r="AJ160" s="445">
        <v>2</v>
      </c>
      <c r="AK160" s="445">
        <v>3</v>
      </c>
      <c r="AL160" s="2" t="s">
        <v>2260</v>
      </c>
      <c r="AM160" s="2" t="s">
        <v>2261</v>
      </c>
      <c r="AN160" s="2" t="s">
        <v>2376</v>
      </c>
      <c r="AO160" s="445">
        <v>10</v>
      </c>
      <c r="AP160" s="445">
        <v>20</v>
      </c>
      <c r="AQ160" s="445">
        <v>4</v>
      </c>
      <c r="AR160" s="445">
        <v>8</v>
      </c>
      <c r="AS160" s="445">
        <v>3</v>
      </c>
      <c r="AT160" s="445">
        <v>5</v>
      </c>
      <c r="AU160" s="445">
        <v>25</v>
      </c>
      <c r="AV160" s="445" t="str">
        <f t="shared" si="12"/>
        <v>Vàng:30000:MG01:3</v>
      </c>
      <c r="AW160" s="440">
        <v>200</v>
      </c>
      <c r="AX160" s="445">
        <v>12</v>
      </c>
      <c r="AY160" s="445">
        <v>5</v>
      </c>
      <c r="AZ160" s="450">
        <v>154</v>
      </c>
      <c r="BA160" s="31">
        <v>30000</v>
      </c>
      <c r="BB160" s="31">
        <v>3</v>
      </c>
      <c r="BC160" s="31">
        <f t="shared" si="10"/>
        <v>150000</v>
      </c>
    </row>
    <row r="161" spans="1:55" x14ac:dyDescent="0.25">
      <c r="A161" s="28" t="s">
        <v>2199</v>
      </c>
      <c r="B161" s="428">
        <v>159</v>
      </c>
      <c r="C161" s="13">
        <v>7</v>
      </c>
      <c r="D161" s="4">
        <v>19</v>
      </c>
      <c r="E161" s="451">
        <v>6000</v>
      </c>
      <c r="F161" s="445">
        <v>6</v>
      </c>
      <c r="G161" s="13">
        <v>14</v>
      </c>
      <c r="H161" s="13">
        <v>16</v>
      </c>
      <c r="I161" s="455" t="s">
        <v>2218</v>
      </c>
      <c r="J161" s="451">
        <v>1</v>
      </c>
      <c r="K161" s="445">
        <v>50</v>
      </c>
      <c r="L161" s="445">
        <v>50</v>
      </c>
      <c r="M161" s="445">
        <v>5</v>
      </c>
      <c r="N161" s="13">
        <v>40</v>
      </c>
      <c r="O161" s="446">
        <v>10</v>
      </c>
      <c r="P161" s="445">
        <v>90</v>
      </c>
      <c r="Q161" s="321">
        <v>6</v>
      </c>
      <c r="R161" s="23">
        <v>15</v>
      </c>
      <c r="S161" s="445">
        <v>10</v>
      </c>
      <c r="T161" s="445">
        <f t="shared" si="11"/>
        <v>90</v>
      </c>
      <c r="U161" s="447">
        <v>0.6</v>
      </c>
      <c r="V161" s="448">
        <v>2.5499999999999998</v>
      </c>
      <c r="W161" s="449">
        <v>3.3000000000000003</v>
      </c>
      <c r="X161" s="448">
        <v>2.3400000000000003</v>
      </c>
      <c r="Y161" s="448">
        <v>4.76</v>
      </c>
      <c r="Z161" s="448">
        <v>1.6</v>
      </c>
      <c r="AA161" s="448">
        <v>1.1440000000000001</v>
      </c>
      <c r="AB161" s="448">
        <v>0.13999999999999999</v>
      </c>
      <c r="AC161" s="445">
        <v>795000</v>
      </c>
      <c r="AD161" s="450">
        <v>450</v>
      </c>
      <c r="AE161" s="445">
        <v>14400</v>
      </c>
      <c r="AF161" s="445">
        <v>500</v>
      </c>
      <c r="AG161" s="447">
        <v>1.17</v>
      </c>
      <c r="AH161" s="445">
        <v>3</v>
      </c>
      <c r="AI161" s="445">
        <v>4</v>
      </c>
      <c r="AJ161" s="445">
        <v>2</v>
      </c>
      <c r="AK161" s="445">
        <v>3</v>
      </c>
      <c r="AL161" s="2" t="s">
        <v>2260</v>
      </c>
      <c r="AM161" s="2" t="s">
        <v>2261</v>
      </c>
      <c r="AN161" s="2" t="s">
        <v>2376</v>
      </c>
      <c r="AO161" s="445">
        <v>10</v>
      </c>
      <c r="AP161" s="445">
        <v>20</v>
      </c>
      <c r="AQ161" s="445">
        <v>4</v>
      </c>
      <c r="AR161" s="445">
        <v>8</v>
      </c>
      <c r="AS161" s="445">
        <v>3</v>
      </c>
      <c r="AT161" s="445">
        <v>5</v>
      </c>
      <c r="AU161" s="445">
        <v>25</v>
      </c>
      <c r="AV161" s="445" t="str">
        <f t="shared" si="12"/>
        <v>Vàng:30000:MG01:3</v>
      </c>
      <c r="AW161" s="440">
        <v>200</v>
      </c>
      <c r="AX161" s="445">
        <v>12</v>
      </c>
      <c r="AY161" s="445">
        <v>5</v>
      </c>
      <c r="AZ161" s="450">
        <v>155</v>
      </c>
      <c r="BA161" s="31">
        <v>30000</v>
      </c>
      <c r="BB161" s="31">
        <v>3</v>
      </c>
      <c r="BC161" s="31">
        <f t="shared" si="10"/>
        <v>150000</v>
      </c>
    </row>
    <row r="162" spans="1:55" x14ac:dyDescent="0.25">
      <c r="A162" s="28" t="s">
        <v>2199</v>
      </c>
      <c r="B162" s="29">
        <v>160</v>
      </c>
      <c r="C162" s="13">
        <v>7</v>
      </c>
      <c r="D162" s="4">
        <v>19</v>
      </c>
      <c r="E162" s="451">
        <v>6000</v>
      </c>
      <c r="F162" s="445">
        <v>6</v>
      </c>
      <c r="G162" s="13">
        <v>14</v>
      </c>
      <c r="H162" s="13">
        <v>16</v>
      </c>
      <c r="I162" s="455" t="s">
        <v>2218</v>
      </c>
      <c r="J162" s="451">
        <v>1</v>
      </c>
      <c r="K162" s="445">
        <v>50</v>
      </c>
      <c r="L162" s="445">
        <v>50</v>
      </c>
      <c r="M162" s="445">
        <v>5</v>
      </c>
      <c r="N162" s="13">
        <v>40</v>
      </c>
      <c r="O162" s="446">
        <v>10</v>
      </c>
      <c r="P162" s="445">
        <v>90</v>
      </c>
      <c r="Q162" s="321">
        <v>6</v>
      </c>
      <c r="R162" s="23">
        <v>15</v>
      </c>
      <c r="S162" s="445">
        <v>10</v>
      </c>
      <c r="T162" s="445">
        <f t="shared" si="11"/>
        <v>90</v>
      </c>
      <c r="U162" s="447">
        <v>0.6</v>
      </c>
      <c r="V162" s="448">
        <v>2.5499999999999998</v>
      </c>
      <c r="W162" s="449">
        <v>3.3000000000000003</v>
      </c>
      <c r="X162" s="448">
        <v>2.3400000000000003</v>
      </c>
      <c r="Y162" s="448">
        <v>4.76</v>
      </c>
      <c r="Z162" s="448">
        <v>1.6</v>
      </c>
      <c r="AA162" s="448">
        <v>1.1440000000000001</v>
      </c>
      <c r="AB162" s="448">
        <v>0.13999999999999999</v>
      </c>
      <c r="AC162" s="445">
        <v>800000</v>
      </c>
      <c r="AD162" s="450">
        <v>450</v>
      </c>
      <c r="AE162" s="445">
        <v>14400</v>
      </c>
      <c r="AF162" s="445">
        <v>500</v>
      </c>
      <c r="AG162" s="447">
        <v>1.17</v>
      </c>
      <c r="AH162" s="445">
        <v>3</v>
      </c>
      <c r="AI162" s="445">
        <v>4</v>
      </c>
      <c r="AJ162" s="445">
        <v>2</v>
      </c>
      <c r="AK162" s="445">
        <v>3</v>
      </c>
      <c r="AL162" s="2" t="s">
        <v>2260</v>
      </c>
      <c r="AM162" s="2" t="s">
        <v>2261</v>
      </c>
      <c r="AN162" s="2" t="s">
        <v>2376</v>
      </c>
      <c r="AO162" s="445">
        <v>10</v>
      </c>
      <c r="AP162" s="445">
        <v>20</v>
      </c>
      <c r="AQ162" s="445">
        <v>4</v>
      </c>
      <c r="AR162" s="445">
        <v>8</v>
      </c>
      <c r="AS162" s="445">
        <v>3</v>
      </c>
      <c r="AT162" s="445">
        <v>5</v>
      </c>
      <c r="AU162" s="445">
        <v>25</v>
      </c>
      <c r="AV162" s="445" t="str">
        <f t="shared" si="12"/>
        <v>Vàng:30000:MG01:3</v>
      </c>
      <c r="AW162" s="440">
        <v>200</v>
      </c>
      <c r="AX162" s="445">
        <v>12</v>
      </c>
      <c r="AY162" s="445">
        <v>5</v>
      </c>
      <c r="AZ162" s="450">
        <v>156</v>
      </c>
      <c r="BA162" s="31">
        <v>30000</v>
      </c>
      <c r="BB162" s="31">
        <v>3</v>
      </c>
      <c r="BC162" s="31">
        <f t="shared" si="10"/>
        <v>150000</v>
      </c>
    </row>
    <row r="163" spans="1:55" x14ac:dyDescent="0.25">
      <c r="A163" s="28" t="s">
        <v>2199</v>
      </c>
      <c r="B163" s="428">
        <v>161</v>
      </c>
      <c r="C163" s="13">
        <v>7</v>
      </c>
      <c r="D163" s="4">
        <v>19</v>
      </c>
      <c r="E163" s="451">
        <v>6000</v>
      </c>
      <c r="F163" s="445">
        <v>6</v>
      </c>
      <c r="G163" s="13">
        <v>14</v>
      </c>
      <c r="H163" s="13">
        <v>16</v>
      </c>
      <c r="I163" s="455" t="s">
        <v>2218</v>
      </c>
      <c r="J163" s="451">
        <v>1</v>
      </c>
      <c r="K163" s="445">
        <v>50</v>
      </c>
      <c r="L163" s="445">
        <v>50</v>
      </c>
      <c r="M163" s="445">
        <v>5</v>
      </c>
      <c r="N163" s="13">
        <v>40</v>
      </c>
      <c r="O163" s="446">
        <v>10</v>
      </c>
      <c r="P163" s="445">
        <v>90</v>
      </c>
      <c r="Q163" s="321">
        <v>6</v>
      </c>
      <c r="R163" s="23">
        <v>15</v>
      </c>
      <c r="S163" s="445">
        <v>10</v>
      </c>
      <c r="T163" s="445">
        <f t="shared" si="11"/>
        <v>90</v>
      </c>
      <c r="U163" s="447">
        <v>0.6</v>
      </c>
      <c r="V163" s="448">
        <v>2.5499999999999998</v>
      </c>
      <c r="W163" s="449">
        <v>3.3000000000000003</v>
      </c>
      <c r="X163" s="448">
        <v>2.3400000000000003</v>
      </c>
      <c r="Y163" s="448">
        <v>4.76</v>
      </c>
      <c r="Z163" s="448">
        <v>1.6</v>
      </c>
      <c r="AA163" s="448">
        <v>1.1440000000000001</v>
      </c>
      <c r="AB163" s="448">
        <v>0.13999999999999999</v>
      </c>
      <c r="AC163" s="445">
        <v>805000</v>
      </c>
      <c r="AD163" s="450">
        <v>450</v>
      </c>
      <c r="AE163" s="445">
        <v>14400</v>
      </c>
      <c r="AF163" s="445">
        <v>500</v>
      </c>
      <c r="AG163" s="447">
        <v>1.17</v>
      </c>
      <c r="AH163" s="445">
        <v>3</v>
      </c>
      <c r="AI163" s="445">
        <v>4</v>
      </c>
      <c r="AJ163" s="445">
        <v>2</v>
      </c>
      <c r="AK163" s="445">
        <v>3</v>
      </c>
      <c r="AL163" s="2" t="s">
        <v>2260</v>
      </c>
      <c r="AM163" s="2" t="s">
        <v>2261</v>
      </c>
      <c r="AN163" s="2" t="s">
        <v>2376</v>
      </c>
      <c r="AO163" s="445">
        <v>10</v>
      </c>
      <c r="AP163" s="445">
        <v>20</v>
      </c>
      <c r="AQ163" s="445">
        <v>4</v>
      </c>
      <c r="AR163" s="445">
        <v>8</v>
      </c>
      <c r="AS163" s="445">
        <v>3</v>
      </c>
      <c r="AT163" s="445">
        <v>5</v>
      </c>
      <c r="AU163" s="445">
        <v>25</v>
      </c>
      <c r="AV163" s="445" t="str">
        <f t="shared" si="12"/>
        <v>Vàng:30000:MG01:3</v>
      </c>
      <c r="AW163" s="440">
        <v>200</v>
      </c>
      <c r="AX163" s="445">
        <v>12</v>
      </c>
      <c r="AY163" s="445">
        <v>5</v>
      </c>
      <c r="AZ163" s="450">
        <v>157</v>
      </c>
      <c r="BA163" s="31">
        <v>30000</v>
      </c>
      <c r="BB163" s="31">
        <v>3</v>
      </c>
      <c r="BC163" s="31">
        <f t="shared" si="10"/>
        <v>150000</v>
      </c>
    </row>
    <row r="164" spans="1:55" x14ac:dyDescent="0.25">
      <c r="A164" s="28" t="s">
        <v>2199</v>
      </c>
      <c r="B164" s="29">
        <v>162</v>
      </c>
      <c r="C164" s="13">
        <v>7</v>
      </c>
      <c r="D164" s="4">
        <v>19</v>
      </c>
      <c r="E164" s="451">
        <v>6000</v>
      </c>
      <c r="F164" s="445">
        <v>6</v>
      </c>
      <c r="G164" s="13">
        <v>14</v>
      </c>
      <c r="H164" s="13">
        <v>16</v>
      </c>
      <c r="I164" s="455" t="s">
        <v>2218</v>
      </c>
      <c r="J164" s="451">
        <v>1</v>
      </c>
      <c r="K164" s="445">
        <v>50</v>
      </c>
      <c r="L164" s="445">
        <v>50</v>
      </c>
      <c r="M164" s="445">
        <v>5</v>
      </c>
      <c r="N164" s="13">
        <v>40</v>
      </c>
      <c r="O164" s="446">
        <v>10</v>
      </c>
      <c r="P164" s="445">
        <v>90</v>
      </c>
      <c r="Q164" s="321">
        <v>6</v>
      </c>
      <c r="R164" s="23">
        <v>15</v>
      </c>
      <c r="S164" s="445">
        <v>10</v>
      </c>
      <c r="T164" s="445">
        <f t="shared" si="11"/>
        <v>90</v>
      </c>
      <c r="U164" s="447">
        <v>0.6</v>
      </c>
      <c r="V164" s="448">
        <v>2.5499999999999998</v>
      </c>
      <c r="W164" s="449">
        <v>3.3000000000000003</v>
      </c>
      <c r="X164" s="448">
        <v>2.3400000000000003</v>
      </c>
      <c r="Y164" s="448">
        <v>4.76</v>
      </c>
      <c r="Z164" s="448">
        <v>1.6</v>
      </c>
      <c r="AA164" s="448">
        <v>1.1440000000000001</v>
      </c>
      <c r="AB164" s="448">
        <v>0.13999999999999999</v>
      </c>
      <c r="AC164" s="445">
        <v>810000</v>
      </c>
      <c r="AD164" s="450">
        <v>450</v>
      </c>
      <c r="AE164" s="445">
        <v>14400</v>
      </c>
      <c r="AF164" s="445">
        <v>500</v>
      </c>
      <c r="AG164" s="447">
        <v>1.17</v>
      </c>
      <c r="AH164" s="445">
        <v>3</v>
      </c>
      <c r="AI164" s="445">
        <v>4</v>
      </c>
      <c r="AJ164" s="445">
        <v>2</v>
      </c>
      <c r="AK164" s="445">
        <v>3</v>
      </c>
      <c r="AL164" s="2" t="s">
        <v>2260</v>
      </c>
      <c r="AM164" s="2" t="s">
        <v>2261</v>
      </c>
      <c r="AN164" s="2" t="s">
        <v>2376</v>
      </c>
      <c r="AO164" s="445">
        <v>10</v>
      </c>
      <c r="AP164" s="445">
        <v>20</v>
      </c>
      <c r="AQ164" s="445">
        <v>4</v>
      </c>
      <c r="AR164" s="445">
        <v>8</v>
      </c>
      <c r="AS164" s="445">
        <v>3</v>
      </c>
      <c r="AT164" s="445">
        <v>5</v>
      </c>
      <c r="AU164" s="445">
        <v>25</v>
      </c>
      <c r="AV164" s="445" t="str">
        <f t="shared" si="12"/>
        <v>Vàng:30000:MG01:3</v>
      </c>
      <c r="AW164" s="440">
        <v>200</v>
      </c>
      <c r="AX164" s="445">
        <v>12</v>
      </c>
      <c r="AY164" s="445">
        <v>5</v>
      </c>
      <c r="AZ164" s="450">
        <v>158</v>
      </c>
      <c r="BA164" s="31">
        <v>30000</v>
      </c>
      <c r="BB164" s="31">
        <v>3</v>
      </c>
      <c r="BC164" s="31">
        <f t="shared" si="10"/>
        <v>150000</v>
      </c>
    </row>
    <row r="165" spans="1:55" x14ac:dyDescent="0.25">
      <c r="A165" s="28" t="s">
        <v>2199</v>
      </c>
      <c r="B165" s="428">
        <v>163</v>
      </c>
      <c r="C165" s="13">
        <v>7</v>
      </c>
      <c r="D165" s="4">
        <v>19</v>
      </c>
      <c r="E165" s="451">
        <v>6000</v>
      </c>
      <c r="F165" s="445">
        <v>6</v>
      </c>
      <c r="G165" s="13">
        <v>14</v>
      </c>
      <c r="H165" s="13">
        <v>16</v>
      </c>
      <c r="I165" s="455" t="s">
        <v>2218</v>
      </c>
      <c r="J165" s="451">
        <v>1</v>
      </c>
      <c r="K165" s="445">
        <v>50</v>
      </c>
      <c r="L165" s="445">
        <v>50</v>
      </c>
      <c r="M165" s="445">
        <v>5</v>
      </c>
      <c r="N165" s="13">
        <v>40</v>
      </c>
      <c r="O165" s="446">
        <v>10</v>
      </c>
      <c r="P165" s="445">
        <v>90</v>
      </c>
      <c r="Q165" s="321">
        <v>6</v>
      </c>
      <c r="R165" s="23">
        <v>15</v>
      </c>
      <c r="S165" s="445">
        <v>10</v>
      </c>
      <c r="T165" s="445">
        <f t="shared" si="11"/>
        <v>90</v>
      </c>
      <c r="U165" s="447">
        <v>0.6</v>
      </c>
      <c r="V165" s="448">
        <v>2.5499999999999998</v>
      </c>
      <c r="W165" s="449">
        <v>3.3000000000000003</v>
      </c>
      <c r="X165" s="448">
        <v>2.3400000000000003</v>
      </c>
      <c r="Y165" s="448">
        <v>4.76</v>
      </c>
      <c r="Z165" s="448">
        <v>1.6</v>
      </c>
      <c r="AA165" s="448">
        <v>1.1440000000000001</v>
      </c>
      <c r="AB165" s="448">
        <v>0.13999999999999999</v>
      </c>
      <c r="AC165" s="445">
        <v>815000</v>
      </c>
      <c r="AD165" s="450">
        <v>450</v>
      </c>
      <c r="AE165" s="445">
        <v>14400</v>
      </c>
      <c r="AF165" s="445">
        <v>500</v>
      </c>
      <c r="AG165" s="447">
        <v>1.17</v>
      </c>
      <c r="AH165" s="445">
        <v>3</v>
      </c>
      <c r="AI165" s="445">
        <v>4</v>
      </c>
      <c r="AJ165" s="445">
        <v>2</v>
      </c>
      <c r="AK165" s="445">
        <v>3</v>
      </c>
      <c r="AL165" s="2" t="s">
        <v>2260</v>
      </c>
      <c r="AM165" s="2" t="s">
        <v>2261</v>
      </c>
      <c r="AN165" s="2" t="s">
        <v>2376</v>
      </c>
      <c r="AO165" s="445">
        <v>10</v>
      </c>
      <c r="AP165" s="445">
        <v>20</v>
      </c>
      <c r="AQ165" s="445">
        <v>4</v>
      </c>
      <c r="AR165" s="445">
        <v>8</v>
      </c>
      <c r="AS165" s="445">
        <v>3</v>
      </c>
      <c r="AT165" s="445">
        <v>5</v>
      </c>
      <c r="AU165" s="445">
        <v>25</v>
      </c>
      <c r="AV165" s="445" t="str">
        <f t="shared" si="12"/>
        <v>Vàng:30000:MG01:3</v>
      </c>
      <c r="AW165" s="440">
        <v>200</v>
      </c>
      <c r="AX165" s="445">
        <v>12</v>
      </c>
      <c r="AY165" s="445">
        <v>5</v>
      </c>
      <c r="AZ165" s="450">
        <v>159</v>
      </c>
      <c r="BA165" s="31">
        <v>30000</v>
      </c>
      <c r="BB165" s="31">
        <v>3</v>
      </c>
      <c r="BC165" s="31">
        <f t="shared" si="10"/>
        <v>150000</v>
      </c>
    </row>
    <row r="166" spans="1:55" x14ac:dyDescent="0.25">
      <c r="A166" s="28" t="s">
        <v>2199</v>
      </c>
      <c r="B166" s="29">
        <v>164</v>
      </c>
      <c r="C166" s="13">
        <v>7</v>
      </c>
      <c r="D166" s="4">
        <v>19</v>
      </c>
      <c r="E166" s="451">
        <v>6000</v>
      </c>
      <c r="F166" s="445">
        <v>6</v>
      </c>
      <c r="G166" s="13">
        <v>14</v>
      </c>
      <c r="H166" s="13">
        <v>16</v>
      </c>
      <c r="I166" s="455" t="s">
        <v>2218</v>
      </c>
      <c r="J166" s="451">
        <v>1</v>
      </c>
      <c r="K166" s="445">
        <v>50</v>
      </c>
      <c r="L166" s="445">
        <v>50</v>
      </c>
      <c r="M166" s="445">
        <v>5</v>
      </c>
      <c r="N166" s="13">
        <v>40</v>
      </c>
      <c r="O166" s="446">
        <v>10</v>
      </c>
      <c r="P166" s="445">
        <v>90</v>
      </c>
      <c r="Q166" s="321">
        <v>6</v>
      </c>
      <c r="R166" s="23">
        <v>15</v>
      </c>
      <c r="S166" s="445">
        <v>10</v>
      </c>
      <c r="T166" s="445">
        <f t="shared" si="11"/>
        <v>90</v>
      </c>
      <c r="U166" s="447">
        <v>0.6</v>
      </c>
      <c r="V166" s="448">
        <v>2.5499999999999998</v>
      </c>
      <c r="W166" s="449">
        <v>3.3000000000000003</v>
      </c>
      <c r="X166" s="448">
        <v>2.3400000000000003</v>
      </c>
      <c r="Y166" s="448">
        <v>4.76</v>
      </c>
      <c r="Z166" s="448">
        <v>1.6</v>
      </c>
      <c r="AA166" s="448">
        <v>1.1440000000000001</v>
      </c>
      <c r="AB166" s="448">
        <v>0.13999999999999999</v>
      </c>
      <c r="AC166" s="445">
        <v>820000</v>
      </c>
      <c r="AD166" s="450">
        <v>450</v>
      </c>
      <c r="AE166" s="445">
        <v>14400</v>
      </c>
      <c r="AF166" s="445">
        <v>500</v>
      </c>
      <c r="AG166" s="447">
        <v>1.17</v>
      </c>
      <c r="AH166" s="445">
        <v>3</v>
      </c>
      <c r="AI166" s="445">
        <v>4</v>
      </c>
      <c r="AJ166" s="445">
        <v>2</v>
      </c>
      <c r="AK166" s="445">
        <v>3</v>
      </c>
      <c r="AL166" s="2" t="s">
        <v>2260</v>
      </c>
      <c r="AM166" s="2" t="s">
        <v>2261</v>
      </c>
      <c r="AN166" s="2" t="s">
        <v>2376</v>
      </c>
      <c r="AO166" s="445">
        <v>10</v>
      </c>
      <c r="AP166" s="445">
        <v>20</v>
      </c>
      <c r="AQ166" s="445">
        <v>4</v>
      </c>
      <c r="AR166" s="445">
        <v>8</v>
      </c>
      <c r="AS166" s="445">
        <v>3</v>
      </c>
      <c r="AT166" s="445">
        <v>5</v>
      </c>
      <c r="AU166" s="445">
        <v>25</v>
      </c>
      <c r="AV166" s="445" t="str">
        <f t="shared" si="12"/>
        <v>Vàng:30000:MG01:3</v>
      </c>
      <c r="AW166" s="440">
        <v>200</v>
      </c>
      <c r="AX166" s="445">
        <v>12</v>
      </c>
      <c r="AY166" s="445">
        <v>5</v>
      </c>
      <c r="AZ166" s="450">
        <v>160</v>
      </c>
      <c r="BA166" s="31">
        <v>30000</v>
      </c>
      <c r="BB166" s="31">
        <v>3</v>
      </c>
      <c r="BC166" s="31">
        <f t="shared" si="10"/>
        <v>150000</v>
      </c>
    </row>
    <row r="167" spans="1:55" x14ac:dyDescent="0.25">
      <c r="A167" s="28" t="s">
        <v>2199</v>
      </c>
      <c r="B167" s="428">
        <v>165</v>
      </c>
      <c r="C167" s="13">
        <v>7</v>
      </c>
      <c r="D167" s="4">
        <v>19</v>
      </c>
      <c r="E167" s="451">
        <v>6000</v>
      </c>
      <c r="F167" s="445">
        <v>6</v>
      </c>
      <c r="G167" s="13">
        <v>14</v>
      </c>
      <c r="H167" s="13">
        <v>16</v>
      </c>
      <c r="I167" s="455" t="s">
        <v>2218</v>
      </c>
      <c r="J167" s="451">
        <v>1</v>
      </c>
      <c r="K167" s="445">
        <v>50</v>
      </c>
      <c r="L167" s="445">
        <v>50</v>
      </c>
      <c r="M167" s="445">
        <v>5</v>
      </c>
      <c r="N167" s="13">
        <v>40</v>
      </c>
      <c r="O167" s="446">
        <v>10</v>
      </c>
      <c r="P167" s="445">
        <v>90</v>
      </c>
      <c r="Q167" s="321">
        <v>6</v>
      </c>
      <c r="R167" s="23">
        <v>15</v>
      </c>
      <c r="S167" s="445">
        <v>10</v>
      </c>
      <c r="T167" s="445">
        <f t="shared" si="11"/>
        <v>90</v>
      </c>
      <c r="U167" s="447">
        <v>0.6</v>
      </c>
      <c r="V167" s="448">
        <v>2.5499999999999998</v>
      </c>
      <c r="W167" s="449">
        <v>3.3000000000000003</v>
      </c>
      <c r="X167" s="448">
        <v>2.3400000000000003</v>
      </c>
      <c r="Y167" s="448">
        <v>4.76</v>
      </c>
      <c r="Z167" s="448">
        <v>1.6</v>
      </c>
      <c r="AA167" s="448">
        <v>1.1440000000000001</v>
      </c>
      <c r="AB167" s="448">
        <v>0.13999999999999999</v>
      </c>
      <c r="AC167" s="445">
        <v>825000</v>
      </c>
      <c r="AD167" s="450">
        <v>450</v>
      </c>
      <c r="AE167" s="445">
        <v>14400</v>
      </c>
      <c r="AF167" s="445">
        <v>500</v>
      </c>
      <c r="AG167" s="447">
        <v>1.17</v>
      </c>
      <c r="AH167" s="445">
        <v>3</v>
      </c>
      <c r="AI167" s="445">
        <v>4</v>
      </c>
      <c r="AJ167" s="445">
        <v>2</v>
      </c>
      <c r="AK167" s="445">
        <v>3</v>
      </c>
      <c r="AL167" s="2" t="s">
        <v>2260</v>
      </c>
      <c r="AM167" s="2" t="s">
        <v>2261</v>
      </c>
      <c r="AN167" s="2" t="s">
        <v>2376</v>
      </c>
      <c r="AO167" s="445">
        <v>10</v>
      </c>
      <c r="AP167" s="445">
        <v>20</v>
      </c>
      <c r="AQ167" s="445">
        <v>4</v>
      </c>
      <c r="AR167" s="445">
        <v>8</v>
      </c>
      <c r="AS167" s="445">
        <v>3</v>
      </c>
      <c r="AT167" s="445">
        <v>5</v>
      </c>
      <c r="AU167" s="445">
        <v>25</v>
      </c>
      <c r="AV167" s="445" t="str">
        <f t="shared" si="12"/>
        <v>Vàng:30000:MG01:3</v>
      </c>
      <c r="AW167" s="440">
        <v>200</v>
      </c>
      <c r="AX167" s="445">
        <v>12</v>
      </c>
      <c r="AY167" s="445">
        <v>5</v>
      </c>
      <c r="AZ167" s="450">
        <v>161</v>
      </c>
      <c r="BA167" s="31">
        <v>30000</v>
      </c>
      <c r="BB167" s="31">
        <v>3</v>
      </c>
      <c r="BC167" s="31">
        <f t="shared" si="10"/>
        <v>150000</v>
      </c>
    </row>
    <row r="168" spans="1:55" x14ac:dyDescent="0.25">
      <c r="A168" s="28" t="s">
        <v>2199</v>
      </c>
      <c r="B168" s="29">
        <v>166</v>
      </c>
      <c r="C168" s="13">
        <v>7</v>
      </c>
      <c r="D168" s="4">
        <v>19</v>
      </c>
      <c r="E168" s="451">
        <v>6000</v>
      </c>
      <c r="F168" s="445">
        <v>6</v>
      </c>
      <c r="G168" s="13">
        <v>14</v>
      </c>
      <c r="H168" s="13">
        <v>16</v>
      </c>
      <c r="I168" s="455" t="s">
        <v>2218</v>
      </c>
      <c r="J168" s="451">
        <v>1</v>
      </c>
      <c r="K168" s="445">
        <v>50</v>
      </c>
      <c r="L168" s="445">
        <v>50</v>
      </c>
      <c r="M168" s="445">
        <v>5</v>
      </c>
      <c r="N168" s="13">
        <v>40</v>
      </c>
      <c r="O168" s="446">
        <v>10</v>
      </c>
      <c r="P168" s="445">
        <v>90</v>
      </c>
      <c r="Q168" s="321">
        <v>6</v>
      </c>
      <c r="R168" s="23">
        <v>15</v>
      </c>
      <c r="S168" s="445">
        <v>10</v>
      </c>
      <c r="T168" s="445">
        <f t="shared" si="11"/>
        <v>90</v>
      </c>
      <c r="U168" s="447">
        <v>0.6</v>
      </c>
      <c r="V168" s="448">
        <v>2.5499999999999998</v>
      </c>
      <c r="W168" s="449">
        <v>3.3000000000000003</v>
      </c>
      <c r="X168" s="448">
        <v>2.3400000000000003</v>
      </c>
      <c r="Y168" s="448">
        <v>4.76</v>
      </c>
      <c r="Z168" s="448">
        <v>1.6</v>
      </c>
      <c r="AA168" s="448">
        <v>1.1440000000000001</v>
      </c>
      <c r="AB168" s="448">
        <v>0.13999999999999999</v>
      </c>
      <c r="AC168" s="445">
        <v>830000</v>
      </c>
      <c r="AD168" s="450">
        <v>450</v>
      </c>
      <c r="AE168" s="445">
        <v>14400</v>
      </c>
      <c r="AF168" s="445">
        <v>500</v>
      </c>
      <c r="AG168" s="447">
        <v>1.17</v>
      </c>
      <c r="AH168" s="445">
        <v>3</v>
      </c>
      <c r="AI168" s="445">
        <v>4</v>
      </c>
      <c r="AJ168" s="445">
        <v>2</v>
      </c>
      <c r="AK168" s="445">
        <v>3</v>
      </c>
      <c r="AL168" s="2" t="s">
        <v>2260</v>
      </c>
      <c r="AM168" s="2" t="s">
        <v>2261</v>
      </c>
      <c r="AN168" s="2" t="s">
        <v>2376</v>
      </c>
      <c r="AO168" s="445">
        <v>10</v>
      </c>
      <c r="AP168" s="445">
        <v>20</v>
      </c>
      <c r="AQ168" s="445">
        <v>4</v>
      </c>
      <c r="AR168" s="445">
        <v>8</v>
      </c>
      <c r="AS168" s="445">
        <v>3</v>
      </c>
      <c r="AT168" s="445">
        <v>5</v>
      </c>
      <c r="AU168" s="445">
        <v>25</v>
      </c>
      <c r="AV168" s="445" t="str">
        <f t="shared" si="12"/>
        <v>Vàng:30000:MG01:3</v>
      </c>
      <c r="AW168" s="440">
        <v>200</v>
      </c>
      <c r="AX168" s="445">
        <v>12</v>
      </c>
      <c r="AY168" s="445">
        <v>5</v>
      </c>
      <c r="AZ168" s="450">
        <v>162</v>
      </c>
      <c r="BA168" s="31">
        <v>30000</v>
      </c>
      <c r="BB168" s="31">
        <v>3</v>
      </c>
      <c r="BC168" s="31">
        <f t="shared" si="10"/>
        <v>150000</v>
      </c>
    </row>
    <row r="169" spans="1:55" x14ac:dyDescent="0.25">
      <c r="A169" s="28" t="s">
        <v>2199</v>
      </c>
      <c r="B169" s="428">
        <v>167</v>
      </c>
      <c r="C169" s="13">
        <v>7</v>
      </c>
      <c r="D169" s="4">
        <v>19</v>
      </c>
      <c r="E169" s="451">
        <v>6000</v>
      </c>
      <c r="F169" s="445">
        <v>6</v>
      </c>
      <c r="G169" s="13">
        <v>14</v>
      </c>
      <c r="H169" s="13">
        <v>16</v>
      </c>
      <c r="I169" s="455" t="s">
        <v>2218</v>
      </c>
      <c r="J169" s="451">
        <v>1</v>
      </c>
      <c r="K169" s="445">
        <v>50</v>
      </c>
      <c r="L169" s="445">
        <v>50</v>
      </c>
      <c r="M169" s="445">
        <v>5</v>
      </c>
      <c r="N169" s="13">
        <v>40</v>
      </c>
      <c r="O169" s="446">
        <v>10</v>
      </c>
      <c r="P169" s="445">
        <v>90</v>
      </c>
      <c r="Q169" s="321">
        <v>6</v>
      </c>
      <c r="R169" s="23">
        <v>15</v>
      </c>
      <c r="S169" s="445">
        <v>10</v>
      </c>
      <c r="T169" s="445">
        <f t="shared" si="11"/>
        <v>90</v>
      </c>
      <c r="U169" s="447">
        <v>0.6</v>
      </c>
      <c r="V169" s="448">
        <v>2.5499999999999998</v>
      </c>
      <c r="W169" s="449">
        <v>3.3000000000000003</v>
      </c>
      <c r="X169" s="448">
        <v>2.3400000000000003</v>
      </c>
      <c r="Y169" s="448">
        <v>4.76</v>
      </c>
      <c r="Z169" s="448">
        <v>1.6</v>
      </c>
      <c r="AA169" s="448">
        <v>1.1440000000000001</v>
      </c>
      <c r="AB169" s="448">
        <v>0.13999999999999999</v>
      </c>
      <c r="AC169" s="445">
        <v>835000</v>
      </c>
      <c r="AD169" s="450">
        <v>450</v>
      </c>
      <c r="AE169" s="445">
        <v>14400</v>
      </c>
      <c r="AF169" s="445">
        <v>500</v>
      </c>
      <c r="AG169" s="447">
        <v>1.17</v>
      </c>
      <c r="AH169" s="445">
        <v>3</v>
      </c>
      <c r="AI169" s="445">
        <v>4</v>
      </c>
      <c r="AJ169" s="445">
        <v>2</v>
      </c>
      <c r="AK169" s="445">
        <v>3</v>
      </c>
      <c r="AL169" s="2" t="s">
        <v>2260</v>
      </c>
      <c r="AM169" s="2" t="s">
        <v>2261</v>
      </c>
      <c r="AN169" s="2" t="s">
        <v>2376</v>
      </c>
      <c r="AO169" s="445">
        <v>10</v>
      </c>
      <c r="AP169" s="445">
        <v>20</v>
      </c>
      <c r="AQ169" s="445">
        <v>4</v>
      </c>
      <c r="AR169" s="445">
        <v>8</v>
      </c>
      <c r="AS169" s="445">
        <v>3</v>
      </c>
      <c r="AT169" s="445">
        <v>5</v>
      </c>
      <c r="AU169" s="445">
        <v>25</v>
      </c>
      <c r="AV169" s="445" t="str">
        <f t="shared" si="12"/>
        <v>Vàng:30000:MG01:3</v>
      </c>
      <c r="AW169" s="440">
        <v>200</v>
      </c>
      <c r="AX169" s="445">
        <v>12</v>
      </c>
      <c r="AY169" s="445">
        <v>5</v>
      </c>
      <c r="AZ169" s="450">
        <v>163</v>
      </c>
      <c r="BA169" s="31">
        <v>30000</v>
      </c>
      <c r="BB169" s="31">
        <v>3</v>
      </c>
      <c r="BC169" s="31">
        <f t="shared" si="10"/>
        <v>150000</v>
      </c>
    </row>
    <row r="170" spans="1:55" x14ac:dyDescent="0.25">
      <c r="A170" s="28" t="s">
        <v>2199</v>
      </c>
      <c r="B170" s="29">
        <v>168</v>
      </c>
      <c r="C170" s="13">
        <v>7</v>
      </c>
      <c r="D170" s="4">
        <v>19</v>
      </c>
      <c r="E170" s="451">
        <v>6000</v>
      </c>
      <c r="F170" s="445">
        <v>6</v>
      </c>
      <c r="G170" s="13">
        <v>14</v>
      </c>
      <c r="H170" s="13">
        <v>16</v>
      </c>
      <c r="I170" s="455" t="s">
        <v>2218</v>
      </c>
      <c r="J170" s="451">
        <v>1</v>
      </c>
      <c r="K170" s="445">
        <v>50</v>
      </c>
      <c r="L170" s="445">
        <v>50</v>
      </c>
      <c r="M170" s="445">
        <v>5</v>
      </c>
      <c r="N170" s="13">
        <v>40</v>
      </c>
      <c r="O170" s="446">
        <v>10</v>
      </c>
      <c r="P170" s="445">
        <v>90</v>
      </c>
      <c r="Q170" s="321">
        <v>6</v>
      </c>
      <c r="R170" s="23">
        <v>15</v>
      </c>
      <c r="S170" s="445">
        <v>10</v>
      </c>
      <c r="T170" s="445">
        <f t="shared" si="11"/>
        <v>90</v>
      </c>
      <c r="U170" s="447">
        <v>0.6</v>
      </c>
      <c r="V170" s="448">
        <v>2.5499999999999998</v>
      </c>
      <c r="W170" s="449">
        <v>3.3000000000000003</v>
      </c>
      <c r="X170" s="448">
        <v>2.3400000000000003</v>
      </c>
      <c r="Y170" s="448">
        <v>4.76</v>
      </c>
      <c r="Z170" s="448">
        <v>1.6</v>
      </c>
      <c r="AA170" s="448">
        <v>1.1440000000000001</v>
      </c>
      <c r="AB170" s="448">
        <v>0.13999999999999999</v>
      </c>
      <c r="AC170" s="445">
        <v>840000</v>
      </c>
      <c r="AD170" s="450">
        <v>450</v>
      </c>
      <c r="AE170" s="445">
        <v>14400</v>
      </c>
      <c r="AF170" s="445">
        <v>500</v>
      </c>
      <c r="AG170" s="447">
        <v>1.17</v>
      </c>
      <c r="AH170" s="445">
        <v>3</v>
      </c>
      <c r="AI170" s="445">
        <v>4</v>
      </c>
      <c r="AJ170" s="445">
        <v>2</v>
      </c>
      <c r="AK170" s="445">
        <v>3</v>
      </c>
      <c r="AL170" s="2" t="s">
        <v>2260</v>
      </c>
      <c r="AM170" s="2" t="s">
        <v>2261</v>
      </c>
      <c r="AN170" s="2" t="s">
        <v>2376</v>
      </c>
      <c r="AO170" s="445">
        <v>10</v>
      </c>
      <c r="AP170" s="445">
        <v>20</v>
      </c>
      <c r="AQ170" s="445">
        <v>4</v>
      </c>
      <c r="AR170" s="445">
        <v>8</v>
      </c>
      <c r="AS170" s="445">
        <v>3</v>
      </c>
      <c r="AT170" s="445">
        <v>5</v>
      </c>
      <c r="AU170" s="445">
        <v>25</v>
      </c>
      <c r="AV170" s="445" t="str">
        <f t="shared" si="12"/>
        <v>Vàng:30000:MG01:3</v>
      </c>
      <c r="AW170" s="440">
        <v>200</v>
      </c>
      <c r="AX170" s="445">
        <v>12</v>
      </c>
      <c r="AY170" s="445">
        <v>5</v>
      </c>
      <c r="AZ170" s="450">
        <v>164</v>
      </c>
      <c r="BA170" s="31">
        <v>30000</v>
      </c>
      <c r="BB170" s="31">
        <v>3</v>
      </c>
      <c r="BC170" s="31">
        <f t="shared" si="10"/>
        <v>150000</v>
      </c>
    </row>
    <row r="171" spans="1:55" x14ac:dyDescent="0.25">
      <c r="A171" s="28" t="s">
        <v>2199</v>
      </c>
      <c r="B171" s="428">
        <v>169</v>
      </c>
      <c r="C171" s="13">
        <v>7</v>
      </c>
      <c r="D171" s="4">
        <v>19</v>
      </c>
      <c r="E171" s="451">
        <v>6000</v>
      </c>
      <c r="F171" s="445">
        <v>6</v>
      </c>
      <c r="G171" s="13">
        <v>14</v>
      </c>
      <c r="H171" s="13">
        <v>16</v>
      </c>
      <c r="I171" s="455" t="s">
        <v>2218</v>
      </c>
      <c r="J171" s="451">
        <v>1</v>
      </c>
      <c r="K171" s="445">
        <v>50</v>
      </c>
      <c r="L171" s="445">
        <v>50</v>
      </c>
      <c r="M171" s="445">
        <v>5</v>
      </c>
      <c r="N171" s="13">
        <v>40</v>
      </c>
      <c r="O171" s="446">
        <v>10</v>
      </c>
      <c r="P171" s="445">
        <v>90</v>
      </c>
      <c r="Q171" s="321">
        <v>6</v>
      </c>
      <c r="R171" s="23">
        <v>15</v>
      </c>
      <c r="S171" s="445">
        <v>10</v>
      </c>
      <c r="T171" s="445">
        <f t="shared" si="11"/>
        <v>90</v>
      </c>
      <c r="U171" s="447">
        <v>0.6</v>
      </c>
      <c r="V171" s="448">
        <v>2.5499999999999998</v>
      </c>
      <c r="W171" s="449">
        <v>3.3000000000000003</v>
      </c>
      <c r="X171" s="448">
        <v>2.3400000000000003</v>
      </c>
      <c r="Y171" s="448">
        <v>4.76</v>
      </c>
      <c r="Z171" s="448">
        <v>1.6</v>
      </c>
      <c r="AA171" s="448">
        <v>1.1440000000000001</v>
      </c>
      <c r="AB171" s="448">
        <v>0.13999999999999999</v>
      </c>
      <c r="AC171" s="445">
        <v>845000</v>
      </c>
      <c r="AD171" s="450">
        <v>450</v>
      </c>
      <c r="AE171" s="445">
        <v>14400</v>
      </c>
      <c r="AF171" s="445">
        <v>500</v>
      </c>
      <c r="AG171" s="447">
        <v>1.17</v>
      </c>
      <c r="AH171" s="445">
        <v>3</v>
      </c>
      <c r="AI171" s="445">
        <v>4</v>
      </c>
      <c r="AJ171" s="445">
        <v>2</v>
      </c>
      <c r="AK171" s="445">
        <v>3</v>
      </c>
      <c r="AL171" s="2" t="s">
        <v>2260</v>
      </c>
      <c r="AM171" s="2" t="s">
        <v>2261</v>
      </c>
      <c r="AN171" s="2" t="s">
        <v>2376</v>
      </c>
      <c r="AO171" s="445">
        <v>10</v>
      </c>
      <c r="AP171" s="445">
        <v>20</v>
      </c>
      <c r="AQ171" s="445">
        <v>4</v>
      </c>
      <c r="AR171" s="445">
        <v>8</v>
      </c>
      <c r="AS171" s="445">
        <v>3</v>
      </c>
      <c r="AT171" s="445">
        <v>5</v>
      </c>
      <c r="AU171" s="445">
        <v>25</v>
      </c>
      <c r="AV171" s="445" t="str">
        <f t="shared" si="12"/>
        <v>Vàng:30000:MG01:3</v>
      </c>
      <c r="AW171" s="440">
        <v>200</v>
      </c>
      <c r="AX171" s="445">
        <v>12</v>
      </c>
      <c r="AY171" s="445">
        <v>5</v>
      </c>
      <c r="AZ171" s="450">
        <v>165</v>
      </c>
      <c r="BA171" s="31">
        <v>30000</v>
      </c>
      <c r="BB171" s="31">
        <v>3</v>
      </c>
      <c r="BC171" s="31">
        <f t="shared" si="10"/>
        <v>150000</v>
      </c>
    </row>
    <row r="172" spans="1:55" x14ac:dyDescent="0.25">
      <c r="A172" s="28" t="s">
        <v>2199</v>
      </c>
      <c r="B172" s="29">
        <v>170</v>
      </c>
      <c r="C172" s="13">
        <v>7</v>
      </c>
      <c r="D172" s="4">
        <v>19</v>
      </c>
      <c r="E172" s="451">
        <v>6000</v>
      </c>
      <c r="F172" s="445">
        <v>6</v>
      </c>
      <c r="G172" s="13">
        <v>14</v>
      </c>
      <c r="H172" s="13">
        <v>16</v>
      </c>
      <c r="I172" s="455" t="s">
        <v>2218</v>
      </c>
      <c r="J172" s="451">
        <v>1</v>
      </c>
      <c r="K172" s="445">
        <v>50</v>
      </c>
      <c r="L172" s="445">
        <v>50</v>
      </c>
      <c r="M172" s="445">
        <v>5</v>
      </c>
      <c r="N172" s="13">
        <v>40</v>
      </c>
      <c r="O172" s="446">
        <v>10</v>
      </c>
      <c r="P172" s="445">
        <v>90</v>
      </c>
      <c r="Q172" s="321">
        <v>6</v>
      </c>
      <c r="R172" s="23">
        <v>15</v>
      </c>
      <c r="S172" s="445">
        <v>10</v>
      </c>
      <c r="T172" s="445">
        <f t="shared" si="11"/>
        <v>90</v>
      </c>
      <c r="U172" s="447">
        <v>0.6</v>
      </c>
      <c r="V172" s="448">
        <v>2.5499999999999998</v>
      </c>
      <c r="W172" s="449">
        <v>3.3000000000000003</v>
      </c>
      <c r="X172" s="448">
        <v>2.3400000000000003</v>
      </c>
      <c r="Y172" s="448">
        <v>4.76</v>
      </c>
      <c r="Z172" s="448">
        <v>1.6</v>
      </c>
      <c r="AA172" s="448">
        <v>1.1440000000000001</v>
      </c>
      <c r="AB172" s="448">
        <v>0.13999999999999999</v>
      </c>
      <c r="AC172" s="445">
        <v>850000</v>
      </c>
      <c r="AD172" s="450">
        <v>450</v>
      </c>
      <c r="AE172" s="445">
        <v>14400</v>
      </c>
      <c r="AF172" s="445">
        <v>500</v>
      </c>
      <c r="AG172" s="447">
        <v>1.17</v>
      </c>
      <c r="AH172" s="445">
        <v>3</v>
      </c>
      <c r="AI172" s="445">
        <v>4</v>
      </c>
      <c r="AJ172" s="445">
        <v>2</v>
      </c>
      <c r="AK172" s="445">
        <v>3</v>
      </c>
      <c r="AL172" s="2" t="s">
        <v>2260</v>
      </c>
      <c r="AM172" s="2" t="s">
        <v>2261</v>
      </c>
      <c r="AN172" s="2" t="s">
        <v>2376</v>
      </c>
      <c r="AO172" s="445">
        <v>10</v>
      </c>
      <c r="AP172" s="445">
        <v>20</v>
      </c>
      <c r="AQ172" s="445">
        <v>4</v>
      </c>
      <c r="AR172" s="445">
        <v>8</v>
      </c>
      <c r="AS172" s="445">
        <v>3</v>
      </c>
      <c r="AT172" s="445">
        <v>5</v>
      </c>
      <c r="AU172" s="445">
        <v>25</v>
      </c>
      <c r="AV172" s="445" t="str">
        <f t="shared" si="12"/>
        <v>Vàng:30000:MG01:3</v>
      </c>
      <c r="AW172" s="440">
        <v>200</v>
      </c>
      <c r="AX172" s="445">
        <v>12</v>
      </c>
      <c r="AY172" s="445">
        <v>5</v>
      </c>
      <c r="AZ172" s="450">
        <v>166</v>
      </c>
      <c r="BA172" s="31">
        <v>30000</v>
      </c>
      <c r="BB172" s="31">
        <v>3</v>
      </c>
      <c r="BC172" s="31">
        <f t="shared" si="10"/>
        <v>150000</v>
      </c>
    </row>
    <row r="173" spans="1:55" x14ac:dyDescent="0.25">
      <c r="A173" s="28" t="s">
        <v>2199</v>
      </c>
      <c r="B173" s="428">
        <v>171</v>
      </c>
      <c r="C173" s="13">
        <v>7</v>
      </c>
      <c r="D173" s="4">
        <v>19</v>
      </c>
      <c r="E173" s="451">
        <v>7800</v>
      </c>
      <c r="F173" s="445">
        <v>6</v>
      </c>
      <c r="G173" s="13">
        <v>14</v>
      </c>
      <c r="H173" s="13">
        <v>16</v>
      </c>
      <c r="I173" s="455" t="s">
        <v>2218</v>
      </c>
      <c r="J173" s="451">
        <v>1</v>
      </c>
      <c r="K173" s="445">
        <v>50</v>
      </c>
      <c r="L173" s="445">
        <v>50</v>
      </c>
      <c r="M173" s="445">
        <v>5</v>
      </c>
      <c r="N173" s="13">
        <v>40</v>
      </c>
      <c r="O173" s="446">
        <v>10</v>
      </c>
      <c r="P173" s="445">
        <v>90</v>
      </c>
      <c r="Q173" s="321">
        <v>6</v>
      </c>
      <c r="R173" s="23">
        <v>15</v>
      </c>
      <c r="S173" s="445">
        <v>10</v>
      </c>
      <c r="T173" s="445">
        <f t="shared" si="11"/>
        <v>90</v>
      </c>
      <c r="U173" s="447">
        <v>0.6</v>
      </c>
      <c r="V173" s="448">
        <v>2.5499999999999998</v>
      </c>
      <c r="W173" s="449">
        <v>3.3000000000000003</v>
      </c>
      <c r="X173" s="448">
        <v>2.3400000000000003</v>
      </c>
      <c r="Y173" s="448">
        <v>4.76</v>
      </c>
      <c r="Z173" s="448">
        <v>1.6</v>
      </c>
      <c r="AA173" s="448">
        <v>1.1440000000000001</v>
      </c>
      <c r="AB173" s="448">
        <v>0.13999999999999999</v>
      </c>
      <c r="AC173" s="445">
        <v>855000</v>
      </c>
      <c r="AD173" s="450">
        <v>450</v>
      </c>
      <c r="AE173" s="445">
        <v>14400</v>
      </c>
      <c r="AF173" s="445">
        <v>500</v>
      </c>
      <c r="AG173" s="447">
        <v>1.17</v>
      </c>
      <c r="AH173" s="445">
        <v>3</v>
      </c>
      <c r="AI173" s="445">
        <v>4</v>
      </c>
      <c r="AJ173" s="445">
        <v>2</v>
      </c>
      <c r="AK173" s="445">
        <v>3</v>
      </c>
      <c r="AL173" s="2" t="s">
        <v>2260</v>
      </c>
      <c r="AM173" s="2" t="s">
        <v>2261</v>
      </c>
      <c r="AN173" s="2" t="s">
        <v>2376</v>
      </c>
      <c r="AO173" s="445">
        <v>10</v>
      </c>
      <c r="AP173" s="445">
        <v>20</v>
      </c>
      <c r="AQ173" s="445">
        <v>4</v>
      </c>
      <c r="AR173" s="445">
        <v>8</v>
      </c>
      <c r="AS173" s="445">
        <v>3</v>
      </c>
      <c r="AT173" s="445">
        <v>5</v>
      </c>
      <c r="AU173" s="445">
        <v>30</v>
      </c>
      <c r="AV173" s="445" t="str">
        <f t="shared" si="12"/>
        <v>Vàng:30000:MG01:3</v>
      </c>
      <c r="AW173" s="440">
        <v>200</v>
      </c>
      <c r="AX173" s="445">
        <v>12</v>
      </c>
      <c r="AY173" s="445">
        <v>5</v>
      </c>
      <c r="AZ173" s="450">
        <v>167</v>
      </c>
      <c r="BA173" s="31">
        <v>30000</v>
      </c>
      <c r="BB173" s="31">
        <v>3</v>
      </c>
      <c r="BC173" s="31">
        <f t="shared" si="10"/>
        <v>150000</v>
      </c>
    </row>
    <row r="174" spans="1:55" x14ac:dyDescent="0.25">
      <c r="A174" s="28" t="s">
        <v>2199</v>
      </c>
      <c r="B174" s="29">
        <v>172</v>
      </c>
      <c r="C174" s="13">
        <v>7</v>
      </c>
      <c r="D174" s="4">
        <v>19</v>
      </c>
      <c r="E174" s="451">
        <v>7800</v>
      </c>
      <c r="F174" s="445">
        <v>6</v>
      </c>
      <c r="G174" s="13">
        <v>14</v>
      </c>
      <c r="H174" s="13">
        <v>16</v>
      </c>
      <c r="I174" s="455" t="s">
        <v>2218</v>
      </c>
      <c r="J174" s="451">
        <v>1</v>
      </c>
      <c r="K174" s="445">
        <v>50</v>
      </c>
      <c r="L174" s="445">
        <v>50</v>
      </c>
      <c r="M174" s="445">
        <v>5</v>
      </c>
      <c r="N174" s="13">
        <v>40</v>
      </c>
      <c r="O174" s="446">
        <v>10</v>
      </c>
      <c r="P174" s="445">
        <v>90</v>
      </c>
      <c r="Q174" s="321">
        <v>6</v>
      </c>
      <c r="R174" s="23">
        <v>15</v>
      </c>
      <c r="S174" s="445">
        <v>10</v>
      </c>
      <c r="T174" s="445">
        <f t="shared" si="11"/>
        <v>90</v>
      </c>
      <c r="U174" s="447">
        <v>0.6</v>
      </c>
      <c r="V174" s="448">
        <v>2.5499999999999998</v>
      </c>
      <c r="W174" s="449">
        <v>3.3000000000000003</v>
      </c>
      <c r="X174" s="448">
        <v>2.3400000000000003</v>
      </c>
      <c r="Y174" s="448">
        <v>4.76</v>
      </c>
      <c r="Z174" s="448">
        <v>1.6</v>
      </c>
      <c r="AA174" s="448">
        <v>1.1440000000000001</v>
      </c>
      <c r="AB174" s="448">
        <v>0.13999999999999999</v>
      </c>
      <c r="AC174" s="445">
        <v>860000</v>
      </c>
      <c r="AD174" s="450">
        <v>450</v>
      </c>
      <c r="AE174" s="445">
        <v>14400</v>
      </c>
      <c r="AF174" s="445">
        <v>500</v>
      </c>
      <c r="AG174" s="447">
        <v>1.17</v>
      </c>
      <c r="AH174" s="445">
        <v>3</v>
      </c>
      <c r="AI174" s="445">
        <v>4</v>
      </c>
      <c r="AJ174" s="445">
        <v>2</v>
      </c>
      <c r="AK174" s="445">
        <v>3</v>
      </c>
      <c r="AL174" s="2" t="s">
        <v>2260</v>
      </c>
      <c r="AM174" s="2" t="s">
        <v>2261</v>
      </c>
      <c r="AN174" s="2" t="s">
        <v>2376</v>
      </c>
      <c r="AO174" s="445">
        <v>10</v>
      </c>
      <c r="AP174" s="445">
        <v>20</v>
      </c>
      <c r="AQ174" s="445">
        <v>4</v>
      </c>
      <c r="AR174" s="445">
        <v>8</v>
      </c>
      <c r="AS174" s="445">
        <v>3</v>
      </c>
      <c r="AT174" s="445">
        <v>5</v>
      </c>
      <c r="AU174" s="445">
        <v>30</v>
      </c>
      <c r="AV174" s="445" t="str">
        <f t="shared" si="12"/>
        <v>Vàng:30000:MG01:3</v>
      </c>
      <c r="AW174" s="440">
        <v>200</v>
      </c>
      <c r="AX174" s="445">
        <v>12</v>
      </c>
      <c r="AY174" s="445">
        <v>5</v>
      </c>
      <c r="AZ174" s="450">
        <v>168</v>
      </c>
      <c r="BA174" s="31">
        <v>30000</v>
      </c>
      <c r="BB174" s="31">
        <v>3</v>
      </c>
      <c r="BC174" s="31">
        <f t="shared" si="10"/>
        <v>150000</v>
      </c>
    </row>
    <row r="175" spans="1:55" x14ac:dyDescent="0.25">
      <c r="A175" s="28" t="s">
        <v>2199</v>
      </c>
      <c r="B175" s="428">
        <v>173</v>
      </c>
      <c r="C175" s="13">
        <v>7</v>
      </c>
      <c r="D175" s="4">
        <v>19</v>
      </c>
      <c r="E175" s="451">
        <v>7800</v>
      </c>
      <c r="F175" s="445">
        <v>6</v>
      </c>
      <c r="G175" s="13">
        <v>14</v>
      </c>
      <c r="H175" s="13">
        <v>16</v>
      </c>
      <c r="I175" s="455" t="s">
        <v>2218</v>
      </c>
      <c r="J175" s="451">
        <v>1</v>
      </c>
      <c r="K175" s="445">
        <v>50</v>
      </c>
      <c r="L175" s="445">
        <v>50</v>
      </c>
      <c r="M175" s="445">
        <v>5</v>
      </c>
      <c r="N175" s="13">
        <v>40</v>
      </c>
      <c r="O175" s="446">
        <v>10</v>
      </c>
      <c r="P175" s="445">
        <v>90</v>
      </c>
      <c r="Q175" s="321">
        <v>6</v>
      </c>
      <c r="R175" s="23">
        <v>15</v>
      </c>
      <c r="S175" s="445">
        <v>10</v>
      </c>
      <c r="T175" s="445">
        <f t="shared" si="11"/>
        <v>90</v>
      </c>
      <c r="U175" s="447">
        <v>0.6</v>
      </c>
      <c r="V175" s="448">
        <v>2.5499999999999998</v>
      </c>
      <c r="W175" s="449">
        <v>3.3000000000000003</v>
      </c>
      <c r="X175" s="448">
        <v>2.3400000000000003</v>
      </c>
      <c r="Y175" s="448">
        <v>4.76</v>
      </c>
      <c r="Z175" s="448">
        <v>1.6</v>
      </c>
      <c r="AA175" s="448">
        <v>1.1440000000000001</v>
      </c>
      <c r="AB175" s="448">
        <v>0.13999999999999999</v>
      </c>
      <c r="AC175" s="445">
        <v>865000</v>
      </c>
      <c r="AD175" s="450">
        <v>450</v>
      </c>
      <c r="AE175" s="445">
        <v>14400</v>
      </c>
      <c r="AF175" s="445">
        <v>500</v>
      </c>
      <c r="AG175" s="447">
        <v>1.17</v>
      </c>
      <c r="AH175" s="445">
        <v>3</v>
      </c>
      <c r="AI175" s="445">
        <v>4</v>
      </c>
      <c r="AJ175" s="445">
        <v>2</v>
      </c>
      <c r="AK175" s="445">
        <v>3</v>
      </c>
      <c r="AL175" s="2" t="s">
        <v>2260</v>
      </c>
      <c r="AM175" s="2" t="s">
        <v>2261</v>
      </c>
      <c r="AN175" s="2" t="s">
        <v>2376</v>
      </c>
      <c r="AO175" s="445">
        <v>10</v>
      </c>
      <c r="AP175" s="445">
        <v>20</v>
      </c>
      <c r="AQ175" s="445">
        <v>4</v>
      </c>
      <c r="AR175" s="445">
        <v>8</v>
      </c>
      <c r="AS175" s="445">
        <v>3</v>
      </c>
      <c r="AT175" s="445">
        <v>5</v>
      </c>
      <c r="AU175" s="445">
        <v>30</v>
      </c>
      <c r="AV175" s="445" t="str">
        <f t="shared" si="12"/>
        <v>Vàng:30000:MG01:3</v>
      </c>
      <c r="AW175" s="440">
        <v>200</v>
      </c>
      <c r="AX175" s="445">
        <v>12</v>
      </c>
      <c r="AY175" s="445">
        <v>5</v>
      </c>
      <c r="AZ175" s="450">
        <v>169</v>
      </c>
      <c r="BA175" s="31">
        <v>30000</v>
      </c>
      <c r="BB175" s="31">
        <v>3</v>
      </c>
      <c r="BC175" s="31">
        <f t="shared" si="10"/>
        <v>150000</v>
      </c>
    </row>
    <row r="176" spans="1:55" x14ac:dyDescent="0.25">
      <c r="A176" s="28" t="s">
        <v>2199</v>
      </c>
      <c r="B176" s="29">
        <v>174</v>
      </c>
      <c r="C176" s="13">
        <v>7</v>
      </c>
      <c r="D176" s="4">
        <v>19</v>
      </c>
      <c r="E176" s="451">
        <v>7800</v>
      </c>
      <c r="F176" s="445">
        <v>6</v>
      </c>
      <c r="G176" s="13">
        <v>14</v>
      </c>
      <c r="H176" s="13">
        <v>16</v>
      </c>
      <c r="I176" s="455" t="s">
        <v>2218</v>
      </c>
      <c r="J176" s="451">
        <v>1</v>
      </c>
      <c r="K176" s="445">
        <v>50</v>
      </c>
      <c r="L176" s="445">
        <v>50</v>
      </c>
      <c r="M176" s="445">
        <v>5</v>
      </c>
      <c r="N176" s="13">
        <v>40</v>
      </c>
      <c r="O176" s="446">
        <v>10</v>
      </c>
      <c r="P176" s="445">
        <v>90</v>
      </c>
      <c r="Q176" s="321">
        <v>6</v>
      </c>
      <c r="R176" s="23">
        <v>15</v>
      </c>
      <c r="S176" s="445">
        <v>10</v>
      </c>
      <c r="T176" s="445">
        <f t="shared" si="11"/>
        <v>90</v>
      </c>
      <c r="U176" s="447">
        <v>0.6</v>
      </c>
      <c r="V176" s="448">
        <v>2.5499999999999998</v>
      </c>
      <c r="W176" s="449">
        <v>3.3000000000000003</v>
      </c>
      <c r="X176" s="448">
        <v>2.3400000000000003</v>
      </c>
      <c r="Y176" s="448">
        <v>4.76</v>
      </c>
      <c r="Z176" s="448">
        <v>1.6</v>
      </c>
      <c r="AA176" s="448">
        <v>1.1440000000000001</v>
      </c>
      <c r="AB176" s="448">
        <v>0.13999999999999999</v>
      </c>
      <c r="AC176" s="445">
        <v>870000</v>
      </c>
      <c r="AD176" s="450">
        <v>450</v>
      </c>
      <c r="AE176" s="445">
        <v>14400</v>
      </c>
      <c r="AF176" s="445">
        <v>500</v>
      </c>
      <c r="AG176" s="447">
        <v>1.17</v>
      </c>
      <c r="AH176" s="445">
        <v>3</v>
      </c>
      <c r="AI176" s="445">
        <v>4</v>
      </c>
      <c r="AJ176" s="445">
        <v>2</v>
      </c>
      <c r="AK176" s="445">
        <v>3</v>
      </c>
      <c r="AL176" s="2" t="s">
        <v>2260</v>
      </c>
      <c r="AM176" s="2" t="s">
        <v>2261</v>
      </c>
      <c r="AN176" s="2" t="s">
        <v>2376</v>
      </c>
      <c r="AO176" s="445">
        <v>10</v>
      </c>
      <c r="AP176" s="445">
        <v>20</v>
      </c>
      <c r="AQ176" s="445">
        <v>4</v>
      </c>
      <c r="AR176" s="445">
        <v>8</v>
      </c>
      <c r="AS176" s="445">
        <v>3</v>
      </c>
      <c r="AT176" s="445">
        <v>5</v>
      </c>
      <c r="AU176" s="445">
        <v>30</v>
      </c>
      <c r="AV176" s="445" t="str">
        <f t="shared" si="12"/>
        <v>Vàng:30000:MG01:3</v>
      </c>
      <c r="AW176" s="440">
        <v>200</v>
      </c>
      <c r="AX176" s="445">
        <v>12</v>
      </c>
      <c r="AY176" s="445">
        <v>5</v>
      </c>
      <c r="AZ176" s="450">
        <v>170</v>
      </c>
      <c r="BA176" s="31">
        <v>30000</v>
      </c>
      <c r="BB176" s="31">
        <v>3</v>
      </c>
      <c r="BC176" s="31">
        <f t="shared" si="10"/>
        <v>150000</v>
      </c>
    </row>
    <row r="177" spans="1:55" x14ac:dyDescent="0.25">
      <c r="A177" s="28" t="s">
        <v>2199</v>
      </c>
      <c r="B177" s="428">
        <v>175</v>
      </c>
      <c r="C177" s="13">
        <v>7</v>
      </c>
      <c r="D177" s="4">
        <v>19</v>
      </c>
      <c r="E177" s="451">
        <v>7800</v>
      </c>
      <c r="F177" s="445">
        <v>6</v>
      </c>
      <c r="G177" s="13">
        <v>14</v>
      </c>
      <c r="H177" s="13">
        <v>16</v>
      </c>
      <c r="I177" s="455" t="s">
        <v>2218</v>
      </c>
      <c r="J177" s="451">
        <v>1</v>
      </c>
      <c r="K177" s="445">
        <v>50</v>
      </c>
      <c r="L177" s="445">
        <v>50</v>
      </c>
      <c r="M177" s="445">
        <v>5</v>
      </c>
      <c r="N177" s="13">
        <v>40</v>
      </c>
      <c r="O177" s="446">
        <v>10</v>
      </c>
      <c r="P177" s="445">
        <v>90</v>
      </c>
      <c r="Q177" s="321">
        <v>6</v>
      </c>
      <c r="R177" s="23">
        <v>15</v>
      </c>
      <c r="S177" s="445">
        <v>10</v>
      </c>
      <c r="T177" s="445">
        <f t="shared" si="11"/>
        <v>90</v>
      </c>
      <c r="U177" s="447">
        <v>0.6</v>
      </c>
      <c r="V177" s="448">
        <v>2.5499999999999998</v>
      </c>
      <c r="W177" s="449">
        <v>3.3000000000000003</v>
      </c>
      <c r="X177" s="448">
        <v>2.3400000000000003</v>
      </c>
      <c r="Y177" s="448">
        <v>4.76</v>
      </c>
      <c r="Z177" s="448">
        <v>1.6</v>
      </c>
      <c r="AA177" s="448">
        <v>1.1440000000000001</v>
      </c>
      <c r="AB177" s="448">
        <v>0.13999999999999999</v>
      </c>
      <c r="AC177" s="445">
        <v>875000</v>
      </c>
      <c r="AD177" s="450">
        <v>450</v>
      </c>
      <c r="AE177" s="445">
        <v>14400</v>
      </c>
      <c r="AF177" s="445">
        <v>500</v>
      </c>
      <c r="AG177" s="447">
        <v>1.17</v>
      </c>
      <c r="AH177" s="445">
        <v>3</v>
      </c>
      <c r="AI177" s="445">
        <v>4</v>
      </c>
      <c r="AJ177" s="445">
        <v>2</v>
      </c>
      <c r="AK177" s="445">
        <v>3</v>
      </c>
      <c r="AL177" s="2" t="s">
        <v>2260</v>
      </c>
      <c r="AM177" s="2" t="s">
        <v>2261</v>
      </c>
      <c r="AN177" s="2" t="s">
        <v>2376</v>
      </c>
      <c r="AO177" s="445">
        <v>10</v>
      </c>
      <c r="AP177" s="445">
        <v>20</v>
      </c>
      <c r="AQ177" s="445">
        <v>4</v>
      </c>
      <c r="AR177" s="445">
        <v>8</v>
      </c>
      <c r="AS177" s="445">
        <v>3</v>
      </c>
      <c r="AT177" s="445">
        <v>5</v>
      </c>
      <c r="AU177" s="445">
        <v>30</v>
      </c>
      <c r="AV177" s="445" t="str">
        <f t="shared" si="12"/>
        <v>Vàng:30000:MG01:3</v>
      </c>
      <c r="AW177" s="440">
        <v>200</v>
      </c>
      <c r="AX177" s="445">
        <v>12</v>
      </c>
      <c r="AY177" s="445">
        <v>5</v>
      </c>
      <c r="AZ177" s="450">
        <v>171</v>
      </c>
      <c r="BA177" s="31">
        <v>30000</v>
      </c>
      <c r="BB177" s="31">
        <v>3</v>
      </c>
      <c r="BC177" s="31">
        <f t="shared" si="10"/>
        <v>150000</v>
      </c>
    </row>
    <row r="178" spans="1:55" x14ac:dyDescent="0.25">
      <c r="A178" s="28" t="s">
        <v>2199</v>
      </c>
      <c r="B178" s="29">
        <v>176</v>
      </c>
      <c r="C178" s="13">
        <v>7</v>
      </c>
      <c r="D178" s="4">
        <v>19</v>
      </c>
      <c r="E178" s="451">
        <v>7800</v>
      </c>
      <c r="F178" s="445">
        <v>6</v>
      </c>
      <c r="G178" s="13">
        <v>14</v>
      </c>
      <c r="H178" s="13">
        <v>16</v>
      </c>
      <c r="I178" s="455" t="s">
        <v>2218</v>
      </c>
      <c r="J178" s="451">
        <v>1</v>
      </c>
      <c r="K178" s="445">
        <v>50</v>
      </c>
      <c r="L178" s="445">
        <v>50</v>
      </c>
      <c r="M178" s="445">
        <v>5</v>
      </c>
      <c r="N178" s="13">
        <v>40</v>
      </c>
      <c r="O178" s="446">
        <v>10</v>
      </c>
      <c r="P178" s="445">
        <v>90</v>
      </c>
      <c r="Q178" s="321">
        <v>6</v>
      </c>
      <c r="R178" s="23">
        <v>15</v>
      </c>
      <c r="S178" s="445">
        <v>10</v>
      </c>
      <c r="T178" s="445">
        <f t="shared" si="11"/>
        <v>90</v>
      </c>
      <c r="U178" s="447">
        <v>0.6</v>
      </c>
      <c r="V178" s="448">
        <v>2.5499999999999998</v>
      </c>
      <c r="W178" s="449">
        <v>3.3000000000000003</v>
      </c>
      <c r="X178" s="448">
        <v>2.3400000000000003</v>
      </c>
      <c r="Y178" s="448">
        <v>4.76</v>
      </c>
      <c r="Z178" s="448">
        <v>1.6</v>
      </c>
      <c r="AA178" s="448">
        <v>1.1440000000000001</v>
      </c>
      <c r="AB178" s="448">
        <v>0.13999999999999999</v>
      </c>
      <c r="AC178" s="445">
        <v>880000</v>
      </c>
      <c r="AD178" s="450">
        <v>450</v>
      </c>
      <c r="AE178" s="445">
        <v>14400</v>
      </c>
      <c r="AF178" s="445">
        <v>500</v>
      </c>
      <c r="AG178" s="447">
        <v>1.17</v>
      </c>
      <c r="AH178" s="445">
        <v>3</v>
      </c>
      <c r="AI178" s="445">
        <v>4</v>
      </c>
      <c r="AJ178" s="445">
        <v>2</v>
      </c>
      <c r="AK178" s="445">
        <v>3</v>
      </c>
      <c r="AL178" s="2" t="s">
        <v>2260</v>
      </c>
      <c r="AM178" s="2" t="s">
        <v>2261</v>
      </c>
      <c r="AN178" s="2" t="s">
        <v>2376</v>
      </c>
      <c r="AO178" s="445">
        <v>10</v>
      </c>
      <c r="AP178" s="445">
        <v>20</v>
      </c>
      <c r="AQ178" s="445">
        <v>4</v>
      </c>
      <c r="AR178" s="445">
        <v>8</v>
      </c>
      <c r="AS178" s="445">
        <v>3</v>
      </c>
      <c r="AT178" s="445">
        <v>5</v>
      </c>
      <c r="AU178" s="445">
        <v>30</v>
      </c>
      <c r="AV178" s="445" t="str">
        <f t="shared" si="12"/>
        <v>Vàng:30000:MG01:3</v>
      </c>
      <c r="AW178" s="440">
        <v>200</v>
      </c>
      <c r="AX178" s="445">
        <v>12</v>
      </c>
      <c r="AY178" s="445">
        <v>5</v>
      </c>
      <c r="AZ178" s="450">
        <v>172</v>
      </c>
      <c r="BA178" s="31">
        <v>30000</v>
      </c>
      <c r="BB178" s="31">
        <v>3</v>
      </c>
      <c r="BC178" s="31">
        <f t="shared" si="10"/>
        <v>150000</v>
      </c>
    </row>
    <row r="179" spans="1:55" x14ac:dyDescent="0.25">
      <c r="A179" s="28" t="s">
        <v>2199</v>
      </c>
      <c r="B179" s="428">
        <v>177</v>
      </c>
      <c r="C179" s="13">
        <v>7</v>
      </c>
      <c r="D179" s="4">
        <v>19</v>
      </c>
      <c r="E179" s="451">
        <v>7800</v>
      </c>
      <c r="F179" s="445">
        <v>6</v>
      </c>
      <c r="G179" s="13">
        <v>14</v>
      </c>
      <c r="H179" s="13">
        <v>16</v>
      </c>
      <c r="I179" s="455" t="s">
        <v>2218</v>
      </c>
      <c r="J179" s="451">
        <v>1</v>
      </c>
      <c r="K179" s="445">
        <v>50</v>
      </c>
      <c r="L179" s="445">
        <v>50</v>
      </c>
      <c r="M179" s="445">
        <v>5</v>
      </c>
      <c r="N179" s="13">
        <v>40</v>
      </c>
      <c r="O179" s="446">
        <v>10</v>
      </c>
      <c r="P179" s="445">
        <v>90</v>
      </c>
      <c r="Q179" s="321">
        <v>6</v>
      </c>
      <c r="R179" s="23">
        <v>15</v>
      </c>
      <c r="S179" s="445">
        <v>10</v>
      </c>
      <c r="T179" s="445">
        <f t="shared" si="11"/>
        <v>90</v>
      </c>
      <c r="U179" s="447">
        <v>0.6</v>
      </c>
      <c r="V179" s="448">
        <v>2.5499999999999998</v>
      </c>
      <c r="W179" s="449">
        <v>3.3000000000000003</v>
      </c>
      <c r="X179" s="448">
        <v>2.3400000000000003</v>
      </c>
      <c r="Y179" s="448">
        <v>4.76</v>
      </c>
      <c r="Z179" s="448">
        <v>1.6</v>
      </c>
      <c r="AA179" s="448">
        <v>1.1440000000000001</v>
      </c>
      <c r="AB179" s="448">
        <v>0.13999999999999999</v>
      </c>
      <c r="AC179" s="445">
        <v>885000</v>
      </c>
      <c r="AD179" s="450">
        <v>450</v>
      </c>
      <c r="AE179" s="445">
        <v>14400</v>
      </c>
      <c r="AF179" s="445">
        <v>500</v>
      </c>
      <c r="AG179" s="447">
        <v>1.17</v>
      </c>
      <c r="AH179" s="445">
        <v>3</v>
      </c>
      <c r="AI179" s="445">
        <v>4</v>
      </c>
      <c r="AJ179" s="445">
        <v>2</v>
      </c>
      <c r="AK179" s="445">
        <v>3</v>
      </c>
      <c r="AL179" s="2" t="s">
        <v>2260</v>
      </c>
      <c r="AM179" s="2" t="s">
        <v>2261</v>
      </c>
      <c r="AN179" s="2" t="s">
        <v>2376</v>
      </c>
      <c r="AO179" s="445">
        <v>10</v>
      </c>
      <c r="AP179" s="445">
        <v>20</v>
      </c>
      <c r="AQ179" s="445">
        <v>4</v>
      </c>
      <c r="AR179" s="445">
        <v>8</v>
      </c>
      <c r="AS179" s="445">
        <v>3</v>
      </c>
      <c r="AT179" s="445">
        <v>5</v>
      </c>
      <c r="AU179" s="445">
        <v>30</v>
      </c>
      <c r="AV179" s="445" t="str">
        <f t="shared" si="12"/>
        <v>Vàng:30000:MG01:3</v>
      </c>
      <c r="AW179" s="440">
        <v>200</v>
      </c>
      <c r="AX179" s="445">
        <v>12</v>
      </c>
      <c r="AY179" s="445">
        <v>5</v>
      </c>
      <c r="AZ179" s="450">
        <v>173</v>
      </c>
      <c r="BA179" s="31">
        <v>30000</v>
      </c>
      <c r="BB179" s="31">
        <v>3</v>
      </c>
      <c r="BC179" s="31">
        <f t="shared" si="10"/>
        <v>150000</v>
      </c>
    </row>
    <row r="180" spans="1:55" x14ac:dyDescent="0.25">
      <c r="A180" s="28" t="s">
        <v>2199</v>
      </c>
      <c r="B180" s="29">
        <v>178</v>
      </c>
      <c r="C180" s="13">
        <v>7</v>
      </c>
      <c r="D180" s="4">
        <v>19</v>
      </c>
      <c r="E180" s="451">
        <v>7800</v>
      </c>
      <c r="F180" s="445">
        <v>6</v>
      </c>
      <c r="G180" s="13">
        <v>14</v>
      </c>
      <c r="H180" s="13">
        <v>16</v>
      </c>
      <c r="I180" s="455" t="s">
        <v>2218</v>
      </c>
      <c r="J180" s="451">
        <v>1</v>
      </c>
      <c r="K180" s="445">
        <v>50</v>
      </c>
      <c r="L180" s="445">
        <v>50</v>
      </c>
      <c r="M180" s="445">
        <v>5</v>
      </c>
      <c r="N180" s="13">
        <v>40</v>
      </c>
      <c r="O180" s="446">
        <v>10</v>
      </c>
      <c r="P180" s="445">
        <v>90</v>
      </c>
      <c r="Q180" s="321">
        <v>6</v>
      </c>
      <c r="R180" s="23">
        <v>15</v>
      </c>
      <c r="S180" s="445">
        <v>10</v>
      </c>
      <c r="T180" s="445">
        <f t="shared" si="11"/>
        <v>90</v>
      </c>
      <c r="U180" s="447">
        <v>0.6</v>
      </c>
      <c r="V180" s="448">
        <v>2.5499999999999998</v>
      </c>
      <c r="W180" s="449">
        <v>3.3000000000000003</v>
      </c>
      <c r="X180" s="448">
        <v>2.3400000000000003</v>
      </c>
      <c r="Y180" s="448">
        <v>4.76</v>
      </c>
      <c r="Z180" s="448">
        <v>1.6</v>
      </c>
      <c r="AA180" s="448">
        <v>1.1440000000000001</v>
      </c>
      <c r="AB180" s="448">
        <v>0.13999999999999999</v>
      </c>
      <c r="AC180" s="445">
        <v>890000</v>
      </c>
      <c r="AD180" s="450">
        <v>450</v>
      </c>
      <c r="AE180" s="445">
        <v>14400</v>
      </c>
      <c r="AF180" s="445">
        <v>500</v>
      </c>
      <c r="AG180" s="447">
        <v>1.17</v>
      </c>
      <c r="AH180" s="445">
        <v>3</v>
      </c>
      <c r="AI180" s="445">
        <v>4</v>
      </c>
      <c r="AJ180" s="445">
        <v>2</v>
      </c>
      <c r="AK180" s="445">
        <v>3</v>
      </c>
      <c r="AL180" s="2" t="s">
        <v>2260</v>
      </c>
      <c r="AM180" s="2" t="s">
        <v>2261</v>
      </c>
      <c r="AN180" s="2" t="s">
        <v>2376</v>
      </c>
      <c r="AO180" s="445">
        <v>10</v>
      </c>
      <c r="AP180" s="445">
        <v>20</v>
      </c>
      <c r="AQ180" s="445">
        <v>4</v>
      </c>
      <c r="AR180" s="445">
        <v>8</v>
      </c>
      <c r="AS180" s="445">
        <v>3</v>
      </c>
      <c r="AT180" s="445">
        <v>5</v>
      </c>
      <c r="AU180" s="445">
        <v>30</v>
      </c>
      <c r="AV180" s="445" t="str">
        <f t="shared" si="12"/>
        <v>Vàng:30000:MG01:3</v>
      </c>
      <c r="AW180" s="440">
        <v>200</v>
      </c>
      <c r="AX180" s="445">
        <v>12</v>
      </c>
      <c r="AY180" s="445">
        <v>5</v>
      </c>
      <c r="AZ180" s="450">
        <v>174</v>
      </c>
      <c r="BA180" s="31">
        <v>30000</v>
      </c>
      <c r="BB180" s="31">
        <v>3</v>
      </c>
      <c r="BC180" s="31">
        <f t="shared" si="10"/>
        <v>150000</v>
      </c>
    </row>
    <row r="181" spans="1:55" x14ac:dyDescent="0.25">
      <c r="A181" s="28" t="s">
        <v>2199</v>
      </c>
      <c r="B181" s="428">
        <v>179</v>
      </c>
      <c r="C181" s="13">
        <v>7</v>
      </c>
      <c r="D181" s="4">
        <v>19</v>
      </c>
      <c r="E181" s="451">
        <v>7800</v>
      </c>
      <c r="F181" s="445">
        <v>6</v>
      </c>
      <c r="G181" s="13">
        <v>14</v>
      </c>
      <c r="H181" s="13">
        <v>16</v>
      </c>
      <c r="I181" s="455" t="s">
        <v>2218</v>
      </c>
      <c r="J181" s="451">
        <v>1</v>
      </c>
      <c r="K181" s="445">
        <v>50</v>
      </c>
      <c r="L181" s="445">
        <v>50</v>
      </c>
      <c r="M181" s="445">
        <v>5</v>
      </c>
      <c r="N181" s="13">
        <v>40</v>
      </c>
      <c r="O181" s="446">
        <v>10</v>
      </c>
      <c r="P181" s="445">
        <v>90</v>
      </c>
      <c r="Q181" s="321">
        <v>6</v>
      </c>
      <c r="R181" s="23">
        <v>15</v>
      </c>
      <c r="S181" s="445">
        <v>10</v>
      </c>
      <c r="T181" s="445">
        <f t="shared" si="11"/>
        <v>90</v>
      </c>
      <c r="U181" s="447">
        <v>0.6</v>
      </c>
      <c r="V181" s="448">
        <v>2.5499999999999998</v>
      </c>
      <c r="W181" s="449">
        <v>3.3000000000000003</v>
      </c>
      <c r="X181" s="448">
        <v>2.3400000000000003</v>
      </c>
      <c r="Y181" s="448">
        <v>4.76</v>
      </c>
      <c r="Z181" s="448">
        <v>1.6</v>
      </c>
      <c r="AA181" s="448">
        <v>1.1440000000000001</v>
      </c>
      <c r="AB181" s="448">
        <v>0.13999999999999999</v>
      </c>
      <c r="AC181" s="445">
        <v>895000</v>
      </c>
      <c r="AD181" s="450">
        <v>450</v>
      </c>
      <c r="AE181" s="445">
        <v>14400</v>
      </c>
      <c r="AF181" s="445">
        <v>500</v>
      </c>
      <c r="AG181" s="447">
        <v>1.17</v>
      </c>
      <c r="AH181" s="445">
        <v>3</v>
      </c>
      <c r="AI181" s="445">
        <v>4</v>
      </c>
      <c r="AJ181" s="445">
        <v>2</v>
      </c>
      <c r="AK181" s="445">
        <v>3</v>
      </c>
      <c r="AL181" s="2" t="s">
        <v>2260</v>
      </c>
      <c r="AM181" s="2" t="s">
        <v>2261</v>
      </c>
      <c r="AN181" s="2" t="s">
        <v>2378</v>
      </c>
      <c r="AO181" s="445">
        <v>10</v>
      </c>
      <c r="AP181" s="445">
        <v>20</v>
      </c>
      <c r="AQ181" s="445">
        <v>4</v>
      </c>
      <c r="AR181" s="445">
        <v>8</v>
      </c>
      <c r="AS181" s="445">
        <v>3</v>
      </c>
      <c r="AT181" s="445">
        <v>5</v>
      </c>
      <c r="AU181" s="445">
        <v>30</v>
      </c>
      <c r="AV181" s="445" t="str">
        <f t="shared" si="12"/>
        <v>Vàng:30000:MG01:3</v>
      </c>
      <c r="AW181" s="440">
        <v>200</v>
      </c>
      <c r="AX181" s="445">
        <v>12</v>
      </c>
      <c r="AY181" s="445">
        <v>5</v>
      </c>
      <c r="AZ181" s="450">
        <v>175</v>
      </c>
      <c r="BA181" s="31">
        <v>30000</v>
      </c>
      <c r="BB181" s="31">
        <v>3</v>
      </c>
      <c r="BC181" s="31">
        <f t="shared" si="10"/>
        <v>150000</v>
      </c>
    </row>
    <row r="182" spans="1:55" x14ac:dyDescent="0.25">
      <c r="A182" s="28" t="s">
        <v>2199</v>
      </c>
      <c r="B182" s="29">
        <v>180</v>
      </c>
      <c r="C182" s="13">
        <v>7</v>
      </c>
      <c r="D182" s="4">
        <v>19</v>
      </c>
      <c r="E182" s="451">
        <v>7800</v>
      </c>
      <c r="F182" s="445">
        <v>6</v>
      </c>
      <c r="G182" s="13">
        <v>14</v>
      </c>
      <c r="H182" s="13">
        <v>16</v>
      </c>
      <c r="I182" s="455" t="s">
        <v>2218</v>
      </c>
      <c r="J182" s="451">
        <v>1</v>
      </c>
      <c r="K182" s="445">
        <v>50</v>
      </c>
      <c r="L182" s="445">
        <v>50</v>
      </c>
      <c r="M182" s="445">
        <v>5</v>
      </c>
      <c r="N182" s="13">
        <v>40</v>
      </c>
      <c r="O182" s="446">
        <v>5</v>
      </c>
      <c r="P182" s="445">
        <v>95</v>
      </c>
      <c r="Q182" s="321">
        <v>6</v>
      </c>
      <c r="R182" s="23">
        <v>15</v>
      </c>
      <c r="S182" s="445">
        <v>10</v>
      </c>
      <c r="T182" s="445">
        <f t="shared" si="11"/>
        <v>90</v>
      </c>
      <c r="U182" s="447">
        <v>0.6</v>
      </c>
      <c r="V182" s="448">
        <v>2.5499999999999998</v>
      </c>
      <c r="W182" s="449">
        <v>3.3000000000000003</v>
      </c>
      <c r="X182" s="448">
        <v>2.3400000000000003</v>
      </c>
      <c r="Y182" s="448">
        <v>4.76</v>
      </c>
      <c r="Z182" s="448">
        <v>1.6</v>
      </c>
      <c r="AA182" s="448">
        <v>1.1440000000000001</v>
      </c>
      <c r="AB182" s="448">
        <v>0.13999999999999999</v>
      </c>
      <c r="AC182" s="445">
        <v>900000</v>
      </c>
      <c r="AD182" s="450">
        <v>450</v>
      </c>
      <c r="AE182" s="445">
        <v>14400</v>
      </c>
      <c r="AF182" s="445">
        <v>500</v>
      </c>
      <c r="AG182" s="447">
        <v>1.17</v>
      </c>
      <c r="AH182" s="445">
        <v>3</v>
      </c>
      <c r="AI182" s="445">
        <v>4</v>
      </c>
      <c r="AJ182" s="445">
        <v>2</v>
      </c>
      <c r="AK182" s="445">
        <v>3</v>
      </c>
      <c r="AL182" s="2" t="s">
        <v>2260</v>
      </c>
      <c r="AM182" s="2" t="s">
        <v>2261</v>
      </c>
      <c r="AN182" s="2" t="s">
        <v>2376</v>
      </c>
      <c r="AO182" s="445">
        <v>10</v>
      </c>
      <c r="AP182" s="445">
        <v>20</v>
      </c>
      <c r="AQ182" s="445">
        <v>4</v>
      </c>
      <c r="AR182" s="445">
        <v>8</v>
      </c>
      <c r="AS182" s="445">
        <v>3</v>
      </c>
      <c r="AT182" s="445">
        <v>5</v>
      </c>
      <c r="AU182" s="445">
        <v>30</v>
      </c>
      <c r="AV182" s="445" t="str">
        <f t="shared" si="12"/>
        <v>Vàng:30000:MG01:3</v>
      </c>
      <c r="AW182" s="440">
        <v>200</v>
      </c>
      <c r="AX182" s="445">
        <v>12</v>
      </c>
      <c r="AY182" s="445">
        <v>5</v>
      </c>
      <c r="AZ182" s="450">
        <v>176</v>
      </c>
      <c r="BA182" s="31">
        <v>30000</v>
      </c>
      <c r="BB182" s="31">
        <v>3</v>
      </c>
      <c r="BC182" s="31">
        <f t="shared" si="10"/>
        <v>150000</v>
      </c>
    </row>
    <row r="183" spans="1:55" x14ac:dyDescent="0.25">
      <c r="A183" s="28" t="s">
        <v>2199</v>
      </c>
      <c r="B183" s="428">
        <v>181</v>
      </c>
      <c r="C183" s="13">
        <v>7</v>
      </c>
      <c r="D183" s="4">
        <v>19</v>
      </c>
      <c r="E183" s="451">
        <v>7800</v>
      </c>
      <c r="F183" s="445">
        <v>6</v>
      </c>
      <c r="G183" s="13">
        <v>14</v>
      </c>
      <c r="H183" s="13">
        <v>16</v>
      </c>
      <c r="I183" s="455" t="s">
        <v>2218</v>
      </c>
      <c r="J183" s="451">
        <v>1</v>
      </c>
      <c r="K183" s="445">
        <v>50</v>
      </c>
      <c r="L183" s="445">
        <v>50</v>
      </c>
      <c r="M183" s="445">
        <v>5</v>
      </c>
      <c r="N183" s="13">
        <v>40</v>
      </c>
      <c r="O183" s="446">
        <v>5</v>
      </c>
      <c r="P183" s="445">
        <v>95</v>
      </c>
      <c r="Q183" s="321">
        <v>6</v>
      </c>
      <c r="R183" s="23">
        <v>15</v>
      </c>
      <c r="S183" s="445">
        <v>10</v>
      </c>
      <c r="T183" s="445">
        <f t="shared" si="11"/>
        <v>90</v>
      </c>
      <c r="U183" s="447">
        <v>0.6</v>
      </c>
      <c r="V183" s="448">
        <v>2.5499999999999998</v>
      </c>
      <c r="W183" s="449">
        <v>3.3000000000000003</v>
      </c>
      <c r="X183" s="448">
        <v>2.3400000000000003</v>
      </c>
      <c r="Y183" s="448">
        <v>4.76</v>
      </c>
      <c r="Z183" s="448">
        <v>1.6</v>
      </c>
      <c r="AA183" s="448">
        <v>1.1440000000000001</v>
      </c>
      <c r="AB183" s="448">
        <v>0.13999999999999999</v>
      </c>
      <c r="AC183" s="445">
        <v>905000</v>
      </c>
      <c r="AD183" s="450">
        <v>450</v>
      </c>
      <c r="AE183" s="445">
        <v>14400</v>
      </c>
      <c r="AF183" s="445">
        <v>500</v>
      </c>
      <c r="AG183" s="447">
        <v>1.17</v>
      </c>
      <c r="AH183" s="445">
        <v>3</v>
      </c>
      <c r="AI183" s="445">
        <v>4</v>
      </c>
      <c r="AJ183" s="445">
        <v>2</v>
      </c>
      <c r="AK183" s="445">
        <v>3</v>
      </c>
      <c r="AL183" s="2" t="s">
        <v>2260</v>
      </c>
      <c r="AM183" s="2" t="s">
        <v>2261</v>
      </c>
      <c r="AN183" s="2" t="s">
        <v>2376</v>
      </c>
      <c r="AO183" s="445">
        <v>10</v>
      </c>
      <c r="AP183" s="445">
        <v>20</v>
      </c>
      <c r="AQ183" s="445">
        <v>4</v>
      </c>
      <c r="AR183" s="445">
        <v>8</v>
      </c>
      <c r="AS183" s="445">
        <v>3</v>
      </c>
      <c r="AT183" s="445">
        <v>5</v>
      </c>
      <c r="AU183" s="445">
        <v>30</v>
      </c>
      <c r="AV183" s="445" t="str">
        <f t="shared" si="12"/>
        <v>Vàng:30000:MG01:3</v>
      </c>
      <c r="AW183" s="440">
        <v>200</v>
      </c>
      <c r="AX183" s="445">
        <v>12</v>
      </c>
      <c r="AY183" s="445">
        <v>5</v>
      </c>
      <c r="AZ183" s="450">
        <v>177</v>
      </c>
      <c r="BA183" s="31">
        <v>30000</v>
      </c>
      <c r="BB183" s="31">
        <v>3</v>
      </c>
      <c r="BC183" s="31">
        <f t="shared" si="10"/>
        <v>150000</v>
      </c>
    </row>
    <row r="184" spans="1:55" x14ac:dyDescent="0.25">
      <c r="A184" s="28" t="s">
        <v>2199</v>
      </c>
      <c r="B184" s="29">
        <v>182</v>
      </c>
      <c r="C184" s="13">
        <v>7</v>
      </c>
      <c r="D184" s="4">
        <v>19</v>
      </c>
      <c r="E184" s="451">
        <v>7800</v>
      </c>
      <c r="F184" s="445">
        <v>6</v>
      </c>
      <c r="G184" s="13">
        <v>14</v>
      </c>
      <c r="H184" s="13">
        <v>16</v>
      </c>
      <c r="I184" s="455" t="s">
        <v>2218</v>
      </c>
      <c r="J184" s="451">
        <v>1</v>
      </c>
      <c r="K184" s="445">
        <v>50</v>
      </c>
      <c r="L184" s="445">
        <v>50</v>
      </c>
      <c r="M184" s="445">
        <v>5</v>
      </c>
      <c r="N184" s="13">
        <v>40</v>
      </c>
      <c r="O184" s="446">
        <v>5</v>
      </c>
      <c r="P184" s="445">
        <v>95</v>
      </c>
      <c r="Q184" s="321">
        <v>6</v>
      </c>
      <c r="R184" s="23">
        <v>15</v>
      </c>
      <c r="S184" s="445">
        <v>10</v>
      </c>
      <c r="T184" s="445">
        <f t="shared" si="11"/>
        <v>90</v>
      </c>
      <c r="U184" s="447">
        <v>0.6</v>
      </c>
      <c r="V184" s="448">
        <v>2.5499999999999998</v>
      </c>
      <c r="W184" s="449">
        <v>3.3000000000000003</v>
      </c>
      <c r="X184" s="448">
        <v>2.3400000000000003</v>
      </c>
      <c r="Y184" s="448">
        <v>4.76</v>
      </c>
      <c r="Z184" s="448">
        <v>1.6</v>
      </c>
      <c r="AA184" s="448">
        <v>1.1440000000000001</v>
      </c>
      <c r="AB184" s="448">
        <v>0.13999999999999999</v>
      </c>
      <c r="AC184" s="445">
        <v>910000</v>
      </c>
      <c r="AD184" s="450">
        <v>450</v>
      </c>
      <c r="AE184" s="445">
        <v>14400</v>
      </c>
      <c r="AF184" s="445">
        <v>500</v>
      </c>
      <c r="AG184" s="447">
        <v>1.17</v>
      </c>
      <c r="AH184" s="445">
        <v>3</v>
      </c>
      <c r="AI184" s="445">
        <v>4</v>
      </c>
      <c r="AJ184" s="445">
        <v>2</v>
      </c>
      <c r="AK184" s="445">
        <v>3</v>
      </c>
      <c r="AL184" s="2" t="s">
        <v>2260</v>
      </c>
      <c r="AM184" s="2" t="s">
        <v>2261</v>
      </c>
      <c r="AN184" s="2" t="s">
        <v>2376</v>
      </c>
      <c r="AO184" s="445">
        <v>10</v>
      </c>
      <c r="AP184" s="445">
        <v>20</v>
      </c>
      <c r="AQ184" s="445">
        <v>4</v>
      </c>
      <c r="AR184" s="445">
        <v>8</v>
      </c>
      <c r="AS184" s="445">
        <v>3</v>
      </c>
      <c r="AT184" s="445">
        <v>5</v>
      </c>
      <c r="AU184" s="445">
        <v>30</v>
      </c>
      <c r="AV184" s="445" t="str">
        <f t="shared" si="12"/>
        <v>Vàng:30000:MG01:3</v>
      </c>
      <c r="AW184" s="440">
        <v>200</v>
      </c>
      <c r="AX184" s="445">
        <v>12</v>
      </c>
      <c r="AY184" s="445">
        <v>5</v>
      </c>
      <c r="AZ184" s="450">
        <v>178</v>
      </c>
      <c r="BA184" s="31">
        <v>30000</v>
      </c>
      <c r="BB184" s="31">
        <v>3</v>
      </c>
      <c r="BC184" s="31">
        <f t="shared" si="10"/>
        <v>150000</v>
      </c>
    </row>
    <row r="185" spans="1:55" x14ac:dyDescent="0.25">
      <c r="A185" s="28" t="s">
        <v>2199</v>
      </c>
      <c r="B185" s="428">
        <v>183</v>
      </c>
      <c r="C185" s="13">
        <v>7</v>
      </c>
      <c r="D185" s="4">
        <v>19</v>
      </c>
      <c r="E185" s="451">
        <v>7800</v>
      </c>
      <c r="F185" s="445">
        <v>6</v>
      </c>
      <c r="G185" s="13">
        <v>14</v>
      </c>
      <c r="H185" s="13">
        <v>16</v>
      </c>
      <c r="I185" s="455" t="s">
        <v>2218</v>
      </c>
      <c r="J185" s="451">
        <v>1</v>
      </c>
      <c r="K185" s="445">
        <v>50</v>
      </c>
      <c r="L185" s="445">
        <v>50</v>
      </c>
      <c r="M185" s="445">
        <v>5</v>
      </c>
      <c r="N185" s="13">
        <v>40</v>
      </c>
      <c r="O185" s="446">
        <v>5</v>
      </c>
      <c r="P185" s="445">
        <v>95</v>
      </c>
      <c r="Q185" s="321">
        <v>6</v>
      </c>
      <c r="R185" s="23">
        <v>15</v>
      </c>
      <c r="S185" s="445">
        <v>10</v>
      </c>
      <c r="T185" s="445">
        <f t="shared" si="11"/>
        <v>90</v>
      </c>
      <c r="U185" s="447">
        <v>0.6</v>
      </c>
      <c r="V185" s="448">
        <v>2.5499999999999998</v>
      </c>
      <c r="W185" s="449">
        <v>3.3000000000000003</v>
      </c>
      <c r="X185" s="448">
        <v>2.3400000000000003</v>
      </c>
      <c r="Y185" s="448">
        <v>4.76</v>
      </c>
      <c r="Z185" s="448">
        <v>1.6</v>
      </c>
      <c r="AA185" s="448">
        <v>1.1440000000000001</v>
      </c>
      <c r="AB185" s="448">
        <v>0.13999999999999999</v>
      </c>
      <c r="AC185" s="445">
        <v>915000</v>
      </c>
      <c r="AD185" s="450">
        <v>450</v>
      </c>
      <c r="AE185" s="445">
        <v>14400</v>
      </c>
      <c r="AF185" s="445">
        <v>500</v>
      </c>
      <c r="AG185" s="447">
        <v>1.17</v>
      </c>
      <c r="AH185" s="445">
        <v>3</v>
      </c>
      <c r="AI185" s="445">
        <v>4</v>
      </c>
      <c r="AJ185" s="445">
        <v>2</v>
      </c>
      <c r="AK185" s="445">
        <v>3</v>
      </c>
      <c r="AL185" s="2" t="s">
        <v>2260</v>
      </c>
      <c r="AM185" s="2" t="s">
        <v>2261</v>
      </c>
      <c r="AN185" s="2" t="s">
        <v>2376</v>
      </c>
      <c r="AO185" s="445">
        <v>10</v>
      </c>
      <c r="AP185" s="445">
        <v>20</v>
      </c>
      <c r="AQ185" s="445">
        <v>4</v>
      </c>
      <c r="AR185" s="445">
        <v>8</v>
      </c>
      <c r="AS185" s="445">
        <v>3</v>
      </c>
      <c r="AT185" s="445">
        <v>5</v>
      </c>
      <c r="AU185" s="445">
        <v>30</v>
      </c>
      <c r="AV185" s="445" t="str">
        <f t="shared" si="12"/>
        <v>Vàng:30000:MG01:3</v>
      </c>
      <c r="AW185" s="440">
        <v>200</v>
      </c>
      <c r="AX185" s="445">
        <v>12</v>
      </c>
      <c r="AY185" s="445">
        <v>5</v>
      </c>
      <c r="AZ185" s="450">
        <v>179</v>
      </c>
      <c r="BA185" s="31">
        <v>30000</v>
      </c>
      <c r="BB185" s="31">
        <v>3</v>
      </c>
      <c r="BC185" s="31">
        <f t="shared" si="10"/>
        <v>150000</v>
      </c>
    </row>
    <row r="186" spans="1:55" x14ac:dyDescent="0.25">
      <c r="A186" s="28" t="s">
        <v>2199</v>
      </c>
      <c r="B186" s="29">
        <v>184</v>
      </c>
      <c r="C186" s="13">
        <v>7</v>
      </c>
      <c r="D186" s="4">
        <v>19</v>
      </c>
      <c r="E186" s="451">
        <v>7800</v>
      </c>
      <c r="F186" s="445">
        <v>6</v>
      </c>
      <c r="G186" s="13">
        <v>14</v>
      </c>
      <c r="H186" s="13">
        <v>16</v>
      </c>
      <c r="I186" s="455" t="s">
        <v>2218</v>
      </c>
      <c r="J186" s="451">
        <v>1</v>
      </c>
      <c r="K186" s="445">
        <v>50</v>
      </c>
      <c r="L186" s="445">
        <v>50</v>
      </c>
      <c r="M186" s="445">
        <v>5</v>
      </c>
      <c r="N186" s="13">
        <v>40</v>
      </c>
      <c r="O186" s="446">
        <v>5</v>
      </c>
      <c r="P186" s="445">
        <v>95</v>
      </c>
      <c r="Q186" s="321">
        <v>6</v>
      </c>
      <c r="R186" s="23">
        <v>15</v>
      </c>
      <c r="S186" s="445">
        <v>10</v>
      </c>
      <c r="T186" s="445">
        <f t="shared" si="11"/>
        <v>90</v>
      </c>
      <c r="U186" s="447">
        <v>0.6</v>
      </c>
      <c r="V186" s="448">
        <v>2.5499999999999998</v>
      </c>
      <c r="W186" s="449">
        <v>3.3000000000000003</v>
      </c>
      <c r="X186" s="448">
        <v>2.3400000000000003</v>
      </c>
      <c r="Y186" s="448">
        <v>4.76</v>
      </c>
      <c r="Z186" s="448">
        <v>1.6</v>
      </c>
      <c r="AA186" s="448">
        <v>1.1440000000000001</v>
      </c>
      <c r="AB186" s="448">
        <v>0.13999999999999999</v>
      </c>
      <c r="AC186" s="445">
        <v>920000</v>
      </c>
      <c r="AD186" s="450">
        <v>450</v>
      </c>
      <c r="AE186" s="445">
        <v>14400</v>
      </c>
      <c r="AF186" s="445">
        <v>500</v>
      </c>
      <c r="AG186" s="447">
        <v>1.17</v>
      </c>
      <c r="AH186" s="445">
        <v>3</v>
      </c>
      <c r="AI186" s="445">
        <v>4</v>
      </c>
      <c r="AJ186" s="445">
        <v>2</v>
      </c>
      <c r="AK186" s="445">
        <v>3</v>
      </c>
      <c r="AL186" s="2" t="s">
        <v>2260</v>
      </c>
      <c r="AM186" s="2" t="s">
        <v>2261</v>
      </c>
      <c r="AN186" s="2" t="s">
        <v>2376</v>
      </c>
      <c r="AO186" s="445">
        <v>10</v>
      </c>
      <c r="AP186" s="445">
        <v>20</v>
      </c>
      <c r="AQ186" s="445">
        <v>4</v>
      </c>
      <c r="AR186" s="445">
        <v>8</v>
      </c>
      <c r="AS186" s="445">
        <v>3</v>
      </c>
      <c r="AT186" s="445">
        <v>5</v>
      </c>
      <c r="AU186" s="445">
        <v>30</v>
      </c>
      <c r="AV186" s="445" t="str">
        <f t="shared" si="12"/>
        <v>Vàng:30000:MG01:3</v>
      </c>
      <c r="AW186" s="440">
        <v>200</v>
      </c>
      <c r="AX186" s="445">
        <v>12</v>
      </c>
      <c r="AY186" s="445">
        <v>5</v>
      </c>
      <c r="AZ186" s="450">
        <v>180</v>
      </c>
      <c r="BA186" s="31">
        <v>30000</v>
      </c>
      <c r="BB186" s="31">
        <v>3</v>
      </c>
      <c r="BC186" s="31">
        <f t="shared" si="10"/>
        <v>150000</v>
      </c>
    </row>
    <row r="187" spans="1:55" x14ac:dyDescent="0.25">
      <c r="A187" s="28" t="s">
        <v>2199</v>
      </c>
      <c r="B187" s="428">
        <v>185</v>
      </c>
      <c r="C187" s="13">
        <v>7</v>
      </c>
      <c r="D187" s="4">
        <v>19</v>
      </c>
      <c r="E187" s="451">
        <v>7800</v>
      </c>
      <c r="F187" s="445">
        <v>6</v>
      </c>
      <c r="G187" s="13">
        <v>14</v>
      </c>
      <c r="H187" s="13">
        <v>16</v>
      </c>
      <c r="I187" s="455" t="s">
        <v>2218</v>
      </c>
      <c r="J187" s="451">
        <v>1</v>
      </c>
      <c r="K187" s="445">
        <v>50</v>
      </c>
      <c r="L187" s="445">
        <v>50</v>
      </c>
      <c r="M187" s="445">
        <v>5</v>
      </c>
      <c r="N187" s="13">
        <v>40</v>
      </c>
      <c r="O187" s="446">
        <v>5</v>
      </c>
      <c r="P187" s="445">
        <v>95</v>
      </c>
      <c r="Q187" s="321">
        <v>6</v>
      </c>
      <c r="R187" s="23">
        <v>15</v>
      </c>
      <c r="S187" s="445">
        <v>10</v>
      </c>
      <c r="T187" s="445">
        <f t="shared" si="11"/>
        <v>90</v>
      </c>
      <c r="U187" s="447">
        <v>0.6</v>
      </c>
      <c r="V187" s="448">
        <v>2.5499999999999998</v>
      </c>
      <c r="W187" s="449">
        <v>3.3000000000000003</v>
      </c>
      <c r="X187" s="448">
        <v>2.3400000000000003</v>
      </c>
      <c r="Y187" s="448">
        <v>4.76</v>
      </c>
      <c r="Z187" s="448">
        <v>1.6</v>
      </c>
      <c r="AA187" s="448">
        <v>1.1440000000000001</v>
      </c>
      <c r="AB187" s="448">
        <v>0.13999999999999999</v>
      </c>
      <c r="AC187" s="445">
        <v>925000</v>
      </c>
      <c r="AD187" s="450">
        <v>450</v>
      </c>
      <c r="AE187" s="445">
        <v>14400</v>
      </c>
      <c r="AF187" s="445">
        <v>500</v>
      </c>
      <c r="AG187" s="447">
        <v>1.17</v>
      </c>
      <c r="AH187" s="445">
        <v>3</v>
      </c>
      <c r="AI187" s="445">
        <v>4</v>
      </c>
      <c r="AJ187" s="445">
        <v>2</v>
      </c>
      <c r="AK187" s="445">
        <v>3</v>
      </c>
      <c r="AL187" s="2" t="s">
        <v>2260</v>
      </c>
      <c r="AM187" s="2" t="s">
        <v>2261</v>
      </c>
      <c r="AN187" s="2" t="s">
        <v>2376</v>
      </c>
      <c r="AO187" s="445">
        <v>10</v>
      </c>
      <c r="AP187" s="445">
        <v>20</v>
      </c>
      <c r="AQ187" s="445">
        <v>4</v>
      </c>
      <c r="AR187" s="445">
        <v>8</v>
      </c>
      <c r="AS187" s="445">
        <v>3</v>
      </c>
      <c r="AT187" s="445">
        <v>5</v>
      </c>
      <c r="AU187" s="445">
        <v>30</v>
      </c>
      <c r="AV187" s="445" t="str">
        <f t="shared" si="12"/>
        <v>Vàng:30000:MG01:3</v>
      </c>
      <c r="AW187" s="440">
        <v>200</v>
      </c>
      <c r="AX187" s="445">
        <v>12</v>
      </c>
      <c r="AY187" s="445">
        <v>5</v>
      </c>
      <c r="AZ187" s="450">
        <v>181</v>
      </c>
      <c r="BA187" s="31">
        <v>30000</v>
      </c>
      <c r="BB187" s="31">
        <v>3</v>
      </c>
      <c r="BC187" s="31">
        <f t="shared" si="10"/>
        <v>150000</v>
      </c>
    </row>
    <row r="188" spans="1:55" x14ac:dyDescent="0.25">
      <c r="A188" s="28" t="s">
        <v>2199</v>
      </c>
      <c r="B188" s="29">
        <v>186</v>
      </c>
      <c r="C188" s="13">
        <v>7</v>
      </c>
      <c r="D188" s="4">
        <v>19</v>
      </c>
      <c r="E188" s="451">
        <v>7800</v>
      </c>
      <c r="F188" s="445">
        <v>6</v>
      </c>
      <c r="G188" s="13">
        <v>14</v>
      </c>
      <c r="H188" s="13">
        <v>16</v>
      </c>
      <c r="I188" s="455" t="s">
        <v>2218</v>
      </c>
      <c r="J188" s="451">
        <v>1</v>
      </c>
      <c r="K188" s="445">
        <v>50</v>
      </c>
      <c r="L188" s="445">
        <v>50</v>
      </c>
      <c r="M188" s="445">
        <v>5</v>
      </c>
      <c r="N188" s="13">
        <v>40</v>
      </c>
      <c r="O188" s="446">
        <v>5</v>
      </c>
      <c r="P188" s="445">
        <v>95</v>
      </c>
      <c r="Q188" s="321">
        <v>6</v>
      </c>
      <c r="R188" s="23">
        <v>15</v>
      </c>
      <c r="S188" s="445">
        <v>10</v>
      </c>
      <c r="T188" s="445">
        <f t="shared" si="11"/>
        <v>90</v>
      </c>
      <c r="U188" s="447">
        <v>0.6</v>
      </c>
      <c r="V188" s="448">
        <v>2.5499999999999998</v>
      </c>
      <c r="W188" s="449">
        <v>3.3000000000000003</v>
      </c>
      <c r="X188" s="448">
        <v>2.3400000000000003</v>
      </c>
      <c r="Y188" s="448">
        <v>4.76</v>
      </c>
      <c r="Z188" s="448">
        <v>1.6</v>
      </c>
      <c r="AA188" s="448">
        <v>1.1440000000000001</v>
      </c>
      <c r="AB188" s="448">
        <v>0.13999999999999999</v>
      </c>
      <c r="AC188" s="445">
        <v>930000</v>
      </c>
      <c r="AD188" s="450">
        <v>450</v>
      </c>
      <c r="AE188" s="445">
        <v>14400</v>
      </c>
      <c r="AF188" s="445">
        <v>500</v>
      </c>
      <c r="AG188" s="447">
        <v>1.17</v>
      </c>
      <c r="AH188" s="445">
        <v>3</v>
      </c>
      <c r="AI188" s="445">
        <v>4</v>
      </c>
      <c r="AJ188" s="445">
        <v>2</v>
      </c>
      <c r="AK188" s="445">
        <v>3</v>
      </c>
      <c r="AL188" s="2" t="s">
        <v>2260</v>
      </c>
      <c r="AM188" s="2" t="s">
        <v>2261</v>
      </c>
      <c r="AN188" s="2" t="s">
        <v>2376</v>
      </c>
      <c r="AO188" s="445">
        <v>10</v>
      </c>
      <c r="AP188" s="445">
        <v>20</v>
      </c>
      <c r="AQ188" s="445">
        <v>4</v>
      </c>
      <c r="AR188" s="445">
        <v>8</v>
      </c>
      <c r="AS188" s="445">
        <v>3</v>
      </c>
      <c r="AT188" s="445">
        <v>5</v>
      </c>
      <c r="AU188" s="445">
        <v>30</v>
      </c>
      <c r="AV188" s="445" t="str">
        <f t="shared" si="12"/>
        <v>Vàng:30000:MG01:3</v>
      </c>
      <c r="AW188" s="440">
        <v>200</v>
      </c>
      <c r="AX188" s="445">
        <v>12</v>
      </c>
      <c r="AY188" s="445">
        <v>5</v>
      </c>
      <c r="AZ188" s="450">
        <v>182</v>
      </c>
      <c r="BA188" s="31">
        <v>30000</v>
      </c>
      <c r="BB188" s="31">
        <v>3</v>
      </c>
      <c r="BC188" s="31">
        <f t="shared" si="10"/>
        <v>150000</v>
      </c>
    </row>
    <row r="189" spans="1:55" x14ac:dyDescent="0.25">
      <c r="A189" s="28" t="s">
        <v>2199</v>
      </c>
      <c r="B189" s="428">
        <v>187</v>
      </c>
      <c r="C189" s="13">
        <v>7</v>
      </c>
      <c r="D189" s="4">
        <v>19</v>
      </c>
      <c r="E189" s="451">
        <v>7800</v>
      </c>
      <c r="F189" s="445">
        <v>6</v>
      </c>
      <c r="G189" s="13">
        <v>14</v>
      </c>
      <c r="H189" s="13">
        <v>16</v>
      </c>
      <c r="I189" s="455" t="s">
        <v>2218</v>
      </c>
      <c r="J189" s="451">
        <v>1</v>
      </c>
      <c r="K189" s="445">
        <v>50</v>
      </c>
      <c r="L189" s="445">
        <v>50</v>
      </c>
      <c r="M189" s="445">
        <v>5</v>
      </c>
      <c r="N189" s="13">
        <v>40</v>
      </c>
      <c r="O189" s="446">
        <v>5</v>
      </c>
      <c r="P189" s="445">
        <v>95</v>
      </c>
      <c r="Q189" s="321">
        <v>6</v>
      </c>
      <c r="R189" s="23">
        <v>15</v>
      </c>
      <c r="S189" s="445">
        <v>10</v>
      </c>
      <c r="T189" s="445">
        <f t="shared" si="11"/>
        <v>90</v>
      </c>
      <c r="U189" s="447">
        <v>0.6</v>
      </c>
      <c r="V189" s="448">
        <v>2.5499999999999998</v>
      </c>
      <c r="W189" s="449">
        <v>3.3000000000000003</v>
      </c>
      <c r="X189" s="448">
        <v>2.3400000000000003</v>
      </c>
      <c r="Y189" s="448">
        <v>4.76</v>
      </c>
      <c r="Z189" s="448">
        <v>1.6</v>
      </c>
      <c r="AA189" s="448">
        <v>1.1440000000000001</v>
      </c>
      <c r="AB189" s="448">
        <v>0.13999999999999999</v>
      </c>
      <c r="AC189" s="445">
        <v>935000</v>
      </c>
      <c r="AD189" s="450">
        <v>450</v>
      </c>
      <c r="AE189" s="445">
        <v>14400</v>
      </c>
      <c r="AF189" s="445">
        <v>500</v>
      </c>
      <c r="AG189" s="447">
        <v>1.17</v>
      </c>
      <c r="AH189" s="445">
        <v>3</v>
      </c>
      <c r="AI189" s="445">
        <v>4</v>
      </c>
      <c r="AJ189" s="445">
        <v>2</v>
      </c>
      <c r="AK189" s="445">
        <v>3</v>
      </c>
      <c r="AL189" s="2" t="s">
        <v>2260</v>
      </c>
      <c r="AM189" s="2" t="s">
        <v>2261</v>
      </c>
      <c r="AN189" s="2" t="s">
        <v>2376</v>
      </c>
      <c r="AO189" s="445">
        <v>10</v>
      </c>
      <c r="AP189" s="445">
        <v>20</v>
      </c>
      <c r="AQ189" s="445">
        <v>4</v>
      </c>
      <c r="AR189" s="445">
        <v>8</v>
      </c>
      <c r="AS189" s="445">
        <v>3</v>
      </c>
      <c r="AT189" s="445">
        <v>5</v>
      </c>
      <c r="AU189" s="445">
        <v>30</v>
      </c>
      <c r="AV189" s="445" t="str">
        <f t="shared" si="12"/>
        <v>Vàng:30000:MG01:3</v>
      </c>
      <c r="AW189" s="440">
        <v>200</v>
      </c>
      <c r="AX189" s="445">
        <v>12</v>
      </c>
      <c r="AY189" s="445">
        <v>5</v>
      </c>
      <c r="AZ189" s="450">
        <v>183</v>
      </c>
      <c r="BA189" s="31">
        <v>30000</v>
      </c>
      <c r="BB189" s="31">
        <v>3</v>
      </c>
      <c r="BC189" s="31">
        <f t="shared" si="10"/>
        <v>150000</v>
      </c>
    </row>
    <row r="190" spans="1:55" x14ac:dyDescent="0.25">
      <c r="A190" s="28" t="s">
        <v>2199</v>
      </c>
      <c r="B190" s="29">
        <v>188</v>
      </c>
      <c r="C190" s="13">
        <v>7</v>
      </c>
      <c r="D190" s="4">
        <v>19</v>
      </c>
      <c r="E190" s="451">
        <v>7800</v>
      </c>
      <c r="F190" s="445">
        <v>6</v>
      </c>
      <c r="G190" s="13">
        <v>14</v>
      </c>
      <c r="H190" s="13">
        <v>16</v>
      </c>
      <c r="I190" s="455" t="s">
        <v>2218</v>
      </c>
      <c r="J190" s="451">
        <v>1</v>
      </c>
      <c r="K190" s="445">
        <v>50</v>
      </c>
      <c r="L190" s="445">
        <v>50</v>
      </c>
      <c r="M190" s="445">
        <v>5</v>
      </c>
      <c r="N190" s="13">
        <v>40</v>
      </c>
      <c r="O190" s="446">
        <v>5</v>
      </c>
      <c r="P190" s="445">
        <v>95</v>
      </c>
      <c r="Q190" s="321">
        <v>6</v>
      </c>
      <c r="R190" s="23">
        <v>15</v>
      </c>
      <c r="S190" s="445">
        <v>10</v>
      </c>
      <c r="T190" s="445">
        <f t="shared" si="11"/>
        <v>90</v>
      </c>
      <c r="U190" s="447">
        <v>0.6</v>
      </c>
      <c r="V190" s="448">
        <v>2.5499999999999998</v>
      </c>
      <c r="W190" s="449">
        <v>3.3000000000000003</v>
      </c>
      <c r="X190" s="448">
        <v>2.3400000000000003</v>
      </c>
      <c r="Y190" s="448">
        <v>4.76</v>
      </c>
      <c r="Z190" s="448">
        <v>1.6</v>
      </c>
      <c r="AA190" s="448">
        <v>1.1440000000000001</v>
      </c>
      <c r="AB190" s="448">
        <v>0.13999999999999999</v>
      </c>
      <c r="AC190" s="445">
        <v>940000</v>
      </c>
      <c r="AD190" s="450">
        <v>450</v>
      </c>
      <c r="AE190" s="445">
        <v>14400</v>
      </c>
      <c r="AF190" s="445">
        <v>500</v>
      </c>
      <c r="AG190" s="447">
        <v>1.17</v>
      </c>
      <c r="AH190" s="445">
        <v>3</v>
      </c>
      <c r="AI190" s="445">
        <v>4</v>
      </c>
      <c r="AJ190" s="445">
        <v>2</v>
      </c>
      <c r="AK190" s="445">
        <v>3</v>
      </c>
      <c r="AL190" s="2" t="s">
        <v>2260</v>
      </c>
      <c r="AM190" s="2" t="s">
        <v>2261</v>
      </c>
      <c r="AN190" s="2" t="s">
        <v>2376</v>
      </c>
      <c r="AO190" s="445">
        <v>10</v>
      </c>
      <c r="AP190" s="445">
        <v>20</v>
      </c>
      <c r="AQ190" s="445">
        <v>4</v>
      </c>
      <c r="AR190" s="445">
        <v>8</v>
      </c>
      <c r="AS190" s="445">
        <v>3</v>
      </c>
      <c r="AT190" s="445">
        <v>5</v>
      </c>
      <c r="AU190" s="445">
        <v>30</v>
      </c>
      <c r="AV190" s="445" t="str">
        <f t="shared" si="12"/>
        <v>Vàng:30000:MG01:3</v>
      </c>
      <c r="AW190" s="440">
        <v>200</v>
      </c>
      <c r="AX190" s="445">
        <v>12</v>
      </c>
      <c r="AY190" s="445">
        <v>5</v>
      </c>
      <c r="AZ190" s="450">
        <v>184</v>
      </c>
      <c r="BA190" s="31">
        <v>30000</v>
      </c>
      <c r="BB190" s="31">
        <v>3</v>
      </c>
      <c r="BC190" s="31">
        <f t="shared" si="10"/>
        <v>150000</v>
      </c>
    </row>
    <row r="191" spans="1:55" x14ac:dyDescent="0.25">
      <c r="A191" s="28" t="s">
        <v>2199</v>
      </c>
      <c r="B191" s="428">
        <v>189</v>
      </c>
      <c r="C191" s="13">
        <v>7</v>
      </c>
      <c r="D191" s="4">
        <v>19</v>
      </c>
      <c r="E191" s="451">
        <v>7800</v>
      </c>
      <c r="F191" s="445">
        <v>6</v>
      </c>
      <c r="G191" s="13">
        <v>14</v>
      </c>
      <c r="H191" s="13">
        <v>16</v>
      </c>
      <c r="I191" s="455" t="s">
        <v>2218</v>
      </c>
      <c r="J191" s="451">
        <v>1</v>
      </c>
      <c r="K191" s="445">
        <v>50</v>
      </c>
      <c r="L191" s="445">
        <v>50</v>
      </c>
      <c r="M191" s="445">
        <v>5</v>
      </c>
      <c r="N191" s="13">
        <v>40</v>
      </c>
      <c r="O191" s="446">
        <v>5</v>
      </c>
      <c r="P191" s="445">
        <v>95</v>
      </c>
      <c r="Q191" s="321">
        <v>6</v>
      </c>
      <c r="R191" s="23">
        <v>15</v>
      </c>
      <c r="S191" s="445">
        <v>10</v>
      </c>
      <c r="T191" s="445">
        <f t="shared" si="11"/>
        <v>90</v>
      </c>
      <c r="U191" s="447">
        <v>0.6</v>
      </c>
      <c r="V191" s="448">
        <v>2.5499999999999998</v>
      </c>
      <c r="W191" s="449">
        <v>3.3000000000000003</v>
      </c>
      <c r="X191" s="448">
        <v>2.3400000000000003</v>
      </c>
      <c r="Y191" s="448">
        <v>4.76</v>
      </c>
      <c r="Z191" s="448">
        <v>1.6</v>
      </c>
      <c r="AA191" s="448">
        <v>1.1440000000000001</v>
      </c>
      <c r="AB191" s="448">
        <v>0.13999999999999999</v>
      </c>
      <c r="AC191" s="445">
        <v>945000</v>
      </c>
      <c r="AD191" s="450">
        <v>450</v>
      </c>
      <c r="AE191" s="445">
        <v>14400</v>
      </c>
      <c r="AF191" s="445">
        <v>500</v>
      </c>
      <c r="AG191" s="447">
        <v>1.17</v>
      </c>
      <c r="AH191" s="445">
        <v>3</v>
      </c>
      <c r="AI191" s="445">
        <v>4</v>
      </c>
      <c r="AJ191" s="445">
        <v>2</v>
      </c>
      <c r="AK191" s="445">
        <v>3</v>
      </c>
      <c r="AL191" s="2" t="s">
        <v>2260</v>
      </c>
      <c r="AM191" s="2" t="s">
        <v>2261</v>
      </c>
      <c r="AN191" s="2" t="s">
        <v>2376</v>
      </c>
      <c r="AO191" s="445">
        <v>10</v>
      </c>
      <c r="AP191" s="445">
        <v>20</v>
      </c>
      <c r="AQ191" s="445">
        <v>4</v>
      </c>
      <c r="AR191" s="445">
        <v>8</v>
      </c>
      <c r="AS191" s="445">
        <v>3</v>
      </c>
      <c r="AT191" s="445">
        <v>5</v>
      </c>
      <c r="AU191" s="445">
        <v>30</v>
      </c>
      <c r="AV191" s="445" t="str">
        <f t="shared" si="12"/>
        <v>Vàng:30000:MG01:3</v>
      </c>
      <c r="AW191" s="440">
        <v>200</v>
      </c>
      <c r="AX191" s="445">
        <v>12</v>
      </c>
      <c r="AY191" s="445">
        <v>5</v>
      </c>
      <c r="AZ191" s="450">
        <v>185</v>
      </c>
      <c r="BA191" s="31">
        <v>30000</v>
      </c>
      <c r="BB191" s="31">
        <v>3</v>
      </c>
      <c r="BC191" s="31">
        <f t="shared" si="10"/>
        <v>150000</v>
      </c>
    </row>
    <row r="192" spans="1:55" x14ac:dyDescent="0.25">
      <c r="A192" s="28" t="s">
        <v>2199</v>
      </c>
      <c r="B192" s="29">
        <v>190</v>
      </c>
      <c r="C192" s="13">
        <v>7</v>
      </c>
      <c r="D192" s="4">
        <v>19</v>
      </c>
      <c r="E192" s="451">
        <v>7800</v>
      </c>
      <c r="F192" s="445">
        <v>6</v>
      </c>
      <c r="G192" s="13">
        <v>14</v>
      </c>
      <c r="H192" s="13">
        <v>16</v>
      </c>
      <c r="I192" s="455" t="s">
        <v>2218</v>
      </c>
      <c r="J192" s="451">
        <v>1</v>
      </c>
      <c r="K192" s="445">
        <v>50</v>
      </c>
      <c r="L192" s="445">
        <v>50</v>
      </c>
      <c r="M192" s="445">
        <v>5</v>
      </c>
      <c r="N192" s="13">
        <v>40</v>
      </c>
      <c r="O192" s="446">
        <v>5</v>
      </c>
      <c r="P192" s="445">
        <v>95</v>
      </c>
      <c r="Q192" s="321">
        <v>6</v>
      </c>
      <c r="R192" s="23">
        <v>15</v>
      </c>
      <c r="S192" s="445">
        <v>10</v>
      </c>
      <c r="T192" s="445">
        <f t="shared" si="11"/>
        <v>90</v>
      </c>
      <c r="U192" s="447">
        <v>0.6</v>
      </c>
      <c r="V192" s="448">
        <v>2.5499999999999998</v>
      </c>
      <c r="W192" s="449">
        <v>3.3000000000000003</v>
      </c>
      <c r="X192" s="448">
        <v>2.3400000000000003</v>
      </c>
      <c r="Y192" s="448">
        <v>4.76</v>
      </c>
      <c r="Z192" s="448">
        <v>1.6</v>
      </c>
      <c r="AA192" s="448">
        <v>1.1440000000000001</v>
      </c>
      <c r="AB192" s="448">
        <v>0.13999999999999999</v>
      </c>
      <c r="AC192" s="445">
        <v>950000</v>
      </c>
      <c r="AD192" s="450">
        <v>450</v>
      </c>
      <c r="AE192" s="445">
        <v>14400</v>
      </c>
      <c r="AF192" s="445">
        <v>500</v>
      </c>
      <c r="AG192" s="447">
        <v>1.17</v>
      </c>
      <c r="AH192" s="445">
        <v>3</v>
      </c>
      <c r="AI192" s="445">
        <v>4</v>
      </c>
      <c r="AJ192" s="445">
        <v>2</v>
      </c>
      <c r="AK192" s="445">
        <v>3</v>
      </c>
      <c r="AL192" s="2" t="s">
        <v>2260</v>
      </c>
      <c r="AM192" s="2" t="s">
        <v>2261</v>
      </c>
      <c r="AN192" s="2" t="s">
        <v>2376</v>
      </c>
      <c r="AO192" s="445">
        <v>10</v>
      </c>
      <c r="AP192" s="445">
        <v>20</v>
      </c>
      <c r="AQ192" s="445">
        <v>4</v>
      </c>
      <c r="AR192" s="445">
        <v>8</v>
      </c>
      <c r="AS192" s="445">
        <v>3</v>
      </c>
      <c r="AT192" s="445">
        <v>5</v>
      </c>
      <c r="AU192" s="445">
        <v>30</v>
      </c>
      <c r="AV192" s="445" t="str">
        <f t="shared" si="12"/>
        <v>Vàng:30000:MG01:3</v>
      </c>
      <c r="AW192" s="440">
        <v>200</v>
      </c>
      <c r="AX192" s="445">
        <v>12</v>
      </c>
      <c r="AY192" s="445">
        <v>5</v>
      </c>
      <c r="AZ192" s="450">
        <v>186</v>
      </c>
      <c r="BA192" s="31">
        <v>30000</v>
      </c>
      <c r="BB192" s="31">
        <v>3</v>
      </c>
      <c r="BC192" s="31">
        <f t="shared" si="10"/>
        <v>150000</v>
      </c>
    </row>
    <row r="193" spans="1:55" x14ac:dyDescent="0.25">
      <c r="A193" s="28" t="s">
        <v>2199</v>
      </c>
      <c r="B193" s="428">
        <v>191</v>
      </c>
      <c r="C193" s="13">
        <v>7</v>
      </c>
      <c r="D193" s="4">
        <v>19</v>
      </c>
      <c r="E193" s="451">
        <v>7800</v>
      </c>
      <c r="F193" s="445">
        <v>6</v>
      </c>
      <c r="G193" s="13">
        <v>14</v>
      </c>
      <c r="H193" s="13">
        <v>16</v>
      </c>
      <c r="I193" s="455" t="s">
        <v>2218</v>
      </c>
      <c r="J193" s="451">
        <v>1</v>
      </c>
      <c r="K193" s="445">
        <v>50</v>
      </c>
      <c r="L193" s="445">
        <v>50</v>
      </c>
      <c r="M193" s="445">
        <v>5</v>
      </c>
      <c r="N193" s="13">
        <v>40</v>
      </c>
      <c r="O193" s="446">
        <v>5</v>
      </c>
      <c r="P193" s="445">
        <v>95</v>
      </c>
      <c r="Q193" s="321">
        <v>6</v>
      </c>
      <c r="R193" s="23">
        <v>15</v>
      </c>
      <c r="S193" s="445">
        <v>10</v>
      </c>
      <c r="T193" s="445">
        <f t="shared" si="11"/>
        <v>90</v>
      </c>
      <c r="U193" s="447">
        <v>0.6</v>
      </c>
      <c r="V193" s="448">
        <v>2.5499999999999998</v>
      </c>
      <c r="W193" s="449">
        <v>3.3000000000000003</v>
      </c>
      <c r="X193" s="448">
        <v>2.3400000000000003</v>
      </c>
      <c r="Y193" s="448">
        <v>4.76</v>
      </c>
      <c r="Z193" s="448">
        <v>1.6</v>
      </c>
      <c r="AA193" s="448">
        <v>1.1440000000000001</v>
      </c>
      <c r="AB193" s="448">
        <v>0.13999999999999999</v>
      </c>
      <c r="AC193" s="445">
        <v>955000</v>
      </c>
      <c r="AD193" s="450">
        <v>450</v>
      </c>
      <c r="AE193" s="445">
        <v>14400</v>
      </c>
      <c r="AF193" s="445">
        <v>500</v>
      </c>
      <c r="AG193" s="447">
        <v>1.17</v>
      </c>
      <c r="AH193" s="445">
        <v>3</v>
      </c>
      <c r="AI193" s="445">
        <v>4</v>
      </c>
      <c r="AJ193" s="445">
        <v>2</v>
      </c>
      <c r="AK193" s="445">
        <v>3</v>
      </c>
      <c r="AL193" s="2" t="s">
        <v>2260</v>
      </c>
      <c r="AM193" s="2" t="s">
        <v>2261</v>
      </c>
      <c r="AN193" s="2" t="s">
        <v>2376</v>
      </c>
      <c r="AO193" s="445">
        <v>10</v>
      </c>
      <c r="AP193" s="445">
        <v>20</v>
      </c>
      <c r="AQ193" s="445">
        <v>4</v>
      </c>
      <c r="AR193" s="445">
        <v>8</v>
      </c>
      <c r="AS193" s="445">
        <v>3</v>
      </c>
      <c r="AT193" s="445">
        <v>5</v>
      </c>
      <c r="AU193" s="445">
        <v>30</v>
      </c>
      <c r="AV193" s="445" t="str">
        <f t="shared" si="12"/>
        <v>Vàng:30000:MG01:3</v>
      </c>
      <c r="AW193" s="440">
        <v>200</v>
      </c>
      <c r="AX193" s="445">
        <v>12</v>
      </c>
      <c r="AY193" s="445">
        <v>5</v>
      </c>
      <c r="AZ193" s="450">
        <v>187</v>
      </c>
      <c r="BA193" s="31">
        <v>30000</v>
      </c>
      <c r="BB193" s="31">
        <v>3</v>
      </c>
      <c r="BC193" s="31">
        <f t="shared" si="10"/>
        <v>150000</v>
      </c>
    </row>
    <row r="194" spans="1:55" x14ac:dyDescent="0.25">
      <c r="A194" s="28" t="s">
        <v>2199</v>
      </c>
      <c r="B194" s="29">
        <v>192</v>
      </c>
      <c r="C194" s="13">
        <v>7</v>
      </c>
      <c r="D194" s="4">
        <v>19</v>
      </c>
      <c r="E194" s="451">
        <v>7800</v>
      </c>
      <c r="F194" s="445">
        <v>6</v>
      </c>
      <c r="G194" s="13">
        <v>14</v>
      </c>
      <c r="H194" s="13">
        <v>16</v>
      </c>
      <c r="I194" s="455" t="s">
        <v>2218</v>
      </c>
      <c r="J194" s="451">
        <v>1</v>
      </c>
      <c r="K194" s="445">
        <v>50</v>
      </c>
      <c r="L194" s="445">
        <v>50</v>
      </c>
      <c r="M194" s="445">
        <v>5</v>
      </c>
      <c r="N194" s="13">
        <v>40</v>
      </c>
      <c r="O194" s="446">
        <v>5</v>
      </c>
      <c r="P194" s="445">
        <v>95</v>
      </c>
      <c r="Q194" s="321">
        <v>6</v>
      </c>
      <c r="R194" s="23">
        <v>15</v>
      </c>
      <c r="S194" s="445">
        <v>10</v>
      </c>
      <c r="T194" s="445">
        <f t="shared" si="11"/>
        <v>90</v>
      </c>
      <c r="U194" s="447">
        <v>0.6</v>
      </c>
      <c r="V194" s="448">
        <v>2.5499999999999998</v>
      </c>
      <c r="W194" s="449">
        <v>3.3000000000000003</v>
      </c>
      <c r="X194" s="448">
        <v>2.3400000000000003</v>
      </c>
      <c r="Y194" s="448">
        <v>4.76</v>
      </c>
      <c r="Z194" s="448">
        <v>1.6</v>
      </c>
      <c r="AA194" s="448">
        <v>1.1440000000000001</v>
      </c>
      <c r="AB194" s="448">
        <v>0.13999999999999999</v>
      </c>
      <c r="AC194" s="445">
        <v>960000</v>
      </c>
      <c r="AD194" s="450">
        <v>450</v>
      </c>
      <c r="AE194" s="445">
        <v>14400</v>
      </c>
      <c r="AF194" s="445">
        <v>500</v>
      </c>
      <c r="AG194" s="447">
        <v>1.17</v>
      </c>
      <c r="AH194" s="445">
        <v>3</v>
      </c>
      <c r="AI194" s="445">
        <v>4</v>
      </c>
      <c r="AJ194" s="445">
        <v>2</v>
      </c>
      <c r="AK194" s="445">
        <v>3</v>
      </c>
      <c r="AL194" s="2" t="s">
        <v>2260</v>
      </c>
      <c r="AM194" s="2" t="s">
        <v>2261</v>
      </c>
      <c r="AN194" s="2" t="s">
        <v>2376</v>
      </c>
      <c r="AO194" s="445">
        <v>10</v>
      </c>
      <c r="AP194" s="445">
        <v>20</v>
      </c>
      <c r="AQ194" s="445">
        <v>4</v>
      </c>
      <c r="AR194" s="445">
        <v>8</v>
      </c>
      <c r="AS194" s="445">
        <v>3</v>
      </c>
      <c r="AT194" s="445">
        <v>5</v>
      </c>
      <c r="AU194" s="445">
        <v>30</v>
      </c>
      <c r="AV194" s="445" t="str">
        <f t="shared" si="12"/>
        <v>Vàng:30000:MG01:3</v>
      </c>
      <c r="AW194" s="440">
        <v>200</v>
      </c>
      <c r="AX194" s="445">
        <v>12</v>
      </c>
      <c r="AY194" s="445">
        <v>5</v>
      </c>
      <c r="AZ194" s="450">
        <v>188</v>
      </c>
      <c r="BA194" s="31">
        <v>30000</v>
      </c>
      <c r="BB194" s="31">
        <v>3</v>
      </c>
      <c r="BC194" s="31">
        <f t="shared" si="10"/>
        <v>150000</v>
      </c>
    </row>
    <row r="195" spans="1:55" x14ac:dyDescent="0.25">
      <c r="A195" s="28" t="s">
        <v>2199</v>
      </c>
      <c r="B195" s="428">
        <v>193</v>
      </c>
      <c r="C195" s="13">
        <v>7</v>
      </c>
      <c r="D195" s="4">
        <v>19</v>
      </c>
      <c r="E195" s="451">
        <v>7800</v>
      </c>
      <c r="F195" s="445">
        <v>6</v>
      </c>
      <c r="G195" s="13">
        <v>14</v>
      </c>
      <c r="H195" s="13">
        <v>16</v>
      </c>
      <c r="I195" s="455" t="s">
        <v>2218</v>
      </c>
      <c r="J195" s="451">
        <v>1</v>
      </c>
      <c r="K195" s="445">
        <v>50</v>
      </c>
      <c r="L195" s="445">
        <v>50</v>
      </c>
      <c r="M195" s="445">
        <v>5</v>
      </c>
      <c r="N195" s="13">
        <v>40</v>
      </c>
      <c r="O195" s="446">
        <v>5</v>
      </c>
      <c r="P195" s="445">
        <v>95</v>
      </c>
      <c r="Q195" s="321">
        <v>6</v>
      </c>
      <c r="R195" s="23">
        <v>15</v>
      </c>
      <c r="S195" s="445">
        <v>10</v>
      </c>
      <c r="T195" s="445">
        <f t="shared" si="11"/>
        <v>90</v>
      </c>
      <c r="U195" s="447">
        <v>0.6</v>
      </c>
      <c r="V195" s="448">
        <v>2.5499999999999998</v>
      </c>
      <c r="W195" s="449">
        <v>3.3000000000000003</v>
      </c>
      <c r="X195" s="448">
        <v>2.3400000000000003</v>
      </c>
      <c r="Y195" s="448">
        <v>4.76</v>
      </c>
      <c r="Z195" s="448">
        <v>1.6</v>
      </c>
      <c r="AA195" s="448">
        <v>1.1440000000000001</v>
      </c>
      <c r="AB195" s="448">
        <v>0.13999999999999999</v>
      </c>
      <c r="AC195" s="445">
        <v>965000</v>
      </c>
      <c r="AD195" s="450">
        <v>450</v>
      </c>
      <c r="AE195" s="445">
        <v>14400</v>
      </c>
      <c r="AF195" s="445">
        <v>500</v>
      </c>
      <c r="AG195" s="447">
        <v>1.17</v>
      </c>
      <c r="AH195" s="445">
        <v>3</v>
      </c>
      <c r="AI195" s="445">
        <v>4</v>
      </c>
      <c r="AJ195" s="445">
        <v>2</v>
      </c>
      <c r="AK195" s="445">
        <v>3</v>
      </c>
      <c r="AL195" s="2" t="s">
        <v>2260</v>
      </c>
      <c r="AM195" s="2" t="s">
        <v>2261</v>
      </c>
      <c r="AN195" s="2" t="s">
        <v>2376</v>
      </c>
      <c r="AO195" s="445">
        <v>10</v>
      </c>
      <c r="AP195" s="445">
        <v>20</v>
      </c>
      <c r="AQ195" s="445">
        <v>4</v>
      </c>
      <c r="AR195" s="445">
        <v>8</v>
      </c>
      <c r="AS195" s="445">
        <v>3</v>
      </c>
      <c r="AT195" s="445">
        <v>5</v>
      </c>
      <c r="AU195" s="445">
        <v>30</v>
      </c>
      <c r="AV195" s="445" t="str">
        <f t="shared" si="12"/>
        <v>Vàng:30000:MG01:3</v>
      </c>
      <c r="AW195" s="440">
        <v>200</v>
      </c>
      <c r="AX195" s="445">
        <v>12</v>
      </c>
      <c r="AY195" s="445">
        <v>5</v>
      </c>
      <c r="AZ195" s="450">
        <v>189</v>
      </c>
      <c r="BA195" s="31">
        <v>30000</v>
      </c>
      <c r="BB195" s="31">
        <v>3</v>
      </c>
      <c r="BC195" s="31">
        <f t="shared" ref="BC195:BC258" si="13">BA195*$BC$1</f>
        <v>150000</v>
      </c>
    </row>
    <row r="196" spans="1:55" x14ac:dyDescent="0.25">
      <c r="A196" s="28" t="s">
        <v>2199</v>
      </c>
      <c r="B196" s="29">
        <v>194</v>
      </c>
      <c r="C196" s="13">
        <v>7</v>
      </c>
      <c r="D196" s="4">
        <v>19</v>
      </c>
      <c r="E196" s="451">
        <v>7800</v>
      </c>
      <c r="F196" s="445">
        <v>6</v>
      </c>
      <c r="G196" s="13">
        <v>14</v>
      </c>
      <c r="H196" s="13">
        <v>16</v>
      </c>
      <c r="I196" s="455" t="s">
        <v>2218</v>
      </c>
      <c r="J196" s="451">
        <v>1</v>
      </c>
      <c r="K196" s="445">
        <v>50</v>
      </c>
      <c r="L196" s="445">
        <v>50</v>
      </c>
      <c r="M196" s="445">
        <v>5</v>
      </c>
      <c r="N196" s="13">
        <v>40</v>
      </c>
      <c r="O196" s="446">
        <v>5</v>
      </c>
      <c r="P196" s="445">
        <v>95</v>
      </c>
      <c r="Q196" s="321">
        <v>6</v>
      </c>
      <c r="R196" s="23">
        <v>15</v>
      </c>
      <c r="S196" s="445">
        <v>10</v>
      </c>
      <c r="T196" s="445">
        <f t="shared" si="11"/>
        <v>90</v>
      </c>
      <c r="U196" s="447">
        <v>0.6</v>
      </c>
      <c r="V196" s="448">
        <v>2.5499999999999998</v>
      </c>
      <c r="W196" s="449">
        <v>3.3000000000000003</v>
      </c>
      <c r="X196" s="448">
        <v>2.3400000000000003</v>
      </c>
      <c r="Y196" s="448">
        <v>4.76</v>
      </c>
      <c r="Z196" s="448">
        <v>1.6</v>
      </c>
      <c r="AA196" s="448">
        <v>1.1440000000000001</v>
      </c>
      <c r="AB196" s="448">
        <v>0.13999999999999999</v>
      </c>
      <c r="AC196" s="445">
        <v>970000</v>
      </c>
      <c r="AD196" s="450">
        <v>450</v>
      </c>
      <c r="AE196" s="445">
        <v>14400</v>
      </c>
      <c r="AF196" s="445">
        <v>500</v>
      </c>
      <c r="AG196" s="447">
        <v>1.17</v>
      </c>
      <c r="AH196" s="445">
        <v>3</v>
      </c>
      <c r="AI196" s="445">
        <v>4</v>
      </c>
      <c r="AJ196" s="445">
        <v>2</v>
      </c>
      <c r="AK196" s="445">
        <v>3</v>
      </c>
      <c r="AL196" s="2" t="s">
        <v>2260</v>
      </c>
      <c r="AM196" s="2" t="s">
        <v>2261</v>
      </c>
      <c r="AN196" s="2" t="s">
        <v>2376</v>
      </c>
      <c r="AO196" s="445">
        <v>10</v>
      </c>
      <c r="AP196" s="445">
        <v>20</v>
      </c>
      <c r="AQ196" s="445">
        <v>4</v>
      </c>
      <c r="AR196" s="445">
        <v>8</v>
      </c>
      <c r="AS196" s="445">
        <v>3</v>
      </c>
      <c r="AT196" s="445">
        <v>5</v>
      </c>
      <c r="AU196" s="445">
        <v>30</v>
      </c>
      <c r="AV196" s="445" t="str">
        <f t="shared" si="12"/>
        <v>Vàng:30000:MG01:3</v>
      </c>
      <c r="AW196" s="440">
        <v>200</v>
      </c>
      <c r="AX196" s="445">
        <v>12</v>
      </c>
      <c r="AY196" s="445">
        <v>5</v>
      </c>
      <c r="AZ196" s="450">
        <v>190</v>
      </c>
      <c r="BA196" s="31">
        <v>30000</v>
      </c>
      <c r="BB196" s="31">
        <v>3</v>
      </c>
      <c r="BC196" s="31">
        <f t="shared" si="13"/>
        <v>150000</v>
      </c>
    </row>
    <row r="197" spans="1:55" x14ac:dyDescent="0.25">
      <c r="A197" s="28" t="s">
        <v>2199</v>
      </c>
      <c r="B197" s="428">
        <v>195</v>
      </c>
      <c r="C197" s="13">
        <v>7</v>
      </c>
      <c r="D197" s="4">
        <v>19</v>
      </c>
      <c r="E197" s="451">
        <v>7800</v>
      </c>
      <c r="F197" s="445">
        <v>6</v>
      </c>
      <c r="G197" s="13">
        <v>14</v>
      </c>
      <c r="H197" s="13">
        <v>16</v>
      </c>
      <c r="I197" s="455" t="s">
        <v>2218</v>
      </c>
      <c r="J197" s="451">
        <v>1</v>
      </c>
      <c r="K197" s="445">
        <v>50</v>
      </c>
      <c r="L197" s="445">
        <v>50</v>
      </c>
      <c r="M197" s="445">
        <v>5</v>
      </c>
      <c r="N197" s="13">
        <v>40</v>
      </c>
      <c r="O197" s="446">
        <v>5</v>
      </c>
      <c r="P197" s="445">
        <v>95</v>
      </c>
      <c r="Q197" s="321">
        <v>6</v>
      </c>
      <c r="R197" s="23">
        <v>15</v>
      </c>
      <c r="S197" s="445">
        <v>10</v>
      </c>
      <c r="T197" s="445">
        <f t="shared" si="11"/>
        <v>90</v>
      </c>
      <c r="U197" s="447">
        <v>0.6</v>
      </c>
      <c r="V197" s="448">
        <v>2.5499999999999998</v>
      </c>
      <c r="W197" s="449">
        <v>3.3000000000000003</v>
      </c>
      <c r="X197" s="448">
        <v>2.3400000000000003</v>
      </c>
      <c r="Y197" s="448">
        <v>4.76</v>
      </c>
      <c r="Z197" s="448">
        <v>1.6</v>
      </c>
      <c r="AA197" s="448">
        <v>1.1440000000000001</v>
      </c>
      <c r="AB197" s="448">
        <v>0.13999999999999999</v>
      </c>
      <c r="AC197" s="445">
        <v>975000</v>
      </c>
      <c r="AD197" s="450">
        <v>450</v>
      </c>
      <c r="AE197" s="445">
        <v>14400</v>
      </c>
      <c r="AF197" s="445">
        <v>500</v>
      </c>
      <c r="AG197" s="447">
        <v>1.17</v>
      </c>
      <c r="AH197" s="445">
        <v>3</v>
      </c>
      <c r="AI197" s="445">
        <v>4</v>
      </c>
      <c r="AJ197" s="445">
        <v>2</v>
      </c>
      <c r="AK197" s="445">
        <v>3</v>
      </c>
      <c r="AL197" s="2" t="s">
        <v>2260</v>
      </c>
      <c r="AM197" s="2" t="s">
        <v>2261</v>
      </c>
      <c r="AN197" s="2" t="s">
        <v>2376</v>
      </c>
      <c r="AO197" s="445">
        <v>10</v>
      </c>
      <c r="AP197" s="445">
        <v>20</v>
      </c>
      <c r="AQ197" s="445">
        <v>4</v>
      </c>
      <c r="AR197" s="445">
        <v>8</v>
      </c>
      <c r="AS197" s="445">
        <v>3</v>
      </c>
      <c r="AT197" s="445">
        <v>5</v>
      </c>
      <c r="AU197" s="445">
        <v>30</v>
      </c>
      <c r="AV197" s="445" t="str">
        <f t="shared" si="12"/>
        <v>Vàng:30000:MG01:3</v>
      </c>
      <c r="AW197" s="440">
        <v>200</v>
      </c>
      <c r="AX197" s="445">
        <v>12</v>
      </c>
      <c r="AY197" s="445">
        <v>5</v>
      </c>
      <c r="AZ197" s="450">
        <v>191</v>
      </c>
      <c r="BA197" s="31">
        <v>30000</v>
      </c>
      <c r="BB197" s="31">
        <v>3</v>
      </c>
      <c r="BC197" s="31">
        <f t="shared" si="13"/>
        <v>150000</v>
      </c>
    </row>
    <row r="198" spans="1:55" x14ac:dyDescent="0.25">
      <c r="A198" s="28" t="s">
        <v>2199</v>
      </c>
      <c r="B198" s="29">
        <v>196</v>
      </c>
      <c r="C198" s="13">
        <v>7</v>
      </c>
      <c r="D198" s="4">
        <v>19</v>
      </c>
      <c r="E198" s="451">
        <v>7800</v>
      </c>
      <c r="F198" s="445">
        <v>6</v>
      </c>
      <c r="G198" s="13">
        <v>14</v>
      </c>
      <c r="H198" s="13">
        <v>16</v>
      </c>
      <c r="I198" s="455" t="s">
        <v>2218</v>
      </c>
      <c r="J198" s="451">
        <v>1</v>
      </c>
      <c r="K198" s="445">
        <v>50</v>
      </c>
      <c r="L198" s="445">
        <v>50</v>
      </c>
      <c r="M198" s="445">
        <v>5</v>
      </c>
      <c r="N198" s="13">
        <v>40</v>
      </c>
      <c r="O198" s="446">
        <v>5</v>
      </c>
      <c r="P198" s="445">
        <v>95</v>
      </c>
      <c r="Q198" s="321">
        <v>6</v>
      </c>
      <c r="R198" s="23">
        <v>15</v>
      </c>
      <c r="S198" s="445">
        <v>10</v>
      </c>
      <c r="T198" s="445">
        <f t="shared" ref="T198:T261" si="14">100-S198</f>
        <v>90</v>
      </c>
      <c r="U198" s="447">
        <v>0.6</v>
      </c>
      <c r="V198" s="448">
        <v>2.5499999999999998</v>
      </c>
      <c r="W198" s="449">
        <v>3.3000000000000003</v>
      </c>
      <c r="X198" s="448">
        <v>2.3400000000000003</v>
      </c>
      <c r="Y198" s="448">
        <v>4.76</v>
      </c>
      <c r="Z198" s="448">
        <v>1.6</v>
      </c>
      <c r="AA198" s="448">
        <v>1.1440000000000001</v>
      </c>
      <c r="AB198" s="448">
        <v>0.13999999999999999</v>
      </c>
      <c r="AC198" s="445">
        <v>980000</v>
      </c>
      <c r="AD198" s="450">
        <v>450</v>
      </c>
      <c r="AE198" s="445">
        <v>14400</v>
      </c>
      <c r="AF198" s="445">
        <v>500</v>
      </c>
      <c r="AG198" s="447">
        <v>1.17</v>
      </c>
      <c r="AH198" s="445">
        <v>3</v>
      </c>
      <c r="AI198" s="445">
        <v>4</v>
      </c>
      <c r="AJ198" s="445">
        <v>2</v>
      </c>
      <c r="AK198" s="445">
        <v>3</v>
      </c>
      <c r="AL198" s="2" t="s">
        <v>2260</v>
      </c>
      <c r="AM198" s="2" t="s">
        <v>2261</v>
      </c>
      <c r="AN198" s="2" t="s">
        <v>2376</v>
      </c>
      <c r="AO198" s="445">
        <v>10</v>
      </c>
      <c r="AP198" s="445">
        <v>20</v>
      </c>
      <c r="AQ198" s="445">
        <v>4</v>
      </c>
      <c r="AR198" s="445">
        <v>8</v>
      </c>
      <c r="AS198" s="445">
        <v>3</v>
      </c>
      <c r="AT198" s="445">
        <v>5</v>
      </c>
      <c r="AU198" s="445">
        <v>30</v>
      </c>
      <c r="AV198" s="445" t="str">
        <f t="shared" si="12"/>
        <v>Vàng:30000:MG01:3</v>
      </c>
      <c r="AW198" s="440">
        <v>200</v>
      </c>
      <c r="AX198" s="445">
        <v>12</v>
      </c>
      <c r="AY198" s="445">
        <v>5</v>
      </c>
      <c r="AZ198" s="450">
        <v>192</v>
      </c>
      <c r="BA198" s="31">
        <v>30000</v>
      </c>
      <c r="BB198" s="31">
        <v>3</v>
      </c>
      <c r="BC198" s="31">
        <f t="shared" si="13"/>
        <v>150000</v>
      </c>
    </row>
    <row r="199" spans="1:55" x14ac:dyDescent="0.25">
      <c r="A199" s="28" t="s">
        <v>2199</v>
      </c>
      <c r="B199" s="428">
        <v>197</v>
      </c>
      <c r="C199" s="13">
        <v>7</v>
      </c>
      <c r="D199" s="4">
        <v>19</v>
      </c>
      <c r="E199" s="451">
        <v>7800</v>
      </c>
      <c r="F199" s="445">
        <v>6</v>
      </c>
      <c r="G199" s="13">
        <v>14</v>
      </c>
      <c r="H199" s="13">
        <v>16</v>
      </c>
      <c r="I199" s="455" t="s">
        <v>2218</v>
      </c>
      <c r="J199" s="451">
        <v>1</v>
      </c>
      <c r="K199" s="445">
        <v>50</v>
      </c>
      <c r="L199" s="445">
        <v>50</v>
      </c>
      <c r="M199" s="445">
        <v>5</v>
      </c>
      <c r="N199" s="13">
        <v>40</v>
      </c>
      <c r="O199" s="446">
        <v>5</v>
      </c>
      <c r="P199" s="445">
        <v>95</v>
      </c>
      <c r="Q199" s="321">
        <v>6</v>
      </c>
      <c r="R199" s="23">
        <v>15</v>
      </c>
      <c r="S199" s="445">
        <v>10</v>
      </c>
      <c r="T199" s="445">
        <f t="shared" si="14"/>
        <v>90</v>
      </c>
      <c r="U199" s="447">
        <v>0.6</v>
      </c>
      <c r="V199" s="448">
        <v>2.5499999999999998</v>
      </c>
      <c r="W199" s="449">
        <v>3.3000000000000003</v>
      </c>
      <c r="X199" s="448">
        <v>2.3400000000000003</v>
      </c>
      <c r="Y199" s="448">
        <v>4.76</v>
      </c>
      <c r="Z199" s="448">
        <v>1.6</v>
      </c>
      <c r="AA199" s="448">
        <v>1.1440000000000001</v>
      </c>
      <c r="AB199" s="448">
        <v>0.13999999999999999</v>
      </c>
      <c r="AC199" s="445">
        <v>985000</v>
      </c>
      <c r="AD199" s="450">
        <v>450</v>
      </c>
      <c r="AE199" s="445">
        <v>14400</v>
      </c>
      <c r="AF199" s="445">
        <v>500</v>
      </c>
      <c r="AG199" s="447">
        <v>1.17</v>
      </c>
      <c r="AH199" s="445">
        <v>3</v>
      </c>
      <c r="AI199" s="445">
        <v>4</v>
      </c>
      <c r="AJ199" s="445">
        <v>2</v>
      </c>
      <c r="AK199" s="445">
        <v>3</v>
      </c>
      <c r="AL199" s="2" t="s">
        <v>2260</v>
      </c>
      <c r="AM199" s="2" t="s">
        <v>2261</v>
      </c>
      <c r="AN199" s="2" t="s">
        <v>2376</v>
      </c>
      <c r="AO199" s="445">
        <v>10</v>
      </c>
      <c r="AP199" s="445">
        <v>20</v>
      </c>
      <c r="AQ199" s="445">
        <v>4</v>
      </c>
      <c r="AR199" s="445">
        <v>8</v>
      </c>
      <c r="AS199" s="445">
        <v>3</v>
      </c>
      <c r="AT199" s="445">
        <v>5</v>
      </c>
      <c r="AU199" s="445">
        <v>30</v>
      </c>
      <c r="AV199" s="445" t="str">
        <f t="shared" si="12"/>
        <v>Vàng:30000:MG01:3</v>
      </c>
      <c r="AW199" s="440">
        <v>200</v>
      </c>
      <c r="AX199" s="445">
        <v>12</v>
      </c>
      <c r="AY199" s="445">
        <v>5</v>
      </c>
      <c r="AZ199" s="450">
        <v>193</v>
      </c>
      <c r="BA199" s="31">
        <v>30000</v>
      </c>
      <c r="BB199" s="31">
        <v>3</v>
      </c>
      <c r="BC199" s="31">
        <f t="shared" si="13"/>
        <v>150000</v>
      </c>
    </row>
    <row r="200" spans="1:55" x14ac:dyDescent="0.25">
      <c r="A200" s="28" t="s">
        <v>2199</v>
      </c>
      <c r="B200" s="29">
        <v>198</v>
      </c>
      <c r="C200" s="13">
        <v>7</v>
      </c>
      <c r="D200" s="4">
        <v>19</v>
      </c>
      <c r="E200" s="451">
        <v>7800</v>
      </c>
      <c r="F200" s="445">
        <v>6</v>
      </c>
      <c r="G200" s="13">
        <v>14</v>
      </c>
      <c r="H200" s="13">
        <v>16</v>
      </c>
      <c r="I200" s="455" t="s">
        <v>2218</v>
      </c>
      <c r="J200" s="451">
        <v>1</v>
      </c>
      <c r="K200" s="445">
        <v>50</v>
      </c>
      <c r="L200" s="445">
        <v>50</v>
      </c>
      <c r="M200" s="445">
        <v>5</v>
      </c>
      <c r="N200" s="13">
        <v>40</v>
      </c>
      <c r="O200" s="446">
        <v>5</v>
      </c>
      <c r="P200" s="445">
        <v>95</v>
      </c>
      <c r="Q200" s="321">
        <v>6</v>
      </c>
      <c r="R200" s="23">
        <v>15</v>
      </c>
      <c r="S200" s="445">
        <v>10</v>
      </c>
      <c r="T200" s="445">
        <f t="shared" si="14"/>
        <v>90</v>
      </c>
      <c r="U200" s="447">
        <v>0.6</v>
      </c>
      <c r="V200" s="448">
        <v>2.5499999999999998</v>
      </c>
      <c r="W200" s="449">
        <v>3.3000000000000003</v>
      </c>
      <c r="X200" s="448">
        <v>2.3400000000000003</v>
      </c>
      <c r="Y200" s="448">
        <v>4.76</v>
      </c>
      <c r="Z200" s="448">
        <v>1.6</v>
      </c>
      <c r="AA200" s="448">
        <v>1.1440000000000001</v>
      </c>
      <c r="AB200" s="448">
        <v>0.13999999999999999</v>
      </c>
      <c r="AC200" s="445">
        <v>990000</v>
      </c>
      <c r="AD200" s="450">
        <v>450</v>
      </c>
      <c r="AE200" s="445">
        <v>14400</v>
      </c>
      <c r="AF200" s="445">
        <v>500</v>
      </c>
      <c r="AG200" s="447">
        <v>1.17</v>
      </c>
      <c r="AH200" s="445">
        <v>3</v>
      </c>
      <c r="AI200" s="445">
        <v>4</v>
      </c>
      <c r="AJ200" s="445">
        <v>2</v>
      </c>
      <c r="AK200" s="445">
        <v>3</v>
      </c>
      <c r="AL200" s="2" t="s">
        <v>2260</v>
      </c>
      <c r="AM200" s="2" t="s">
        <v>2261</v>
      </c>
      <c r="AN200" s="2" t="s">
        <v>2376</v>
      </c>
      <c r="AO200" s="445">
        <v>10</v>
      </c>
      <c r="AP200" s="445">
        <v>20</v>
      </c>
      <c r="AQ200" s="445">
        <v>4</v>
      </c>
      <c r="AR200" s="445">
        <v>8</v>
      </c>
      <c r="AS200" s="445">
        <v>3</v>
      </c>
      <c r="AT200" s="445">
        <v>5</v>
      </c>
      <c r="AU200" s="445">
        <v>30</v>
      </c>
      <c r="AV200" s="445" t="str">
        <f t="shared" si="12"/>
        <v>Vàng:30000:MG01:3</v>
      </c>
      <c r="AW200" s="440">
        <v>200</v>
      </c>
      <c r="AX200" s="445">
        <v>12</v>
      </c>
      <c r="AY200" s="445">
        <v>5</v>
      </c>
      <c r="AZ200" s="450">
        <v>194</v>
      </c>
      <c r="BA200" s="31">
        <v>30000</v>
      </c>
      <c r="BB200" s="31">
        <v>3</v>
      </c>
      <c r="BC200" s="31">
        <f t="shared" si="13"/>
        <v>150000</v>
      </c>
    </row>
    <row r="201" spans="1:55" x14ac:dyDescent="0.25">
      <c r="A201" s="28" t="s">
        <v>2199</v>
      </c>
      <c r="B201" s="428">
        <v>199</v>
      </c>
      <c r="C201" s="13">
        <v>7</v>
      </c>
      <c r="D201" s="4">
        <v>19</v>
      </c>
      <c r="E201" s="451">
        <v>7800</v>
      </c>
      <c r="F201" s="445">
        <v>6</v>
      </c>
      <c r="G201" s="13">
        <v>14</v>
      </c>
      <c r="H201" s="13">
        <v>16</v>
      </c>
      <c r="I201" s="455" t="s">
        <v>2218</v>
      </c>
      <c r="J201" s="451">
        <v>1</v>
      </c>
      <c r="K201" s="445">
        <v>50</v>
      </c>
      <c r="L201" s="445">
        <v>50</v>
      </c>
      <c r="M201" s="445">
        <v>5</v>
      </c>
      <c r="N201" s="13">
        <v>40</v>
      </c>
      <c r="O201" s="446">
        <v>5</v>
      </c>
      <c r="P201" s="445">
        <v>95</v>
      </c>
      <c r="Q201" s="321">
        <v>6</v>
      </c>
      <c r="R201" s="23">
        <v>15</v>
      </c>
      <c r="S201" s="445">
        <v>10</v>
      </c>
      <c r="T201" s="445">
        <f t="shared" si="14"/>
        <v>90</v>
      </c>
      <c r="U201" s="447">
        <v>0.6</v>
      </c>
      <c r="V201" s="448">
        <v>2.5499999999999998</v>
      </c>
      <c r="W201" s="449">
        <v>3.3000000000000003</v>
      </c>
      <c r="X201" s="448">
        <v>2.3400000000000003</v>
      </c>
      <c r="Y201" s="448">
        <v>4.76</v>
      </c>
      <c r="Z201" s="448">
        <v>1.6</v>
      </c>
      <c r="AA201" s="448">
        <v>1.1440000000000001</v>
      </c>
      <c r="AB201" s="448">
        <v>0.13999999999999999</v>
      </c>
      <c r="AC201" s="445">
        <v>995000</v>
      </c>
      <c r="AD201" s="450">
        <v>450</v>
      </c>
      <c r="AE201" s="445">
        <v>14400</v>
      </c>
      <c r="AF201" s="445">
        <v>500</v>
      </c>
      <c r="AG201" s="447">
        <v>1.17</v>
      </c>
      <c r="AH201" s="445">
        <v>3</v>
      </c>
      <c r="AI201" s="445">
        <v>4</v>
      </c>
      <c r="AJ201" s="445">
        <v>2</v>
      </c>
      <c r="AK201" s="445">
        <v>3</v>
      </c>
      <c r="AL201" s="2" t="s">
        <v>2260</v>
      </c>
      <c r="AM201" s="2" t="s">
        <v>2261</v>
      </c>
      <c r="AN201" s="2" t="s">
        <v>2376</v>
      </c>
      <c r="AO201" s="445">
        <v>10</v>
      </c>
      <c r="AP201" s="445">
        <v>20</v>
      </c>
      <c r="AQ201" s="445">
        <v>4</v>
      </c>
      <c r="AR201" s="445">
        <v>8</v>
      </c>
      <c r="AS201" s="445">
        <v>3</v>
      </c>
      <c r="AT201" s="445">
        <v>5</v>
      </c>
      <c r="AU201" s="445">
        <v>30</v>
      </c>
      <c r="AV201" s="445" t="str">
        <f t="shared" si="12"/>
        <v>Vàng:30000:MG01:3</v>
      </c>
      <c r="AW201" s="440">
        <v>200</v>
      </c>
      <c r="AX201" s="445">
        <v>12</v>
      </c>
      <c r="AY201" s="445">
        <v>5</v>
      </c>
      <c r="AZ201" s="450">
        <v>195</v>
      </c>
      <c r="BA201" s="31">
        <v>30000</v>
      </c>
      <c r="BB201" s="31">
        <v>3</v>
      </c>
      <c r="BC201" s="31">
        <f t="shared" si="13"/>
        <v>150000</v>
      </c>
    </row>
    <row r="202" spans="1:55" x14ac:dyDescent="0.25">
      <c r="A202" s="28" t="s">
        <v>2199</v>
      </c>
      <c r="B202" s="29">
        <v>200</v>
      </c>
      <c r="C202" s="13">
        <v>7</v>
      </c>
      <c r="D202" s="4">
        <v>19</v>
      </c>
      <c r="E202" s="451">
        <v>7800</v>
      </c>
      <c r="F202" s="445">
        <v>6</v>
      </c>
      <c r="G202" s="13">
        <v>14</v>
      </c>
      <c r="H202" s="13">
        <v>20</v>
      </c>
      <c r="I202" s="455" t="s">
        <v>2218</v>
      </c>
      <c r="J202" s="451">
        <v>1</v>
      </c>
      <c r="K202" s="445">
        <v>50</v>
      </c>
      <c r="L202" s="445">
        <v>50</v>
      </c>
      <c r="M202" s="445">
        <v>5</v>
      </c>
      <c r="N202" s="13">
        <v>45</v>
      </c>
      <c r="O202" s="446">
        <v>5</v>
      </c>
      <c r="P202" s="445">
        <v>95</v>
      </c>
      <c r="Q202" s="321">
        <v>6</v>
      </c>
      <c r="R202" s="23">
        <v>18</v>
      </c>
      <c r="S202" s="445">
        <v>10</v>
      </c>
      <c r="T202" s="445">
        <f t="shared" si="14"/>
        <v>90</v>
      </c>
      <c r="U202" s="447">
        <v>0.6</v>
      </c>
      <c r="V202" s="448">
        <v>2.5499999999999998</v>
      </c>
      <c r="W202" s="449">
        <v>3.3000000000000003</v>
      </c>
      <c r="X202" s="448">
        <v>2.3400000000000003</v>
      </c>
      <c r="Y202" s="448">
        <v>4.76</v>
      </c>
      <c r="Z202" s="448">
        <v>1.6</v>
      </c>
      <c r="AA202" s="448">
        <v>1.1440000000000001</v>
      </c>
      <c r="AB202" s="448">
        <v>0.13999999999999999</v>
      </c>
      <c r="AC202" s="445">
        <v>1000000</v>
      </c>
      <c r="AD202" s="450">
        <v>450</v>
      </c>
      <c r="AE202" s="445">
        <v>14400</v>
      </c>
      <c r="AF202" s="445">
        <v>500</v>
      </c>
      <c r="AG202" s="447">
        <v>1.17</v>
      </c>
      <c r="AH202" s="445">
        <v>3</v>
      </c>
      <c r="AI202" s="445">
        <v>4</v>
      </c>
      <c r="AJ202" s="445">
        <v>2</v>
      </c>
      <c r="AK202" s="445">
        <v>3</v>
      </c>
      <c r="AL202" s="2" t="s">
        <v>2260</v>
      </c>
      <c r="AM202" s="2" t="s">
        <v>2261</v>
      </c>
      <c r="AN202" s="2" t="s">
        <v>2376</v>
      </c>
      <c r="AO202" s="445">
        <v>10</v>
      </c>
      <c r="AP202" s="445">
        <v>20</v>
      </c>
      <c r="AQ202" s="445">
        <v>4</v>
      </c>
      <c r="AR202" s="445">
        <v>8</v>
      </c>
      <c r="AS202" s="445">
        <v>3</v>
      </c>
      <c r="AT202" s="445">
        <v>5</v>
      </c>
      <c r="AU202" s="445">
        <v>30</v>
      </c>
      <c r="AV202" s="445" t="str">
        <f t="shared" si="12"/>
        <v>Vàng:30000:MG01:3</v>
      </c>
      <c r="AW202" s="440">
        <v>200</v>
      </c>
      <c r="AX202" s="445">
        <v>12</v>
      </c>
      <c r="AY202" s="445">
        <v>5</v>
      </c>
      <c r="AZ202" s="450">
        <v>196</v>
      </c>
      <c r="BA202" s="31">
        <v>30000</v>
      </c>
      <c r="BB202" s="31">
        <v>3</v>
      </c>
      <c r="BC202" s="31">
        <f t="shared" si="13"/>
        <v>150000</v>
      </c>
    </row>
    <row r="203" spans="1:55" x14ac:dyDescent="0.25">
      <c r="A203" s="28" t="s">
        <v>2199</v>
      </c>
      <c r="B203" s="428">
        <v>201</v>
      </c>
      <c r="C203" s="13">
        <v>7</v>
      </c>
      <c r="D203" s="4">
        <v>19</v>
      </c>
      <c r="E203" s="451">
        <v>9000</v>
      </c>
      <c r="F203" s="445">
        <v>6</v>
      </c>
      <c r="G203" s="13">
        <v>14</v>
      </c>
      <c r="H203" s="13">
        <v>20</v>
      </c>
      <c r="I203" s="455" t="s">
        <v>2218</v>
      </c>
      <c r="J203" s="451">
        <v>1</v>
      </c>
      <c r="K203" s="445">
        <v>50</v>
      </c>
      <c r="L203" s="445">
        <v>50</v>
      </c>
      <c r="M203" s="445">
        <v>5</v>
      </c>
      <c r="N203" s="13">
        <v>45</v>
      </c>
      <c r="O203" s="446">
        <v>5</v>
      </c>
      <c r="P203" s="445">
        <v>95</v>
      </c>
      <c r="Q203" s="321">
        <v>6</v>
      </c>
      <c r="R203" s="23">
        <v>15</v>
      </c>
      <c r="S203" s="445">
        <v>5</v>
      </c>
      <c r="T203" s="445">
        <f t="shared" si="14"/>
        <v>95</v>
      </c>
      <c r="U203" s="447">
        <v>0.5</v>
      </c>
      <c r="V203" s="448">
        <v>2.5499999999999998</v>
      </c>
      <c r="W203" s="449">
        <v>3.3000000000000003</v>
      </c>
      <c r="X203" s="448">
        <v>2.3400000000000003</v>
      </c>
      <c r="Y203" s="448">
        <v>4.76</v>
      </c>
      <c r="Z203" s="448">
        <v>1.6</v>
      </c>
      <c r="AA203" s="448">
        <v>1.1440000000000001</v>
      </c>
      <c r="AB203" s="448">
        <v>0.13999999999999999</v>
      </c>
      <c r="AC203" s="445">
        <v>1005000</v>
      </c>
      <c r="AD203" s="450">
        <v>450</v>
      </c>
      <c r="AE203" s="445">
        <v>18000</v>
      </c>
      <c r="AF203" s="445">
        <v>500</v>
      </c>
      <c r="AG203" s="447">
        <v>1.17</v>
      </c>
      <c r="AH203" s="445">
        <v>3</v>
      </c>
      <c r="AI203" s="445">
        <v>4</v>
      </c>
      <c r="AJ203" s="445">
        <v>2</v>
      </c>
      <c r="AK203" s="445">
        <v>3</v>
      </c>
      <c r="AL203" s="2" t="s">
        <v>2260</v>
      </c>
      <c r="AM203" s="2" t="s">
        <v>2261</v>
      </c>
      <c r="AN203" s="2" t="s">
        <v>2377</v>
      </c>
      <c r="AO203" s="445">
        <v>10</v>
      </c>
      <c r="AP203" s="445">
        <v>20</v>
      </c>
      <c r="AQ203" s="445">
        <v>4</v>
      </c>
      <c r="AR203" s="445">
        <v>8</v>
      </c>
      <c r="AS203" s="445">
        <v>3</v>
      </c>
      <c r="AT203" s="445">
        <v>5</v>
      </c>
      <c r="AU203" s="445">
        <v>30</v>
      </c>
      <c r="AV203" s="445" t="str">
        <f t="shared" si="12"/>
        <v>Vàng:30000:MG01:3</v>
      </c>
      <c r="AW203" s="440">
        <v>250</v>
      </c>
      <c r="AX203" s="445">
        <v>12</v>
      </c>
      <c r="AY203" s="445">
        <v>5</v>
      </c>
      <c r="AZ203" s="450">
        <v>197</v>
      </c>
      <c r="BA203" s="31">
        <v>30000</v>
      </c>
      <c r="BB203" s="31">
        <v>3</v>
      </c>
      <c r="BC203" s="31">
        <f t="shared" si="13"/>
        <v>150000</v>
      </c>
    </row>
    <row r="204" spans="1:55" x14ac:dyDescent="0.25">
      <c r="A204" s="28" t="s">
        <v>2199</v>
      </c>
      <c r="B204" s="29">
        <v>202</v>
      </c>
      <c r="C204" s="13">
        <v>7</v>
      </c>
      <c r="D204" s="4">
        <v>19</v>
      </c>
      <c r="E204" s="451">
        <v>9000</v>
      </c>
      <c r="F204" s="445">
        <v>6</v>
      </c>
      <c r="G204" s="13">
        <v>14</v>
      </c>
      <c r="H204" s="13">
        <v>20</v>
      </c>
      <c r="I204" s="455" t="s">
        <v>2218</v>
      </c>
      <c r="J204" s="451">
        <v>1</v>
      </c>
      <c r="K204" s="445">
        <v>50</v>
      </c>
      <c r="L204" s="445">
        <v>50</v>
      </c>
      <c r="M204" s="445">
        <v>5</v>
      </c>
      <c r="N204" s="13">
        <v>45</v>
      </c>
      <c r="O204" s="446">
        <v>5</v>
      </c>
      <c r="P204" s="445">
        <v>95</v>
      </c>
      <c r="Q204" s="321">
        <v>6</v>
      </c>
      <c r="R204" s="23">
        <v>15</v>
      </c>
      <c r="S204" s="445">
        <v>5</v>
      </c>
      <c r="T204" s="445">
        <f t="shared" si="14"/>
        <v>95</v>
      </c>
      <c r="U204" s="447">
        <v>0.5</v>
      </c>
      <c r="V204" s="448">
        <v>2.5499999999999998</v>
      </c>
      <c r="W204" s="449">
        <v>3.3000000000000003</v>
      </c>
      <c r="X204" s="448">
        <v>2.3400000000000003</v>
      </c>
      <c r="Y204" s="448">
        <v>4.76</v>
      </c>
      <c r="Z204" s="448">
        <v>1.6</v>
      </c>
      <c r="AA204" s="448">
        <v>1.1440000000000001</v>
      </c>
      <c r="AB204" s="448">
        <v>0.13999999999999999</v>
      </c>
      <c r="AC204" s="445">
        <v>1010000</v>
      </c>
      <c r="AD204" s="450">
        <v>450</v>
      </c>
      <c r="AE204" s="445">
        <v>18000</v>
      </c>
      <c r="AF204" s="445">
        <v>500</v>
      </c>
      <c r="AG204" s="447">
        <v>1.17</v>
      </c>
      <c r="AH204" s="445">
        <v>3</v>
      </c>
      <c r="AI204" s="445">
        <v>4</v>
      </c>
      <c r="AJ204" s="445">
        <v>2</v>
      </c>
      <c r="AK204" s="445">
        <v>3</v>
      </c>
      <c r="AL204" s="2" t="s">
        <v>2260</v>
      </c>
      <c r="AM204" s="2" t="s">
        <v>2261</v>
      </c>
      <c r="AN204" s="2" t="s">
        <v>2377</v>
      </c>
      <c r="AO204" s="445">
        <v>12</v>
      </c>
      <c r="AP204" s="445">
        <v>24</v>
      </c>
      <c r="AQ204" s="445">
        <v>5</v>
      </c>
      <c r="AR204" s="445">
        <v>10</v>
      </c>
      <c r="AS204" s="445">
        <v>4</v>
      </c>
      <c r="AT204" s="445">
        <v>5</v>
      </c>
      <c r="AU204" s="445">
        <v>30</v>
      </c>
      <c r="AV204" s="445" t="str">
        <f t="shared" si="12"/>
        <v>Vàng:30000:MG01:3</v>
      </c>
      <c r="AW204" s="440">
        <v>250</v>
      </c>
      <c r="AX204" s="445">
        <v>12</v>
      </c>
      <c r="AY204" s="445">
        <v>5</v>
      </c>
      <c r="AZ204" s="450">
        <v>198</v>
      </c>
      <c r="BA204" s="31">
        <v>30000</v>
      </c>
      <c r="BB204" s="31">
        <v>3</v>
      </c>
      <c r="BC204" s="31">
        <f t="shared" si="13"/>
        <v>150000</v>
      </c>
    </row>
    <row r="205" spans="1:55" x14ac:dyDescent="0.25">
      <c r="A205" s="28" t="s">
        <v>2199</v>
      </c>
      <c r="B205" s="428">
        <v>203</v>
      </c>
      <c r="C205" s="13">
        <v>7</v>
      </c>
      <c r="D205" s="4">
        <v>19</v>
      </c>
      <c r="E205" s="451">
        <v>9000</v>
      </c>
      <c r="F205" s="445">
        <v>6</v>
      </c>
      <c r="G205" s="13">
        <v>14</v>
      </c>
      <c r="H205" s="13">
        <v>20</v>
      </c>
      <c r="I205" s="455" t="s">
        <v>2218</v>
      </c>
      <c r="J205" s="451">
        <v>1</v>
      </c>
      <c r="K205" s="445">
        <v>50</v>
      </c>
      <c r="L205" s="445">
        <v>50</v>
      </c>
      <c r="M205" s="445">
        <v>5</v>
      </c>
      <c r="N205" s="13">
        <v>45</v>
      </c>
      <c r="O205" s="446">
        <v>5</v>
      </c>
      <c r="P205" s="445">
        <v>95</v>
      </c>
      <c r="Q205" s="321">
        <v>6</v>
      </c>
      <c r="R205" s="23">
        <v>15</v>
      </c>
      <c r="S205" s="445">
        <v>5</v>
      </c>
      <c r="T205" s="445">
        <f t="shared" si="14"/>
        <v>95</v>
      </c>
      <c r="U205" s="447">
        <v>0.5</v>
      </c>
      <c r="V205" s="448">
        <v>2.5499999999999998</v>
      </c>
      <c r="W205" s="449">
        <v>3.3000000000000003</v>
      </c>
      <c r="X205" s="448">
        <v>2.3400000000000003</v>
      </c>
      <c r="Y205" s="448">
        <v>4.76</v>
      </c>
      <c r="Z205" s="448">
        <v>1.6</v>
      </c>
      <c r="AA205" s="448">
        <v>1.1440000000000001</v>
      </c>
      <c r="AB205" s="448">
        <v>0.13999999999999999</v>
      </c>
      <c r="AC205" s="445">
        <v>1015000</v>
      </c>
      <c r="AD205" s="450">
        <v>450</v>
      </c>
      <c r="AE205" s="445">
        <v>18000</v>
      </c>
      <c r="AF205" s="445">
        <v>500</v>
      </c>
      <c r="AG205" s="447">
        <v>1.17</v>
      </c>
      <c r="AH205" s="445">
        <v>3</v>
      </c>
      <c r="AI205" s="445">
        <v>4</v>
      </c>
      <c r="AJ205" s="445">
        <v>2</v>
      </c>
      <c r="AK205" s="445">
        <v>3</v>
      </c>
      <c r="AL205" s="2" t="s">
        <v>2260</v>
      </c>
      <c r="AM205" s="2" t="s">
        <v>2261</v>
      </c>
      <c r="AN205" s="2" t="s">
        <v>2377</v>
      </c>
      <c r="AO205" s="445">
        <v>12</v>
      </c>
      <c r="AP205" s="445">
        <v>24</v>
      </c>
      <c r="AQ205" s="445">
        <v>5</v>
      </c>
      <c r="AR205" s="445">
        <v>10</v>
      </c>
      <c r="AS205" s="445">
        <v>4</v>
      </c>
      <c r="AT205" s="445">
        <v>5</v>
      </c>
      <c r="AU205" s="445">
        <v>30</v>
      </c>
      <c r="AV205" s="445" t="str">
        <f t="shared" si="12"/>
        <v>Vàng:30000:MG01:3</v>
      </c>
      <c r="AW205" s="440">
        <v>250</v>
      </c>
      <c r="AX205" s="445">
        <v>12</v>
      </c>
      <c r="AY205" s="445">
        <v>5</v>
      </c>
      <c r="AZ205" s="450">
        <v>199</v>
      </c>
      <c r="BA205" s="31">
        <v>30000</v>
      </c>
      <c r="BB205" s="31">
        <v>3</v>
      </c>
      <c r="BC205" s="31">
        <f t="shared" si="13"/>
        <v>150000</v>
      </c>
    </row>
    <row r="206" spans="1:55" x14ac:dyDescent="0.25">
      <c r="A206" s="28" t="s">
        <v>2199</v>
      </c>
      <c r="B206" s="29">
        <v>204</v>
      </c>
      <c r="C206" s="13">
        <v>7</v>
      </c>
      <c r="D206" s="4">
        <v>19</v>
      </c>
      <c r="E206" s="451">
        <v>9000</v>
      </c>
      <c r="F206" s="445">
        <v>6</v>
      </c>
      <c r="G206" s="13">
        <v>14</v>
      </c>
      <c r="H206" s="13">
        <v>20</v>
      </c>
      <c r="I206" s="455" t="s">
        <v>2218</v>
      </c>
      <c r="J206" s="451">
        <v>1</v>
      </c>
      <c r="K206" s="445">
        <v>50</v>
      </c>
      <c r="L206" s="445">
        <v>50</v>
      </c>
      <c r="M206" s="445">
        <v>5</v>
      </c>
      <c r="N206" s="13">
        <v>45</v>
      </c>
      <c r="O206" s="446">
        <v>5</v>
      </c>
      <c r="P206" s="445">
        <v>95</v>
      </c>
      <c r="Q206" s="321">
        <v>6</v>
      </c>
      <c r="R206" s="23">
        <v>15</v>
      </c>
      <c r="S206" s="445">
        <v>5</v>
      </c>
      <c r="T206" s="445">
        <f t="shared" si="14"/>
        <v>95</v>
      </c>
      <c r="U206" s="447">
        <v>0.5</v>
      </c>
      <c r="V206" s="448">
        <v>2.5499999999999998</v>
      </c>
      <c r="W206" s="449">
        <v>3.3000000000000003</v>
      </c>
      <c r="X206" s="448">
        <v>2.3400000000000003</v>
      </c>
      <c r="Y206" s="448">
        <v>4.76</v>
      </c>
      <c r="Z206" s="448">
        <v>1.6</v>
      </c>
      <c r="AA206" s="448">
        <v>1.1440000000000001</v>
      </c>
      <c r="AB206" s="448">
        <v>0.13999999999999999</v>
      </c>
      <c r="AC206" s="445">
        <v>1020000</v>
      </c>
      <c r="AD206" s="450">
        <v>450</v>
      </c>
      <c r="AE206" s="445">
        <v>18000</v>
      </c>
      <c r="AF206" s="445">
        <v>500</v>
      </c>
      <c r="AG206" s="447">
        <v>1.17</v>
      </c>
      <c r="AH206" s="445">
        <v>3</v>
      </c>
      <c r="AI206" s="445">
        <v>4</v>
      </c>
      <c r="AJ206" s="445">
        <v>2</v>
      </c>
      <c r="AK206" s="445">
        <v>3</v>
      </c>
      <c r="AL206" s="2" t="s">
        <v>2260</v>
      </c>
      <c r="AM206" s="2" t="s">
        <v>2261</v>
      </c>
      <c r="AN206" s="2" t="s">
        <v>2377</v>
      </c>
      <c r="AO206" s="445">
        <v>12</v>
      </c>
      <c r="AP206" s="445">
        <v>24</v>
      </c>
      <c r="AQ206" s="445">
        <v>5</v>
      </c>
      <c r="AR206" s="445">
        <v>10</v>
      </c>
      <c r="AS206" s="445">
        <v>4</v>
      </c>
      <c r="AT206" s="445">
        <v>5</v>
      </c>
      <c r="AU206" s="445">
        <v>30</v>
      </c>
      <c r="AV206" s="445" t="str">
        <f t="shared" si="12"/>
        <v>Vàng:30000:MG01:3</v>
      </c>
      <c r="AW206" s="440">
        <v>250</v>
      </c>
      <c r="AX206" s="445">
        <v>12</v>
      </c>
      <c r="AY206" s="445">
        <v>5</v>
      </c>
      <c r="AZ206" s="450">
        <v>200</v>
      </c>
      <c r="BA206" s="31">
        <v>30000</v>
      </c>
      <c r="BB206" s="31">
        <v>3</v>
      </c>
      <c r="BC206" s="31">
        <f t="shared" si="13"/>
        <v>150000</v>
      </c>
    </row>
    <row r="207" spans="1:55" x14ac:dyDescent="0.25">
      <c r="A207" s="28" t="s">
        <v>2199</v>
      </c>
      <c r="B207" s="428">
        <v>205</v>
      </c>
      <c r="C207" s="13">
        <v>7</v>
      </c>
      <c r="D207" s="4">
        <v>19</v>
      </c>
      <c r="E207" s="451">
        <v>9000</v>
      </c>
      <c r="F207" s="445">
        <v>6</v>
      </c>
      <c r="G207" s="13">
        <v>14</v>
      </c>
      <c r="H207" s="13">
        <v>20</v>
      </c>
      <c r="I207" s="455" t="s">
        <v>2218</v>
      </c>
      <c r="J207" s="451">
        <v>1</v>
      </c>
      <c r="K207" s="445">
        <v>50</v>
      </c>
      <c r="L207" s="445">
        <v>50</v>
      </c>
      <c r="M207" s="445">
        <v>5</v>
      </c>
      <c r="N207" s="13">
        <v>45</v>
      </c>
      <c r="O207" s="446">
        <v>5</v>
      </c>
      <c r="P207" s="445">
        <v>95</v>
      </c>
      <c r="Q207" s="321">
        <v>6</v>
      </c>
      <c r="R207" s="23">
        <v>15</v>
      </c>
      <c r="S207" s="445">
        <v>5</v>
      </c>
      <c r="T207" s="445">
        <f t="shared" si="14"/>
        <v>95</v>
      </c>
      <c r="U207" s="447">
        <v>0.5</v>
      </c>
      <c r="V207" s="448">
        <v>2.5499999999999998</v>
      </c>
      <c r="W207" s="449">
        <v>3.3000000000000003</v>
      </c>
      <c r="X207" s="448">
        <v>2.3400000000000003</v>
      </c>
      <c r="Y207" s="448">
        <v>4.76</v>
      </c>
      <c r="Z207" s="448">
        <v>1.6</v>
      </c>
      <c r="AA207" s="448">
        <v>1.1440000000000001</v>
      </c>
      <c r="AB207" s="448">
        <v>0.13999999999999999</v>
      </c>
      <c r="AC207" s="445">
        <v>1025000</v>
      </c>
      <c r="AD207" s="450">
        <v>450</v>
      </c>
      <c r="AE207" s="445">
        <v>18000</v>
      </c>
      <c r="AF207" s="445">
        <v>500</v>
      </c>
      <c r="AG207" s="447">
        <v>1.17</v>
      </c>
      <c r="AH207" s="445">
        <v>3</v>
      </c>
      <c r="AI207" s="445">
        <v>4</v>
      </c>
      <c r="AJ207" s="445">
        <v>2</v>
      </c>
      <c r="AK207" s="445">
        <v>3</v>
      </c>
      <c r="AL207" s="2" t="s">
        <v>2260</v>
      </c>
      <c r="AM207" s="2" t="s">
        <v>2261</v>
      </c>
      <c r="AN207" s="2" t="s">
        <v>2377</v>
      </c>
      <c r="AO207" s="445">
        <v>12</v>
      </c>
      <c r="AP207" s="445">
        <v>24</v>
      </c>
      <c r="AQ207" s="445">
        <v>5</v>
      </c>
      <c r="AR207" s="445">
        <v>10</v>
      </c>
      <c r="AS207" s="445">
        <v>4</v>
      </c>
      <c r="AT207" s="445">
        <v>5</v>
      </c>
      <c r="AU207" s="445">
        <v>30</v>
      </c>
      <c r="AV207" s="445" t="str">
        <f t="shared" si="12"/>
        <v>Vàng:30000:MG01:3</v>
      </c>
      <c r="AW207" s="440">
        <v>250</v>
      </c>
      <c r="AX207" s="445">
        <v>12</v>
      </c>
      <c r="AY207" s="445">
        <v>5</v>
      </c>
      <c r="AZ207" s="450">
        <v>201</v>
      </c>
      <c r="BA207" s="31">
        <v>30000</v>
      </c>
      <c r="BB207" s="31">
        <v>3</v>
      </c>
      <c r="BC207" s="31">
        <f t="shared" si="13"/>
        <v>150000</v>
      </c>
    </row>
    <row r="208" spans="1:55" x14ac:dyDescent="0.25">
      <c r="A208" s="28" t="s">
        <v>2199</v>
      </c>
      <c r="B208" s="29">
        <v>206</v>
      </c>
      <c r="C208" s="13">
        <v>7</v>
      </c>
      <c r="D208" s="4">
        <v>19</v>
      </c>
      <c r="E208" s="451">
        <v>9000</v>
      </c>
      <c r="F208" s="445">
        <v>6</v>
      </c>
      <c r="G208" s="13">
        <v>14</v>
      </c>
      <c r="H208" s="13">
        <v>20</v>
      </c>
      <c r="I208" s="455" t="s">
        <v>2218</v>
      </c>
      <c r="J208" s="451">
        <v>1</v>
      </c>
      <c r="K208" s="445">
        <v>50</v>
      </c>
      <c r="L208" s="445">
        <v>50</v>
      </c>
      <c r="M208" s="445">
        <v>5</v>
      </c>
      <c r="N208" s="13">
        <v>45</v>
      </c>
      <c r="O208" s="446">
        <v>5</v>
      </c>
      <c r="P208" s="445">
        <v>95</v>
      </c>
      <c r="Q208" s="321">
        <v>6</v>
      </c>
      <c r="R208" s="23">
        <v>15</v>
      </c>
      <c r="S208" s="445">
        <v>5</v>
      </c>
      <c r="T208" s="445">
        <f t="shared" si="14"/>
        <v>95</v>
      </c>
      <c r="U208" s="447">
        <v>0.5</v>
      </c>
      <c r="V208" s="448">
        <v>2.5499999999999998</v>
      </c>
      <c r="W208" s="449">
        <v>3.3000000000000003</v>
      </c>
      <c r="X208" s="448">
        <v>2.3400000000000003</v>
      </c>
      <c r="Y208" s="448">
        <v>4.76</v>
      </c>
      <c r="Z208" s="448">
        <v>1.6</v>
      </c>
      <c r="AA208" s="448">
        <v>1.1440000000000001</v>
      </c>
      <c r="AB208" s="448">
        <v>0.13999999999999999</v>
      </c>
      <c r="AC208" s="445">
        <v>1030000</v>
      </c>
      <c r="AD208" s="450">
        <v>450</v>
      </c>
      <c r="AE208" s="445">
        <v>18000</v>
      </c>
      <c r="AF208" s="445">
        <v>500</v>
      </c>
      <c r="AG208" s="447">
        <v>1.17</v>
      </c>
      <c r="AH208" s="445">
        <v>3</v>
      </c>
      <c r="AI208" s="445">
        <v>4</v>
      </c>
      <c r="AJ208" s="445">
        <v>2</v>
      </c>
      <c r="AK208" s="445">
        <v>3</v>
      </c>
      <c r="AL208" s="2" t="s">
        <v>2260</v>
      </c>
      <c r="AM208" s="2" t="s">
        <v>2261</v>
      </c>
      <c r="AN208" s="2" t="s">
        <v>2377</v>
      </c>
      <c r="AO208" s="445">
        <v>12</v>
      </c>
      <c r="AP208" s="445">
        <v>24</v>
      </c>
      <c r="AQ208" s="445">
        <v>5</v>
      </c>
      <c r="AR208" s="445">
        <v>10</v>
      </c>
      <c r="AS208" s="445">
        <v>4</v>
      </c>
      <c r="AT208" s="445">
        <v>5</v>
      </c>
      <c r="AU208" s="445">
        <v>30</v>
      </c>
      <c r="AV208" s="445" t="str">
        <f t="shared" si="12"/>
        <v>Vàng:30000:MG01:3</v>
      </c>
      <c r="AW208" s="440">
        <v>250</v>
      </c>
      <c r="AX208" s="445">
        <v>12</v>
      </c>
      <c r="AY208" s="445">
        <v>5</v>
      </c>
      <c r="AZ208" s="450">
        <v>202</v>
      </c>
      <c r="BA208" s="31">
        <v>30000</v>
      </c>
      <c r="BB208" s="31">
        <v>3</v>
      </c>
      <c r="BC208" s="31">
        <f t="shared" si="13"/>
        <v>150000</v>
      </c>
    </row>
    <row r="209" spans="1:55" x14ac:dyDescent="0.25">
      <c r="A209" s="28" t="s">
        <v>2199</v>
      </c>
      <c r="B209" s="428">
        <v>207</v>
      </c>
      <c r="C209" s="13">
        <v>7</v>
      </c>
      <c r="D209" s="4">
        <v>19</v>
      </c>
      <c r="E209" s="451">
        <v>9000</v>
      </c>
      <c r="F209" s="445">
        <v>6</v>
      </c>
      <c r="G209" s="13">
        <v>14</v>
      </c>
      <c r="H209" s="13">
        <v>20</v>
      </c>
      <c r="I209" s="455" t="s">
        <v>2218</v>
      </c>
      <c r="J209" s="451">
        <v>1</v>
      </c>
      <c r="K209" s="445">
        <v>50</v>
      </c>
      <c r="L209" s="445">
        <v>50</v>
      </c>
      <c r="M209" s="445">
        <v>5</v>
      </c>
      <c r="N209" s="13">
        <v>45</v>
      </c>
      <c r="O209" s="446">
        <v>5</v>
      </c>
      <c r="P209" s="445">
        <v>95</v>
      </c>
      <c r="Q209" s="321">
        <v>6</v>
      </c>
      <c r="R209" s="23">
        <v>15</v>
      </c>
      <c r="S209" s="445">
        <v>5</v>
      </c>
      <c r="T209" s="445">
        <f t="shared" si="14"/>
        <v>95</v>
      </c>
      <c r="U209" s="447">
        <v>0.5</v>
      </c>
      <c r="V209" s="448">
        <v>2.5499999999999998</v>
      </c>
      <c r="W209" s="449">
        <v>3.3000000000000003</v>
      </c>
      <c r="X209" s="448">
        <v>2.3400000000000003</v>
      </c>
      <c r="Y209" s="448">
        <v>4.76</v>
      </c>
      <c r="Z209" s="448">
        <v>1.6</v>
      </c>
      <c r="AA209" s="448">
        <v>1.1440000000000001</v>
      </c>
      <c r="AB209" s="448">
        <v>0.13999999999999999</v>
      </c>
      <c r="AC209" s="445">
        <v>1035000</v>
      </c>
      <c r="AD209" s="450">
        <v>450</v>
      </c>
      <c r="AE209" s="445">
        <v>18000</v>
      </c>
      <c r="AF209" s="445">
        <v>500</v>
      </c>
      <c r="AG209" s="447">
        <v>1.17</v>
      </c>
      <c r="AH209" s="445">
        <v>3</v>
      </c>
      <c r="AI209" s="445">
        <v>4</v>
      </c>
      <c r="AJ209" s="445">
        <v>2</v>
      </c>
      <c r="AK209" s="445">
        <v>3</v>
      </c>
      <c r="AL209" s="2" t="s">
        <v>2260</v>
      </c>
      <c r="AM209" s="2" t="s">
        <v>2261</v>
      </c>
      <c r="AN209" s="2" t="s">
        <v>2377</v>
      </c>
      <c r="AO209" s="445">
        <v>12</v>
      </c>
      <c r="AP209" s="445">
        <v>24</v>
      </c>
      <c r="AQ209" s="445">
        <v>5</v>
      </c>
      <c r="AR209" s="445">
        <v>10</v>
      </c>
      <c r="AS209" s="445">
        <v>4</v>
      </c>
      <c r="AT209" s="445">
        <v>5</v>
      </c>
      <c r="AU209" s="445">
        <v>30</v>
      </c>
      <c r="AV209" s="445" t="str">
        <f t="shared" si="12"/>
        <v>Vàng:30000:MG01:3</v>
      </c>
      <c r="AW209" s="440">
        <v>250</v>
      </c>
      <c r="AX209" s="445">
        <v>12</v>
      </c>
      <c r="AY209" s="445">
        <v>5</v>
      </c>
      <c r="AZ209" s="450">
        <v>203</v>
      </c>
      <c r="BA209" s="31">
        <v>30000</v>
      </c>
      <c r="BB209" s="31">
        <v>3</v>
      </c>
      <c r="BC209" s="31">
        <f t="shared" si="13"/>
        <v>150000</v>
      </c>
    </row>
    <row r="210" spans="1:55" x14ac:dyDescent="0.25">
      <c r="A210" s="28" t="s">
        <v>2199</v>
      </c>
      <c r="B210" s="29">
        <v>208</v>
      </c>
      <c r="C210" s="13">
        <v>7</v>
      </c>
      <c r="D210" s="4">
        <v>19</v>
      </c>
      <c r="E210" s="451">
        <v>9000</v>
      </c>
      <c r="F210" s="445">
        <v>6</v>
      </c>
      <c r="G210" s="13">
        <v>14</v>
      </c>
      <c r="H210" s="13">
        <v>20</v>
      </c>
      <c r="I210" s="455" t="s">
        <v>2218</v>
      </c>
      <c r="J210" s="451">
        <v>1</v>
      </c>
      <c r="K210" s="445">
        <v>50</v>
      </c>
      <c r="L210" s="445">
        <v>50</v>
      </c>
      <c r="M210" s="445">
        <v>5</v>
      </c>
      <c r="N210" s="13">
        <v>45</v>
      </c>
      <c r="O210" s="446">
        <v>5</v>
      </c>
      <c r="P210" s="445">
        <v>95</v>
      </c>
      <c r="Q210" s="321">
        <v>6</v>
      </c>
      <c r="R210" s="23">
        <v>15</v>
      </c>
      <c r="S210" s="445">
        <v>5</v>
      </c>
      <c r="T210" s="445">
        <f t="shared" si="14"/>
        <v>95</v>
      </c>
      <c r="U210" s="447">
        <v>0.5</v>
      </c>
      <c r="V210" s="448">
        <v>2.5499999999999998</v>
      </c>
      <c r="W210" s="449">
        <v>3.3000000000000003</v>
      </c>
      <c r="X210" s="448">
        <v>2.3400000000000003</v>
      </c>
      <c r="Y210" s="448">
        <v>4.76</v>
      </c>
      <c r="Z210" s="448">
        <v>1.6</v>
      </c>
      <c r="AA210" s="448">
        <v>1.1440000000000001</v>
      </c>
      <c r="AB210" s="448">
        <v>0.13999999999999999</v>
      </c>
      <c r="AC210" s="445">
        <v>1040000</v>
      </c>
      <c r="AD210" s="450">
        <v>450</v>
      </c>
      <c r="AE210" s="445">
        <v>18000</v>
      </c>
      <c r="AF210" s="445">
        <v>500</v>
      </c>
      <c r="AG210" s="447">
        <v>1.17</v>
      </c>
      <c r="AH210" s="445">
        <v>3</v>
      </c>
      <c r="AI210" s="445">
        <v>4</v>
      </c>
      <c r="AJ210" s="445">
        <v>2</v>
      </c>
      <c r="AK210" s="445">
        <v>3</v>
      </c>
      <c r="AL210" s="2" t="s">
        <v>2260</v>
      </c>
      <c r="AM210" s="2" t="s">
        <v>2261</v>
      </c>
      <c r="AN210" s="2" t="s">
        <v>2377</v>
      </c>
      <c r="AO210" s="445">
        <v>12</v>
      </c>
      <c r="AP210" s="445">
        <v>24</v>
      </c>
      <c r="AQ210" s="445">
        <v>5</v>
      </c>
      <c r="AR210" s="445">
        <v>10</v>
      </c>
      <c r="AS210" s="445">
        <v>4</v>
      </c>
      <c r="AT210" s="445">
        <v>5</v>
      </c>
      <c r="AU210" s="445">
        <v>30</v>
      </c>
      <c r="AV210" s="445" t="str">
        <f t="shared" si="12"/>
        <v>Vàng:30000:MG01:3</v>
      </c>
      <c r="AW210" s="440">
        <v>250</v>
      </c>
      <c r="AX210" s="445">
        <v>12</v>
      </c>
      <c r="AY210" s="445">
        <v>5</v>
      </c>
      <c r="AZ210" s="450">
        <v>204</v>
      </c>
      <c r="BA210" s="31">
        <v>30000</v>
      </c>
      <c r="BB210" s="31">
        <v>3</v>
      </c>
      <c r="BC210" s="31">
        <f t="shared" si="13"/>
        <v>150000</v>
      </c>
    </row>
    <row r="211" spans="1:55" x14ac:dyDescent="0.25">
      <c r="A211" s="28" t="s">
        <v>2199</v>
      </c>
      <c r="B211" s="428">
        <v>209</v>
      </c>
      <c r="C211" s="13">
        <v>7</v>
      </c>
      <c r="D211" s="4">
        <v>19</v>
      </c>
      <c r="E211" s="451">
        <v>9000</v>
      </c>
      <c r="F211" s="445">
        <v>6</v>
      </c>
      <c r="G211" s="13">
        <v>14</v>
      </c>
      <c r="H211" s="13">
        <v>20</v>
      </c>
      <c r="I211" s="455" t="s">
        <v>2218</v>
      </c>
      <c r="J211" s="451">
        <v>1</v>
      </c>
      <c r="K211" s="445">
        <v>50</v>
      </c>
      <c r="L211" s="445">
        <v>50</v>
      </c>
      <c r="M211" s="445">
        <v>5</v>
      </c>
      <c r="N211" s="13">
        <v>45</v>
      </c>
      <c r="O211" s="446">
        <v>5</v>
      </c>
      <c r="P211" s="445">
        <v>95</v>
      </c>
      <c r="Q211" s="321">
        <v>6</v>
      </c>
      <c r="R211" s="23">
        <v>15</v>
      </c>
      <c r="S211" s="445">
        <v>5</v>
      </c>
      <c r="T211" s="445">
        <f t="shared" si="14"/>
        <v>95</v>
      </c>
      <c r="U211" s="447">
        <v>0.5</v>
      </c>
      <c r="V211" s="448">
        <v>2.5499999999999998</v>
      </c>
      <c r="W211" s="449">
        <v>3.3000000000000003</v>
      </c>
      <c r="X211" s="448">
        <v>2.3400000000000003</v>
      </c>
      <c r="Y211" s="448">
        <v>4.76</v>
      </c>
      <c r="Z211" s="448">
        <v>1.6</v>
      </c>
      <c r="AA211" s="448">
        <v>1.1440000000000001</v>
      </c>
      <c r="AB211" s="448">
        <v>0.13999999999999999</v>
      </c>
      <c r="AC211" s="445">
        <v>1045000</v>
      </c>
      <c r="AD211" s="450">
        <v>450</v>
      </c>
      <c r="AE211" s="445">
        <v>18000</v>
      </c>
      <c r="AF211" s="445">
        <v>500</v>
      </c>
      <c r="AG211" s="447">
        <v>1.17</v>
      </c>
      <c r="AH211" s="445">
        <v>3</v>
      </c>
      <c r="AI211" s="445">
        <v>4</v>
      </c>
      <c r="AJ211" s="445">
        <v>2</v>
      </c>
      <c r="AK211" s="445">
        <v>3</v>
      </c>
      <c r="AL211" s="2" t="s">
        <v>2260</v>
      </c>
      <c r="AM211" s="2" t="s">
        <v>2261</v>
      </c>
      <c r="AN211" s="2" t="s">
        <v>2377</v>
      </c>
      <c r="AO211" s="445">
        <v>12</v>
      </c>
      <c r="AP211" s="445">
        <v>24</v>
      </c>
      <c r="AQ211" s="445">
        <v>5</v>
      </c>
      <c r="AR211" s="445">
        <v>10</v>
      </c>
      <c r="AS211" s="445">
        <v>4</v>
      </c>
      <c r="AT211" s="445">
        <v>5</v>
      </c>
      <c r="AU211" s="445">
        <v>30</v>
      </c>
      <c r="AV211" s="445" t="str">
        <f t="shared" si="12"/>
        <v>Vàng:30000:MG01:3</v>
      </c>
      <c r="AW211" s="440">
        <v>250</v>
      </c>
      <c r="AX211" s="445">
        <v>12</v>
      </c>
      <c r="AY211" s="445">
        <v>5</v>
      </c>
      <c r="AZ211" s="450">
        <v>205</v>
      </c>
      <c r="BA211" s="31">
        <v>30000</v>
      </c>
      <c r="BB211" s="31">
        <v>3</v>
      </c>
      <c r="BC211" s="31">
        <f t="shared" si="13"/>
        <v>150000</v>
      </c>
    </row>
    <row r="212" spans="1:55" x14ac:dyDescent="0.25">
      <c r="A212" s="28" t="s">
        <v>2199</v>
      </c>
      <c r="B212" s="29">
        <v>210</v>
      </c>
      <c r="C212" s="13">
        <v>7</v>
      </c>
      <c r="D212" s="4">
        <v>19</v>
      </c>
      <c r="E212" s="451">
        <v>9000</v>
      </c>
      <c r="F212" s="445">
        <v>6</v>
      </c>
      <c r="G212" s="13">
        <v>14</v>
      </c>
      <c r="H212" s="13">
        <v>20</v>
      </c>
      <c r="I212" s="455" t="s">
        <v>2218</v>
      </c>
      <c r="J212" s="451">
        <v>1</v>
      </c>
      <c r="K212" s="445">
        <v>50</v>
      </c>
      <c r="L212" s="445">
        <v>50</v>
      </c>
      <c r="M212" s="445">
        <v>5</v>
      </c>
      <c r="N212" s="13">
        <v>45</v>
      </c>
      <c r="O212" s="446">
        <v>5</v>
      </c>
      <c r="P212" s="445">
        <v>95</v>
      </c>
      <c r="Q212" s="321">
        <v>6</v>
      </c>
      <c r="R212" s="23">
        <v>15</v>
      </c>
      <c r="S212" s="445">
        <v>5</v>
      </c>
      <c r="T212" s="445">
        <f t="shared" si="14"/>
        <v>95</v>
      </c>
      <c r="U212" s="447">
        <v>0.5</v>
      </c>
      <c r="V212" s="448">
        <v>2.5499999999999998</v>
      </c>
      <c r="W212" s="449">
        <v>3.3000000000000003</v>
      </c>
      <c r="X212" s="448">
        <v>2.3400000000000003</v>
      </c>
      <c r="Y212" s="448">
        <v>4.76</v>
      </c>
      <c r="Z212" s="448">
        <v>1.6</v>
      </c>
      <c r="AA212" s="448">
        <v>1.1440000000000001</v>
      </c>
      <c r="AB212" s="448">
        <v>0.13999999999999999</v>
      </c>
      <c r="AC212" s="445">
        <v>1050000</v>
      </c>
      <c r="AD212" s="450">
        <v>450</v>
      </c>
      <c r="AE212" s="445">
        <v>18000</v>
      </c>
      <c r="AF212" s="445">
        <v>500</v>
      </c>
      <c r="AG212" s="447">
        <v>1.17</v>
      </c>
      <c r="AH212" s="445">
        <v>3</v>
      </c>
      <c r="AI212" s="445">
        <v>4</v>
      </c>
      <c r="AJ212" s="445">
        <v>2</v>
      </c>
      <c r="AK212" s="445">
        <v>3</v>
      </c>
      <c r="AL212" s="2" t="s">
        <v>2260</v>
      </c>
      <c r="AM212" s="2" t="s">
        <v>2261</v>
      </c>
      <c r="AN212" s="2" t="s">
        <v>2377</v>
      </c>
      <c r="AO212" s="445">
        <v>12</v>
      </c>
      <c r="AP212" s="445">
        <v>24</v>
      </c>
      <c r="AQ212" s="445">
        <v>5</v>
      </c>
      <c r="AR212" s="445">
        <v>10</v>
      </c>
      <c r="AS212" s="445">
        <v>4</v>
      </c>
      <c r="AT212" s="445">
        <v>5</v>
      </c>
      <c r="AU212" s="445">
        <v>30</v>
      </c>
      <c r="AV212" s="445" t="str">
        <f t="shared" si="12"/>
        <v>Vàng:30000:MG01:3</v>
      </c>
      <c r="AW212" s="440">
        <v>250</v>
      </c>
      <c r="AX212" s="445">
        <v>12</v>
      </c>
      <c r="AY212" s="445">
        <v>5</v>
      </c>
      <c r="AZ212" s="450">
        <v>206</v>
      </c>
      <c r="BA212" s="31">
        <v>30000</v>
      </c>
      <c r="BB212" s="31">
        <v>3</v>
      </c>
      <c r="BC212" s="31">
        <f t="shared" si="13"/>
        <v>150000</v>
      </c>
    </row>
    <row r="213" spans="1:55" x14ac:dyDescent="0.25">
      <c r="A213" s="28" t="s">
        <v>2199</v>
      </c>
      <c r="B213" s="428">
        <v>211</v>
      </c>
      <c r="C213" s="13">
        <v>7</v>
      </c>
      <c r="D213" s="4">
        <v>19</v>
      </c>
      <c r="E213" s="451">
        <v>9000</v>
      </c>
      <c r="F213" s="445">
        <v>6</v>
      </c>
      <c r="G213" s="13">
        <v>14</v>
      </c>
      <c r="H213" s="13">
        <v>20</v>
      </c>
      <c r="I213" s="455" t="s">
        <v>2218</v>
      </c>
      <c r="J213" s="451">
        <v>1</v>
      </c>
      <c r="K213" s="445">
        <v>50</v>
      </c>
      <c r="L213" s="445">
        <v>50</v>
      </c>
      <c r="M213" s="445">
        <v>5</v>
      </c>
      <c r="N213" s="13">
        <v>45</v>
      </c>
      <c r="O213" s="446">
        <v>5</v>
      </c>
      <c r="P213" s="445">
        <v>95</v>
      </c>
      <c r="Q213" s="321">
        <v>6</v>
      </c>
      <c r="R213" s="23">
        <v>15</v>
      </c>
      <c r="S213" s="445">
        <v>5</v>
      </c>
      <c r="T213" s="445">
        <f t="shared" si="14"/>
        <v>95</v>
      </c>
      <c r="U213" s="447">
        <v>0.5</v>
      </c>
      <c r="V213" s="448">
        <v>2.5499999999999998</v>
      </c>
      <c r="W213" s="449">
        <v>3.3000000000000003</v>
      </c>
      <c r="X213" s="448">
        <v>2.3400000000000003</v>
      </c>
      <c r="Y213" s="448">
        <v>4.76</v>
      </c>
      <c r="Z213" s="448">
        <v>1.6</v>
      </c>
      <c r="AA213" s="448">
        <v>1.1440000000000001</v>
      </c>
      <c r="AB213" s="448">
        <v>0.13999999999999999</v>
      </c>
      <c r="AC213" s="445">
        <v>1055000</v>
      </c>
      <c r="AD213" s="450">
        <v>450</v>
      </c>
      <c r="AE213" s="445">
        <v>18000</v>
      </c>
      <c r="AF213" s="445">
        <v>500</v>
      </c>
      <c r="AG213" s="447">
        <v>1.17</v>
      </c>
      <c r="AH213" s="445">
        <v>3</v>
      </c>
      <c r="AI213" s="445">
        <v>4</v>
      </c>
      <c r="AJ213" s="445">
        <v>2</v>
      </c>
      <c r="AK213" s="445">
        <v>3</v>
      </c>
      <c r="AL213" s="2" t="s">
        <v>2260</v>
      </c>
      <c r="AM213" s="2" t="s">
        <v>2261</v>
      </c>
      <c r="AN213" s="2" t="s">
        <v>2377</v>
      </c>
      <c r="AO213" s="445">
        <v>12</v>
      </c>
      <c r="AP213" s="445">
        <v>24</v>
      </c>
      <c r="AQ213" s="445">
        <v>5</v>
      </c>
      <c r="AR213" s="445">
        <v>10</v>
      </c>
      <c r="AS213" s="445">
        <v>4</v>
      </c>
      <c r="AT213" s="445">
        <v>5</v>
      </c>
      <c r="AU213" s="445">
        <v>30</v>
      </c>
      <c r="AV213" s="445" t="str">
        <f t="shared" si="12"/>
        <v>Vàng:30000:MG01:3</v>
      </c>
      <c r="AW213" s="440">
        <v>250</v>
      </c>
      <c r="AX213" s="445">
        <v>12</v>
      </c>
      <c r="AY213" s="445">
        <v>5</v>
      </c>
      <c r="AZ213" s="450">
        <v>207</v>
      </c>
      <c r="BA213" s="31">
        <v>30000</v>
      </c>
      <c r="BB213" s="31">
        <v>3</v>
      </c>
      <c r="BC213" s="31">
        <f t="shared" si="13"/>
        <v>150000</v>
      </c>
    </row>
    <row r="214" spans="1:55" x14ac:dyDescent="0.25">
      <c r="A214" s="28" t="s">
        <v>2199</v>
      </c>
      <c r="B214" s="29">
        <v>212</v>
      </c>
      <c r="C214" s="13">
        <v>7</v>
      </c>
      <c r="D214" s="4">
        <v>19</v>
      </c>
      <c r="E214" s="451">
        <v>9000</v>
      </c>
      <c r="F214" s="445">
        <v>6</v>
      </c>
      <c r="G214" s="13">
        <v>14</v>
      </c>
      <c r="H214" s="13">
        <v>20</v>
      </c>
      <c r="I214" s="455" t="s">
        <v>2218</v>
      </c>
      <c r="J214" s="451">
        <v>1</v>
      </c>
      <c r="K214" s="445">
        <v>50</v>
      </c>
      <c r="L214" s="445">
        <v>50</v>
      </c>
      <c r="M214" s="445">
        <v>5</v>
      </c>
      <c r="N214" s="13">
        <v>45</v>
      </c>
      <c r="O214" s="446">
        <v>5</v>
      </c>
      <c r="P214" s="445">
        <v>95</v>
      </c>
      <c r="Q214" s="321">
        <v>6</v>
      </c>
      <c r="R214" s="23">
        <v>15</v>
      </c>
      <c r="S214" s="445">
        <v>5</v>
      </c>
      <c r="T214" s="445">
        <f t="shared" si="14"/>
        <v>95</v>
      </c>
      <c r="U214" s="447">
        <v>0.5</v>
      </c>
      <c r="V214" s="448">
        <v>2.5499999999999998</v>
      </c>
      <c r="W214" s="449">
        <v>3.3000000000000003</v>
      </c>
      <c r="X214" s="448">
        <v>2.3400000000000003</v>
      </c>
      <c r="Y214" s="448">
        <v>4.76</v>
      </c>
      <c r="Z214" s="448">
        <v>1.6</v>
      </c>
      <c r="AA214" s="448">
        <v>1.1440000000000001</v>
      </c>
      <c r="AB214" s="448">
        <v>0.13999999999999999</v>
      </c>
      <c r="AC214" s="445">
        <v>1060000</v>
      </c>
      <c r="AD214" s="450">
        <v>450</v>
      </c>
      <c r="AE214" s="445">
        <v>18000</v>
      </c>
      <c r="AF214" s="445">
        <v>500</v>
      </c>
      <c r="AG214" s="447">
        <v>1.17</v>
      </c>
      <c r="AH214" s="445">
        <v>3</v>
      </c>
      <c r="AI214" s="445">
        <v>4</v>
      </c>
      <c r="AJ214" s="445">
        <v>2</v>
      </c>
      <c r="AK214" s="445">
        <v>3</v>
      </c>
      <c r="AL214" s="2" t="s">
        <v>2260</v>
      </c>
      <c r="AM214" s="2" t="s">
        <v>2261</v>
      </c>
      <c r="AN214" s="2" t="s">
        <v>2377</v>
      </c>
      <c r="AO214" s="445">
        <v>12</v>
      </c>
      <c r="AP214" s="445">
        <v>24</v>
      </c>
      <c r="AQ214" s="445">
        <v>5</v>
      </c>
      <c r="AR214" s="445">
        <v>10</v>
      </c>
      <c r="AS214" s="445">
        <v>4</v>
      </c>
      <c r="AT214" s="445">
        <v>5</v>
      </c>
      <c r="AU214" s="445">
        <v>30</v>
      </c>
      <c r="AV214" s="445" t="str">
        <f t="shared" si="12"/>
        <v>Vàng:30000:MG01:3</v>
      </c>
      <c r="AW214" s="440">
        <v>250</v>
      </c>
      <c r="AX214" s="445">
        <v>12</v>
      </c>
      <c r="AY214" s="445">
        <v>5</v>
      </c>
      <c r="AZ214" s="450">
        <v>208</v>
      </c>
      <c r="BA214" s="31">
        <v>30000</v>
      </c>
      <c r="BB214" s="31">
        <v>3</v>
      </c>
      <c r="BC214" s="31">
        <f t="shared" si="13"/>
        <v>150000</v>
      </c>
    </row>
    <row r="215" spans="1:55" x14ac:dyDescent="0.25">
      <c r="A215" s="28" t="s">
        <v>2199</v>
      </c>
      <c r="B215" s="428">
        <v>213</v>
      </c>
      <c r="C215" s="13">
        <v>7</v>
      </c>
      <c r="D215" s="4">
        <v>19</v>
      </c>
      <c r="E215" s="451">
        <v>9000</v>
      </c>
      <c r="F215" s="445">
        <v>6</v>
      </c>
      <c r="G215" s="13">
        <v>14</v>
      </c>
      <c r="H215" s="13">
        <v>20</v>
      </c>
      <c r="I215" s="455" t="s">
        <v>2218</v>
      </c>
      <c r="J215" s="451">
        <v>1</v>
      </c>
      <c r="K215" s="445">
        <v>50</v>
      </c>
      <c r="L215" s="445">
        <v>50</v>
      </c>
      <c r="M215" s="445">
        <v>5</v>
      </c>
      <c r="N215" s="13">
        <v>45</v>
      </c>
      <c r="O215" s="446">
        <v>5</v>
      </c>
      <c r="P215" s="445">
        <v>95</v>
      </c>
      <c r="Q215" s="321">
        <v>6</v>
      </c>
      <c r="R215" s="23">
        <v>15</v>
      </c>
      <c r="S215" s="445">
        <v>5</v>
      </c>
      <c r="T215" s="445">
        <f t="shared" si="14"/>
        <v>95</v>
      </c>
      <c r="U215" s="447">
        <v>0.5</v>
      </c>
      <c r="V215" s="448">
        <v>2.5499999999999998</v>
      </c>
      <c r="W215" s="449">
        <v>3.3000000000000003</v>
      </c>
      <c r="X215" s="448">
        <v>2.3400000000000003</v>
      </c>
      <c r="Y215" s="448">
        <v>4.76</v>
      </c>
      <c r="Z215" s="448">
        <v>1.6</v>
      </c>
      <c r="AA215" s="448">
        <v>1.1440000000000001</v>
      </c>
      <c r="AB215" s="448">
        <v>0.13999999999999999</v>
      </c>
      <c r="AC215" s="445">
        <v>1065000</v>
      </c>
      <c r="AD215" s="450">
        <v>450</v>
      </c>
      <c r="AE215" s="445">
        <v>18000</v>
      </c>
      <c r="AF215" s="445">
        <v>500</v>
      </c>
      <c r="AG215" s="447">
        <v>1.17</v>
      </c>
      <c r="AH215" s="445">
        <v>3</v>
      </c>
      <c r="AI215" s="445">
        <v>4</v>
      </c>
      <c r="AJ215" s="445">
        <v>2</v>
      </c>
      <c r="AK215" s="445">
        <v>3</v>
      </c>
      <c r="AL215" s="2" t="s">
        <v>2260</v>
      </c>
      <c r="AM215" s="2" t="s">
        <v>2261</v>
      </c>
      <c r="AN215" s="2" t="s">
        <v>2377</v>
      </c>
      <c r="AO215" s="445">
        <v>12</v>
      </c>
      <c r="AP215" s="445">
        <v>24</v>
      </c>
      <c r="AQ215" s="445">
        <v>5</v>
      </c>
      <c r="AR215" s="445">
        <v>10</v>
      </c>
      <c r="AS215" s="445">
        <v>4</v>
      </c>
      <c r="AT215" s="445">
        <v>5</v>
      </c>
      <c r="AU215" s="445">
        <v>30</v>
      </c>
      <c r="AV215" s="445" t="str">
        <f t="shared" si="12"/>
        <v>Vàng:30000:MG01:3</v>
      </c>
      <c r="AW215" s="440">
        <v>250</v>
      </c>
      <c r="AX215" s="445">
        <v>12</v>
      </c>
      <c r="AY215" s="445">
        <v>5</v>
      </c>
      <c r="AZ215" s="450">
        <v>209</v>
      </c>
      <c r="BA215" s="31">
        <v>30000</v>
      </c>
      <c r="BB215" s="31">
        <v>3</v>
      </c>
      <c r="BC215" s="31">
        <f t="shared" si="13"/>
        <v>150000</v>
      </c>
    </row>
    <row r="216" spans="1:55" x14ac:dyDescent="0.25">
      <c r="A216" s="28" t="s">
        <v>2199</v>
      </c>
      <c r="B216" s="29">
        <v>214</v>
      </c>
      <c r="C216" s="13">
        <v>7</v>
      </c>
      <c r="D216" s="4">
        <v>19</v>
      </c>
      <c r="E216" s="451">
        <v>9000</v>
      </c>
      <c r="F216" s="445">
        <v>6</v>
      </c>
      <c r="G216" s="13">
        <v>14</v>
      </c>
      <c r="H216" s="13">
        <v>20</v>
      </c>
      <c r="I216" s="455" t="s">
        <v>2218</v>
      </c>
      <c r="J216" s="451">
        <v>1</v>
      </c>
      <c r="K216" s="445">
        <v>50</v>
      </c>
      <c r="L216" s="445">
        <v>50</v>
      </c>
      <c r="M216" s="445">
        <v>5</v>
      </c>
      <c r="N216" s="13">
        <v>45</v>
      </c>
      <c r="O216" s="446">
        <v>5</v>
      </c>
      <c r="P216" s="445">
        <v>95</v>
      </c>
      <c r="Q216" s="321">
        <v>6</v>
      </c>
      <c r="R216" s="23">
        <v>15</v>
      </c>
      <c r="S216" s="445">
        <v>5</v>
      </c>
      <c r="T216" s="445">
        <f t="shared" si="14"/>
        <v>95</v>
      </c>
      <c r="U216" s="447">
        <v>0.5</v>
      </c>
      <c r="V216" s="448">
        <v>2.5499999999999998</v>
      </c>
      <c r="W216" s="449">
        <v>3.3000000000000003</v>
      </c>
      <c r="X216" s="448">
        <v>2.3400000000000003</v>
      </c>
      <c r="Y216" s="448">
        <v>4.76</v>
      </c>
      <c r="Z216" s="448">
        <v>1.6</v>
      </c>
      <c r="AA216" s="448">
        <v>1.1440000000000001</v>
      </c>
      <c r="AB216" s="448">
        <v>0.13999999999999999</v>
      </c>
      <c r="AC216" s="445">
        <v>1070000</v>
      </c>
      <c r="AD216" s="450">
        <v>450</v>
      </c>
      <c r="AE216" s="445">
        <v>18000</v>
      </c>
      <c r="AF216" s="445">
        <v>500</v>
      </c>
      <c r="AG216" s="447">
        <v>1.17</v>
      </c>
      <c r="AH216" s="445">
        <v>3</v>
      </c>
      <c r="AI216" s="445">
        <v>4</v>
      </c>
      <c r="AJ216" s="445">
        <v>2</v>
      </c>
      <c r="AK216" s="445">
        <v>3</v>
      </c>
      <c r="AL216" s="2" t="s">
        <v>2260</v>
      </c>
      <c r="AM216" s="2" t="s">
        <v>2261</v>
      </c>
      <c r="AN216" s="2" t="s">
        <v>2377</v>
      </c>
      <c r="AO216" s="445">
        <v>12</v>
      </c>
      <c r="AP216" s="445">
        <v>24</v>
      </c>
      <c r="AQ216" s="445">
        <v>5</v>
      </c>
      <c r="AR216" s="445">
        <v>10</v>
      </c>
      <c r="AS216" s="445">
        <v>4</v>
      </c>
      <c r="AT216" s="445">
        <v>5</v>
      </c>
      <c r="AU216" s="445">
        <v>30</v>
      </c>
      <c r="AV216" s="445" t="str">
        <f t="shared" si="12"/>
        <v>Vàng:30000:MG01:3</v>
      </c>
      <c r="AW216" s="440">
        <v>250</v>
      </c>
      <c r="AX216" s="445">
        <v>12</v>
      </c>
      <c r="AY216" s="445">
        <v>5</v>
      </c>
      <c r="AZ216" s="450">
        <v>210</v>
      </c>
      <c r="BA216" s="31">
        <v>30000</v>
      </c>
      <c r="BB216" s="31">
        <v>3</v>
      </c>
      <c r="BC216" s="31">
        <f t="shared" si="13"/>
        <v>150000</v>
      </c>
    </row>
    <row r="217" spans="1:55" x14ac:dyDescent="0.25">
      <c r="A217" s="28" t="s">
        <v>2199</v>
      </c>
      <c r="B217" s="428">
        <v>215</v>
      </c>
      <c r="C217" s="13">
        <v>7</v>
      </c>
      <c r="D217" s="4">
        <v>19</v>
      </c>
      <c r="E217" s="451">
        <v>9000</v>
      </c>
      <c r="F217" s="445">
        <v>6</v>
      </c>
      <c r="G217" s="13">
        <v>14</v>
      </c>
      <c r="H217" s="13">
        <v>20</v>
      </c>
      <c r="I217" s="455" t="s">
        <v>2218</v>
      </c>
      <c r="J217" s="451">
        <v>1</v>
      </c>
      <c r="K217" s="445">
        <v>50</v>
      </c>
      <c r="L217" s="445">
        <v>50</v>
      </c>
      <c r="M217" s="445">
        <v>5</v>
      </c>
      <c r="N217" s="13">
        <v>45</v>
      </c>
      <c r="O217" s="446">
        <v>5</v>
      </c>
      <c r="P217" s="445">
        <v>95</v>
      </c>
      <c r="Q217" s="321">
        <v>6</v>
      </c>
      <c r="R217" s="23">
        <v>15</v>
      </c>
      <c r="S217" s="445">
        <v>5</v>
      </c>
      <c r="T217" s="445">
        <f t="shared" si="14"/>
        <v>95</v>
      </c>
      <c r="U217" s="447">
        <v>0.5</v>
      </c>
      <c r="V217" s="448">
        <v>2.5499999999999998</v>
      </c>
      <c r="W217" s="449">
        <v>3.3000000000000003</v>
      </c>
      <c r="X217" s="448">
        <v>2.3400000000000003</v>
      </c>
      <c r="Y217" s="448">
        <v>4.76</v>
      </c>
      <c r="Z217" s="448">
        <v>1.6</v>
      </c>
      <c r="AA217" s="448">
        <v>1.1440000000000001</v>
      </c>
      <c r="AB217" s="448">
        <v>0.13999999999999999</v>
      </c>
      <c r="AC217" s="445">
        <v>1075000</v>
      </c>
      <c r="AD217" s="450">
        <v>450</v>
      </c>
      <c r="AE217" s="445">
        <v>18000</v>
      </c>
      <c r="AF217" s="445">
        <v>500</v>
      </c>
      <c r="AG217" s="447">
        <v>1.17</v>
      </c>
      <c r="AH217" s="445">
        <v>3</v>
      </c>
      <c r="AI217" s="445">
        <v>4</v>
      </c>
      <c r="AJ217" s="445">
        <v>2</v>
      </c>
      <c r="AK217" s="445">
        <v>3</v>
      </c>
      <c r="AL217" s="2" t="s">
        <v>2260</v>
      </c>
      <c r="AM217" s="2" t="s">
        <v>2261</v>
      </c>
      <c r="AN217" s="2" t="s">
        <v>2377</v>
      </c>
      <c r="AO217" s="445">
        <v>12</v>
      </c>
      <c r="AP217" s="445">
        <v>24</v>
      </c>
      <c r="AQ217" s="445">
        <v>5</v>
      </c>
      <c r="AR217" s="445">
        <v>10</v>
      </c>
      <c r="AS217" s="445">
        <v>4</v>
      </c>
      <c r="AT217" s="445">
        <v>5</v>
      </c>
      <c r="AU217" s="445">
        <v>30</v>
      </c>
      <c r="AV217" s="445" t="str">
        <f t="shared" si="12"/>
        <v>Vàng:30000:MG01:3</v>
      </c>
      <c r="AW217" s="440">
        <v>250</v>
      </c>
      <c r="AX217" s="445">
        <v>12</v>
      </c>
      <c r="AY217" s="445">
        <v>5</v>
      </c>
      <c r="AZ217" s="450">
        <v>211</v>
      </c>
      <c r="BA217" s="31">
        <v>30000</v>
      </c>
      <c r="BB217" s="31">
        <v>3</v>
      </c>
      <c r="BC217" s="31">
        <f t="shared" si="13"/>
        <v>150000</v>
      </c>
    </row>
    <row r="218" spans="1:55" x14ac:dyDescent="0.25">
      <c r="A218" s="28" t="s">
        <v>2199</v>
      </c>
      <c r="B218" s="29">
        <v>216</v>
      </c>
      <c r="C218" s="13">
        <v>7</v>
      </c>
      <c r="D218" s="4">
        <v>19</v>
      </c>
      <c r="E218" s="451">
        <v>9000</v>
      </c>
      <c r="F218" s="445">
        <v>6</v>
      </c>
      <c r="G218" s="13">
        <v>14</v>
      </c>
      <c r="H218" s="13">
        <v>20</v>
      </c>
      <c r="I218" s="455" t="s">
        <v>2218</v>
      </c>
      <c r="J218" s="451">
        <v>1</v>
      </c>
      <c r="K218" s="445">
        <v>50</v>
      </c>
      <c r="L218" s="445">
        <v>50</v>
      </c>
      <c r="M218" s="445">
        <v>5</v>
      </c>
      <c r="N218" s="13">
        <v>45</v>
      </c>
      <c r="O218" s="446">
        <v>5</v>
      </c>
      <c r="P218" s="445">
        <v>95</v>
      </c>
      <c r="Q218" s="321">
        <v>6</v>
      </c>
      <c r="R218" s="23">
        <v>15</v>
      </c>
      <c r="S218" s="445">
        <v>5</v>
      </c>
      <c r="T218" s="445">
        <f t="shared" si="14"/>
        <v>95</v>
      </c>
      <c r="U218" s="447">
        <v>0.5</v>
      </c>
      <c r="V218" s="448">
        <v>2.5499999999999998</v>
      </c>
      <c r="W218" s="449">
        <v>3.3000000000000003</v>
      </c>
      <c r="X218" s="448">
        <v>2.3400000000000003</v>
      </c>
      <c r="Y218" s="448">
        <v>4.76</v>
      </c>
      <c r="Z218" s="448">
        <v>1.6</v>
      </c>
      <c r="AA218" s="448">
        <v>1.1440000000000001</v>
      </c>
      <c r="AB218" s="448">
        <v>0.13999999999999999</v>
      </c>
      <c r="AC218" s="445">
        <v>1080000</v>
      </c>
      <c r="AD218" s="450">
        <v>450</v>
      </c>
      <c r="AE218" s="445">
        <v>18000</v>
      </c>
      <c r="AF218" s="445">
        <v>500</v>
      </c>
      <c r="AG218" s="447">
        <v>1.17</v>
      </c>
      <c r="AH218" s="445">
        <v>3</v>
      </c>
      <c r="AI218" s="445">
        <v>4</v>
      </c>
      <c r="AJ218" s="445">
        <v>2</v>
      </c>
      <c r="AK218" s="445">
        <v>3</v>
      </c>
      <c r="AL218" s="2" t="s">
        <v>2260</v>
      </c>
      <c r="AM218" s="2" t="s">
        <v>2261</v>
      </c>
      <c r="AN218" s="2" t="s">
        <v>2377</v>
      </c>
      <c r="AO218" s="445">
        <v>12</v>
      </c>
      <c r="AP218" s="445">
        <v>24</v>
      </c>
      <c r="AQ218" s="445">
        <v>5</v>
      </c>
      <c r="AR218" s="445">
        <v>10</v>
      </c>
      <c r="AS218" s="445">
        <v>4</v>
      </c>
      <c r="AT218" s="445">
        <v>5</v>
      </c>
      <c r="AU218" s="445">
        <v>30</v>
      </c>
      <c r="AV218" s="445" t="str">
        <f t="shared" si="12"/>
        <v>Vàng:30000:MG01:3</v>
      </c>
      <c r="AW218" s="440">
        <v>250</v>
      </c>
      <c r="AX218" s="445">
        <v>12</v>
      </c>
      <c r="AY218" s="445">
        <v>5</v>
      </c>
      <c r="AZ218" s="450">
        <v>212</v>
      </c>
      <c r="BA218" s="31">
        <v>30000</v>
      </c>
      <c r="BB218" s="31">
        <v>3</v>
      </c>
      <c r="BC218" s="31">
        <f t="shared" si="13"/>
        <v>150000</v>
      </c>
    </row>
    <row r="219" spans="1:55" x14ac:dyDescent="0.25">
      <c r="A219" s="28" t="s">
        <v>2199</v>
      </c>
      <c r="B219" s="428">
        <v>217</v>
      </c>
      <c r="C219" s="13">
        <v>7</v>
      </c>
      <c r="D219" s="4">
        <v>19</v>
      </c>
      <c r="E219" s="451">
        <v>9000</v>
      </c>
      <c r="F219" s="445">
        <v>6</v>
      </c>
      <c r="G219" s="13">
        <v>14</v>
      </c>
      <c r="H219" s="13">
        <v>20</v>
      </c>
      <c r="I219" s="455" t="s">
        <v>2218</v>
      </c>
      <c r="J219" s="451">
        <v>1</v>
      </c>
      <c r="K219" s="445">
        <v>50</v>
      </c>
      <c r="L219" s="445">
        <v>50</v>
      </c>
      <c r="M219" s="445">
        <v>5</v>
      </c>
      <c r="N219" s="13">
        <v>45</v>
      </c>
      <c r="O219" s="446">
        <v>5</v>
      </c>
      <c r="P219" s="445">
        <v>95</v>
      </c>
      <c r="Q219" s="321">
        <v>6</v>
      </c>
      <c r="R219" s="23">
        <v>15</v>
      </c>
      <c r="S219" s="445">
        <v>5</v>
      </c>
      <c r="T219" s="445">
        <f t="shared" si="14"/>
        <v>95</v>
      </c>
      <c r="U219" s="447">
        <v>0.5</v>
      </c>
      <c r="V219" s="448">
        <v>2.5499999999999998</v>
      </c>
      <c r="W219" s="449">
        <v>3.3000000000000003</v>
      </c>
      <c r="X219" s="448">
        <v>2.3400000000000003</v>
      </c>
      <c r="Y219" s="448">
        <v>4.76</v>
      </c>
      <c r="Z219" s="448">
        <v>1.6</v>
      </c>
      <c r="AA219" s="448">
        <v>1.1440000000000001</v>
      </c>
      <c r="AB219" s="448">
        <v>0.13999999999999999</v>
      </c>
      <c r="AC219" s="445">
        <v>1085000</v>
      </c>
      <c r="AD219" s="450">
        <v>450</v>
      </c>
      <c r="AE219" s="445">
        <v>18000</v>
      </c>
      <c r="AF219" s="445">
        <v>500</v>
      </c>
      <c r="AG219" s="447">
        <v>1.17</v>
      </c>
      <c r="AH219" s="445">
        <v>3</v>
      </c>
      <c r="AI219" s="445">
        <v>4</v>
      </c>
      <c r="AJ219" s="445">
        <v>2</v>
      </c>
      <c r="AK219" s="445">
        <v>3</v>
      </c>
      <c r="AL219" s="2" t="s">
        <v>2260</v>
      </c>
      <c r="AM219" s="2" t="s">
        <v>2261</v>
      </c>
      <c r="AN219" s="2" t="s">
        <v>2377</v>
      </c>
      <c r="AO219" s="445">
        <v>12</v>
      </c>
      <c r="AP219" s="445">
        <v>24</v>
      </c>
      <c r="AQ219" s="445">
        <v>5</v>
      </c>
      <c r="AR219" s="445">
        <v>10</v>
      </c>
      <c r="AS219" s="445">
        <v>4</v>
      </c>
      <c r="AT219" s="445">
        <v>5</v>
      </c>
      <c r="AU219" s="445">
        <v>30</v>
      </c>
      <c r="AV219" s="445" t="str">
        <f t="shared" si="12"/>
        <v>Vàng:30000:MG01:3</v>
      </c>
      <c r="AW219" s="440">
        <v>250</v>
      </c>
      <c r="AX219" s="445">
        <v>12</v>
      </c>
      <c r="AY219" s="445">
        <v>5</v>
      </c>
      <c r="AZ219" s="450">
        <v>213</v>
      </c>
      <c r="BA219" s="31">
        <v>30000</v>
      </c>
      <c r="BB219" s="31">
        <v>3</v>
      </c>
      <c r="BC219" s="31">
        <f t="shared" si="13"/>
        <v>150000</v>
      </c>
    </row>
    <row r="220" spans="1:55" x14ac:dyDescent="0.25">
      <c r="A220" s="28" t="s">
        <v>2199</v>
      </c>
      <c r="B220" s="29">
        <v>218</v>
      </c>
      <c r="C220" s="13">
        <v>7</v>
      </c>
      <c r="D220" s="4">
        <v>19</v>
      </c>
      <c r="E220" s="451">
        <v>9000</v>
      </c>
      <c r="F220" s="445">
        <v>6</v>
      </c>
      <c r="G220" s="13">
        <v>14</v>
      </c>
      <c r="H220" s="13">
        <v>20</v>
      </c>
      <c r="I220" s="455" t="s">
        <v>2218</v>
      </c>
      <c r="J220" s="451">
        <v>1</v>
      </c>
      <c r="K220" s="445">
        <v>50</v>
      </c>
      <c r="L220" s="445">
        <v>50</v>
      </c>
      <c r="M220" s="445">
        <v>5</v>
      </c>
      <c r="N220" s="13">
        <v>45</v>
      </c>
      <c r="O220" s="446">
        <v>5</v>
      </c>
      <c r="P220" s="445">
        <v>95</v>
      </c>
      <c r="Q220" s="321">
        <v>6</v>
      </c>
      <c r="R220" s="23">
        <v>15</v>
      </c>
      <c r="S220" s="445">
        <v>5</v>
      </c>
      <c r="T220" s="445">
        <f t="shared" si="14"/>
        <v>95</v>
      </c>
      <c r="U220" s="447">
        <v>0.5</v>
      </c>
      <c r="V220" s="448">
        <v>2.5499999999999998</v>
      </c>
      <c r="W220" s="449">
        <v>3.3000000000000003</v>
      </c>
      <c r="X220" s="448">
        <v>2.3400000000000003</v>
      </c>
      <c r="Y220" s="448">
        <v>4.76</v>
      </c>
      <c r="Z220" s="448">
        <v>1.6</v>
      </c>
      <c r="AA220" s="448">
        <v>1.1440000000000001</v>
      </c>
      <c r="AB220" s="448">
        <v>0.13999999999999999</v>
      </c>
      <c r="AC220" s="445">
        <v>1090000</v>
      </c>
      <c r="AD220" s="450">
        <v>450</v>
      </c>
      <c r="AE220" s="445">
        <v>18000</v>
      </c>
      <c r="AF220" s="445">
        <v>500</v>
      </c>
      <c r="AG220" s="447">
        <v>1.17</v>
      </c>
      <c r="AH220" s="445">
        <v>3</v>
      </c>
      <c r="AI220" s="445">
        <v>4</v>
      </c>
      <c r="AJ220" s="445">
        <v>2</v>
      </c>
      <c r="AK220" s="445">
        <v>3</v>
      </c>
      <c r="AL220" s="2" t="s">
        <v>2260</v>
      </c>
      <c r="AM220" s="2" t="s">
        <v>2261</v>
      </c>
      <c r="AN220" s="2" t="s">
        <v>2377</v>
      </c>
      <c r="AO220" s="445">
        <v>12</v>
      </c>
      <c r="AP220" s="445">
        <v>24</v>
      </c>
      <c r="AQ220" s="445">
        <v>5</v>
      </c>
      <c r="AR220" s="445">
        <v>10</v>
      </c>
      <c r="AS220" s="445">
        <v>4</v>
      </c>
      <c r="AT220" s="445">
        <v>5</v>
      </c>
      <c r="AU220" s="445">
        <v>30</v>
      </c>
      <c r="AV220" s="445" t="str">
        <f t="shared" si="12"/>
        <v>Vàng:30000:MG01:3</v>
      </c>
      <c r="AW220" s="440">
        <v>250</v>
      </c>
      <c r="AX220" s="445">
        <v>12</v>
      </c>
      <c r="AY220" s="445">
        <v>5</v>
      </c>
      <c r="AZ220" s="450">
        <v>214</v>
      </c>
      <c r="BA220" s="31">
        <v>30000</v>
      </c>
      <c r="BB220" s="31">
        <v>3</v>
      </c>
      <c r="BC220" s="31">
        <f t="shared" si="13"/>
        <v>150000</v>
      </c>
    </row>
    <row r="221" spans="1:55" x14ac:dyDescent="0.25">
      <c r="A221" s="28" t="s">
        <v>2199</v>
      </c>
      <c r="B221" s="428">
        <v>219</v>
      </c>
      <c r="C221" s="13">
        <v>7</v>
      </c>
      <c r="D221" s="4">
        <v>19</v>
      </c>
      <c r="E221" s="451">
        <v>9000</v>
      </c>
      <c r="F221" s="445">
        <v>6</v>
      </c>
      <c r="G221" s="13">
        <v>14</v>
      </c>
      <c r="H221" s="13">
        <v>20</v>
      </c>
      <c r="I221" s="455" t="s">
        <v>2218</v>
      </c>
      <c r="J221" s="451">
        <v>1</v>
      </c>
      <c r="K221" s="445">
        <v>50</v>
      </c>
      <c r="L221" s="445">
        <v>50</v>
      </c>
      <c r="M221" s="445">
        <v>5</v>
      </c>
      <c r="N221" s="13">
        <v>45</v>
      </c>
      <c r="O221" s="446">
        <v>5</v>
      </c>
      <c r="P221" s="445">
        <v>95</v>
      </c>
      <c r="Q221" s="321">
        <v>6</v>
      </c>
      <c r="R221" s="23">
        <v>15</v>
      </c>
      <c r="S221" s="445">
        <v>5</v>
      </c>
      <c r="T221" s="445">
        <f t="shared" si="14"/>
        <v>95</v>
      </c>
      <c r="U221" s="447">
        <v>0.5</v>
      </c>
      <c r="V221" s="448">
        <v>2.5499999999999998</v>
      </c>
      <c r="W221" s="449">
        <v>3.3000000000000003</v>
      </c>
      <c r="X221" s="448">
        <v>2.3400000000000003</v>
      </c>
      <c r="Y221" s="448">
        <v>4.76</v>
      </c>
      <c r="Z221" s="448">
        <v>1.6</v>
      </c>
      <c r="AA221" s="448">
        <v>1.1440000000000001</v>
      </c>
      <c r="AB221" s="448">
        <v>0.13999999999999999</v>
      </c>
      <c r="AC221" s="445">
        <v>1095000</v>
      </c>
      <c r="AD221" s="450">
        <v>450</v>
      </c>
      <c r="AE221" s="445">
        <v>18000</v>
      </c>
      <c r="AF221" s="445">
        <v>500</v>
      </c>
      <c r="AG221" s="447">
        <v>1.17</v>
      </c>
      <c r="AH221" s="445">
        <v>3</v>
      </c>
      <c r="AI221" s="445">
        <v>4</v>
      </c>
      <c r="AJ221" s="445">
        <v>2</v>
      </c>
      <c r="AK221" s="445">
        <v>3</v>
      </c>
      <c r="AL221" s="2" t="s">
        <v>2260</v>
      </c>
      <c r="AM221" s="2" t="s">
        <v>2261</v>
      </c>
      <c r="AN221" s="2" t="s">
        <v>2377</v>
      </c>
      <c r="AO221" s="445">
        <v>12</v>
      </c>
      <c r="AP221" s="445">
        <v>24</v>
      </c>
      <c r="AQ221" s="445">
        <v>5</v>
      </c>
      <c r="AR221" s="445">
        <v>10</v>
      </c>
      <c r="AS221" s="445">
        <v>4</v>
      </c>
      <c r="AT221" s="445">
        <v>5</v>
      </c>
      <c r="AU221" s="445">
        <v>30</v>
      </c>
      <c r="AV221" s="445" t="str">
        <f t="shared" si="12"/>
        <v>Vàng:30000:MG01:3</v>
      </c>
      <c r="AW221" s="440">
        <v>250</v>
      </c>
      <c r="AX221" s="445">
        <v>12</v>
      </c>
      <c r="AY221" s="445">
        <v>5</v>
      </c>
      <c r="AZ221" s="450">
        <v>215</v>
      </c>
      <c r="BA221" s="31">
        <v>30000</v>
      </c>
      <c r="BB221" s="31">
        <v>3</v>
      </c>
      <c r="BC221" s="31">
        <f t="shared" si="13"/>
        <v>150000</v>
      </c>
    </row>
    <row r="222" spans="1:55" x14ac:dyDescent="0.25">
      <c r="A222" s="28" t="s">
        <v>2199</v>
      </c>
      <c r="B222" s="29">
        <v>220</v>
      </c>
      <c r="C222" s="13">
        <v>7</v>
      </c>
      <c r="D222" s="4">
        <v>19</v>
      </c>
      <c r="E222" s="451">
        <v>9000</v>
      </c>
      <c r="F222" s="445">
        <v>6</v>
      </c>
      <c r="G222" s="13">
        <v>14</v>
      </c>
      <c r="H222" s="13">
        <v>20</v>
      </c>
      <c r="I222" s="455" t="s">
        <v>2218</v>
      </c>
      <c r="J222" s="451">
        <v>1</v>
      </c>
      <c r="K222" s="445">
        <v>50</v>
      </c>
      <c r="L222" s="445">
        <v>50</v>
      </c>
      <c r="M222" s="445">
        <v>5</v>
      </c>
      <c r="N222" s="13">
        <v>45</v>
      </c>
      <c r="O222" s="446">
        <v>5</v>
      </c>
      <c r="P222" s="445">
        <v>95</v>
      </c>
      <c r="Q222" s="321">
        <v>6</v>
      </c>
      <c r="R222" s="23">
        <v>15</v>
      </c>
      <c r="S222" s="445">
        <v>5</v>
      </c>
      <c r="T222" s="445">
        <f t="shared" si="14"/>
        <v>95</v>
      </c>
      <c r="U222" s="447">
        <v>0.5</v>
      </c>
      <c r="V222" s="448">
        <v>2.5499999999999998</v>
      </c>
      <c r="W222" s="449">
        <v>3.3000000000000003</v>
      </c>
      <c r="X222" s="448">
        <v>2.3400000000000003</v>
      </c>
      <c r="Y222" s="448">
        <v>4.76</v>
      </c>
      <c r="Z222" s="448">
        <v>1.6</v>
      </c>
      <c r="AA222" s="448">
        <v>1.1440000000000001</v>
      </c>
      <c r="AB222" s="448">
        <v>0.13999999999999999</v>
      </c>
      <c r="AC222" s="445">
        <v>1100000</v>
      </c>
      <c r="AD222" s="450">
        <v>450</v>
      </c>
      <c r="AE222" s="445">
        <v>18000</v>
      </c>
      <c r="AF222" s="445">
        <v>500</v>
      </c>
      <c r="AG222" s="447">
        <v>1.17</v>
      </c>
      <c r="AH222" s="445">
        <v>3</v>
      </c>
      <c r="AI222" s="445">
        <v>4</v>
      </c>
      <c r="AJ222" s="445">
        <v>2</v>
      </c>
      <c r="AK222" s="445">
        <v>3</v>
      </c>
      <c r="AL222" s="2" t="s">
        <v>2260</v>
      </c>
      <c r="AM222" s="2" t="s">
        <v>2261</v>
      </c>
      <c r="AN222" s="2" t="s">
        <v>2377</v>
      </c>
      <c r="AO222" s="445">
        <v>12</v>
      </c>
      <c r="AP222" s="445">
        <v>24</v>
      </c>
      <c r="AQ222" s="445">
        <v>5</v>
      </c>
      <c r="AR222" s="445">
        <v>10</v>
      </c>
      <c r="AS222" s="445">
        <v>4</v>
      </c>
      <c r="AT222" s="445">
        <v>5</v>
      </c>
      <c r="AU222" s="445">
        <v>30</v>
      </c>
      <c r="AV222" s="445" t="str">
        <f t="shared" ref="AV222:AV282" si="15">CONCATENATE($BA$1&amp;":"&amp;BA222&amp;":"&amp;$BB$1&amp;":"&amp;BB222)</f>
        <v>Vàng:30000:MG01:3</v>
      </c>
      <c r="AW222" s="440">
        <v>250</v>
      </c>
      <c r="AX222" s="445">
        <v>12</v>
      </c>
      <c r="AY222" s="445">
        <v>5</v>
      </c>
      <c r="AZ222" s="450">
        <v>216</v>
      </c>
      <c r="BA222" s="31">
        <v>30000</v>
      </c>
      <c r="BB222" s="31">
        <v>3</v>
      </c>
      <c r="BC222" s="31">
        <f t="shared" si="13"/>
        <v>150000</v>
      </c>
    </row>
    <row r="223" spans="1:55" x14ac:dyDescent="0.25">
      <c r="A223" s="28" t="s">
        <v>2199</v>
      </c>
      <c r="B223" s="428">
        <v>221</v>
      </c>
      <c r="C223" s="13">
        <v>7</v>
      </c>
      <c r="D223" s="4">
        <v>19</v>
      </c>
      <c r="E223" s="451">
        <v>10800</v>
      </c>
      <c r="F223" s="445">
        <v>6</v>
      </c>
      <c r="G223" s="13">
        <v>14</v>
      </c>
      <c r="H223" s="13">
        <v>20</v>
      </c>
      <c r="I223" s="455" t="s">
        <v>2218</v>
      </c>
      <c r="J223" s="451">
        <v>1</v>
      </c>
      <c r="K223" s="445">
        <v>50</v>
      </c>
      <c r="L223" s="445">
        <v>50</v>
      </c>
      <c r="M223" s="445">
        <v>5</v>
      </c>
      <c r="N223" s="13">
        <v>45</v>
      </c>
      <c r="O223" s="446">
        <v>5</v>
      </c>
      <c r="P223" s="445">
        <v>95</v>
      </c>
      <c r="Q223" s="321">
        <v>6</v>
      </c>
      <c r="R223" s="23">
        <v>15</v>
      </c>
      <c r="S223" s="445">
        <v>5</v>
      </c>
      <c r="T223" s="445">
        <f t="shared" si="14"/>
        <v>95</v>
      </c>
      <c r="U223" s="447">
        <v>0.5</v>
      </c>
      <c r="V223" s="448">
        <v>2.5499999999999998</v>
      </c>
      <c r="W223" s="449">
        <v>3.3000000000000003</v>
      </c>
      <c r="X223" s="448">
        <v>2.3400000000000003</v>
      </c>
      <c r="Y223" s="448">
        <v>4.76</v>
      </c>
      <c r="Z223" s="448">
        <v>1.6</v>
      </c>
      <c r="AA223" s="448">
        <v>1.1440000000000001</v>
      </c>
      <c r="AB223" s="448">
        <v>0.13999999999999999</v>
      </c>
      <c r="AC223" s="445">
        <v>1105000</v>
      </c>
      <c r="AD223" s="450">
        <v>450</v>
      </c>
      <c r="AE223" s="445">
        <v>18000</v>
      </c>
      <c r="AF223" s="445">
        <v>500</v>
      </c>
      <c r="AG223" s="447">
        <v>1.17</v>
      </c>
      <c r="AH223" s="445">
        <v>3</v>
      </c>
      <c r="AI223" s="445">
        <v>4</v>
      </c>
      <c r="AJ223" s="445">
        <v>2</v>
      </c>
      <c r="AK223" s="445">
        <v>3</v>
      </c>
      <c r="AL223" s="2" t="s">
        <v>2260</v>
      </c>
      <c r="AM223" s="2" t="s">
        <v>2261</v>
      </c>
      <c r="AN223" s="2" t="s">
        <v>2377</v>
      </c>
      <c r="AO223" s="445">
        <v>12</v>
      </c>
      <c r="AP223" s="445">
        <v>24</v>
      </c>
      <c r="AQ223" s="445">
        <v>5</v>
      </c>
      <c r="AR223" s="445">
        <v>10</v>
      </c>
      <c r="AS223" s="445">
        <v>4</v>
      </c>
      <c r="AT223" s="445">
        <v>5</v>
      </c>
      <c r="AU223" s="445">
        <v>30</v>
      </c>
      <c r="AV223" s="445" t="str">
        <f t="shared" si="15"/>
        <v>Vàng:30000:MG01:3</v>
      </c>
      <c r="AW223" s="440">
        <v>250</v>
      </c>
      <c r="AX223" s="445">
        <v>12</v>
      </c>
      <c r="AY223" s="445">
        <v>5</v>
      </c>
      <c r="AZ223" s="450">
        <v>217</v>
      </c>
      <c r="BA223" s="31">
        <v>30000</v>
      </c>
      <c r="BB223" s="31">
        <v>3</v>
      </c>
      <c r="BC223" s="31">
        <f t="shared" si="13"/>
        <v>150000</v>
      </c>
    </row>
    <row r="224" spans="1:55" x14ac:dyDescent="0.25">
      <c r="A224" s="28" t="s">
        <v>2199</v>
      </c>
      <c r="B224" s="29">
        <v>222</v>
      </c>
      <c r="C224" s="13">
        <v>7</v>
      </c>
      <c r="D224" s="4">
        <v>19</v>
      </c>
      <c r="E224" s="451">
        <v>10800</v>
      </c>
      <c r="F224" s="445">
        <v>6</v>
      </c>
      <c r="G224" s="13">
        <v>14</v>
      </c>
      <c r="H224" s="13">
        <v>20</v>
      </c>
      <c r="I224" s="455" t="s">
        <v>2218</v>
      </c>
      <c r="J224" s="451">
        <v>1</v>
      </c>
      <c r="K224" s="445">
        <v>50</v>
      </c>
      <c r="L224" s="445">
        <v>50</v>
      </c>
      <c r="M224" s="445">
        <v>5</v>
      </c>
      <c r="N224" s="13">
        <v>45</v>
      </c>
      <c r="O224" s="446">
        <v>5</v>
      </c>
      <c r="P224" s="445">
        <v>95</v>
      </c>
      <c r="Q224" s="321">
        <v>6</v>
      </c>
      <c r="R224" s="23">
        <v>15</v>
      </c>
      <c r="S224" s="445">
        <v>5</v>
      </c>
      <c r="T224" s="445">
        <f t="shared" si="14"/>
        <v>95</v>
      </c>
      <c r="U224" s="447">
        <v>0.5</v>
      </c>
      <c r="V224" s="448">
        <v>2.5499999999999998</v>
      </c>
      <c r="W224" s="449">
        <v>3.3000000000000003</v>
      </c>
      <c r="X224" s="448">
        <v>2.3400000000000003</v>
      </c>
      <c r="Y224" s="448">
        <v>4.76</v>
      </c>
      <c r="Z224" s="448">
        <v>1.6</v>
      </c>
      <c r="AA224" s="448">
        <v>1.1440000000000001</v>
      </c>
      <c r="AB224" s="448">
        <v>0.13999999999999999</v>
      </c>
      <c r="AC224" s="445">
        <v>1110000</v>
      </c>
      <c r="AD224" s="450">
        <v>450</v>
      </c>
      <c r="AE224" s="445">
        <v>18000</v>
      </c>
      <c r="AF224" s="445">
        <v>500</v>
      </c>
      <c r="AG224" s="447">
        <v>1.17</v>
      </c>
      <c r="AH224" s="445">
        <v>3</v>
      </c>
      <c r="AI224" s="445">
        <v>4</v>
      </c>
      <c r="AJ224" s="445">
        <v>2</v>
      </c>
      <c r="AK224" s="445">
        <v>3</v>
      </c>
      <c r="AL224" s="2" t="s">
        <v>2260</v>
      </c>
      <c r="AM224" s="2" t="s">
        <v>2261</v>
      </c>
      <c r="AN224" s="2" t="s">
        <v>2377</v>
      </c>
      <c r="AO224" s="445">
        <v>12</v>
      </c>
      <c r="AP224" s="445">
        <v>24</v>
      </c>
      <c r="AQ224" s="445">
        <v>5</v>
      </c>
      <c r="AR224" s="445">
        <v>10</v>
      </c>
      <c r="AS224" s="445">
        <v>4</v>
      </c>
      <c r="AT224" s="445">
        <v>5</v>
      </c>
      <c r="AU224" s="445">
        <v>30</v>
      </c>
      <c r="AV224" s="445" t="str">
        <f t="shared" si="15"/>
        <v>Vàng:30000:MG01:3</v>
      </c>
      <c r="AW224" s="440">
        <v>250</v>
      </c>
      <c r="AX224" s="445">
        <v>12</v>
      </c>
      <c r="AY224" s="445">
        <v>5</v>
      </c>
      <c r="AZ224" s="450">
        <v>218</v>
      </c>
      <c r="BA224" s="31">
        <v>30000</v>
      </c>
      <c r="BB224" s="31">
        <v>3</v>
      </c>
      <c r="BC224" s="31">
        <f t="shared" si="13"/>
        <v>150000</v>
      </c>
    </row>
    <row r="225" spans="1:55" x14ac:dyDescent="0.25">
      <c r="A225" s="28" t="s">
        <v>2199</v>
      </c>
      <c r="B225" s="428">
        <v>223</v>
      </c>
      <c r="C225" s="13">
        <v>7</v>
      </c>
      <c r="D225" s="4">
        <v>19</v>
      </c>
      <c r="E225" s="451">
        <v>10800</v>
      </c>
      <c r="F225" s="445">
        <v>6</v>
      </c>
      <c r="G225" s="13">
        <v>14</v>
      </c>
      <c r="H225" s="13">
        <v>20</v>
      </c>
      <c r="I225" s="455" t="s">
        <v>2218</v>
      </c>
      <c r="J225" s="451">
        <v>1</v>
      </c>
      <c r="K225" s="445">
        <v>50</v>
      </c>
      <c r="L225" s="445">
        <v>50</v>
      </c>
      <c r="M225" s="445">
        <v>5</v>
      </c>
      <c r="N225" s="13">
        <v>45</v>
      </c>
      <c r="O225" s="446">
        <v>5</v>
      </c>
      <c r="P225" s="445">
        <v>95</v>
      </c>
      <c r="Q225" s="321">
        <v>6</v>
      </c>
      <c r="R225" s="23">
        <v>15</v>
      </c>
      <c r="S225" s="445">
        <v>5</v>
      </c>
      <c r="T225" s="445">
        <f t="shared" si="14"/>
        <v>95</v>
      </c>
      <c r="U225" s="447">
        <v>0.5</v>
      </c>
      <c r="V225" s="448">
        <v>2.5499999999999998</v>
      </c>
      <c r="W225" s="449">
        <v>3.3000000000000003</v>
      </c>
      <c r="X225" s="448">
        <v>2.3400000000000003</v>
      </c>
      <c r="Y225" s="448">
        <v>4.76</v>
      </c>
      <c r="Z225" s="448">
        <v>1.6</v>
      </c>
      <c r="AA225" s="448">
        <v>1.1440000000000001</v>
      </c>
      <c r="AB225" s="448">
        <v>0.13999999999999999</v>
      </c>
      <c r="AC225" s="445">
        <v>1115000</v>
      </c>
      <c r="AD225" s="450">
        <v>450</v>
      </c>
      <c r="AE225" s="445">
        <v>18000</v>
      </c>
      <c r="AF225" s="445">
        <v>500</v>
      </c>
      <c r="AG225" s="447">
        <v>1.17</v>
      </c>
      <c r="AH225" s="445">
        <v>3</v>
      </c>
      <c r="AI225" s="445">
        <v>4</v>
      </c>
      <c r="AJ225" s="445">
        <v>2</v>
      </c>
      <c r="AK225" s="445">
        <v>3</v>
      </c>
      <c r="AL225" s="2" t="s">
        <v>2260</v>
      </c>
      <c r="AM225" s="2" t="s">
        <v>2261</v>
      </c>
      <c r="AN225" s="2" t="s">
        <v>2377</v>
      </c>
      <c r="AO225" s="445">
        <v>12</v>
      </c>
      <c r="AP225" s="445">
        <v>24</v>
      </c>
      <c r="AQ225" s="445">
        <v>5</v>
      </c>
      <c r="AR225" s="445">
        <v>10</v>
      </c>
      <c r="AS225" s="445">
        <v>4</v>
      </c>
      <c r="AT225" s="445">
        <v>5</v>
      </c>
      <c r="AU225" s="445">
        <v>30</v>
      </c>
      <c r="AV225" s="445" t="str">
        <f t="shared" si="15"/>
        <v>Vàng:30000:MG01:3</v>
      </c>
      <c r="AW225" s="440">
        <v>250</v>
      </c>
      <c r="AX225" s="445">
        <v>12</v>
      </c>
      <c r="AY225" s="445">
        <v>5</v>
      </c>
      <c r="AZ225" s="450">
        <v>219</v>
      </c>
      <c r="BA225" s="31">
        <v>30000</v>
      </c>
      <c r="BB225" s="31">
        <v>3</v>
      </c>
      <c r="BC225" s="31">
        <f t="shared" si="13"/>
        <v>150000</v>
      </c>
    </row>
    <row r="226" spans="1:55" x14ac:dyDescent="0.25">
      <c r="A226" s="28" t="s">
        <v>2199</v>
      </c>
      <c r="B226" s="29">
        <v>224</v>
      </c>
      <c r="C226" s="13">
        <v>7</v>
      </c>
      <c r="D226" s="4">
        <v>19</v>
      </c>
      <c r="E226" s="451">
        <v>10800</v>
      </c>
      <c r="F226" s="445">
        <v>6</v>
      </c>
      <c r="G226" s="13">
        <v>14</v>
      </c>
      <c r="H226" s="13">
        <v>20</v>
      </c>
      <c r="I226" s="455" t="s">
        <v>2218</v>
      </c>
      <c r="J226" s="451">
        <v>1</v>
      </c>
      <c r="K226" s="445">
        <v>50</v>
      </c>
      <c r="L226" s="445">
        <v>50</v>
      </c>
      <c r="M226" s="445">
        <v>5</v>
      </c>
      <c r="N226" s="13">
        <v>45</v>
      </c>
      <c r="O226" s="446">
        <v>5</v>
      </c>
      <c r="P226" s="445">
        <v>95</v>
      </c>
      <c r="Q226" s="321">
        <v>6</v>
      </c>
      <c r="R226" s="23">
        <v>15</v>
      </c>
      <c r="S226" s="445">
        <v>5</v>
      </c>
      <c r="T226" s="445">
        <f t="shared" si="14"/>
        <v>95</v>
      </c>
      <c r="U226" s="447">
        <v>0.5</v>
      </c>
      <c r="V226" s="448">
        <v>2.5499999999999998</v>
      </c>
      <c r="W226" s="449">
        <v>3.3000000000000003</v>
      </c>
      <c r="X226" s="448">
        <v>2.3400000000000003</v>
      </c>
      <c r="Y226" s="448">
        <v>4.76</v>
      </c>
      <c r="Z226" s="448">
        <v>1.6</v>
      </c>
      <c r="AA226" s="448">
        <v>1.1440000000000001</v>
      </c>
      <c r="AB226" s="448">
        <v>0.13999999999999999</v>
      </c>
      <c r="AC226" s="445">
        <v>1120000</v>
      </c>
      <c r="AD226" s="450">
        <v>450</v>
      </c>
      <c r="AE226" s="445">
        <v>18000</v>
      </c>
      <c r="AF226" s="445">
        <v>500</v>
      </c>
      <c r="AG226" s="447">
        <v>1.17</v>
      </c>
      <c r="AH226" s="445">
        <v>3</v>
      </c>
      <c r="AI226" s="445">
        <v>4</v>
      </c>
      <c r="AJ226" s="445">
        <v>2</v>
      </c>
      <c r="AK226" s="445">
        <v>3</v>
      </c>
      <c r="AL226" s="2" t="s">
        <v>2260</v>
      </c>
      <c r="AM226" s="2" t="s">
        <v>2261</v>
      </c>
      <c r="AN226" s="2" t="s">
        <v>2377</v>
      </c>
      <c r="AO226" s="445">
        <v>12</v>
      </c>
      <c r="AP226" s="445">
        <v>24</v>
      </c>
      <c r="AQ226" s="445">
        <v>5</v>
      </c>
      <c r="AR226" s="445">
        <v>10</v>
      </c>
      <c r="AS226" s="445">
        <v>4</v>
      </c>
      <c r="AT226" s="445">
        <v>5</v>
      </c>
      <c r="AU226" s="445">
        <v>30</v>
      </c>
      <c r="AV226" s="445" t="str">
        <f t="shared" si="15"/>
        <v>Vàng:30000:MG01:3</v>
      </c>
      <c r="AW226" s="440">
        <v>250</v>
      </c>
      <c r="AX226" s="445">
        <v>12</v>
      </c>
      <c r="AY226" s="445">
        <v>5</v>
      </c>
      <c r="AZ226" s="450">
        <v>220</v>
      </c>
      <c r="BA226" s="31">
        <v>30000</v>
      </c>
      <c r="BB226" s="31">
        <v>3</v>
      </c>
      <c r="BC226" s="31">
        <f t="shared" si="13"/>
        <v>150000</v>
      </c>
    </row>
    <row r="227" spans="1:55" x14ac:dyDescent="0.25">
      <c r="A227" s="28" t="s">
        <v>2199</v>
      </c>
      <c r="B227" s="428">
        <v>225</v>
      </c>
      <c r="C227" s="13">
        <v>7</v>
      </c>
      <c r="D227" s="4">
        <v>19</v>
      </c>
      <c r="E227" s="451">
        <v>10800</v>
      </c>
      <c r="F227" s="445">
        <v>6</v>
      </c>
      <c r="G227" s="13">
        <v>14</v>
      </c>
      <c r="H227" s="13">
        <v>20</v>
      </c>
      <c r="I227" s="455" t="s">
        <v>2218</v>
      </c>
      <c r="J227" s="451">
        <v>1</v>
      </c>
      <c r="K227" s="445">
        <v>50</v>
      </c>
      <c r="L227" s="445">
        <v>50</v>
      </c>
      <c r="M227" s="445">
        <v>5</v>
      </c>
      <c r="N227" s="13">
        <v>45</v>
      </c>
      <c r="O227" s="446">
        <v>5</v>
      </c>
      <c r="P227" s="445">
        <v>95</v>
      </c>
      <c r="Q227" s="321">
        <v>6</v>
      </c>
      <c r="R227" s="23">
        <v>15</v>
      </c>
      <c r="S227" s="445">
        <v>5</v>
      </c>
      <c r="T227" s="445">
        <f t="shared" si="14"/>
        <v>95</v>
      </c>
      <c r="U227" s="447">
        <v>0.5</v>
      </c>
      <c r="V227" s="448">
        <v>2.5499999999999998</v>
      </c>
      <c r="W227" s="449">
        <v>3.3000000000000003</v>
      </c>
      <c r="X227" s="448">
        <v>2.3400000000000003</v>
      </c>
      <c r="Y227" s="448">
        <v>4.76</v>
      </c>
      <c r="Z227" s="448">
        <v>1.6</v>
      </c>
      <c r="AA227" s="448">
        <v>1.1440000000000001</v>
      </c>
      <c r="AB227" s="448">
        <v>0.13999999999999999</v>
      </c>
      <c r="AC227" s="445">
        <v>1125000</v>
      </c>
      <c r="AD227" s="450">
        <v>450</v>
      </c>
      <c r="AE227" s="445">
        <v>18000</v>
      </c>
      <c r="AF227" s="445">
        <v>500</v>
      </c>
      <c r="AG227" s="447">
        <v>1.17</v>
      </c>
      <c r="AH227" s="445">
        <v>3</v>
      </c>
      <c r="AI227" s="445">
        <v>4</v>
      </c>
      <c r="AJ227" s="445">
        <v>2</v>
      </c>
      <c r="AK227" s="445">
        <v>3</v>
      </c>
      <c r="AL227" s="2" t="s">
        <v>2260</v>
      </c>
      <c r="AM227" s="2" t="s">
        <v>2261</v>
      </c>
      <c r="AN227" s="2" t="s">
        <v>2377</v>
      </c>
      <c r="AO227" s="445">
        <v>12</v>
      </c>
      <c r="AP227" s="445">
        <v>24</v>
      </c>
      <c r="AQ227" s="445">
        <v>5</v>
      </c>
      <c r="AR227" s="445">
        <v>10</v>
      </c>
      <c r="AS227" s="445">
        <v>4</v>
      </c>
      <c r="AT227" s="445">
        <v>5</v>
      </c>
      <c r="AU227" s="445">
        <v>30</v>
      </c>
      <c r="AV227" s="445" t="str">
        <f t="shared" si="15"/>
        <v>Vàng:30000:MG01:3</v>
      </c>
      <c r="AW227" s="440">
        <v>250</v>
      </c>
      <c r="AX227" s="445">
        <v>12</v>
      </c>
      <c r="AY227" s="445">
        <v>5</v>
      </c>
      <c r="AZ227" s="450">
        <v>221</v>
      </c>
      <c r="BA227" s="31">
        <v>30000</v>
      </c>
      <c r="BB227" s="31">
        <v>3</v>
      </c>
      <c r="BC227" s="31">
        <f t="shared" si="13"/>
        <v>150000</v>
      </c>
    </row>
    <row r="228" spans="1:55" x14ac:dyDescent="0.25">
      <c r="A228" s="28" t="s">
        <v>2199</v>
      </c>
      <c r="B228" s="29">
        <v>226</v>
      </c>
      <c r="C228" s="13">
        <v>7</v>
      </c>
      <c r="D228" s="4">
        <v>19</v>
      </c>
      <c r="E228" s="451">
        <v>10800</v>
      </c>
      <c r="F228" s="445">
        <v>6</v>
      </c>
      <c r="G228" s="13">
        <v>14</v>
      </c>
      <c r="H228" s="13">
        <v>20</v>
      </c>
      <c r="I228" s="455" t="s">
        <v>2218</v>
      </c>
      <c r="J228" s="451">
        <v>1</v>
      </c>
      <c r="K228" s="445">
        <v>50</v>
      </c>
      <c r="L228" s="445">
        <v>50</v>
      </c>
      <c r="M228" s="445">
        <v>5</v>
      </c>
      <c r="N228" s="13">
        <v>45</v>
      </c>
      <c r="O228" s="446">
        <v>5</v>
      </c>
      <c r="P228" s="445">
        <v>95</v>
      </c>
      <c r="Q228" s="321">
        <v>6</v>
      </c>
      <c r="R228" s="23">
        <v>15</v>
      </c>
      <c r="S228" s="445">
        <v>5</v>
      </c>
      <c r="T228" s="445">
        <f t="shared" si="14"/>
        <v>95</v>
      </c>
      <c r="U228" s="447">
        <v>0.5</v>
      </c>
      <c r="V228" s="448">
        <v>2.5499999999999998</v>
      </c>
      <c r="W228" s="449">
        <v>3.3000000000000003</v>
      </c>
      <c r="X228" s="448">
        <v>2.3400000000000003</v>
      </c>
      <c r="Y228" s="448">
        <v>4.76</v>
      </c>
      <c r="Z228" s="448">
        <v>1.6</v>
      </c>
      <c r="AA228" s="448">
        <v>1.1440000000000001</v>
      </c>
      <c r="AB228" s="448">
        <v>0.13999999999999999</v>
      </c>
      <c r="AC228" s="445">
        <v>1130000</v>
      </c>
      <c r="AD228" s="450">
        <v>450</v>
      </c>
      <c r="AE228" s="445">
        <v>18000</v>
      </c>
      <c r="AF228" s="445">
        <v>500</v>
      </c>
      <c r="AG228" s="447">
        <v>1.17</v>
      </c>
      <c r="AH228" s="445">
        <v>3</v>
      </c>
      <c r="AI228" s="445">
        <v>4</v>
      </c>
      <c r="AJ228" s="445">
        <v>2</v>
      </c>
      <c r="AK228" s="445">
        <v>3</v>
      </c>
      <c r="AL228" s="2" t="s">
        <v>2260</v>
      </c>
      <c r="AM228" s="2" t="s">
        <v>2261</v>
      </c>
      <c r="AN228" s="2" t="s">
        <v>2377</v>
      </c>
      <c r="AO228" s="445">
        <v>12</v>
      </c>
      <c r="AP228" s="445">
        <v>24</v>
      </c>
      <c r="AQ228" s="445">
        <v>5</v>
      </c>
      <c r="AR228" s="445">
        <v>10</v>
      </c>
      <c r="AS228" s="445">
        <v>4</v>
      </c>
      <c r="AT228" s="445">
        <v>5</v>
      </c>
      <c r="AU228" s="445">
        <v>30</v>
      </c>
      <c r="AV228" s="445" t="str">
        <f t="shared" si="15"/>
        <v>Vàng:30000:MG01:3</v>
      </c>
      <c r="AW228" s="440">
        <v>250</v>
      </c>
      <c r="AX228" s="445">
        <v>12</v>
      </c>
      <c r="AY228" s="445">
        <v>5</v>
      </c>
      <c r="AZ228" s="450">
        <v>222</v>
      </c>
      <c r="BA228" s="31">
        <v>30000</v>
      </c>
      <c r="BB228" s="31">
        <v>3</v>
      </c>
      <c r="BC228" s="31">
        <f t="shared" si="13"/>
        <v>150000</v>
      </c>
    </row>
    <row r="229" spans="1:55" x14ac:dyDescent="0.25">
      <c r="A229" s="28" t="s">
        <v>2199</v>
      </c>
      <c r="B229" s="428">
        <v>227</v>
      </c>
      <c r="C229" s="13">
        <v>7</v>
      </c>
      <c r="D229" s="4">
        <v>19</v>
      </c>
      <c r="E229" s="451">
        <v>10800</v>
      </c>
      <c r="F229" s="445">
        <v>6</v>
      </c>
      <c r="G229" s="13">
        <v>14</v>
      </c>
      <c r="H229" s="13">
        <v>20</v>
      </c>
      <c r="I229" s="455" t="s">
        <v>2218</v>
      </c>
      <c r="J229" s="451">
        <v>1</v>
      </c>
      <c r="K229" s="445">
        <v>50</v>
      </c>
      <c r="L229" s="445">
        <v>50</v>
      </c>
      <c r="M229" s="445">
        <v>5</v>
      </c>
      <c r="N229" s="13">
        <v>45</v>
      </c>
      <c r="O229" s="446">
        <v>5</v>
      </c>
      <c r="P229" s="445">
        <v>95</v>
      </c>
      <c r="Q229" s="321">
        <v>6</v>
      </c>
      <c r="R229" s="23">
        <v>15</v>
      </c>
      <c r="S229" s="445">
        <v>5</v>
      </c>
      <c r="T229" s="445">
        <f t="shared" si="14"/>
        <v>95</v>
      </c>
      <c r="U229" s="447">
        <v>0.5</v>
      </c>
      <c r="V229" s="448">
        <v>2.5499999999999998</v>
      </c>
      <c r="W229" s="449">
        <v>3.3000000000000003</v>
      </c>
      <c r="X229" s="448">
        <v>2.3400000000000003</v>
      </c>
      <c r="Y229" s="448">
        <v>4.76</v>
      </c>
      <c r="Z229" s="448">
        <v>1.6</v>
      </c>
      <c r="AA229" s="448">
        <v>1.1440000000000001</v>
      </c>
      <c r="AB229" s="448">
        <v>0.13999999999999999</v>
      </c>
      <c r="AC229" s="445">
        <v>1135000</v>
      </c>
      <c r="AD229" s="450">
        <v>450</v>
      </c>
      <c r="AE229" s="445">
        <v>18000</v>
      </c>
      <c r="AF229" s="445">
        <v>500</v>
      </c>
      <c r="AG229" s="447">
        <v>1.17</v>
      </c>
      <c r="AH229" s="445">
        <v>3</v>
      </c>
      <c r="AI229" s="445">
        <v>4</v>
      </c>
      <c r="AJ229" s="445">
        <v>2</v>
      </c>
      <c r="AK229" s="445">
        <v>3</v>
      </c>
      <c r="AL229" s="2" t="s">
        <v>2260</v>
      </c>
      <c r="AM229" s="2" t="s">
        <v>2261</v>
      </c>
      <c r="AN229" s="2" t="s">
        <v>2377</v>
      </c>
      <c r="AO229" s="445">
        <v>12</v>
      </c>
      <c r="AP229" s="445">
        <v>24</v>
      </c>
      <c r="AQ229" s="445">
        <v>5</v>
      </c>
      <c r="AR229" s="445">
        <v>10</v>
      </c>
      <c r="AS229" s="445">
        <v>4</v>
      </c>
      <c r="AT229" s="445">
        <v>5</v>
      </c>
      <c r="AU229" s="445">
        <v>30</v>
      </c>
      <c r="AV229" s="445" t="str">
        <f t="shared" si="15"/>
        <v>Vàng:30000:MG01:3</v>
      </c>
      <c r="AW229" s="440">
        <v>250</v>
      </c>
      <c r="AX229" s="445">
        <v>12</v>
      </c>
      <c r="AY229" s="445">
        <v>5</v>
      </c>
      <c r="AZ229" s="450">
        <v>223</v>
      </c>
      <c r="BA229" s="31">
        <v>30000</v>
      </c>
      <c r="BB229" s="31">
        <v>3</v>
      </c>
      <c r="BC229" s="31">
        <f t="shared" si="13"/>
        <v>150000</v>
      </c>
    </row>
    <row r="230" spans="1:55" x14ac:dyDescent="0.25">
      <c r="A230" s="28" t="s">
        <v>2199</v>
      </c>
      <c r="B230" s="29">
        <v>228</v>
      </c>
      <c r="C230" s="13">
        <v>7</v>
      </c>
      <c r="D230" s="4">
        <v>19</v>
      </c>
      <c r="E230" s="451">
        <v>10800</v>
      </c>
      <c r="F230" s="445">
        <v>6</v>
      </c>
      <c r="G230" s="13">
        <v>14</v>
      </c>
      <c r="H230" s="13">
        <v>20</v>
      </c>
      <c r="I230" s="455" t="s">
        <v>2218</v>
      </c>
      <c r="J230" s="451">
        <v>1</v>
      </c>
      <c r="K230" s="445">
        <v>50</v>
      </c>
      <c r="L230" s="445">
        <v>50</v>
      </c>
      <c r="M230" s="445">
        <v>5</v>
      </c>
      <c r="N230" s="13">
        <v>45</v>
      </c>
      <c r="O230" s="446">
        <v>5</v>
      </c>
      <c r="P230" s="445">
        <v>95</v>
      </c>
      <c r="Q230" s="321">
        <v>6</v>
      </c>
      <c r="R230" s="23">
        <v>15</v>
      </c>
      <c r="S230" s="445">
        <v>5</v>
      </c>
      <c r="T230" s="445">
        <f t="shared" si="14"/>
        <v>95</v>
      </c>
      <c r="U230" s="447">
        <v>0.5</v>
      </c>
      <c r="V230" s="448">
        <v>2.5499999999999998</v>
      </c>
      <c r="W230" s="449">
        <v>3.3000000000000003</v>
      </c>
      <c r="X230" s="448">
        <v>2.3400000000000003</v>
      </c>
      <c r="Y230" s="448">
        <v>4.76</v>
      </c>
      <c r="Z230" s="448">
        <v>1.6</v>
      </c>
      <c r="AA230" s="448">
        <v>1.1440000000000001</v>
      </c>
      <c r="AB230" s="448">
        <v>0.13999999999999999</v>
      </c>
      <c r="AC230" s="445">
        <v>1140000</v>
      </c>
      <c r="AD230" s="450">
        <v>450</v>
      </c>
      <c r="AE230" s="445">
        <v>18000</v>
      </c>
      <c r="AF230" s="445">
        <v>500</v>
      </c>
      <c r="AG230" s="447">
        <v>1.17</v>
      </c>
      <c r="AH230" s="445">
        <v>3</v>
      </c>
      <c r="AI230" s="445">
        <v>4</v>
      </c>
      <c r="AJ230" s="445">
        <v>2</v>
      </c>
      <c r="AK230" s="445">
        <v>3</v>
      </c>
      <c r="AL230" s="2" t="s">
        <v>2260</v>
      </c>
      <c r="AM230" s="2" t="s">
        <v>2261</v>
      </c>
      <c r="AN230" s="2" t="s">
        <v>2377</v>
      </c>
      <c r="AO230" s="445">
        <v>12</v>
      </c>
      <c r="AP230" s="445">
        <v>24</v>
      </c>
      <c r="AQ230" s="445">
        <v>5</v>
      </c>
      <c r="AR230" s="445">
        <v>10</v>
      </c>
      <c r="AS230" s="445">
        <v>4</v>
      </c>
      <c r="AT230" s="445">
        <v>5</v>
      </c>
      <c r="AU230" s="445">
        <v>30</v>
      </c>
      <c r="AV230" s="445" t="str">
        <f t="shared" si="15"/>
        <v>Vàng:30000:MG01:3</v>
      </c>
      <c r="AW230" s="440">
        <v>250</v>
      </c>
      <c r="AX230" s="445">
        <v>12</v>
      </c>
      <c r="AY230" s="445">
        <v>5</v>
      </c>
      <c r="AZ230" s="450">
        <v>224</v>
      </c>
      <c r="BA230" s="31">
        <v>30000</v>
      </c>
      <c r="BB230" s="31">
        <v>3</v>
      </c>
      <c r="BC230" s="31">
        <f t="shared" si="13"/>
        <v>150000</v>
      </c>
    </row>
    <row r="231" spans="1:55" x14ac:dyDescent="0.25">
      <c r="A231" s="28" t="s">
        <v>2199</v>
      </c>
      <c r="B231" s="428">
        <v>229</v>
      </c>
      <c r="C231" s="13">
        <v>7</v>
      </c>
      <c r="D231" s="4">
        <v>19</v>
      </c>
      <c r="E231" s="451">
        <v>10800</v>
      </c>
      <c r="F231" s="445">
        <v>6</v>
      </c>
      <c r="G231" s="13">
        <v>14</v>
      </c>
      <c r="H231" s="13">
        <v>20</v>
      </c>
      <c r="I231" s="455" t="s">
        <v>2218</v>
      </c>
      <c r="J231" s="451">
        <v>1</v>
      </c>
      <c r="K231" s="445">
        <v>50</v>
      </c>
      <c r="L231" s="445">
        <v>50</v>
      </c>
      <c r="M231" s="445">
        <v>5</v>
      </c>
      <c r="N231" s="13">
        <v>45</v>
      </c>
      <c r="O231" s="446">
        <v>5</v>
      </c>
      <c r="P231" s="445">
        <v>95</v>
      </c>
      <c r="Q231" s="321">
        <v>6</v>
      </c>
      <c r="R231" s="23">
        <v>15</v>
      </c>
      <c r="S231" s="445">
        <v>5</v>
      </c>
      <c r="T231" s="445">
        <f t="shared" si="14"/>
        <v>95</v>
      </c>
      <c r="U231" s="447">
        <v>0.5</v>
      </c>
      <c r="V231" s="448">
        <v>2.5499999999999998</v>
      </c>
      <c r="W231" s="449">
        <v>3.3000000000000003</v>
      </c>
      <c r="X231" s="448">
        <v>2.3400000000000003</v>
      </c>
      <c r="Y231" s="448">
        <v>4.76</v>
      </c>
      <c r="Z231" s="448">
        <v>1.6</v>
      </c>
      <c r="AA231" s="448">
        <v>1.1440000000000001</v>
      </c>
      <c r="AB231" s="448">
        <v>0.13999999999999999</v>
      </c>
      <c r="AC231" s="445">
        <v>1145000</v>
      </c>
      <c r="AD231" s="450">
        <v>450</v>
      </c>
      <c r="AE231" s="445">
        <v>18000</v>
      </c>
      <c r="AF231" s="445">
        <v>500</v>
      </c>
      <c r="AG231" s="447">
        <v>1.17</v>
      </c>
      <c r="AH231" s="445">
        <v>3</v>
      </c>
      <c r="AI231" s="445">
        <v>4</v>
      </c>
      <c r="AJ231" s="445">
        <v>2</v>
      </c>
      <c r="AK231" s="445">
        <v>3</v>
      </c>
      <c r="AL231" s="2" t="s">
        <v>2260</v>
      </c>
      <c r="AM231" s="2" t="s">
        <v>2261</v>
      </c>
      <c r="AN231" s="2" t="s">
        <v>2377</v>
      </c>
      <c r="AO231" s="445">
        <v>12</v>
      </c>
      <c r="AP231" s="445">
        <v>24</v>
      </c>
      <c r="AQ231" s="445">
        <v>5</v>
      </c>
      <c r="AR231" s="445">
        <v>10</v>
      </c>
      <c r="AS231" s="445">
        <v>4</v>
      </c>
      <c r="AT231" s="445">
        <v>5</v>
      </c>
      <c r="AU231" s="445">
        <v>30</v>
      </c>
      <c r="AV231" s="445" t="str">
        <f t="shared" si="15"/>
        <v>Vàng:30000:MG01:3</v>
      </c>
      <c r="AW231" s="440">
        <v>250</v>
      </c>
      <c r="AX231" s="445">
        <v>12</v>
      </c>
      <c r="AY231" s="445">
        <v>5</v>
      </c>
      <c r="AZ231" s="450">
        <v>225</v>
      </c>
      <c r="BA231" s="31">
        <v>30000</v>
      </c>
      <c r="BB231" s="31">
        <v>3</v>
      </c>
      <c r="BC231" s="31">
        <f t="shared" si="13"/>
        <v>150000</v>
      </c>
    </row>
    <row r="232" spans="1:55" x14ac:dyDescent="0.25">
      <c r="A232" s="28" t="s">
        <v>2199</v>
      </c>
      <c r="B232" s="29">
        <v>230</v>
      </c>
      <c r="C232" s="13">
        <v>7</v>
      </c>
      <c r="D232" s="4">
        <v>19</v>
      </c>
      <c r="E232" s="451">
        <v>10800</v>
      </c>
      <c r="F232" s="445">
        <v>6</v>
      </c>
      <c r="G232" s="13">
        <v>14</v>
      </c>
      <c r="H232" s="13">
        <v>20</v>
      </c>
      <c r="I232" s="455" t="s">
        <v>2218</v>
      </c>
      <c r="J232" s="451">
        <v>1</v>
      </c>
      <c r="K232" s="445">
        <v>50</v>
      </c>
      <c r="L232" s="445">
        <v>50</v>
      </c>
      <c r="M232" s="445">
        <v>5</v>
      </c>
      <c r="N232" s="13">
        <v>45</v>
      </c>
      <c r="O232" s="446">
        <v>5</v>
      </c>
      <c r="P232" s="445">
        <v>95</v>
      </c>
      <c r="Q232" s="321">
        <v>6</v>
      </c>
      <c r="R232" s="23">
        <v>15</v>
      </c>
      <c r="S232" s="445">
        <v>5</v>
      </c>
      <c r="T232" s="445">
        <f t="shared" si="14"/>
        <v>95</v>
      </c>
      <c r="U232" s="447">
        <v>0.5</v>
      </c>
      <c r="V232" s="448">
        <v>2.5499999999999998</v>
      </c>
      <c r="W232" s="449">
        <v>3.3000000000000003</v>
      </c>
      <c r="X232" s="448">
        <v>2.3400000000000003</v>
      </c>
      <c r="Y232" s="448">
        <v>4.76</v>
      </c>
      <c r="Z232" s="448">
        <v>1.6</v>
      </c>
      <c r="AA232" s="448">
        <v>1.1440000000000001</v>
      </c>
      <c r="AB232" s="448">
        <v>0.13999999999999999</v>
      </c>
      <c r="AC232" s="445">
        <v>1150000</v>
      </c>
      <c r="AD232" s="450">
        <v>450</v>
      </c>
      <c r="AE232" s="445">
        <v>18000</v>
      </c>
      <c r="AF232" s="445">
        <v>500</v>
      </c>
      <c r="AG232" s="447">
        <v>1.17</v>
      </c>
      <c r="AH232" s="445">
        <v>3</v>
      </c>
      <c r="AI232" s="445">
        <v>4</v>
      </c>
      <c r="AJ232" s="445">
        <v>2</v>
      </c>
      <c r="AK232" s="445">
        <v>3</v>
      </c>
      <c r="AL232" s="2" t="s">
        <v>2260</v>
      </c>
      <c r="AM232" s="2" t="s">
        <v>2261</v>
      </c>
      <c r="AN232" s="2" t="s">
        <v>2377</v>
      </c>
      <c r="AO232" s="445">
        <v>12</v>
      </c>
      <c r="AP232" s="445">
        <v>24</v>
      </c>
      <c r="AQ232" s="445">
        <v>5</v>
      </c>
      <c r="AR232" s="445">
        <v>10</v>
      </c>
      <c r="AS232" s="445">
        <v>4</v>
      </c>
      <c r="AT232" s="445">
        <v>5</v>
      </c>
      <c r="AU232" s="445">
        <v>30</v>
      </c>
      <c r="AV232" s="445" t="str">
        <f t="shared" si="15"/>
        <v>Vàng:30000:MG01:3</v>
      </c>
      <c r="AW232" s="440">
        <v>250</v>
      </c>
      <c r="AX232" s="445">
        <v>12</v>
      </c>
      <c r="AY232" s="445">
        <v>5</v>
      </c>
      <c r="AZ232" s="450">
        <v>226</v>
      </c>
      <c r="BA232" s="31">
        <v>30000</v>
      </c>
      <c r="BB232" s="31">
        <v>3</v>
      </c>
      <c r="BC232" s="31">
        <f t="shared" si="13"/>
        <v>150000</v>
      </c>
    </row>
    <row r="233" spans="1:55" x14ac:dyDescent="0.25">
      <c r="A233" s="28" t="s">
        <v>2199</v>
      </c>
      <c r="B233" s="428">
        <v>231</v>
      </c>
      <c r="C233" s="13">
        <v>7</v>
      </c>
      <c r="D233" s="4">
        <v>19</v>
      </c>
      <c r="E233" s="451">
        <v>10800</v>
      </c>
      <c r="F233" s="445">
        <v>6</v>
      </c>
      <c r="G233" s="13">
        <v>14</v>
      </c>
      <c r="H233" s="13">
        <v>20</v>
      </c>
      <c r="I233" s="455" t="s">
        <v>2218</v>
      </c>
      <c r="J233" s="451">
        <v>1</v>
      </c>
      <c r="K233" s="445">
        <v>50</v>
      </c>
      <c r="L233" s="445">
        <v>50</v>
      </c>
      <c r="M233" s="445">
        <v>5</v>
      </c>
      <c r="N233" s="13">
        <v>45</v>
      </c>
      <c r="O233" s="446">
        <v>5</v>
      </c>
      <c r="P233" s="445">
        <v>95</v>
      </c>
      <c r="Q233" s="321">
        <v>6</v>
      </c>
      <c r="R233" s="23">
        <v>15</v>
      </c>
      <c r="S233" s="445">
        <v>5</v>
      </c>
      <c r="T233" s="445">
        <f t="shared" si="14"/>
        <v>95</v>
      </c>
      <c r="U233" s="447">
        <v>0.5</v>
      </c>
      <c r="V233" s="448">
        <v>2.5499999999999998</v>
      </c>
      <c r="W233" s="449">
        <v>3.3000000000000003</v>
      </c>
      <c r="X233" s="448">
        <v>2.3400000000000003</v>
      </c>
      <c r="Y233" s="448">
        <v>4.76</v>
      </c>
      <c r="Z233" s="448">
        <v>1.6</v>
      </c>
      <c r="AA233" s="448">
        <v>1.1440000000000001</v>
      </c>
      <c r="AB233" s="448">
        <v>0.13999999999999999</v>
      </c>
      <c r="AC233" s="445">
        <v>1155000</v>
      </c>
      <c r="AD233" s="450">
        <v>450</v>
      </c>
      <c r="AE233" s="445">
        <v>18000</v>
      </c>
      <c r="AF233" s="445">
        <v>500</v>
      </c>
      <c r="AG233" s="447">
        <v>1.17</v>
      </c>
      <c r="AH233" s="445">
        <v>3</v>
      </c>
      <c r="AI233" s="445">
        <v>4</v>
      </c>
      <c r="AJ233" s="445">
        <v>2</v>
      </c>
      <c r="AK233" s="445">
        <v>3</v>
      </c>
      <c r="AL233" s="2" t="s">
        <v>2260</v>
      </c>
      <c r="AM233" s="2" t="s">
        <v>2261</v>
      </c>
      <c r="AN233" s="2" t="s">
        <v>2377</v>
      </c>
      <c r="AO233" s="445">
        <v>12</v>
      </c>
      <c r="AP233" s="445">
        <v>24</v>
      </c>
      <c r="AQ233" s="445">
        <v>5</v>
      </c>
      <c r="AR233" s="445">
        <v>10</v>
      </c>
      <c r="AS233" s="445">
        <v>4</v>
      </c>
      <c r="AT233" s="445">
        <v>5</v>
      </c>
      <c r="AU233" s="445">
        <v>30</v>
      </c>
      <c r="AV233" s="445" t="str">
        <f t="shared" si="15"/>
        <v>Vàng:30000:MG01:3</v>
      </c>
      <c r="AW233" s="440">
        <v>250</v>
      </c>
      <c r="AX233" s="445">
        <v>12</v>
      </c>
      <c r="AY233" s="445">
        <v>5</v>
      </c>
      <c r="AZ233" s="450">
        <v>227</v>
      </c>
      <c r="BA233" s="31">
        <v>30000</v>
      </c>
      <c r="BB233" s="31">
        <v>3</v>
      </c>
      <c r="BC233" s="31">
        <f t="shared" si="13"/>
        <v>150000</v>
      </c>
    </row>
    <row r="234" spans="1:55" x14ac:dyDescent="0.25">
      <c r="A234" s="28" t="s">
        <v>2199</v>
      </c>
      <c r="B234" s="29">
        <v>232</v>
      </c>
      <c r="C234" s="13">
        <v>7</v>
      </c>
      <c r="D234" s="4">
        <v>19</v>
      </c>
      <c r="E234" s="451">
        <v>10800</v>
      </c>
      <c r="F234" s="445">
        <v>6</v>
      </c>
      <c r="G234" s="13">
        <v>14</v>
      </c>
      <c r="H234" s="13">
        <v>20</v>
      </c>
      <c r="I234" s="455" t="s">
        <v>2218</v>
      </c>
      <c r="J234" s="451">
        <v>1</v>
      </c>
      <c r="K234" s="445">
        <v>50</v>
      </c>
      <c r="L234" s="445">
        <v>50</v>
      </c>
      <c r="M234" s="445">
        <v>5</v>
      </c>
      <c r="N234" s="13">
        <v>45</v>
      </c>
      <c r="O234" s="446">
        <v>5</v>
      </c>
      <c r="P234" s="445">
        <v>95</v>
      </c>
      <c r="Q234" s="321">
        <v>6</v>
      </c>
      <c r="R234" s="23">
        <v>15</v>
      </c>
      <c r="S234" s="445">
        <v>5</v>
      </c>
      <c r="T234" s="445">
        <f t="shared" si="14"/>
        <v>95</v>
      </c>
      <c r="U234" s="447">
        <v>0.5</v>
      </c>
      <c r="V234" s="448">
        <v>2.5499999999999998</v>
      </c>
      <c r="W234" s="449">
        <v>3.3000000000000003</v>
      </c>
      <c r="X234" s="448">
        <v>2.3400000000000003</v>
      </c>
      <c r="Y234" s="448">
        <v>4.76</v>
      </c>
      <c r="Z234" s="448">
        <v>1.6</v>
      </c>
      <c r="AA234" s="448">
        <v>1.1440000000000001</v>
      </c>
      <c r="AB234" s="448">
        <v>0.13999999999999999</v>
      </c>
      <c r="AC234" s="445">
        <v>1160000</v>
      </c>
      <c r="AD234" s="450">
        <v>450</v>
      </c>
      <c r="AE234" s="445">
        <v>18000</v>
      </c>
      <c r="AF234" s="445">
        <v>500</v>
      </c>
      <c r="AG234" s="447">
        <v>1.17</v>
      </c>
      <c r="AH234" s="445">
        <v>3</v>
      </c>
      <c r="AI234" s="445">
        <v>4</v>
      </c>
      <c r="AJ234" s="445">
        <v>2</v>
      </c>
      <c r="AK234" s="445">
        <v>3</v>
      </c>
      <c r="AL234" s="2" t="s">
        <v>2260</v>
      </c>
      <c r="AM234" s="2" t="s">
        <v>2261</v>
      </c>
      <c r="AN234" s="2" t="s">
        <v>2377</v>
      </c>
      <c r="AO234" s="445">
        <v>12</v>
      </c>
      <c r="AP234" s="445">
        <v>24</v>
      </c>
      <c r="AQ234" s="445">
        <v>5</v>
      </c>
      <c r="AR234" s="445">
        <v>10</v>
      </c>
      <c r="AS234" s="445">
        <v>4</v>
      </c>
      <c r="AT234" s="445">
        <v>5</v>
      </c>
      <c r="AU234" s="445">
        <v>30</v>
      </c>
      <c r="AV234" s="445" t="str">
        <f t="shared" si="15"/>
        <v>Vàng:30000:MG01:3</v>
      </c>
      <c r="AW234" s="440">
        <v>250</v>
      </c>
      <c r="AX234" s="445">
        <v>12</v>
      </c>
      <c r="AY234" s="445">
        <v>5</v>
      </c>
      <c r="AZ234" s="450">
        <v>228</v>
      </c>
      <c r="BA234" s="31">
        <v>30000</v>
      </c>
      <c r="BB234" s="31">
        <v>3</v>
      </c>
      <c r="BC234" s="31">
        <f t="shared" si="13"/>
        <v>150000</v>
      </c>
    </row>
    <row r="235" spans="1:55" x14ac:dyDescent="0.25">
      <c r="A235" s="28" t="s">
        <v>2199</v>
      </c>
      <c r="B235" s="428">
        <v>233</v>
      </c>
      <c r="C235" s="13">
        <v>7</v>
      </c>
      <c r="D235" s="4">
        <v>19</v>
      </c>
      <c r="E235" s="451">
        <v>10800</v>
      </c>
      <c r="F235" s="445">
        <v>6</v>
      </c>
      <c r="G235" s="13">
        <v>14</v>
      </c>
      <c r="H235" s="13">
        <v>20</v>
      </c>
      <c r="I235" s="455" t="s">
        <v>2218</v>
      </c>
      <c r="J235" s="451">
        <v>1</v>
      </c>
      <c r="K235" s="445">
        <v>50</v>
      </c>
      <c r="L235" s="445">
        <v>50</v>
      </c>
      <c r="M235" s="445">
        <v>5</v>
      </c>
      <c r="N235" s="13">
        <v>45</v>
      </c>
      <c r="O235" s="446">
        <v>5</v>
      </c>
      <c r="P235" s="445">
        <v>95</v>
      </c>
      <c r="Q235" s="321">
        <v>6</v>
      </c>
      <c r="R235" s="23">
        <v>15</v>
      </c>
      <c r="S235" s="445">
        <v>5</v>
      </c>
      <c r="T235" s="445">
        <f t="shared" si="14"/>
        <v>95</v>
      </c>
      <c r="U235" s="447">
        <v>0.5</v>
      </c>
      <c r="V235" s="448">
        <v>2.5499999999999998</v>
      </c>
      <c r="W235" s="449">
        <v>3.3000000000000003</v>
      </c>
      <c r="X235" s="448">
        <v>2.3400000000000003</v>
      </c>
      <c r="Y235" s="448">
        <v>4.76</v>
      </c>
      <c r="Z235" s="448">
        <v>1.6</v>
      </c>
      <c r="AA235" s="448">
        <v>1.1440000000000001</v>
      </c>
      <c r="AB235" s="448">
        <v>0.13999999999999999</v>
      </c>
      <c r="AC235" s="445">
        <v>1165000</v>
      </c>
      <c r="AD235" s="450">
        <v>450</v>
      </c>
      <c r="AE235" s="445">
        <v>18000</v>
      </c>
      <c r="AF235" s="445">
        <v>500</v>
      </c>
      <c r="AG235" s="447">
        <v>1.17</v>
      </c>
      <c r="AH235" s="445">
        <v>3</v>
      </c>
      <c r="AI235" s="445">
        <v>4</v>
      </c>
      <c r="AJ235" s="445">
        <v>2</v>
      </c>
      <c r="AK235" s="445">
        <v>3</v>
      </c>
      <c r="AL235" s="2" t="s">
        <v>2260</v>
      </c>
      <c r="AM235" s="2" t="s">
        <v>2261</v>
      </c>
      <c r="AN235" s="2" t="s">
        <v>2377</v>
      </c>
      <c r="AO235" s="445">
        <v>12</v>
      </c>
      <c r="AP235" s="445">
        <v>24</v>
      </c>
      <c r="AQ235" s="445">
        <v>5</v>
      </c>
      <c r="AR235" s="445">
        <v>10</v>
      </c>
      <c r="AS235" s="445">
        <v>4</v>
      </c>
      <c r="AT235" s="445">
        <v>5</v>
      </c>
      <c r="AU235" s="445">
        <v>30</v>
      </c>
      <c r="AV235" s="445" t="str">
        <f t="shared" si="15"/>
        <v>Vàng:30000:MG01:3</v>
      </c>
      <c r="AW235" s="440">
        <v>250</v>
      </c>
      <c r="AX235" s="445">
        <v>12</v>
      </c>
      <c r="AY235" s="445">
        <v>5</v>
      </c>
      <c r="AZ235" s="450">
        <v>229</v>
      </c>
      <c r="BA235" s="31">
        <v>30000</v>
      </c>
      <c r="BB235" s="31">
        <v>3</v>
      </c>
      <c r="BC235" s="31">
        <f t="shared" si="13"/>
        <v>150000</v>
      </c>
    </row>
    <row r="236" spans="1:55" x14ac:dyDescent="0.25">
      <c r="A236" s="28" t="s">
        <v>2199</v>
      </c>
      <c r="B236" s="29">
        <v>234</v>
      </c>
      <c r="C236" s="13">
        <v>7</v>
      </c>
      <c r="D236" s="4">
        <v>19</v>
      </c>
      <c r="E236" s="451">
        <v>10800</v>
      </c>
      <c r="F236" s="445">
        <v>6</v>
      </c>
      <c r="G236" s="13">
        <v>14</v>
      </c>
      <c r="H236" s="13">
        <v>20</v>
      </c>
      <c r="I236" s="455" t="s">
        <v>2218</v>
      </c>
      <c r="J236" s="451">
        <v>1</v>
      </c>
      <c r="K236" s="445">
        <v>50</v>
      </c>
      <c r="L236" s="445">
        <v>50</v>
      </c>
      <c r="M236" s="445">
        <v>5</v>
      </c>
      <c r="N236" s="13">
        <v>45</v>
      </c>
      <c r="O236" s="446">
        <v>5</v>
      </c>
      <c r="P236" s="445">
        <v>95</v>
      </c>
      <c r="Q236" s="321">
        <v>6</v>
      </c>
      <c r="R236" s="23">
        <v>15</v>
      </c>
      <c r="S236" s="445">
        <v>5</v>
      </c>
      <c r="T236" s="445">
        <f t="shared" si="14"/>
        <v>95</v>
      </c>
      <c r="U236" s="447">
        <v>0.5</v>
      </c>
      <c r="V236" s="448">
        <v>2.5499999999999998</v>
      </c>
      <c r="W236" s="449">
        <v>3.3000000000000003</v>
      </c>
      <c r="X236" s="448">
        <v>2.3400000000000003</v>
      </c>
      <c r="Y236" s="448">
        <v>4.76</v>
      </c>
      <c r="Z236" s="448">
        <v>1.6</v>
      </c>
      <c r="AA236" s="448">
        <v>1.1440000000000001</v>
      </c>
      <c r="AB236" s="448">
        <v>0.13999999999999999</v>
      </c>
      <c r="AC236" s="445">
        <v>1170000</v>
      </c>
      <c r="AD236" s="450">
        <v>450</v>
      </c>
      <c r="AE236" s="445">
        <v>18000</v>
      </c>
      <c r="AF236" s="445">
        <v>500</v>
      </c>
      <c r="AG236" s="447">
        <v>1.17</v>
      </c>
      <c r="AH236" s="445">
        <v>3</v>
      </c>
      <c r="AI236" s="445">
        <v>4</v>
      </c>
      <c r="AJ236" s="445">
        <v>2</v>
      </c>
      <c r="AK236" s="445">
        <v>3</v>
      </c>
      <c r="AL236" s="2" t="s">
        <v>2260</v>
      </c>
      <c r="AM236" s="2" t="s">
        <v>2261</v>
      </c>
      <c r="AN236" s="2" t="s">
        <v>2377</v>
      </c>
      <c r="AO236" s="445">
        <v>12</v>
      </c>
      <c r="AP236" s="445">
        <v>24</v>
      </c>
      <c r="AQ236" s="445">
        <v>5</v>
      </c>
      <c r="AR236" s="445">
        <v>10</v>
      </c>
      <c r="AS236" s="445">
        <v>4</v>
      </c>
      <c r="AT236" s="445">
        <v>5</v>
      </c>
      <c r="AU236" s="445">
        <v>30</v>
      </c>
      <c r="AV236" s="445" t="str">
        <f t="shared" si="15"/>
        <v>Vàng:30000:MG01:3</v>
      </c>
      <c r="AW236" s="440">
        <v>250</v>
      </c>
      <c r="AX236" s="445">
        <v>12</v>
      </c>
      <c r="AY236" s="445">
        <v>5</v>
      </c>
      <c r="AZ236" s="450">
        <v>230</v>
      </c>
      <c r="BA236" s="31">
        <v>30000</v>
      </c>
      <c r="BB236" s="31">
        <v>3</v>
      </c>
      <c r="BC236" s="31">
        <f t="shared" si="13"/>
        <v>150000</v>
      </c>
    </row>
    <row r="237" spans="1:55" x14ac:dyDescent="0.25">
      <c r="A237" s="28" t="s">
        <v>2199</v>
      </c>
      <c r="B237" s="428">
        <v>235</v>
      </c>
      <c r="C237" s="13">
        <v>7</v>
      </c>
      <c r="D237" s="4">
        <v>19</v>
      </c>
      <c r="E237" s="451">
        <v>10800</v>
      </c>
      <c r="F237" s="445">
        <v>6</v>
      </c>
      <c r="G237" s="13">
        <v>14</v>
      </c>
      <c r="H237" s="13">
        <v>20</v>
      </c>
      <c r="I237" s="455" t="s">
        <v>2218</v>
      </c>
      <c r="J237" s="451">
        <v>1</v>
      </c>
      <c r="K237" s="445">
        <v>50</v>
      </c>
      <c r="L237" s="445">
        <v>50</v>
      </c>
      <c r="M237" s="445">
        <v>5</v>
      </c>
      <c r="N237" s="13">
        <v>45</v>
      </c>
      <c r="O237" s="446">
        <v>5</v>
      </c>
      <c r="P237" s="445">
        <v>95</v>
      </c>
      <c r="Q237" s="321">
        <v>6</v>
      </c>
      <c r="R237" s="23">
        <v>15</v>
      </c>
      <c r="S237" s="445">
        <v>5</v>
      </c>
      <c r="T237" s="445">
        <f t="shared" si="14"/>
        <v>95</v>
      </c>
      <c r="U237" s="447">
        <v>0.5</v>
      </c>
      <c r="V237" s="448">
        <v>2.5499999999999998</v>
      </c>
      <c r="W237" s="449">
        <v>3.3000000000000003</v>
      </c>
      <c r="X237" s="448">
        <v>2.3400000000000003</v>
      </c>
      <c r="Y237" s="448">
        <v>4.76</v>
      </c>
      <c r="Z237" s="448">
        <v>1.6</v>
      </c>
      <c r="AA237" s="448">
        <v>1.1440000000000001</v>
      </c>
      <c r="AB237" s="448">
        <v>0.13999999999999999</v>
      </c>
      <c r="AC237" s="445">
        <v>1175000</v>
      </c>
      <c r="AD237" s="450">
        <v>450</v>
      </c>
      <c r="AE237" s="445">
        <v>18000</v>
      </c>
      <c r="AF237" s="445">
        <v>500</v>
      </c>
      <c r="AG237" s="447">
        <v>1.17</v>
      </c>
      <c r="AH237" s="445">
        <v>3</v>
      </c>
      <c r="AI237" s="445">
        <v>4</v>
      </c>
      <c r="AJ237" s="445">
        <v>2</v>
      </c>
      <c r="AK237" s="445">
        <v>3</v>
      </c>
      <c r="AL237" s="2" t="s">
        <v>2260</v>
      </c>
      <c r="AM237" s="2" t="s">
        <v>2261</v>
      </c>
      <c r="AN237" s="2" t="s">
        <v>2377</v>
      </c>
      <c r="AO237" s="445">
        <v>12</v>
      </c>
      <c r="AP237" s="445">
        <v>24</v>
      </c>
      <c r="AQ237" s="445">
        <v>5</v>
      </c>
      <c r="AR237" s="445">
        <v>10</v>
      </c>
      <c r="AS237" s="445">
        <v>4</v>
      </c>
      <c r="AT237" s="445">
        <v>5</v>
      </c>
      <c r="AU237" s="445">
        <v>30</v>
      </c>
      <c r="AV237" s="445" t="str">
        <f t="shared" si="15"/>
        <v>Vàng:30000:MG01:3</v>
      </c>
      <c r="AW237" s="440">
        <v>250</v>
      </c>
      <c r="AX237" s="445">
        <v>12</v>
      </c>
      <c r="AY237" s="445">
        <v>5</v>
      </c>
      <c r="AZ237" s="450">
        <v>231</v>
      </c>
      <c r="BA237" s="31">
        <v>30000</v>
      </c>
      <c r="BB237" s="31">
        <v>3</v>
      </c>
      <c r="BC237" s="31">
        <f t="shared" si="13"/>
        <v>150000</v>
      </c>
    </row>
    <row r="238" spans="1:55" x14ac:dyDescent="0.25">
      <c r="A238" s="28" t="s">
        <v>2199</v>
      </c>
      <c r="B238" s="29">
        <v>236</v>
      </c>
      <c r="C238" s="13">
        <v>7</v>
      </c>
      <c r="D238" s="4">
        <v>19</v>
      </c>
      <c r="E238" s="451">
        <v>10800</v>
      </c>
      <c r="F238" s="445">
        <v>6</v>
      </c>
      <c r="G238" s="13">
        <v>14</v>
      </c>
      <c r="H238" s="13">
        <v>20</v>
      </c>
      <c r="I238" s="455" t="s">
        <v>2218</v>
      </c>
      <c r="J238" s="451">
        <v>1</v>
      </c>
      <c r="K238" s="445">
        <v>50</v>
      </c>
      <c r="L238" s="445">
        <v>50</v>
      </c>
      <c r="M238" s="445">
        <v>5</v>
      </c>
      <c r="N238" s="13">
        <v>45</v>
      </c>
      <c r="O238" s="446">
        <v>5</v>
      </c>
      <c r="P238" s="445">
        <v>95</v>
      </c>
      <c r="Q238" s="321">
        <v>6</v>
      </c>
      <c r="R238" s="23">
        <v>15</v>
      </c>
      <c r="S238" s="445">
        <v>5</v>
      </c>
      <c r="T238" s="445">
        <f t="shared" si="14"/>
        <v>95</v>
      </c>
      <c r="U238" s="447">
        <v>0.5</v>
      </c>
      <c r="V238" s="448">
        <v>2.5499999999999998</v>
      </c>
      <c r="W238" s="449">
        <v>3.3000000000000003</v>
      </c>
      <c r="X238" s="448">
        <v>2.3400000000000003</v>
      </c>
      <c r="Y238" s="448">
        <v>4.76</v>
      </c>
      <c r="Z238" s="448">
        <v>1.6</v>
      </c>
      <c r="AA238" s="448">
        <v>1.1440000000000001</v>
      </c>
      <c r="AB238" s="448">
        <v>0.13999999999999999</v>
      </c>
      <c r="AC238" s="445">
        <v>1180000</v>
      </c>
      <c r="AD238" s="450">
        <v>450</v>
      </c>
      <c r="AE238" s="445">
        <v>18000</v>
      </c>
      <c r="AF238" s="445">
        <v>500</v>
      </c>
      <c r="AG238" s="447">
        <v>1.17</v>
      </c>
      <c r="AH238" s="445">
        <v>3</v>
      </c>
      <c r="AI238" s="445">
        <v>4</v>
      </c>
      <c r="AJ238" s="445">
        <v>2</v>
      </c>
      <c r="AK238" s="445">
        <v>3</v>
      </c>
      <c r="AL238" s="2" t="s">
        <v>2260</v>
      </c>
      <c r="AM238" s="2" t="s">
        <v>2261</v>
      </c>
      <c r="AN238" s="2" t="s">
        <v>2377</v>
      </c>
      <c r="AO238" s="445">
        <v>12</v>
      </c>
      <c r="AP238" s="445">
        <v>24</v>
      </c>
      <c r="AQ238" s="445">
        <v>5</v>
      </c>
      <c r="AR238" s="445">
        <v>10</v>
      </c>
      <c r="AS238" s="445">
        <v>4</v>
      </c>
      <c r="AT238" s="445">
        <v>5</v>
      </c>
      <c r="AU238" s="445">
        <v>30</v>
      </c>
      <c r="AV238" s="445" t="str">
        <f t="shared" si="15"/>
        <v>Vàng:30000:MG01:3</v>
      </c>
      <c r="AW238" s="440">
        <v>250</v>
      </c>
      <c r="AX238" s="445">
        <v>12</v>
      </c>
      <c r="AY238" s="445">
        <v>5</v>
      </c>
      <c r="AZ238" s="450">
        <v>232</v>
      </c>
      <c r="BA238" s="31">
        <v>30000</v>
      </c>
      <c r="BB238" s="31">
        <v>3</v>
      </c>
      <c r="BC238" s="31">
        <f t="shared" si="13"/>
        <v>150000</v>
      </c>
    </row>
    <row r="239" spans="1:55" x14ac:dyDescent="0.25">
      <c r="A239" s="28" t="s">
        <v>2199</v>
      </c>
      <c r="B239" s="428">
        <v>237</v>
      </c>
      <c r="C239" s="13">
        <v>7</v>
      </c>
      <c r="D239" s="4">
        <v>19</v>
      </c>
      <c r="E239" s="451">
        <v>10800</v>
      </c>
      <c r="F239" s="445">
        <v>6</v>
      </c>
      <c r="G239" s="13">
        <v>14</v>
      </c>
      <c r="H239" s="13">
        <v>20</v>
      </c>
      <c r="I239" s="455" t="s">
        <v>2218</v>
      </c>
      <c r="J239" s="451">
        <v>1</v>
      </c>
      <c r="K239" s="445">
        <v>50</v>
      </c>
      <c r="L239" s="445">
        <v>50</v>
      </c>
      <c r="M239" s="445">
        <v>5</v>
      </c>
      <c r="N239" s="13">
        <v>45</v>
      </c>
      <c r="O239" s="446">
        <v>5</v>
      </c>
      <c r="P239" s="445">
        <v>95</v>
      </c>
      <c r="Q239" s="321">
        <v>6</v>
      </c>
      <c r="R239" s="23">
        <v>15</v>
      </c>
      <c r="S239" s="445">
        <v>5</v>
      </c>
      <c r="T239" s="445">
        <f t="shared" si="14"/>
        <v>95</v>
      </c>
      <c r="U239" s="447">
        <v>0.5</v>
      </c>
      <c r="V239" s="448">
        <v>2.5499999999999998</v>
      </c>
      <c r="W239" s="449">
        <v>3.3000000000000003</v>
      </c>
      <c r="X239" s="448">
        <v>2.3400000000000003</v>
      </c>
      <c r="Y239" s="448">
        <v>4.76</v>
      </c>
      <c r="Z239" s="448">
        <v>1.6</v>
      </c>
      <c r="AA239" s="448">
        <v>1.1440000000000001</v>
      </c>
      <c r="AB239" s="448">
        <v>0.13999999999999999</v>
      </c>
      <c r="AC239" s="445">
        <v>1185000</v>
      </c>
      <c r="AD239" s="450">
        <v>450</v>
      </c>
      <c r="AE239" s="445">
        <v>18000</v>
      </c>
      <c r="AF239" s="445">
        <v>500</v>
      </c>
      <c r="AG239" s="447">
        <v>1.17</v>
      </c>
      <c r="AH239" s="445">
        <v>3</v>
      </c>
      <c r="AI239" s="445">
        <v>4</v>
      </c>
      <c r="AJ239" s="445">
        <v>2</v>
      </c>
      <c r="AK239" s="445">
        <v>3</v>
      </c>
      <c r="AL239" s="2" t="s">
        <v>2260</v>
      </c>
      <c r="AM239" s="2" t="s">
        <v>2261</v>
      </c>
      <c r="AN239" s="2" t="s">
        <v>2377</v>
      </c>
      <c r="AO239" s="445">
        <v>12</v>
      </c>
      <c r="AP239" s="445">
        <v>24</v>
      </c>
      <c r="AQ239" s="445">
        <v>5</v>
      </c>
      <c r="AR239" s="445">
        <v>10</v>
      </c>
      <c r="AS239" s="445">
        <v>4</v>
      </c>
      <c r="AT239" s="445">
        <v>5</v>
      </c>
      <c r="AU239" s="445">
        <v>30</v>
      </c>
      <c r="AV239" s="445" t="str">
        <f t="shared" si="15"/>
        <v>Vàng:30000:MG01:3</v>
      </c>
      <c r="AW239" s="440">
        <v>250</v>
      </c>
      <c r="AX239" s="445">
        <v>12</v>
      </c>
      <c r="AY239" s="445">
        <v>5</v>
      </c>
      <c r="AZ239" s="450">
        <v>233</v>
      </c>
      <c r="BA239" s="31">
        <v>30000</v>
      </c>
      <c r="BB239" s="31">
        <v>3</v>
      </c>
      <c r="BC239" s="31">
        <f t="shared" si="13"/>
        <v>150000</v>
      </c>
    </row>
    <row r="240" spans="1:55" x14ac:dyDescent="0.25">
      <c r="A240" s="28" t="s">
        <v>2199</v>
      </c>
      <c r="B240" s="29">
        <v>238</v>
      </c>
      <c r="C240" s="13">
        <v>7</v>
      </c>
      <c r="D240" s="4">
        <v>19</v>
      </c>
      <c r="E240" s="451">
        <v>10800</v>
      </c>
      <c r="F240" s="445">
        <v>6</v>
      </c>
      <c r="G240" s="13">
        <v>14</v>
      </c>
      <c r="H240" s="13">
        <v>20</v>
      </c>
      <c r="I240" s="455" t="s">
        <v>2218</v>
      </c>
      <c r="J240" s="451">
        <v>1</v>
      </c>
      <c r="K240" s="445">
        <v>50</v>
      </c>
      <c r="L240" s="445">
        <v>50</v>
      </c>
      <c r="M240" s="445">
        <v>5</v>
      </c>
      <c r="N240" s="13">
        <v>45</v>
      </c>
      <c r="O240" s="446">
        <v>5</v>
      </c>
      <c r="P240" s="445">
        <v>95</v>
      </c>
      <c r="Q240" s="321">
        <v>6</v>
      </c>
      <c r="R240" s="23">
        <v>15</v>
      </c>
      <c r="S240" s="445">
        <v>5</v>
      </c>
      <c r="T240" s="445">
        <f t="shared" si="14"/>
        <v>95</v>
      </c>
      <c r="U240" s="447">
        <v>0.5</v>
      </c>
      <c r="V240" s="448">
        <v>2.5499999999999998</v>
      </c>
      <c r="W240" s="449">
        <v>3.3000000000000003</v>
      </c>
      <c r="X240" s="448">
        <v>2.3400000000000003</v>
      </c>
      <c r="Y240" s="448">
        <v>4.76</v>
      </c>
      <c r="Z240" s="448">
        <v>1.6</v>
      </c>
      <c r="AA240" s="448">
        <v>1.1440000000000001</v>
      </c>
      <c r="AB240" s="448">
        <v>0.13999999999999999</v>
      </c>
      <c r="AC240" s="445">
        <v>1190000</v>
      </c>
      <c r="AD240" s="450">
        <v>450</v>
      </c>
      <c r="AE240" s="445">
        <v>18000</v>
      </c>
      <c r="AF240" s="445">
        <v>500</v>
      </c>
      <c r="AG240" s="447">
        <v>1.17</v>
      </c>
      <c r="AH240" s="445">
        <v>3</v>
      </c>
      <c r="AI240" s="445">
        <v>4</v>
      </c>
      <c r="AJ240" s="445">
        <v>2</v>
      </c>
      <c r="AK240" s="445">
        <v>3</v>
      </c>
      <c r="AL240" s="2" t="s">
        <v>2260</v>
      </c>
      <c r="AM240" s="2" t="s">
        <v>2261</v>
      </c>
      <c r="AN240" s="2" t="s">
        <v>2377</v>
      </c>
      <c r="AO240" s="445">
        <v>12</v>
      </c>
      <c r="AP240" s="445">
        <v>24</v>
      </c>
      <c r="AQ240" s="445">
        <v>5</v>
      </c>
      <c r="AR240" s="445">
        <v>10</v>
      </c>
      <c r="AS240" s="445">
        <v>4</v>
      </c>
      <c r="AT240" s="445">
        <v>5</v>
      </c>
      <c r="AU240" s="445">
        <v>30</v>
      </c>
      <c r="AV240" s="445" t="str">
        <f t="shared" si="15"/>
        <v>Vàng:30000:MG01:3</v>
      </c>
      <c r="AW240" s="440">
        <v>250</v>
      </c>
      <c r="AX240" s="445">
        <v>12</v>
      </c>
      <c r="AY240" s="445">
        <v>5</v>
      </c>
      <c r="AZ240" s="450">
        <v>234</v>
      </c>
      <c r="BA240" s="31">
        <v>30000</v>
      </c>
      <c r="BB240" s="31">
        <v>3</v>
      </c>
      <c r="BC240" s="31">
        <f t="shared" si="13"/>
        <v>150000</v>
      </c>
    </row>
    <row r="241" spans="1:55" x14ac:dyDescent="0.25">
      <c r="A241" s="28" t="s">
        <v>2199</v>
      </c>
      <c r="B241" s="428">
        <v>239</v>
      </c>
      <c r="C241" s="13">
        <v>7</v>
      </c>
      <c r="D241" s="4">
        <v>19</v>
      </c>
      <c r="E241" s="451">
        <v>10800</v>
      </c>
      <c r="F241" s="445">
        <v>6</v>
      </c>
      <c r="G241" s="13">
        <v>14</v>
      </c>
      <c r="H241" s="13">
        <v>20</v>
      </c>
      <c r="I241" s="455" t="s">
        <v>2218</v>
      </c>
      <c r="J241" s="451">
        <v>1</v>
      </c>
      <c r="K241" s="445">
        <v>50</v>
      </c>
      <c r="L241" s="445">
        <v>50</v>
      </c>
      <c r="M241" s="445">
        <v>5</v>
      </c>
      <c r="N241" s="13">
        <v>45</v>
      </c>
      <c r="O241" s="446">
        <v>5</v>
      </c>
      <c r="P241" s="445">
        <v>95</v>
      </c>
      <c r="Q241" s="321">
        <v>6</v>
      </c>
      <c r="R241" s="23">
        <v>15</v>
      </c>
      <c r="S241" s="445">
        <v>5</v>
      </c>
      <c r="T241" s="445">
        <f t="shared" si="14"/>
        <v>95</v>
      </c>
      <c r="U241" s="447">
        <v>0.5</v>
      </c>
      <c r="V241" s="448">
        <v>2.5499999999999998</v>
      </c>
      <c r="W241" s="449">
        <v>3.3000000000000003</v>
      </c>
      <c r="X241" s="448">
        <v>2.3400000000000003</v>
      </c>
      <c r="Y241" s="448">
        <v>4.76</v>
      </c>
      <c r="Z241" s="448">
        <v>1.6</v>
      </c>
      <c r="AA241" s="448">
        <v>1.1440000000000001</v>
      </c>
      <c r="AB241" s="448">
        <v>0.13999999999999999</v>
      </c>
      <c r="AC241" s="445">
        <v>1195000</v>
      </c>
      <c r="AD241" s="450">
        <v>450</v>
      </c>
      <c r="AE241" s="445">
        <v>18000</v>
      </c>
      <c r="AF241" s="445">
        <v>500</v>
      </c>
      <c r="AG241" s="447">
        <v>1.17</v>
      </c>
      <c r="AH241" s="445">
        <v>3</v>
      </c>
      <c r="AI241" s="445">
        <v>4</v>
      </c>
      <c r="AJ241" s="445">
        <v>2</v>
      </c>
      <c r="AK241" s="445">
        <v>3</v>
      </c>
      <c r="AL241" s="2" t="s">
        <v>2260</v>
      </c>
      <c r="AM241" s="2" t="s">
        <v>2261</v>
      </c>
      <c r="AN241" s="2" t="s">
        <v>2377</v>
      </c>
      <c r="AO241" s="445">
        <v>12</v>
      </c>
      <c r="AP241" s="445">
        <v>24</v>
      </c>
      <c r="AQ241" s="445">
        <v>5</v>
      </c>
      <c r="AR241" s="445">
        <v>10</v>
      </c>
      <c r="AS241" s="445">
        <v>4</v>
      </c>
      <c r="AT241" s="445">
        <v>5</v>
      </c>
      <c r="AU241" s="445">
        <v>30</v>
      </c>
      <c r="AV241" s="445" t="str">
        <f t="shared" si="15"/>
        <v>Vàng:30000:MG01:3</v>
      </c>
      <c r="AW241" s="440">
        <v>250</v>
      </c>
      <c r="AX241" s="445">
        <v>12</v>
      </c>
      <c r="AY241" s="445">
        <v>5</v>
      </c>
      <c r="AZ241" s="450">
        <v>235</v>
      </c>
      <c r="BA241" s="31">
        <v>30000</v>
      </c>
      <c r="BB241" s="31">
        <v>3</v>
      </c>
      <c r="BC241" s="31">
        <f t="shared" si="13"/>
        <v>150000</v>
      </c>
    </row>
    <row r="242" spans="1:55" x14ac:dyDescent="0.25">
      <c r="A242" s="28" t="s">
        <v>2199</v>
      </c>
      <c r="B242" s="29">
        <v>240</v>
      </c>
      <c r="C242" s="13">
        <v>7</v>
      </c>
      <c r="D242" s="4">
        <v>19</v>
      </c>
      <c r="E242" s="451">
        <v>10800</v>
      </c>
      <c r="F242" s="445">
        <v>6</v>
      </c>
      <c r="G242" s="13">
        <v>14</v>
      </c>
      <c r="H242" s="13">
        <v>20</v>
      </c>
      <c r="I242" s="455" t="s">
        <v>2218</v>
      </c>
      <c r="J242" s="451">
        <v>1</v>
      </c>
      <c r="K242" s="445">
        <v>50</v>
      </c>
      <c r="L242" s="445">
        <v>50</v>
      </c>
      <c r="M242" s="445">
        <v>5</v>
      </c>
      <c r="N242" s="13">
        <v>45</v>
      </c>
      <c r="O242" s="446">
        <v>5</v>
      </c>
      <c r="P242" s="445">
        <v>95</v>
      </c>
      <c r="Q242" s="321">
        <v>6</v>
      </c>
      <c r="R242" s="23">
        <v>15</v>
      </c>
      <c r="S242" s="445">
        <v>5</v>
      </c>
      <c r="T242" s="445">
        <f t="shared" si="14"/>
        <v>95</v>
      </c>
      <c r="U242" s="447">
        <v>0.5</v>
      </c>
      <c r="V242" s="448">
        <v>2.5499999999999998</v>
      </c>
      <c r="W242" s="449">
        <v>3.3000000000000003</v>
      </c>
      <c r="X242" s="448">
        <v>2.3400000000000003</v>
      </c>
      <c r="Y242" s="448">
        <v>4.76</v>
      </c>
      <c r="Z242" s="448">
        <v>1.6</v>
      </c>
      <c r="AA242" s="448">
        <v>1.1440000000000001</v>
      </c>
      <c r="AB242" s="448">
        <v>0.13999999999999999</v>
      </c>
      <c r="AC242" s="445">
        <v>1200000</v>
      </c>
      <c r="AD242" s="450">
        <v>450</v>
      </c>
      <c r="AE242" s="445">
        <v>18000</v>
      </c>
      <c r="AF242" s="445">
        <v>500</v>
      </c>
      <c r="AG242" s="447">
        <v>1.17</v>
      </c>
      <c r="AH242" s="445">
        <v>3</v>
      </c>
      <c r="AI242" s="445">
        <v>4</v>
      </c>
      <c r="AJ242" s="445">
        <v>2</v>
      </c>
      <c r="AK242" s="445">
        <v>3</v>
      </c>
      <c r="AL242" s="2" t="s">
        <v>2260</v>
      </c>
      <c r="AM242" s="2" t="s">
        <v>2261</v>
      </c>
      <c r="AN242" s="2" t="s">
        <v>2377</v>
      </c>
      <c r="AO242" s="445">
        <v>12</v>
      </c>
      <c r="AP242" s="445">
        <v>24</v>
      </c>
      <c r="AQ242" s="445">
        <v>5</v>
      </c>
      <c r="AR242" s="445">
        <v>10</v>
      </c>
      <c r="AS242" s="445">
        <v>4</v>
      </c>
      <c r="AT242" s="445">
        <v>5</v>
      </c>
      <c r="AU242" s="445">
        <v>30</v>
      </c>
      <c r="AV242" s="445" t="str">
        <f t="shared" si="15"/>
        <v>Vàng:30000:MG01:3</v>
      </c>
      <c r="AW242" s="440">
        <v>250</v>
      </c>
      <c r="AX242" s="445">
        <v>12</v>
      </c>
      <c r="AY242" s="445">
        <v>5</v>
      </c>
      <c r="AZ242" s="450">
        <v>236</v>
      </c>
      <c r="BA242" s="31">
        <v>30000</v>
      </c>
      <c r="BB242" s="31">
        <v>3</v>
      </c>
      <c r="BC242" s="31">
        <f t="shared" si="13"/>
        <v>150000</v>
      </c>
    </row>
    <row r="243" spans="1:55" x14ac:dyDescent="0.25">
      <c r="A243" s="28" t="s">
        <v>2199</v>
      </c>
      <c r="B243" s="428">
        <v>241</v>
      </c>
      <c r="C243" s="13">
        <v>7</v>
      </c>
      <c r="D243" s="4">
        <v>19</v>
      </c>
      <c r="E243" s="451">
        <v>10800</v>
      </c>
      <c r="F243" s="445">
        <v>6</v>
      </c>
      <c r="G243" s="13">
        <v>14</v>
      </c>
      <c r="H243" s="13">
        <v>20</v>
      </c>
      <c r="I243" s="455" t="s">
        <v>2218</v>
      </c>
      <c r="J243" s="451">
        <v>1</v>
      </c>
      <c r="K243" s="445">
        <v>50</v>
      </c>
      <c r="L243" s="445">
        <v>50</v>
      </c>
      <c r="M243" s="445">
        <v>5</v>
      </c>
      <c r="N243" s="13">
        <v>45</v>
      </c>
      <c r="O243" s="446">
        <v>5</v>
      </c>
      <c r="P243" s="445">
        <v>95</v>
      </c>
      <c r="Q243" s="321">
        <v>6</v>
      </c>
      <c r="R243" s="23">
        <v>15</v>
      </c>
      <c r="S243" s="445">
        <v>5</v>
      </c>
      <c r="T243" s="445">
        <f t="shared" si="14"/>
        <v>95</v>
      </c>
      <c r="U243" s="447">
        <v>0.5</v>
      </c>
      <c r="V243" s="448">
        <v>2.5499999999999998</v>
      </c>
      <c r="W243" s="449">
        <v>3.3000000000000003</v>
      </c>
      <c r="X243" s="448">
        <v>2.3400000000000003</v>
      </c>
      <c r="Y243" s="448">
        <v>4.76</v>
      </c>
      <c r="Z243" s="448">
        <v>1.6</v>
      </c>
      <c r="AA243" s="448">
        <v>1.1440000000000001</v>
      </c>
      <c r="AB243" s="448">
        <v>0.13999999999999999</v>
      </c>
      <c r="AC243" s="445">
        <v>1205000</v>
      </c>
      <c r="AD243" s="450">
        <v>450</v>
      </c>
      <c r="AE243" s="445">
        <v>18000</v>
      </c>
      <c r="AF243" s="445">
        <v>500</v>
      </c>
      <c r="AG243" s="447">
        <v>1.17</v>
      </c>
      <c r="AH243" s="445">
        <v>3</v>
      </c>
      <c r="AI243" s="445">
        <v>4</v>
      </c>
      <c r="AJ243" s="445">
        <v>2</v>
      </c>
      <c r="AK243" s="445">
        <v>3</v>
      </c>
      <c r="AL243" s="2" t="s">
        <v>2260</v>
      </c>
      <c r="AM243" s="2" t="s">
        <v>2261</v>
      </c>
      <c r="AN243" s="2" t="s">
        <v>2377</v>
      </c>
      <c r="AO243" s="445">
        <v>12</v>
      </c>
      <c r="AP243" s="445">
        <v>24</v>
      </c>
      <c r="AQ243" s="445">
        <v>5</v>
      </c>
      <c r="AR243" s="445">
        <v>10</v>
      </c>
      <c r="AS243" s="445">
        <v>4</v>
      </c>
      <c r="AT243" s="445">
        <v>5</v>
      </c>
      <c r="AU243" s="445">
        <v>30</v>
      </c>
      <c r="AV243" s="445" t="str">
        <f t="shared" si="15"/>
        <v>Vàng:30000:MG01:3</v>
      </c>
      <c r="AW243" s="440">
        <v>250</v>
      </c>
      <c r="AX243" s="445">
        <v>12</v>
      </c>
      <c r="AY243" s="445">
        <v>5</v>
      </c>
      <c r="AZ243" s="450">
        <v>237</v>
      </c>
      <c r="BA243" s="31">
        <v>30000</v>
      </c>
      <c r="BB243" s="31">
        <v>3</v>
      </c>
      <c r="BC243" s="31">
        <f t="shared" si="13"/>
        <v>150000</v>
      </c>
    </row>
    <row r="244" spans="1:55" x14ac:dyDescent="0.25">
      <c r="A244" s="28" t="s">
        <v>2199</v>
      </c>
      <c r="B244" s="29">
        <v>242</v>
      </c>
      <c r="C244" s="13">
        <v>7</v>
      </c>
      <c r="D244" s="4">
        <v>19</v>
      </c>
      <c r="E244" s="451">
        <v>10800</v>
      </c>
      <c r="F244" s="445">
        <v>6</v>
      </c>
      <c r="G244" s="13">
        <v>14</v>
      </c>
      <c r="H244" s="13">
        <v>20</v>
      </c>
      <c r="I244" s="455" t="s">
        <v>2218</v>
      </c>
      <c r="J244" s="451">
        <v>1</v>
      </c>
      <c r="K244" s="445">
        <v>50</v>
      </c>
      <c r="L244" s="445">
        <v>50</v>
      </c>
      <c r="M244" s="445">
        <v>5</v>
      </c>
      <c r="N244" s="13">
        <v>45</v>
      </c>
      <c r="O244" s="446">
        <v>5</v>
      </c>
      <c r="P244" s="445">
        <v>95</v>
      </c>
      <c r="Q244" s="321">
        <v>6</v>
      </c>
      <c r="R244" s="23">
        <v>15</v>
      </c>
      <c r="S244" s="445">
        <v>5</v>
      </c>
      <c r="T244" s="445">
        <f t="shared" si="14"/>
        <v>95</v>
      </c>
      <c r="U244" s="447">
        <v>0.5</v>
      </c>
      <c r="V244" s="448">
        <v>2.5499999999999998</v>
      </c>
      <c r="W244" s="449">
        <v>3.3000000000000003</v>
      </c>
      <c r="X244" s="448">
        <v>2.3400000000000003</v>
      </c>
      <c r="Y244" s="448">
        <v>4.76</v>
      </c>
      <c r="Z244" s="448">
        <v>1.6</v>
      </c>
      <c r="AA244" s="448">
        <v>1.1440000000000001</v>
      </c>
      <c r="AB244" s="448">
        <v>0.13999999999999999</v>
      </c>
      <c r="AC244" s="445">
        <v>1210000</v>
      </c>
      <c r="AD244" s="450">
        <v>450</v>
      </c>
      <c r="AE244" s="445">
        <v>18000</v>
      </c>
      <c r="AF244" s="445">
        <v>500</v>
      </c>
      <c r="AG244" s="447">
        <v>1.17</v>
      </c>
      <c r="AH244" s="445">
        <v>3</v>
      </c>
      <c r="AI244" s="445">
        <v>4</v>
      </c>
      <c r="AJ244" s="445">
        <v>2</v>
      </c>
      <c r="AK244" s="445">
        <v>3</v>
      </c>
      <c r="AL244" s="2" t="s">
        <v>2260</v>
      </c>
      <c r="AM244" s="2" t="s">
        <v>2261</v>
      </c>
      <c r="AN244" s="2" t="s">
        <v>2377</v>
      </c>
      <c r="AO244" s="445">
        <v>12</v>
      </c>
      <c r="AP244" s="445">
        <v>24</v>
      </c>
      <c r="AQ244" s="445">
        <v>5</v>
      </c>
      <c r="AR244" s="445">
        <v>10</v>
      </c>
      <c r="AS244" s="445">
        <v>4</v>
      </c>
      <c r="AT244" s="445">
        <v>5</v>
      </c>
      <c r="AU244" s="445">
        <v>30</v>
      </c>
      <c r="AV244" s="445" t="str">
        <f t="shared" si="15"/>
        <v>Vàng:30000:MG01:3</v>
      </c>
      <c r="AW244" s="440">
        <v>250</v>
      </c>
      <c r="AX244" s="445">
        <v>12</v>
      </c>
      <c r="AY244" s="445">
        <v>5</v>
      </c>
      <c r="AZ244" s="450">
        <v>238</v>
      </c>
      <c r="BA244" s="31">
        <v>30000</v>
      </c>
      <c r="BB244" s="31">
        <v>3</v>
      </c>
      <c r="BC244" s="31">
        <f t="shared" si="13"/>
        <v>150000</v>
      </c>
    </row>
    <row r="245" spans="1:55" x14ac:dyDescent="0.25">
      <c r="A245" s="28" t="s">
        <v>2199</v>
      </c>
      <c r="B245" s="428">
        <v>243</v>
      </c>
      <c r="C245" s="13">
        <v>7</v>
      </c>
      <c r="D245" s="4">
        <v>19</v>
      </c>
      <c r="E245" s="451">
        <v>10800</v>
      </c>
      <c r="F245" s="445">
        <v>6</v>
      </c>
      <c r="G245" s="13">
        <v>14</v>
      </c>
      <c r="H245" s="13">
        <v>20</v>
      </c>
      <c r="I245" s="455" t="s">
        <v>2218</v>
      </c>
      <c r="J245" s="451">
        <v>1</v>
      </c>
      <c r="K245" s="445">
        <v>50</v>
      </c>
      <c r="L245" s="445">
        <v>50</v>
      </c>
      <c r="M245" s="445">
        <v>5</v>
      </c>
      <c r="N245" s="13">
        <v>45</v>
      </c>
      <c r="O245" s="446">
        <v>5</v>
      </c>
      <c r="P245" s="445">
        <v>95</v>
      </c>
      <c r="Q245" s="321">
        <v>6</v>
      </c>
      <c r="R245" s="23">
        <v>15</v>
      </c>
      <c r="S245" s="445">
        <v>5</v>
      </c>
      <c r="T245" s="445">
        <f t="shared" si="14"/>
        <v>95</v>
      </c>
      <c r="U245" s="447">
        <v>0.5</v>
      </c>
      <c r="V245" s="448">
        <v>2.5499999999999998</v>
      </c>
      <c r="W245" s="449">
        <v>3.3000000000000003</v>
      </c>
      <c r="X245" s="448">
        <v>2.3400000000000003</v>
      </c>
      <c r="Y245" s="448">
        <v>4.76</v>
      </c>
      <c r="Z245" s="448">
        <v>1.6</v>
      </c>
      <c r="AA245" s="448">
        <v>1.1440000000000001</v>
      </c>
      <c r="AB245" s="448">
        <v>0.13999999999999999</v>
      </c>
      <c r="AC245" s="445">
        <v>1215000</v>
      </c>
      <c r="AD245" s="450">
        <v>450</v>
      </c>
      <c r="AE245" s="445">
        <v>18000</v>
      </c>
      <c r="AF245" s="445">
        <v>500</v>
      </c>
      <c r="AG245" s="447">
        <v>1.17</v>
      </c>
      <c r="AH245" s="445">
        <v>3</v>
      </c>
      <c r="AI245" s="445">
        <v>4</v>
      </c>
      <c r="AJ245" s="445">
        <v>2</v>
      </c>
      <c r="AK245" s="445">
        <v>3</v>
      </c>
      <c r="AL245" s="2" t="s">
        <v>2260</v>
      </c>
      <c r="AM245" s="2" t="s">
        <v>2261</v>
      </c>
      <c r="AN245" s="2" t="s">
        <v>2377</v>
      </c>
      <c r="AO245" s="445">
        <v>12</v>
      </c>
      <c r="AP245" s="445">
        <v>24</v>
      </c>
      <c r="AQ245" s="445">
        <v>5</v>
      </c>
      <c r="AR245" s="445">
        <v>10</v>
      </c>
      <c r="AS245" s="445">
        <v>4</v>
      </c>
      <c r="AT245" s="445">
        <v>5</v>
      </c>
      <c r="AU245" s="445">
        <v>30</v>
      </c>
      <c r="AV245" s="445" t="str">
        <f t="shared" si="15"/>
        <v>Vàng:30000:MG01:3</v>
      </c>
      <c r="AW245" s="440">
        <v>250</v>
      </c>
      <c r="AX245" s="445">
        <v>12</v>
      </c>
      <c r="AY245" s="445">
        <v>5</v>
      </c>
      <c r="AZ245" s="450">
        <v>239</v>
      </c>
      <c r="BA245" s="31">
        <v>30000</v>
      </c>
      <c r="BB245" s="31">
        <v>3</v>
      </c>
      <c r="BC245" s="31">
        <f t="shared" si="13"/>
        <v>150000</v>
      </c>
    </row>
    <row r="246" spans="1:55" x14ac:dyDescent="0.25">
      <c r="A246" s="28" t="s">
        <v>2199</v>
      </c>
      <c r="B246" s="29">
        <v>244</v>
      </c>
      <c r="C246" s="13">
        <v>7</v>
      </c>
      <c r="D246" s="4">
        <v>19</v>
      </c>
      <c r="E246" s="451">
        <v>10800</v>
      </c>
      <c r="F246" s="445">
        <v>6</v>
      </c>
      <c r="G246" s="13">
        <v>14</v>
      </c>
      <c r="H246" s="13">
        <v>20</v>
      </c>
      <c r="I246" s="455" t="s">
        <v>2218</v>
      </c>
      <c r="J246" s="451">
        <v>1</v>
      </c>
      <c r="K246" s="445">
        <v>50</v>
      </c>
      <c r="L246" s="445">
        <v>50</v>
      </c>
      <c r="M246" s="445">
        <v>5</v>
      </c>
      <c r="N246" s="13">
        <v>45</v>
      </c>
      <c r="O246" s="446">
        <v>5</v>
      </c>
      <c r="P246" s="445">
        <v>95</v>
      </c>
      <c r="Q246" s="321">
        <v>6</v>
      </c>
      <c r="R246" s="23">
        <v>15</v>
      </c>
      <c r="S246" s="445">
        <v>5</v>
      </c>
      <c r="T246" s="445">
        <f t="shared" si="14"/>
        <v>95</v>
      </c>
      <c r="U246" s="447">
        <v>0.5</v>
      </c>
      <c r="V246" s="448">
        <v>2.5499999999999998</v>
      </c>
      <c r="W246" s="449">
        <v>3.3000000000000003</v>
      </c>
      <c r="X246" s="448">
        <v>2.3400000000000003</v>
      </c>
      <c r="Y246" s="448">
        <v>4.76</v>
      </c>
      <c r="Z246" s="448">
        <v>1.6</v>
      </c>
      <c r="AA246" s="448">
        <v>1.1440000000000001</v>
      </c>
      <c r="AB246" s="448">
        <v>0.13999999999999999</v>
      </c>
      <c r="AC246" s="445">
        <v>1220000</v>
      </c>
      <c r="AD246" s="450">
        <v>450</v>
      </c>
      <c r="AE246" s="445">
        <v>18000</v>
      </c>
      <c r="AF246" s="445">
        <v>500</v>
      </c>
      <c r="AG246" s="447">
        <v>1.17</v>
      </c>
      <c r="AH246" s="445">
        <v>3</v>
      </c>
      <c r="AI246" s="445">
        <v>4</v>
      </c>
      <c r="AJ246" s="445">
        <v>2</v>
      </c>
      <c r="AK246" s="445">
        <v>3</v>
      </c>
      <c r="AL246" s="2" t="s">
        <v>2260</v>
      </c>
      <c r="AM246" s="2" t="s">
        <v>2261</v>
      </c>
      <c r="AN246" s="2" t="s">
        <v>2377</v>
      </c>
      <c r="AO246" s="445">
        <v>12</v>
      </c>
      <c r="AP246" s="445">
        <v>24</v>
      </c>
      <c r="AQ246" s="445">
        <v>5</v>
      </c>
      <c r="AR246" s="445">
        <v>10</v>
      </c>
      <c r="AS246" s="445">
        <v>4</v>
      </c>
      <c r="AT246" s="445">
        <v>5</v>
      </c>
      <c r="AU246" s="445">
        <v>30</v>
      </c>
      <c r="AV246" s="445" t="str">
        <f t="shared" si="15"/>
        <v>Vàng:30000:MG01:3</v>
      </c>
      <c r="AW246" s="440">
        <v>250</v>
      </c>
      <c r="AX246" s="445">
        <v>12</v>
      </c>
      <c r="AY246" s="445">
        <v>5</v>
      </c>
      <c r="AZ246" s="450">
        <v>240</v>
      </c>
      <c r="BA246" s="31">
        <v>30000</v>
      </c>
      <c r="BB246" s="31">
        <v>3</v>
      </c>
      <c r="BC246" s="31">
        <f t="shared" si="13"/>
        <v>150000</v>
      </c>
    </row>
    <row r="247" spans="1:55" x14ac:dyDescent="0.25">
      <c r="A247" s="28" t="s">
        <v>2199</v>
      </c>
      <c r="B247" s="428">
        <v>245</v>
      </c>
      <c r="C247" s="13">
        <v>7</v>
      </c>
      <c r="D247" s="4">
        <v>19</v>
      </c>
      <c r="E247" s="451">
        <v>10800</v>
      </c>
      <c r="F247" s="445">
        <v>6</v>
      </c>
      <c r="G247" s="13">
        <v>14</v>
      </c>
      <c r="H247" s="13">
        <v>20</v>
      </c>
      <c r="I247" s="455" t="s">
        <v>2218</v>
      </c>
      <c r="J247" s="451">
        <v>1</v>
      </c>
      <c r="K247" s="445">
        <v>50</v>
      </c>
      <c r="L247" s="445">
        <v>50</v>
      </c>
      <c r="M247" s="445">
        <v>5</v>
      </c>
      <c r="N247" s="13">
        <v>45</v>
      </c>
      <c r="O247" s="446">
        <v>5</v>
      </c>
      <c r="P247" s="445">
        <v>95</v>
      </c>
      <c r="Q247" s="321">
        <v>6</v>
      </c>
      <c r="R247" s="23">
        <v>15</v>
      </c>
      <c r="S247" s="445">
        <v>5</v>
      </c>
      <c r="T247" s="445">
        <f t="shared" si="14"/>
        <v>95</v>
      </c>
      <c r="U247" s="447">
        <v>0.5</v>
      </c>
      <c r="V247" s="448">
        <v>2.5499999999999998</v>
      </c>
      <c r="W247" s="449">
        <v>3.3000000000000003</v>
      </c>
      <c r="X247" s="448">
        <v>2.3400000000000003</v>
      </c>
      <c r="Y247" s="448">
        <v>4.76</v>
      </c>
      <c r="Z247" s="448">
        <v>1.6</v>
      </c>
      <c r="AA247" s="448">
        <v>1.1440000000000001</v>
      </c>
      <c r="AB247" s="448">
        <v>0.13999999999999999</v>
      </c>
      <c r="AC247" s="445">
        <v>1225000</v>
      </c>
      <c r="AD247" s="450">
        <v>450</v>
      </c>
      <c r="AE247" s="445">
        <v>18000</v>
      </c>
      <c r="AF247" s="445">
        <v>500</v>
      </c>
      <c r="AG247" s="447">
        <v>1.17</v>
      </c>
      <c r="AH247" s="445">
        <v>3</v>
      </c>
      <c r="AI247" s="445">
        <v>4</v>
      </c>
      <c r="AJ247" s="445">
        <v>2</v>
      </c>
      <c r="AK247" s="445">
        <v>3</v>
      </c>
      <c r="AL247" s="2" t="s">
        <v>2260</v>
      </c>
      <c r="AM247" s="2" t="s">
        <v>2261</v>
      </c>
      <c r="AN247" s="2" t="s">
        <v>2377</v>
      </c>
      <c r="AO247" s="445">
        <v>12</v>
      </c>
      <c r="AP247" s="445">
        <v>24</v>
      </c>
      <c r="AQ247" s="445">
        <v>5</v>
      </c>
      <c r="AR247" s="445">
        <v>10</v>
      </c>
      <c r="AS247" s="445">
        <v>4</v>
      </c>
      <c r="AT247" s="445">
        <v>5</v>
      </c>
      <c r="AU247" s="445">
        <v>30</v>
      </c>
      <c r="AV247" s="445" t="str">
        <f t="shared" si="15"/>
        <v>Vàng:30000:MG01:3</v>
      </c>
      <c r="AW247" s="440">
        <v>250</v>
      </c>
      <c r="AX247" s="445">
        <v>12</v>
      </c>
      <c r="AY247" s="445">
        <v>5</v>
      </c>
      <c r="AZ247" s="450">
        <v>241</v>
      </c>
      <c r="BA247" s="31">
        <v>30000</v>
      </c>
      <c r="BB247" s="31">
        <v>3</v>
      </c>
      <c r="BC247" s="31">
        <f t="shared" si="13"/>
        <v>150000</v>
      </c>
    </row>
    <row r="248" spans="1:55" x14ac:dyDescent="0.25">
      <c r="A248" s="28" t="s">
        <v>2199</v>
      </c>
      <c r="B248" s="29">
        <v>246</v>
      </c>
      <c r="C248" s="13">
        <v>7</v>
      </c>
      <c r="D248" s="4">
        <v>19</v>
      </c>
      <c r="E248" s="451">
        <v>10800</v>
      </c>
      <c r="F248" s="445">
        <v>6</v>
      </c>
      <c r="G248" s="13">
        <v>14</v>
      </c>
      <c r="H248" s="13">
        <v>20</v>
      </c>
      <c r="I248" s="455" t="s">
        <v>2218</v>
      </c>
      <c r="J248" s="451">
        <v>1</v>
      </c>
      <c r="K248" s="445">
        <v>50</v>
      </c>
      <c r="L248" s="445">
        <v>50</v>
      </c>
      <c r="M248" s="445">
        <v>5</v>
      </c>
      <c r="N248" s="13">
        <v>45</v>
      </c>
      <c r="O248" s="446">
        <v>5</v>
      </c>
      <c r="P248" s="445">
        <v>95</v>
      </c>
      <c r="Q248" s="321">
        <v>6</v>
      </c>
      <c r="R248" s="23">
        <v>15</v>
      </c>
      <c r="S248" s="445">
        <v>5</v>
      </c>
      <c r="T248" s="445">
        <f t="shared" si="14"/>
        <v>95</v>
      </c>
      <c r="U248" s="447">
        <v>0.5</v>
      </c>
      <c r="V248" s="448">
        <v>2.5499999999999998</v>
      </c>
      <c r="W248" s="449">
        <v>3.3000000000000003</v>
      </c>
      <c r="X248" s="448">
        <v>2.3400000000000003</v>
      </c>
      <c r="Y248" s="448">
        <v>4.76</v>
      </c>
      <c r="Z248" s="448">
        <v>1.6</v>
      </c>
      <c r="AA248" s="448">
        <v>1.1440000000000001</v>
      </c>
      <c r="AB248" s="448">
        <v>0.13999999999999999</v>
      </c>
      <c r="AC248" s="445">
        <v>1230000</v>
      </c>
      <c r="AD248" s="450">
        <v>450</v>
      </c>
      <c r="AE248" s="445">
        <v>18000</v>
      </c>
      <c r="AF248" s="445">
        <v>500</v>
      </c>
      <c r="AG248" s="447">
        <v>1.17</v>
      </c>
      <c r="AH248" s="445">
        <v>3</v>
      </c>
      <c r="AI248" s="445">
        <v>4</v>
      </c>
      <c r="AJ248" s="445">
        <v>2</v>
      </c>
      <c r="AK248" s="445">
        <v>3</v>
      </c>
      <c r="AL248" s="2" t="s">
        <v>2260</v>
      </c>
      <c r="AM248" s="2" t="s">
        <v>2261</v>
      </c>
      <c r="AN248" s="2" t="s">
        <v>2377</v>
      </c>
      <c r="AO248" s="445">
        <v>12</v>
      </c>
      <c r="AP248" s="445">
        <v>24</v>
      </c>
      <c r="AQ248" s="445">
        <v>5</v>
      </c>
      <c r="AR248" s="445">
        <v>10</v>
      </c>
      <c r="AS248" s="445">
        <v>4</v>
      </c>
      <c r="AT248" s="445">
        <v>5</v>
      </c>
      <c r="AU248" s="445">
        <v>30</v>
      </c>
      <c r="AV248" s="445" t="str">
        <f t="shared" si="15"/>
        <v>Vàng:30000:MG01:3</v>
      </c>
      <c r="AW248" s="440">
        <v>250</v>
      </c>
      <c r="AX248" s="445">
        <v>12</v>
      </c>
      <c r="AY248" s="445">
        <v>5</v>
      </c>
      <c r="AZ248" s="450">
        <v>242</v>
      </c>
      <c r="BA248" s="31">
        <v>30000</v>
      </c>
      <c r="BB248" s="31">
        <v>3</v>
      </c>
      <c r="BC248" s="31">
        <f t="shared" si="13"/>
        <v>150000</v>
      </c>
    </row>
    <row r="249" spans="1:55" x14ac:dyDescent="0.25">
      <c r="A249" s="28" t="s">
        <v>2199</v>
      </c>
      <c r="B249" s="428">
        <v>247</v>
      </c>
      <c r="C249" s="13">
        <v>7</v>
      </c>
      <c r="D249" s="4">
        <v>19</v>
      </c>
      <c r="E249" s="451">
        <v>10800</v>
      </c>
      <c r="F249" s="445">
        <v>6</v>
      </c>
      <c r="G249" s="13">
        <v>14</v>
      </c>
      <c r="H249" s="13">
        <v>20</v>
      </c>
      <c r="I249" s="455" t="s">
        <v>2218</v>
      </c>
      <c r="J249" s="451">
        <v>1</v>
      </c>
      <c r="K249" s="445">
        <v>50</v>
      </c>
      <c r="L249" s="445">
        <v>50</v>
      </c>
      <c r="M249" s="445">
        <v>5</v>
      </c>
      <c r="N249" s="13">
        <v>45</v>
      </c>
      <c r="O249" s="446">
        <v>5</v>
      </c>
      <c r="P249" s="445">
        <v>95</v>
      </c>
      <c r="Q249" s="321">
        <v>6</v>
      </c>
      <c r="R249" s="23">
        <v>15</v>
      </c>
      <c r="S249" s="445">
        <v>5</v>
      </c>
      <c r="T249" s="445">
        <f t="shared" si="14"/>
        <v>95</v>
      </c>
      <c r="U249" s="447">
        <v>0.5</v>
      </c>
      <c r="V249" s="448">
        <v>2.5499999999999998</v>
      </c>
      <c r="W249" s="449">
        <v>3.3000000000000003</v>
      </c>
      <c r="X249" s="448">
        <v>2.3400000000000003</v>
      </c>
      <c r="Y249" s="448">
        <v>4.76</v>
      </c>
      <c r="Z249" s="448">
        <v>1.6</v>
      </c>
      <c r="AA249" s="448">
        <v>1.1440000000000001</v>
      </c>
      <c r="AB249" s="448">
        <v>0.13999999999999999</v>
      </c>
      <c r="AC249" s="445">
        <v>1235000</v>
      </c>
      <c r="AD249" s="450">
        <v>450</v>
      </c>
      <c r="AE249" s="445">
        <v>18000</v>
      </c>
      <c r="AF249" s="445">
        <v>500</v>
      </c>
      <c r="AG249" s="447">
        <v>1.17</v>
      </c>
      <c r="AH249" s="445">
        <v>3</v>
      </c>
      <c r="AI249" s="445">
        <v>4</v>
      </c>
      <c r="AJ249" s="445">
        <v>2</v>
      </c>
      <c r="AK249" s="445">
        <v>3</v>
      </c>
      <c r="AL249" s="2" t="s">
        <v>2260</v>
      </c>
      <c r="AM249" s="2" t="s">
        <v>2261</v>
      </c>
      <c r="AN249" s="2" t="s">
        <v>2377</v>
      </c>
      <c r="AO249" s="445">
        <v>12</v>
      </c>
      <c r="AP249" s="445">
        <v>24</v>
      </c>
      <c r="AQ249" s="445">
        <v>5</v>
      </c>
      <c r="AR249" s="445">
        <v>10</v>
      </c>
      <c r="AS249" s="445">
        <v>4</v>
      </c>
      <c r="AT249" s="445">
        <v>5</v>
      </c>
      <c r="AU249" s="445">
        <v>30</v>
      </c>
      <c r="AV249" s="445" t="str">
        <f t="shared" si="15"/>
        <v>Vàng:30000:MG01:3</v>
      </c>
      <c r="AW249" s="440">
        <v>250</v>
      </c>
      <c r="AX249" s="445">
        <v>12</v>
      </c>
      <c r="AY249" s="445">
        <v>5</v>
      </c>
      <c r="AZ249" s="450">
        <v>243</v>
      </c>
      <c r="BA249" s="31">
        <v>30000</v>
      </c>
      <c r="BB249" s="31">
        <v>3</v>
      </c>
      <c r="BC249" s="31">
        <f t="shared" si="13"/>
        <v>150000</v>
      </c>
    </row>
    <row r="250" spans="1:55" x14ac:dyDescent="0.25">
      <c r="A250" s="28" t="s">
        <v>2199</v>
      </c>
      <c r="B250" s="29">
        <v>248</v>
      </c>
      <c r="C250" s="13">
        <v>7</v>
      </c>
      <c r="D250" s="4">
        <v>19</v>
      </c>
      <c r="E250" s="451">
        <v>10800</v>
      </c>
      <c r="F250" s="445">
        <v>6</v>
      </c>
      <c r="G250" s="13">
        <v>14</v>
      </c>
      <c r="H250" s="13">
        <v>20</v>
      </c>
      <c r="I250" s="455" t="s">
        <v>2218</v>
      </c>
      <c r="J250" s="451">
        <v>1</v>
      </c>
      <c r="K250" s="445">
        <v>50</v>
      </c>
      <c r="L250" s="445">
        <v>50</v>
      </c>
      <c r="M250" s="445">
        <v>5</v>
      </c>
      <c r="N250" s="13">
        <v>45</v>
      </c>
      <c r="O250" s="446">
        <v>5</v>
      </c>
      <c r="P250" s="445">
        <v>95</v>
      </c>
      <c r="Q250" s="321">
        <v>6</v>
      </c>
      <c r="R250" s="23">
        <v>15</v>
      </c>
      <c r="S250" s="445">
        <v>5</v>
      </c>
      <c r="T250" s="445">
        <f t="shared" si="14"/>
        <v>95</v>
      </c>
      <c r="U250" s="447">
        <v>0.5</v>
      </c>
      <c r="V250" s="448">
        <v>2.5499999999999998</v>
      </c>
      <c r="W250" s="449">
        <v>3.3000000000000003</v>
      </c>
      <c r="X250" s="448">
        <v>2.3400000000000003</v>
      </c>
      <c r="Y250" s="448">
        <v>4.76</v>
      </c>
      <c r="Z250" s="448">
        <v>1.6</v>
      </c>
      <c r="AA250" s="448">
        <v>1.1440000000000001</v>
      </c>
      <c r="AB250" s="448">
        <v>0.13999999999999999</v>
      </c>
      <c r="AC250" s="445">
        <v>1240000</v>
      </c>
      <c r="AD250" s="450">
        <v>450</v>
      </c>
      <c r="AE250" s="445">
        <v>18000</v>
      </c>
      <c r="AF250" s="445">
        <v>500</v>
      </c>
      <c r="AG250" s="447">
        <v>1.17</v>
      </c>
      <c r="AH250" s="445">
        <v>3</v>
      </c>
      <c r="AI250" s="445">
        <v>4</v>
      </c>
      <c r="AJ250" s="445">
        <v>2</v>
      </c>
      <c r="AK250" s="445">
        <v>3</v>
      </c>
      <c r="AL250" s="2" t="s">
        <v>2260</v>
      </c>
      <c r="AM250" s="2" t="s">
        <v>2261</v>
      </c>
      <c r="AN250" s="2" t="s">
        <v>2377</v>
      </c>
      <c r="AO250" s="445">
        <v>12</v>
      </c>
      <c r="AP250" s="445">
        <v>24</v>
      </c>
      <c r="AQ250" s="445">
        <v>5</v>
      </c>
      <c r="AR250" s="445">
        <v>10</v>
      </c>
      <c r="AS250" s="445">
        <v>4</v>
      </c>
      <c r="AT250" s="445">
        <v>5</v>
      </c>
      <c r="AU250" s="445">
        <v>30</v>
      </c>
      <c r="AV250" s="445" t="str">
        <f t="shared" si="15"/>
        <v>Vàng:30000:MG01:3</v>
      </c>
      <c r="AW250" s="440">
        <v>250</v>
      </c>
      <c r="AX250" s="445">
        <v>12</v>
      </c>
      <c r="AY250" s="445">
        <v>5</v>
      </c>
      <c r="AZ250" s="450">
        <v>244</v>
      </c>
      <c r="BA250" s="31">
        <v>30000</v>
      </c>
      <c r="BB250" s="31">
        <v>3</v>
      </c>
      <c r="BC250" s="31">
        <f t="shared" si="13"/>
        <v>150000</v>
      </c>
    </row>
    <row r="251" spans="1:55" x14ac:dyDescent="0.25">
      <c r="A251" s="28" t="s">
        <v>2199</v>
      </c>
      <c r="B251" s="428">
        <v>249</v>
      </c>
      <c r="C251" s="13">
        <v>7</v>
      </c>
      <c r="D251" s="4">
        <v>19</v>
      </c>
      <c r="E251" s="451">
        <v>10800</v>
      </c>
      <c r="F251" s="445">
        <v>6</v>
      </c>
      <c r="G251" s="13">
        <v>14</v>
      </c>
      <c r="H251" s="13">
        <v>20</v>
      </c>
      <c r="I251" s="455" t="s">
        <v>2218</v>
      </c>
      <c r="J251" s="451">
        <v>1</v>
      </c>
      <c r="K251" s="445">
        <v>50</v>
      </c>
      <c r="L251" s="445">
        <v>50</v>
      </c>
      <c r="M251" s="445">
        <v>5</v>
      </c>
      <c r="N251" s="13">
        <v>45</v>
      </c>
      <c r="O251" s="446">
        <v>5</v>
      </c>
      <c r="P251" s="445">
        <v>95</v>
      </c>
      <c r="Q251" s="321">
        <v>6</v>
      </c>
      <c r="R251" s="23">
        <v>15</v>
      </c>
      <c r="S251" s="445">
        <v>5</v>
      </c>
      <c r="T251" s="445">
        <f t="shared" si="14"/>
        <v>95</v>
      </c>
      <c r="U251" s="447">
        <v>0.5</v>
      </c>
      <c r="V251" s="448">
        <v>2.5499999999999998</v>
      </c>
      <c r="W251" s="449">
        <v>3.3000000000000003</v>
      </c>
      <c r="X251" s="448">
        <v>2.3400000000000003</v>
      </c>
      <c r="Y251" s="448">
        <v>4.76</v>
      </c>
      <c r="Z251" s="448">
        <v>1.6</v>
      </c>
      <c r="AA251" s="448">
        <v>1.1440000000000001</v>
      </c>
      <c r="AB251" s="448">
        <v>0.13999999999999999</v>
      </c>
      <c r="AC251" s="445">
        <v>1245000</v>
      </c>
      <c r="AD251" s="450">
        <v>450</v>
      </c>
      <c r="AE251" s="445">
        <v>18000</v>
      </c>
      <c r="AF251" s="445">
        <v>500</v>
      </c>
      <c r="AG251" s="447">
        <v>1.17</v>
      </c>
      <c r="AH251" s="445">
        <v>3</v>
      </c>
      <c r="AI251" s="445">
        <v>4</v>
      </c>
      <c r="AJ251" s="445">
        <v>2</v>
      </c>
      <c r="AK251" s="445">
        <v>3</v>
      </c>
      <c r="AL251" s="2" t="s">
        <v>2260</v>
      </c>
      <c r="AM251" s="2" t="s">
        <v>2261</v>
      </c>
      <c r="AN251" s="2" t="s">
        <v>2377</v>
      </c>
      <c r="AO251" s="445">
        <v>12</v>
      </c>
      <c r="AP251" s="445">
        <v>24</v>
      </c>
      <c r="AQ251" s="445">
        <v>5</v>
      </c>
      <c r="AR251" s="445">
        <v>10</v>
      </c>
      <c r="AS251" s="445">
        <v>4</v>
      </c>
      <c r="AT251" s="445">
        <v>5</v>
      </c>
      <c r="AU251" s="445">
        <v>30</v>
      </c>
      <c r="AV251" s="445" t="str">
        <f t="shared" si="15"/>
        <v>Vàng:30000:MG01:3</v>
      </c>
      <c r="AW251" s="440">
        <v>250</v>
      </c>
      <c r="AX251" s="445">
        <v>12</v>
      </c>
      <c r="AY251" s="445">
        <v>5</v>
      </c>
      <c r="AZ251" s="450">
        <v>245</v>
      </c>
      <c r="BA251" s="31">
        <v>30000</v>
      </c>
      <c r="BB251" s="31">
        <v>3</v>
      </c>
      <c r="BC251" s="31">
        <f t="shared" si="13"/>
        <v>150000</v>
      </c>
    </row>
    <row r="252" spans="1:55" x14ac:dyDescent="0.25">
      <c r="A252" s="28" t="s">
        <v>2199</v>
      </c>
      <c r="B252" s="29">
        <v>250</v>
      </c>
      <c r="C252" s="13">
        <v>7</v>
      </c>
      <c r="D252" s="4">
        <v>19</v>
      </c>
      <c r="E252" s="451">
        <v>10800</v>
      </c>
      <c r="F252" s="445">
        <v>6</v>
      </c>
      <c r="G252" s="13">
        <v>14</v>
      </c>
      <c r="H252" s="13">
        <v>20</v>
      </c>
      <c r="I252" s="455" t="s">
        <v>2218</v>
      </c>
      <c r="J252" s="451">
        <v>1</v>
      </c>
      <c r="K252" s="445">
        <v>50</v>
      </c>
      <c r="L252" s="445">
        <v>50</v>
      </c>
      <c r="M252" s="445">
        <v>5</v>
      </c>
      <c r="N252" s="13">
        <v>50</v>
      </c>
      <c r="O252" s="446">
        <v>5</v>
      </c>
      <c r="P252" s="445">
        <v>95</v>
      </c>
      <c r="Q252" s="321">
        <v>6</v>
      </c>
      <c r="R252" s="23">
        <v>15</v>
      </c>
      <c r="S252" s="445">
        <v>5</v>
      </c>
      <c r="T252" s="445">
        <f t="shared" si="14"/>
        <v>95</v>
      </c>
      <c r="U252" s="447">
        <v>0.5</v>
      </c>
      <c r="V252" s="448">
        <v>2.5499999999999998</v>
      </c>
      <c r="W252" s="449">
        <v>3.3000000000000003</v>
      </c>
      <c r="X252" s="448">
        <v>2.3400000000000003</v>
      </c>
      <c r="Y252" s="448">
        <v>4.76</v>
      </c>
      <c r="Z252" s="448">
        <v>1.6</v>
      </c>
      <c r="AA252" s="448">
        <v>1.1440000000000001</v>
      </c>
      <c r="AB252" s="448">
        <v>0.13999999999999999</v>
      </c>
      <c r="AC252" s="445">
        <v>1250000</v>
      </c>
      <c r="AD252" s="450">
        <v>450</v>
      </c>
      <c r="AE252" s="445">
        <v>18000</v>
      </c>
      <c r="AF252" s="445">
        <v>500</v>
      </c>
      <c r="AG252" s="447">
        <v>1.17</v>
      </c>
      <c r="AH252" s="445">
        <v>3</v>
      </c>
      <c r="AI252" s="445">
        <v>4</v>
      </c>
      <c r="AJ252" s="445">
        <v>2</v>
      </c>
      <c r="AK252" s="445">
        <v>3</v>
      </c>
      <c r="AL252" s="2" t="s">
        <v>2260</v>
      </c>
      <c r="AM252" s="2" t="s">
        <v>2261</v>
      </c>
      <c r="AN252" s="2" t="s">
        <v>2377</v>
      </c>
      <c r="AO252" s="445">
        <v>12</v>
      </c>
      <c r="AP252" s="445">
        <v>24</v>
      </c>
      <c r="AQ252" s="445">
        <v>5</v>
      </c>
      <c r="AR252" s="445">
        <v>10</v>
      </c>
      <c r="AS252" s="445">
        <v>4</v>
      </c>
      <c r="AT252" s="445">
        <v>5</v>
      </c>
      <c r="AU252" s="445">
        <v>30</v>
      </c>
      <c r="AV252" s="445" t="str">
        <f t="shared" si="15"/>
        <v>Vàng:30000:MG01:3</v>
      </c>
      <c r="AW252" s="440">
        <v>250</v>
      </c>
      <c r="AX252" s="445">
        <v>12</v>
      </c>
      <c r="AY252" s="445">
        <v>5</v>
      </c>
      <c r="AZ252" s="450">
        <v>246</v>
      </c>
      <c r="BA252" s="31">
        <v>30000</v>
      </c>
      <c r="BB252" s="31">
        <v>3</v>
      </c>
      <c r="BC252" s="31">
        <f t="shared" si="13"/>
        <v>150000</v>
      </c>
    </row>
    <row r="253" spans="1:55" x14ac:dyDescent="0.25">
      <c r="A253" s="28" t="s">
        <v>2199</v>
      </c>
      <c r="B253" s="428">
        <v>251</v>
      </c>
      <c r="C253" s="13">
        <v>7</v>
      </c>
      <c r="D253" s="4">
        <v>20</v>
      </c>
      <c r="E253" s="451">
        <v>10800</v>
      </c>
      <c r="F253" s="445">
        <v>6</v>
      </c>
      <c r="G253" s="13">
        <v>14</v>
      </c>
      <c r="H253" s="13">
        <v>20</v>
      </c>
      <c r="I253" s="455" t="s">
        <v>2218</v>
      </c>
      <c r="J253" s="451">
        <v>1</v>
      </c>
      <c r="K253" s="445">
        <v>50</v>
      </c>
      <c r="L253" s="445">
        <v>50</v>
      </c>
      <c r="M253" s="445">
        <v>5</v>
      </c>
      <c r="N253" s="13">
        <v>50</v>
      </c>
      <c r="O253" s="446">
        <v>5</v>
      </c>
      <c r="P253" s="445">
        <v>95</v>
      </c>
      <c r="Q253" s="321">
        <v>6</v>
      </c>
      <c r="R253" s="23">
        <v>15</v>
      </c>
      <c r="S253" s="445">
        <v>5</v>
      </c>
      <c r="T253" s="445">
        <f t="shared" si="14"/>
        <v>95</v>
      </c>
      <c r="U253" s="447">
        <v>0.5</v>
      </c>
      <c r="V253" s="448">
        <v>2.8899999999999997</v>
      </c>
      <c r="W253" s="449">
        <v>3.3000000000000003</v>
      </c>
      <c r="X253" s="459">
        <v>2.16</v>
      </c>
      <c r="Y253" s="448">
        <v>4.76</v>
      </c>
      <c r="Z253" s="448">
        <v>1.6</v>
      </c>
      <c r="AA253" s="448">
        <v>1.1440000000000001</v>
      </c>
      <c r="AB253" s="448">
        <v>0.13999999999999999</v>
      </c>
      <c r="AC253" s="445">
        <v>1255000</v>
      </c>
      <c r="AD253" s="450">
        <v>450</v>
      </c>
      <c r="AE253" s="445">
        <v>18000</v>
      </c>
      <c r="AF253" s="445">
        <v>500</v>
      </c>
      <c r="AG253" s="447">
        <v>1.17</v>
      </c>
      <c r="AH253" s="445">
        <v>3</v>
      </c>
      <c r="AI253" s="445">
        <v>4</v>
      </c>
      <c r="AJ253" s="445">
        <v>2</v>
      </c>
      <c r="AK253" s="445">
        <v>3</v>
      </c>
      <c r="AL253" s="2" t="s">
        <v>2260</v>
      </c>
      <c r="AM253" s="2" t="s">
        <v>2261</v>
      </c>
      <c r="AN253" s="2" t="s">
        <v>2377</v>
      </c>
      <c r="AO253" s="445">
        <v>12</v>
      </c>
      <c r="AP253" s="445">
        <v>24</v>
      </c>
      <c r="AQ253" s="445">
        <v>5</v>
      </c>
      <c r="AR253" s="445">
        <v>10</v>
      </c>
      <c r="AS253" s="445">
        <v>4</v>
      </c>
      <c r="AT253" s="445">
        <v>5</v>
      </c>
      <c r="AU253" s="445">
        <v>30</v>
      </c>
      <c r="AV253" s="445" t="str">
        <f t="shared" si="15"/>
        <v>Vàng:30000:MG01:3</v>
      </c>
      <c r="AW253" s="440">
        <v>300</v>
      </c>
      <c r="AX253" s="445">
        <v>12</v>
      </c>
      <c r="AY253" s="445">
        <v>5</v>
      </c>
      <c r="AZ253" s="450">
        <v>237</v>
      </c>
      <c r="BA253" s="31">
        <v>30000</v>
      </c>
      <c r="BB253" s="31">
        <v>3</v>
      </c>
      <c r="BC253" s="31">
        <f t="shared" si="13"/>
        <v>150000</v>
      </c>
    </row>
    <row r="254" spans="1:55" x14ac:dyDescent="0.25">
      <c r="A254" s="28" t="s">
        <v>2199</v>
      </c>
      <c r="B254" s="29">
        <v>252</v>
      </c>
      <c r="C254" s="13">
        <v>7</v>
      </c>
      <c r="D254" s="4">
        <v>20</v>
      </c>
      <c r="E254" s="451">
        <v>10800</v>
      </c>
      <c r="F254" s="445">
        <v>6</v>
      </c>
      <c r="G254" s="13">
        <v>14</v>
      </c>
      <c r="H254" s="13">
        <v>20</v>
      </c>
      <c r="I254" s="455" t="s">
        <v>2218</v>
      </c>
      <c r="J254" s="451">
        <v>1</v>
      </c>
      <c r="K254" s="445">
        <v>50</v>
      </c>
      <c r="L254" s="445">
        <v>50</v>
      </c>
      <c r="M254" s="445">
        <v>5</v>
      </c>
      <c r="N254" s="13">
        <v>50</v>
      </c>
      <c r="O254" s="446">
        <v>5</v>
      </c>
      <c r="P254" s="445">
        <v>95</v>
      </c>
      <c r="Q254" s="321">
        <v>6</v>
      </c>
      <c r="R254" s="23">
        <v>15</v>
      </c>
      <c r="S254" s="445">
        <v>5</v>
      </c>
      <c r="T254" s="445">
        <f t="shared" si="14"/>
        <v>95</v>
      </c>
      <c r="U254" s="447">
        <v>0.5</v>
      </c>
      <c r="V254" s="448">
        <v>2.8899999999999997</v>
      </c>
      <c r="W254" s="449">
        <v>3.3000000000000003</v>
      </c>
      <c r="X254" s="448">
        <v>2.16</v>
      </c>
      <c r="Y254" s="448">
        <v>4.76</v>
      </c>
      <c r="Z254" s="448">
        <v>1.6</v>
      </c>
      <c r="AA254" s="448">
        <v>1.1440000000000001</v>
      </c>
      <c r="AB254" s="448">
        <v>0.13999999999999999</v>
      </c>
      <c r="AC254" s="445">
        <v>1260000</v>
      </c>
      <c r="AD254" s="450">
        <v>450</v>
      </c>
      <c r="AE254" s="445">
        <v>18000</v>
      </c>
      <c r="AF254" s="445">
        <v>500</v>
      </c>
      <c r="AG254" s="447">
        <v>1.17</v>
      </c>
      <c r="AH254" s="445">
        <v>3</v>
      </c>
      <c r="AI254" s="445">
        <v>4</v>
      </c>
      <c r="AJ254" s="445">
        <v>2</v>
      </c>
      <c r="AK254" s="445">
        <v>3</v>
      </c>
      <c r="AL254" s="2" t="s">
        <v>2260</v>
      </c>
      <c r="AM254" s="2" t="s">
        <v>2261</v>
      </c>
      <c r="AN254" s="2" t="s">
        <v>2377</v>
      </c>
      <c r="AO254" s="445">
        <v>12</v>
      </c>
      <c r="AP254" s="445">
        <v>24</v>
      </c>
      <c r="AQ254" s="445">
        <v>5</v>
      </c>
      <c r="AR254" s="445">
        <v>10</v>
      </c>
      <c r="AS254" s="445">
        <v>4</v>
      </c>
      <c r="AT254" s="445">
        <v>5</v>
      </c>
      <c r="AU254" s="445">
        <v>30</v>
      </c>
      <c r="AV254" s="445" t="str">
        <f t="shared" si="15"/>
        <v>Vàng:30000:MG01:3</v>
      </c>
      <c r="AW254" s="440">
        <v>300</v>
      </c>
      <c r="AX254" s="445">
        <v>12</v>
      </c>
      <c r="AY254" s="445">
        <v>5</v>
      </c>
      <c r="AZ254" s="450">
        <v>238</v>
      </c>
      <c r="BA254" s="31">
        <v>30000</v>
      </c>
      <c r="BB254" s="31">
        <v>3</v>
      </c>
      <c r="BC254" s="31">
        <f t="shared" si="13"/>
        <v>150000</v>
      </c>
    </row>
    <row r="255" spans="1:55" x14ac:dyDescent="0.25">
      <c r="A255" s="28" t="s">
        <v>2199</v>
      </c>
      <c r="B255" s="428">
        <v>253</v>
      </c>
      <c r="C255" s="13">
        <v>7</v>
      </c>
      <c r="D255" s="4">
        <v>20</v>
      </c>
      <c r="E255" s="451">
        <v>10800</v>
      </c>
      <c r="F255" s="445">
        <v>6</v>
      </c>
      <c r="G255" s="13">
        <v>14</v>
      </c>
      <c r="H255" s="13">
        <v>20</v>
      </c>
      <c r="I255" s="455" t="s">
        <v>2218</v>
      </c>
      <c r="J255" s="451">
        <v>1</v>
      </c>
      <c r="K255" s="445">
        <v>50</v>
      </c>
      <c r="L255" s="445">
        <v>50</v>
      </c>
      <c r="M255" s="445">
        <v>5</v>
      </c>
      <c r="N255" s="13">
        <v>50</v>
      </c>
      <c r="O255" s="446">
        <v>5</v>
      </c>
      <c r="P255" s="445">
        <v>95</v>
      </c>
      <c r="Q255" s="321">
        <v>6</v>
      </c>
      <c r="R255" s="23">
        <v>15</v>
      </c>
      <c r="S255" s="445">
        <v>5</v>
      </c>
      <c r="T255" s="445">
        <f t="shared" si="14"/>
        <v>95</v>
      </c>
      <c r="U255" s="447">
        <v>0.5</v>
      </c>
      <c r="V255" s="448">
        <v>2.8899999999999997</v>
      </c>
      <c r="W255" s="449">
        <v>3.3000000000000003</v>
      </c>
      <c r="X255" s="448">
        <v>2.16</v>
      </c>
      <c r="Y255" s="448">
        <v>4.76</v>
      </c>
      <c r="Z255" s="448">
        <v>1.6</v>
      </c>
      <c r="AA255" s="448">
        <v>1.1440000000000001</v>
      </c>
      <c r="AB255" s="448">
        <v>0.13999999999999999</v>
      </c>
      <c r="AC255" s="445">
        <v>1265000</v>
      </c>
      <c r="AD255" s="450">
        <v>450</v>
      </c>
      <c r="AE255" s="445">
        <v>18000</v>
      </c>
      <c r="AF255" s="445">
        <v>500</v>
      </c>
      <c r="AG255" s="447">
        <v>1.17</v>
      </c>
      <c r="AH255" s="445">
        <v>3</v>
      </c>
      <c r="AI255" s="445">
        <v>4</v>
      </c>
      <c r="AJ255" s="445">
        <v>2</v>
      </c>
      <c r="AK255" s="445">
        <v>3</v>
      </c>
      <c r="AL255" s="2" t="s">
        <v>2260</v>
      </c>
      <c r="AM255" s="2" t="s">
        <v>2261</v>
      </c>
      <c r="AN255" s="2" t="s">
        <v>2377</v>
      </c>
      <c r="AO255" s="445">
        <v>12</v>
      </c>
      <c r="AP255" s="445">
        <v>24</v>
      </c>
      <c r="AQ255" s="445">
        <v>5</v>
      </c>
      <c r="AR255" s="445">
        <v>10</v>
      </c>
      <c r="AS255" s="445">
        <v>4</v>
      </c>
      <c r="AT255" s="445">
        <v>5</v>
      </c>
      <c r="AU255" s="445">
        <v>30</v>
      </c>
      <c r="AV255" s="445" t="str">
        <f t="shared" si="15"/>
        <v>Vàng:30000:MG01:3</v>
      </c>
      <c r="AW255" s="440">
        <v>300</v>
      </c>
      <c r="AX255" s="445">
        <v>12</v>
      </c>
      <c r="AY255" s="445">
        <v>5</v>
      </c>
      <c r="AZ255" s="450">
        <v>239</v>
      </c>
      <c r="BA255" s="31">
        <v>30000</v>
      </c>
      <c r="BB255" s="31">
        <v>3</v>
      </c>
      <c r="BC255" s="31">
        <f t="shared" si="13"/>
        <v>150000</v>
      </c>
    </row>
    <row r="256" spans="1:55" x14ac:dyDescent="0.25">
      <c r="A256" s="28" t="s">
        <v>2199</v>
      </c>
      <c r="B256" s="29">
        <v>254</v>
      </c>
      <c r="C256" s="13">
        <v>7</v>
      </c>
      <c r="D256" s="4">
        <v>20</v>
      </c>
      <c r="E256" s="451">
        <v>10800</v>
      </c>
      <c r="F256" s="445">
        <v>6</v>
      </c>
      <c r="G256" s="13">
        <v>14</v>
      </c>
      <c r="H256" s="13">
        <v>20</v>
      </c>
      <c r="I256" s="455" t="s">
        <v>2218</v>
      </c>
      <c r="J256" s="451">
        <v>1</v>
      </c>
      <c r="K256" s="445">
        <v>50</v>
      </c>
      <c r="L256" s="445">
        <v>50</v>
      </c>
      <c r="M256" s="445">
        <v>5</v>
      </c>
      <c r="N256" s="13">
        <v>50</v>
      </c>
      <c r="O256" s="446">
        <v>5</v>
      </c>
      <c r="P256" s="445">
        <v>95</v>
      </c>
      <c r="Q256" s="321">
        <v>6</v>
      </c>
      <c r="R256" s="23">
        <v>15</v>
      </c>
      <c r="S256" s="445">
        <v>5</v>
      </c>
      <c r="T256" s="445">
        <f t="shared" si="14"/>
        <v>95</v>
      </c>
      <c r="U256" s="447">
        <v>0.5</v>
      </c>
      <c r="V256" s="448">
        <v>2.8899999999999997</v>
      </c>
      <c r="W256" s="449">
        <v>3.3000000000000003</v>
      </c>
      <c r="X256" s="448">
        <v>2.16</v>
      </c>
      <c r="Y256" s="448">
        <v>4.76</v>
      </c>
      <c r="Z256" s="448">
        <v>1.6</v>
      </c>
      <c r="AA256" s="448">
        <v>1.1440000000000001</v>
      </c>
      <c r="AB256" s="448">
        <v>0.13999999999999999</v>
      </c>
      <c r="AC256" s="445">
        <v>1270000</v>
      </c>
      <c r="AD256" s="450">
        <v>450</v>
      </c>
      <c r="AE256" s="445">
        <v>18000</v>
      </c>
      <c r="AF256" s="445">
        <v>500</v>
      </c>
      <c r="AG256" s="447">
        <v>1.17</v>
      </c>
      <c r="AH256" s="445">
        <v>3</v>
      </c>
      <c r="AI256" s="445">
        <v>4</v>
      </c>
      <c r="AJ256" s="445">
        <v>2</v>
      </c>
      <c r="AK256" s="445">
        <v>3</v>
      </c>
      <c r="AL256" s="2" t="s">
        <v>2260</v>
      </c>
      <c r="AM256" s="2" t="s">
        <v>2261</v>
      </c>
      <c r="AN256" s="2" t="s">
        <v>2377</v>
      </c>
      <c r="AO256" s="445">
        <v>12</v>
      </c>
      <c r="AP256" s="445">
        <v>24</v>
      </c>
      <c r="AQ256" s="445">
        <v>5</v>
      </c>
      <c r="AR256" s="445">
        <v>10</v>
      </c>
      <c r="AS256" s="445">
        <v>4</v>
      </c>
      <c r="AT256" s="445">
        <v>5</v>
      </c>
      <c r="AU256" s="445">
        <v>30</v>
      </c>
      <c r="AV256" s="445" t="str">
        <f t="shared" si="15"/>
        <v>Vàng:30000:MG01:3</v>
      </c>
      <c r="AW256" s="440">
        <v>300</v>
      </c>
      <c r="AX256" s="445">
        <v>12</v>
      </c>
      <c r="AY256" s="445">
        <v>5</v>
      </c>
      <c r="AZ256" s="450">
        <v>240</v>
      </c>
      <c r="BA256" s="31">
        <v>30000</v>
      </c>
      <c r="BB256" s="31">
        <v>3</v>
      </c>
      <c r="BC256" s="31">
        <f t="shared" si="13"/>
        <v>150000</v>
      </c>
    </row>
    <row r="257" spans="1:55" x14ac:dyDescent="0.25">
      <c r="A257" s="28" t="s">
        <v>2199</v>
      </c>
      <c r="B257" s="428">
        <v>255</v>
      </c>
      <c r="C257" s="13">
        <v>7</v>
      </c>
      <c r="D257" s="4">
        <v>20</v>
      </c>
      <c r="E257" s="451">
        <v>10800</v>
      </c>
      <c r="F257" s="445">
        <v>6</v>
      </c>
      <c r="G257" s="13">
        <v>14</v>
      </c>
      <c r="H257" s="13">
        <v>20</v>
      </c>
      <c r="I257" s="455" t="s">
        <v>2218</v>
      </c>
      <c r="J257" s="451">
        <v>1</v>
      </c>
      <c r="K257" s="445">
        <v>50</v>
      </c>
      <c r="L257" s="445">
        <v>50</v>
      </c>
      <c r="M257" s="445">
        <v>5</v>
      </c>
      <c r="N257" s="13">
        <v>50</v>
      </c>
      <c r="O257" s="446">
        <v>5</v>
      </c>
      <c r="P257" s="445">
        <v>95</v>
      </c>
      <c r="Q257" s="321">
        <v>6</v>
      </c>
      <c r="R257" s="23">
        <v>15</v>
      </c>
      <c r="S257" s="445">
        <v>5</v>
      </c>
      <c r="T257" s="445">
        <f t="shared" si="14"/>
        <v>95</v>
      </c>
      <c r="U257" s="447">
        <v>0.5</v>
      </c>
      <c r="V257" s="448">
        <v>2.8899999999999997</v>
      </c>
      <c r="W257" s="449">
        <v>3.3000000000000003</v>
      </c>
      <c r="X257" s="448">
        <v>2.16</v>
      </c>
      <c r="Y257" s="448">
        <v>4.76</v>
      </c>
      <c r="Z257" s="448">
        <v>1.6</v>
      </c>
      <c r="AA257" s="448">
        <v>1.1440000000000001</v>
      </c>
      <c r="AB257" s="448">
        <v>0.13999999999999999</v>
      </c>
      <c r="AC257" s="445">
        <v>1275000</v>
      </c>
      <c r="AD257" s="450">
        <v>450</v>
      </c>
      <c r="AE257" s="445">
        <v>18000</v>
      </c>
      <c r="AF257" s="445">
        <v>500</v>
      </c>
      <c r="AG257" s="447">
        <v>1.17</v>
      </c>
      <c r="AH257" s="445">
        <v>3</v>
      </c>
      <c r="AI257" s="445">
        <v>4</v>
      </c>
      <c r="AJ257" s="445">
        <v>2</v>
      </c>
      <c r="AK257" s="445">
        <v>3</v>
      </c>
      <c r="AL257" s="2" t="s">
        <v>2260</v>
      </c>
      <c r="AM257" s="2" t="s">
        <v>2261</v>
      </c>
      <c r="AN257" s="2" t="s">
        <v>2377</v>
      </c>
      <c r="AO257" s="445">
        <v>12</v>
      </c>
      <c r="AP257" s="445">
        <v>24</v>
      </c>
      <c r="AQ257" s="445">
        <v>5</v>
      </c>
      <c r="AR257" s="445">
        <v>10</v>
      </c>
      <c r="AS257" s="445">
        <v>4</v>
      </c>
      <c r="AT257" s="445">
        <v>5</v>
      </c>
      <c r="AU257" s="445">
        <v>30</v>
      </c>
      <c r="AV257" s="445" t="str">
        <f t="shared" si="15"/>
        <v>Vàng:30000:MG01:3</v>
      </c>
      <c r="AW257" s="440">
        <v>300</v>
      </c>
      <c r="AX257" s="445">
        <v>12</v>
      </c>
      <c r="AY257" s="445">
        <v>5</v>
      </c>
      <c r="AZ257" s="450">
        <v>241</v>
      </c>
      <c r="BA257" s="31">
        <v>30000</v>
      </c>
      <c r="BB257" s="31">
        <v>3</v>
      </c>
      <c r="BC257" s="31">
        <f t="shared" si="13"/>
        <v>150000</v>
      </c>
    </row>
    <row r="258" spans="1:55" x14ac:dyDescent="0.25">
      <c r="A258" s="28" t="s">
        <v>2199</v>
      </c>
      <c r="B258" s="29">
        <v>256</v>
      </c>
      <c r="C258" s="13">
        <v>7</v>
      </c>
      <c r="D258" s="4">
        <v>20</v>
      </c>
      <c r="E258" s="451">
        <v>10800</v>
      </c>
      <c r="F258" s="445">
        <v>6</v>
      </c>
      <c r="G258" s="13">
        <v>14</v>
      </c>
      <c r="H258" s="13">
        <v>20</v>
      </c>
      <c r="I258" s="455" t="s">
        <v>2218</v>
      </c>
      <c r="J258" s="451">
        <v>1</v>
      </c>
      <c r="K258" s="445">
        <v>50</v>
      </c>
      <c r="L258" s="445">
        <v>50</v>
      </c>
      <c r="M258" s="445">
        <v>5</v>
      </c>
      <c r="N258" s="13">
        <v>50</v>
      </c>
      <c r="O258" s="446">
        <v>5</v>
      </c>
      <c r="P258" s="445">
        <v>95</v>
      </c>
      <c r="Q258" s="321">
        <v>6</v>
      </c>
      <c r="R258" s="23">
        <v>15</v>
      </c>
      <c r="S258" s="445">
        <v>5</v>
      </c>
      <c r="T258" s="445">
        <f t="shared" si="14"/>
        <v>95</v>
      </c>
      <c r="U258" s="447">
        <v>0.5</v>
      </c>
      <c r="V258" s="448">
        <v>2.8899999999999997</v>
      </c>
      <c r="W258" s="449">
        <v>3.3000000000000003</v>
      </c>
      <c r="X258" s="448">
        <v>2.16</v>
      </c>
      <c r="Y258" s="448">
        <v>4.76</v>
      </c>
      <c r="Z258" s="448">
        <v>1.6</v>
      </c>
      <c r="AA258" s="448">
        <v>1.1440000000000001</v>
      </c>
      <c r="AB258" s="448">
        <v>0.13999999999999999</v>
      </c>
      <c r="AC258" s="445">
        <v>1280000</v>
      </c>
      <c r="AD258" s="450">
        <v>450</v>
      </c>
      <c r="AE258" s="445">
        <v>18000</v>
      </c>
      <c r="AF258" s="445">
        <v>500</v>
      </c>
      <c r="AG258" s="447">
        <v>1.17</v>
      </c>
      <c r="AH258" s="445">
        <v>3</v>
      </c>
      <c r="AI258" s="445">
        <v>4</v>
      </c>
      <c r="AJ258" s="445">
        <v>2</v>
      </c>
      <c r="AK258" s="445">
        <v>3</v>
      </c>
      <c r="AL258" s="2" t="s">
        <v>2260</v>
      </c>
      <c r="AM258" s="2" t="s">
        <v>2261</v>
      </c>
      <c r="AN258" s="2" t="s">
        <v>2377</v>
      </c>
      <c r="AO258" s="445">
        <v>12</v>
      </c>
      <c r="AP258" s="445">
        <v>24</v>
      </c>
      <c r="AQ258" s="445">
        <v>5</v>
      </c>
      <c r="AR258" s="445">
        <v>10</v>
      </c>
      <c r="AS258" s="445">
        <v>4</v>
      </c>
      <c r="AT258" s="445">
        <v>5</v>
      </c>
      <c r="AU258" s="445">
        <v>30</v>
      </c>
      <c r="AV258" s="445" t="str">
        <f t="shared" si="15"/>
        <v>Vàng:30000:MG01:3</v>
      </c>
      <c r="AW258" s="440">
        <v>300</v>
      </c>
      <c r="AX258" s="445">
        <v>12</v>
      </c>
      <c r="AY258" s="445">
        <v>5</v>
      </c>
      <c r="AZ258" s="450">
        <v>242</v>
      </c>
      <c r="BA258" s="31">
        <v>30000</v>
      </c>
      <c r="BB258" s="31">
        <v>3</v>
      </c>
      <c r="BC258" s="31">
        <f t="shared" si="13"/>
        <v>150000</v>
      </c>
    </row>
    <row r="259" spans="1:55" x14ac:dyDescent="0.25">
      <c r="A259" s="28" t="s">
        <v>2199</v>
      </c>
      <c r="B259" s="428">
        <v>257</v>
      </c>
      <c r="C259" s="13">
        <v>7</v>
      </c>
      <c r="D259" s="4">
        <v>20</v>
      </c>
      <c r="E259" s="451">
        <v>10800</v>
      </c>
      <c r="F259" s="445">
        <v>6</v>
      </c>
      <c r="G259" s="13">
        <v>14</v>
      </c>
      <c r="H259" s="13">
        <v>20</v>
      </c>
      <c r="I259" s="455" t="s">
        <v>2218</v>
      </c>
      <c r="J259" s="451">
        <v>1</v>
      </c>
      <c r="K259" s="445">
        <v>50</v>
      </c>
      <c r="L259" s="445">
        <v>50</v>
      </c>
      <c r="M259" s="445">
        <v>5</v>
      </c>
      <c r="N259" s="13">
        <v>50</v>
      </c>
      <c r="O259" s="446">
        <v>5</v>
      </c>
      <c r="P259" s="445">
        <v>95</v>
      </c>
      <c r="Q259" s="321">
        <v>6</v>
      </c>
      <c r="R259" s="23">
        <v>15</v>
      </c>
      <c r="S259" s="445">
        <v>5</v>
      </c>
      <c r="T259" s="445">
        <f t="shared" si="14"/>
        <v>95</v>
      </c>
      <c r="U259" s="447">
        <v>0.5</v>
      </c>
      <c r="V259" s="448">
        <v>2.8899999999999997</v>
      </c>
      <c r="W259" s="449">
        <v>3.3000000000000003</v>
      </c>
      <c r="X259" s="448">
        <v>2.16</v>
      </c>
      <c r="Y259" s="448">
        <v>4.76</v>
      </c>
      <c r="Z259" s="448">
        <v>1.6</v>
      </c>
      <c r="AA259" s="448">
        <v>1.1440000000000001</v>
      </c>
      <c r="AB259" s="448">
        <v>0.13999999999999999</v>
      </c>
      <c r="AC259" s="445">
        <v>1285000</v>
      </c>
      <c r="AD259" s="450">
        <v>450</v>
      </c>
      <c r="AE259" s="445">
        <v>18000</v>
      </c>
      <c r="AF259" s="445">
        <v>500</v>
      </c>
      <c r="AG259" s="447">
        <v>1.17</v>
      </c>
      <c r="AH259" s="445">
        <v>3</v>
      </c>
      <c r="AI259" s="445">
        <v>4</v>
      </c>
      <c r="AJ259" s="445">
        <v>2</v>
      </c>
      <c r="AK259" s="445">
        <v>3</v>
      </c>
      <c r="AL259" s="2" t="s">
        <v>2260</v>
      </c>
      <c r="AM259" s="2" t="s">
        <v>2261</v>
      </c>
      <c r="AN259" s="2" t="s">
        <v>2377</v>
      </c>
      <c r="AO259" s="445">
        <v>12</v>
      </c>
      <c r="AP259" s="445">
        <v>24</v>
      </c>
      <c r="AQ259" s="445">
        <v>5</v>
      </c>
      <c r="AR259" s="445">
        <v>10</v>
      </c>
      <c r="AS259" s="445">
        <v>4</v>
      </c>
      <c r="AT259" s="445">
        <v>5</v>
      </c>
      <c r="AU259" s="445">
        <v>30</v>
      </c>
      <c r="AV259" s="445" t="str">
        <f t="shared" si="15"/>
        <v>Vàng:30000:MG01:3</v>
      </c>
      <c r="AW259" s="440">
        <v>300</v>
      </c>
      <c r="AX259" s="445">
        <v>12</v>
      </c>
      <c r="AY259" s="445">
        <v>5</v>
      </c>
      <c r="AZ259" s="450">
        <v>243</v>
      </c>
      <c r="BA259" s="31">
        <v>30000</v>
      </c>
      <c r="BB259" s="31">
        <v>3</v>
      </c>
      <c r="BC259" s="31">
        <f t="shared" ref="BC259:BC282" si="16">BA259*$BC$1</f>
        <v>150000</v>
      </c>
    </row>
    <row r="260" spans="1:55" x14ac:dyDescent="0.25">
      <c r="A260" s="28" t="s">
        <v>2199</v>
      </c>
      <c r="B260" s="29">
        <v>258</v>
      </c>
      <c r="C260" s="13">
        <v>7</v>
      </c>
      <c r="D260" s="4">
        <v>20</v>
      </c>
      <c r="E260" s="451">
        <v>10800</v>
      </c>
      <c r="F260" s="445">
        <v>6</v>
      </c>
      <c r="G260" s="13">
        <v>14</v>
      </c>
      <c r="H260" s="13">
        <v>20</v>
      </c>
      <c r="I260" s="455" t="s">
        <v>2218</v>
      </c>
      <c r="J260" s="451">
        <v>1</v>
      </c>
      <c r="K260" s="445">
        <v>50</v>
      </c>
      <c r="L260" s="445">
        <v>50</v>
      </c>
      <c r="M260" s="445">
        <v>5</v>
      </c>
      <c r="N260" s="13">
        <v>50</v>
      </c>
      <c r="O260" s="446">
        <v>5</v>
      </c>
      <c r="P260" s="445">
        <v>95</v>
      </c>
      <c r="Q260" s="321">
        <v>6</v>
      </c>
      <c r="R260" s="23">
        <v>15</v>
      </c>
      <c r="S260" s="445">
        <v>5</v>
      </c>
      <c r="T260" s="445">
        <f t="shared" si="14"/>
        <v>95</v>
      </c>
      <c r="U260" s="447">
        <v>0.5</v>
      </c>
      <c r="V260" s="448">
        <v>2.8899999999999997</v>
      </c>
      <c r="W260" s="449">
        <v>3.3000000000000003</v>
      </c>
      <c r="X260" s="448">
        <v>2.16</v>
      </c>
      <c r="Y260" s="448">
        <v>4.76</v>
      </c>
      <c r="Z260" s="448">
        <v>1.6</v>
      </c>
      <c r="AA260" s="448">
        <v>1.1440000000000001</v>
      </c>
      <c r="AB260" s="448">
        <v>0.13999999999999999</v>
      </c>
      <c r="AC260" s="445">
        <v>1290000</v>
      </c>
      <c r="AD260" s="450">
        <v>450</v>
      </c>
      <c r="AE260" s="445">
        <v>18000</v>
      </c>
      <c r="AF260" s="445">
        <v>500</v>
      </c>
      <c r="AG260" s="447">
        <v>1.17</v>
      </c>
      <c r="AH260" s="445">
        <v>3</v>
      </c>
      <c r="AI260" s="445">
        <v>4</v>
      </c>
      <c r="AJ260" s="445">
        <v>2</v>
      </c>
      <c r="AK260" s="445">
        <v>3</v>
      </c>
      <c r="AL260" s="2" t="s">
        <v>2260</v>
      </c>
      <c r="AM260" s="2" t="s">
        <v>2261</v>
      </c>
      <c r="AN260" s="2" t="s">
        <v>2377</v>
      </c>
      <c r="AO260" s="445">
        <v>12</v>
      </c>
      <c r="AP260" s="445">
        <v>24</v>
      </c>
      <c r="AQ260" s="445">
        <v>5</v>
      </c>
      <c r="AR260" s="445">
        <v>10</v>
      </c>
      <c r="AS260" s="445">
        <v>4</v>
      </c>
      <c r="AT260" s="445">
        <v>5</v>
      </c>
      <c r="AU260" s="445">
        <v>30</v>
      </c>
      <c r="AV260" s="445" t="str">
        <f t="shared" si="15"/>
        <v>Vàng:30000:MG01:3</v>
      </c>
      <c r="AW260" s="440">
        <v>300</v>
      </c>
      <c r="AX260" s="445">
        <v>12</v>
      </c>
      <c r="AY260" s="445">
        <v>5</v>
      </c>
      <c r="AZ260" s="450">
        <v>244</v>
      </c>
      <c r="BA260" s="31">
        <v>30000</v>
      </c>
      <c r="BB260" s="31">
        <v>3</v>
      </c>
      <c r="BC260" s="31">
        <f t="shared" si="16"/>
        <v>150000</v>
      </c>
    </row>
    <row r="261" spans="1:55" x14ac:dyDescent="0.25">
      <c r="A261" s="28" t="s">
        <v>2199</v>
      </c>
      <c r="B261" s="428">
        <v>259</v>
      </c>
      <c r="C261" s="13">
        <v>7</v>
      </c>
      <c r="D261" s="4">
        <v>20</v>
      </c>
      <c r="E261" s="451">
        <v>10800</v>
      </c>
      <c r="F261" s="445">
        <v>6</v>
      </c>
      <c r="G261" s="13">
        <v>14</v>
      </c>
      <c r="H261" s="13">
        <v>20</v>
      </c>
      <c r="I261" s="455" t="s">
        <v>2218</v>
      </c>
      <c r="J261" s="451">
        <v>1</v>
      </c>
      <c r="K261" s="445">
        <v>50</v>
      </c>
      <c r="L261" s="445">
        <v>50</v>
      </c>
      <c r="M261" s="445">
        <v>5</v>
      </c>
      <c r="N261" s="13">
        <v>50</v>
      </c>
      <c r="O261" s="446">
        <v>5</v>
      </c>
      <c r="P261" s="445">
        <v>95</v>
      </c>
      <c r="Q261" s="321">
        <v>6</v>
      </c>
      <c r="R261" s="23">
        <v>15</v>
      </c>
      <c r="S261" s="445">
        <v>5</v>
      </c>
      <c r="T261" s="445">
        <f t="shared" si="14"/>
        <v>95</v>
      </c>
      <c r="U261" s="447">
        <v>0.5</v>
      </c>
      <c r="V261" s="448">
        <v>2.8899999999999997</v>
      </c>
      <c r="W261" s="449">
        <v>3.3000000000000003</v>
      </c>
      <c r="X261" s="448">
        <v>2.16</v>
      </c>
      <c r="Y261" s="448">
        <v>4.76</v>
      </c>
      <c r="Z261" s="448">
        <v>1.6</v>
      </c>
      <c r="AA261" s="448">
        <v>1.1440000000000001</v>
      </c>
      <c r="AB261" s="448">
        <v>0.13999999999999999</v>
      </c>
      <c r="AC261" s="445">
        <v>1295000</v>
      </c>
      <c r="AD261" s="450">
        <v>450</v>
      </c>
      <c r="AE261" s="445">
        <v>18000</v>
      </c>
      <c r="AF261" s="445">
        <v>500</v>
      </c>
      <c r="AG261" s="447">
        <v>1.17</v>
      </c>
      <c r="AH261" s="445">
        <v>3</v>
      </c>
      <c r="AI261" s="445">
        <v>4</v>
      </c>
      <c r="AJ261" s="445">
        <v>2</v>
      </c>
      <c r="AK261" s="445">
        <v>3</v>
      </c>
      <c r="AL261" s="2" t="s">
        <v>2260</v>
      </c>
      <c r="AM261" s="2" t="s">
        <v>2261</v>
      </c>
      <c r="AN261" s="2" t="s">
        <v>2377</v>
      </c>
      <c r="AO261" s="445">
        <v>12</v>
      </c>
      <c r="AP261" s="445">
        <v>24</v>
      </c>
      <c r="AQ261" s="445">
        <v>5</v>
      </c>
      <c r="AR261" s="445">
        <v>10</v>
      </c>
      <c r="AS261" s="445">
        <v>4</v>
      </c>
      <c r="AT261" s="445">
        <v>5</v>
      </c>
      <c r="AU261" s="445">
        <v>30</v>
      </c>
      <c r="AV261" s="445" t="str">
        <f t="shared" si="15"/>
        <v>Vàng:30000:MG01:3</v>
      </c>
      <c r="AW261" s="440">
        <v>300</v>
      </c>
      <c r="AX261" s="445">
        <v>12</v>
      </c>
      <c r="AY261" s="445">
        <v>5</v>
      </c>
      <c r="AZ261" s="450">
        <v>245</v>
      </c>
      <c r="BA261" s="31">
        <v>30000</v>
      </c>
      <c r="BB261" s="31">
        <v>3</v>
      </c>
      <c r="BC261" s="31">
        <f t="shared" si="16"/>
        <v>150000</v>
      </c>
    </row>
    <row r="262" spans="1:55" x14ac:dyDescent="0.25">
      <c r="A262" s="28" t="s">
        <v>2199</v>
      </c>
      <c r="B262" s="29">
        <v>260</v>
      </c>
      <c r="C262" s="13">
        <v>7</v>
      </c>
      <c r="D262" s="4">
        <v>20</v>
      </c>
      <c r="E262" s="451">
        <v>10800</v>
      </c>
      <c r="F262" s="445">
        <v>6</v>
      </c>
      <c r="G262" s="13">
        <v>14</v>
      </c>
      <c r="H262" s="13">
        <v>20</v>
      </c>
      <c r="I262" s="455" t="s">
        <v>2218</v>
      </c>
      <c r="J262" s="451">
        <v>1</v>
      </c>
      <c r="K262" s="445">
        <v>50</v>
      </c>
      <c r="L262" s="445">
        <v>50</v>
      </c>
      <c r="M262" s="445">
        <v>5</v>
      </c>
      <c r="N262" s="13">
        <v>50</v>
      </c>
      <c r="O262" s="446">
        <v>5</v>
      </c>
      <c r="P262" s="445">
        <v>95</v>
      </c>
      <c r="Q262" s="321">
        <v>6</v>
      </c>
      <c r="R262" s="23">
        <v>15</v>
      </c>
      <c r="S262" s="445">
        <v>5</v>
      </c>
      <c r="T262" s="445">
        <f t="shared" ref="T262:T282" si="17">100-S262</f>
        <v>95</v>
      </c>
      <c r="U262" s="447">
        <v>0.5</v>
      </c>
      <c r="V262" s="448">
        <v>2.8899999999999997</v>
      </c>
      <c r="W262" s="449">
        <v>3.3000000000000003</v>
      </c>
      <c r="X262" s="448">
        <v>2.16</v>
      </c>
      <c r="Y262" s="448">
        <v>4.76</v>
      </c>
      <c r="Z262" s="448">
        <v>1.6</v>
      </c>
      <c r="AA262" s="448">
        <v>1.1440000000000001</v>
      </c>
      <c r="AB262" s="448">
        <v>0.13999999999999999</v>
      </c>
      <c r="AC262" s="445">
        <v>1300000</v>
      </c>
      <c r="AD262" s="450">
        <v>450</v>
      </c>
      <c r="AE262" s="445">
        <v>18000</v>
      </c>
      <c r="AF262" s="445">
        <v>500</v>
      </c>
      <c r="AG262" s="447">
        <v>1.17</v>
      </c>
      <c r="AH262" s="445">
        <v>3</v>
      </c>
      <c r="AI262" s="445">
        <v>4</v>
      </c>
      <c r="AJ262" s="445">
        <v>2</v>
      </c>
      <c r="AK262" s="445">
        <v>3</v>
      </c>
      <c r="AL262" s="2" t="s">
        <v>2260</v>
      </c>
      <c r="AM262" s="2" t="s">
        <v>2261</v>
      </c>
      <c r="AN262" s="2" t="s">
        <v>2377</v>
      </c>
      <c r="AO262" s="445">
        <v>12</v>
      </c>
      <c r="AP262" s="445">
        <v>24</v>
      </c>
      <c r="AQ262" s="445">
        <v>5</v>
      </c>
      <c r="AR262" s="445">
        <v>10</v>
      </c>
      <c r="AS262" s="445">
        <v>4</v>
      </c>
      <c r="AT262" s="445">
        <v>5</v>
      </c>
      <c r="AU262" s="445">
        <v>30</v>
      </c>
      <c r="AV262" s="445" t="str">
        <f t="shared" si="15"/>
        <v>Vàng:30000:MG01:3</v>
      </c>
      <c r="AW262" s="440">
        <v>300</v>
      </c>
      <c r="AX262" s="445">
        <v>12</v>
      </c>
      <c r="AY262" s="445">
        <v>5</v>
      </c>
      <c r="AZ262" s="450">
        <v>246</v>
      </c>
      <c r="BA262" s="31">
        <v>30000</v>
      </c>
      <c r="BB262" s="31">
        <v>3</v>
      </c>
      <c r="BC262" s="31">
        <f t="shared" si="16"/>
        <v>150000</v>
      </c>
    </row>
    <row r="263" spans="1:55" x14ac:dyDescent="0.25">
      <c r="A263" s="28" t="s">
        <v>2199</v>
      </c>
      <c r="B263" s="428">
        <v>261</v>
      </c>
      <c r="C263" s="13">
        <v>7</v>
      </c>
      <c r="D263" s="4">
        <v>20</v>
      </c>
      <c r="E263" s="451">
        <v>10800</v>
      </c>
      <c r="F263" s="445">
        <v>6</v>
      </c>
      <c r="G263" s="13">
        <v>14</v>
      </c>
      <c r="H263" s="13">
        <v>20</v>
      </c>
      <c r="I263" s="455" t="s">
        <v>2218</v>
      </c>
      <c r="J263" s="451">
        <v>1</v>
      </c>
      <c r="K263" s="445">
        <v>50</v>
      </c>
      <c r="L263" s="445">
        <v>50</v>
      </c>
      <c r="M263" s="445">
        <v>5</v>
      </c>
      <c r="N263" s="13">
        <v>50</v>
      </c>
      <c r="O263" s="446">
        <v>5</v>
      </c>
      <c r="P263" s="445">
        <v>95</v>
      </c>
      <c r="Q263" s="321">
        <v>6</v>
      </c>
      <c r="R263" s="23">
        <v>15</v>
      </c>
      <c r="S263" s="445">
        <v>5</v>
      </c>
      <c r="T263" s="445">
        <f t="shared" si="17"/>
        <v>95</v>
      </c>
      <c r="U263" s="447">
        <v>0.5</v>
      </c>
      <c r="V263" s="448">
        <v>2.8899999999999997</v>
      </c>
      <c r="W263" s="449">
        <v>3.3000000000000003</v>
      </c>
      <c r="X263" s="448">
        <v>2.16</v>
      </c>
      <c r="Y263" s="448">
        <v>4.76</v>
      </c>
      <c r="Z263" s="448">
        <v>1.6</v>
      </c>
      <c r="AA263" s="448">
        <v>1.1440000000000001</v>
      </c>
      <c r="AB263" s="448">
        <v>0.13999999999999999</v>
      </c>
      <c r="AC263" s="445">
        <v>1305000</v>
      </c>
      <c r="AD263" s="460">
        <v>450</v>
      </c>
      <c r="AE263" s="428">
        <v>18000</v>
      </c>
      <c r="AF263" s="445">
        <v>500</v>
      </c>
      <c r="AG263" s="447">
        <v>1.17</v>
      </c>
      <c r="AH263" s="428">
        <v>3</v>
      </c>
      <c r="AI263" s="428">
        <v>4</v>
      </c>
      <c r="AJ263" s="428">
        <v>2</v>
      </c>
      <c r="AK263" s="445">
        <v>3</v>
      </c>
      <c r="AL263" s="2" t="s">
        <v>2260</v>
      </c>
      <c r="AM263" s="2" t="s">
        <v>2261</v>
      </c>
      <c r="AN263" s="2" t="s">
        <v>2377</v>
      </c>
      <c r="AO263" s="445">
        <v>12</v>
      </c>
      <c r="AP263" s="445">
        <v>24</v>
      </c>
      <c r="AQ263" s="445">
        <v>5</v>
      </c>
      <c r="AR263" s="445">
        <v>10</v>
      </c>
      <c r="AS263" s="445">
        <v>4</v>
      </c>
      <c r="AT263" s="445">
        <v>5</v>
      </c>
      <c r="AU263" s="445">
        <v>30</v>
      </c>
      <c r="AV263" s="445" t="str">
        <f t="shared" si="15"/>
        <v>Vàng:30000:MG01:3</v>
      </c>
      <c r="AW263" s="440">
        <v>300</v>
      </c>
      <c r="AX263" s="4">
        <v>12</v>
      </c>
      <c r="AY263" s="428">
        <v>5</v>
      </c>
      <c r="AZ263" s="450">
        <v>247</v>
      </c>
      <c r="BA263" s="31">
        <v>30000</v>
      </c>
      <c r="BB263" s="31">
        <v>3</v>
      </c>
      <c r="BC263" s="31">
        <f t="shared" si="16"/>
        <v>150000</v>
      </c>
    </row>
    <row r="264" spans="1:55" x14ac:dyDescent="0.25">
      <c r="A264" s="28" t="s">
        <v>2199</v>
      </c>
      <c r="B264" s="29">
        <v>262</v>
      </c>
      <c r="C264" s="13">
        <v>7</v>
      </c>
      <c r="D264" s="4">
        <v>20</v>
      </c>
      <c r="E264" s="451">
        <v>10800</v>
      </c>
      <c r="F264" s="445">
        <v>6</v>
      </c>
      <c r="G264" s="13">
        <v>14</v>
      </c>
      <c r="H264" s="13">
        <v>20</v>
      </c>
      <c r="I264" s="455" t="s">
        <v>2218</v>
      </c>
      <c r="J264" s="451">
        <v>1</v>
      </c>
      <c r="K264" s="445">
        <v>50</v>
      </c>
      <c r="L264" s="445">
        <v>50</v>
      </c>
      <c r="M264" s="445">
        <v>5</v>
      </c>
      <c r="N264" s="13">
        <v>50</v>
      </c>
      <c r="O264" s="446">
        <v>5</v>
      </c>
      <c r="P264" s="445">
        <v>95</v>
      </c>
      <c r="Q264" s="321">
        <v>6</v>
      </c>
      <c r="R264" s="23">
        <v>15</v>
      </c>
      <c r="S264" s="445">
        <v>5</v>
      </c>
      <c r="T264" s="445">
        <f t="shared" si="17"/>
        <v>95</v>
      </c>
      <c r="U264" s="447">
        <v>0.5</v>
      </c>
      <c r="V264" s="448">
        <v>2.8899999999999997</v>
      </c>
      <c r="W264" s="449">
        <v>3.3000000000000003</v>
      </c>
      <c r="X264" s="448">
        <v>2.16</v>
      </c>
      <c r="Y264" s="448">
        <v>4.76</v>
      </c>
      <c r="Z264" s="448">
        <v>1.6</v>
      </c>
      <c r="AA264" s="448">
        <v>1.1440000000000001</v>
      </c>
      <c r="AB264" s="448">
        <v>0.13999999999999999</v>
      </c>
      <c r="AC264" s="445">
        <v>1310000</v>
      </c>
      <c r="AD264" s="460">
        <v>450</v>
      </c>
      <c r="AE264" s="428">
        <v>18000</v>
      </c>
      <c r="AF264" s="445">
        <v>500</v>
      </c>
      <c r="AG264" s="447">
        <v>1.17</v>
      </c>
      <c r="AH264" s="428">
        <v>3</v>
      </c>
      <c r="AI264" s="428">
        <v>4</v>
      </c>
      <c r="AJ264" s="428">
        <v>2</v>
      </c>
      <c r="AK264" s="445">
        <v>3</v>
      </c>
      <c r="AL264" s="2" t="s">
        <v>2260</v>
      </c>
      <c r="AM264" s="2" t="s">
        <v>2261</v>
      </c>
      <c r="AN264" s="2" t="s">
        <v>2377</v>
      </c>
      <c r="AO264" s="445">
        <v>12</v>
      </c>
      <c r="AP264" s="445">
        <v>24</v>
      </c>
      <c r="AQ264" s="445">
        <v>5</v>
      </c>
      <c r="AR264" s="445">
        <v>10</v>
      </c>
      <c r="AS264" s="445">
        <v>4</v>
      </c>
      <c r="AT264" s="445">
        <v>5</v>
      </c>
      <c r="AU264" s="445">
        <v>30</v>
      </c>
      <c r="AV264" s="445" t="str">
        <f t="shared" si="15"/>
        <v>Vàng:30000:MG01:3</v>
      </c>
      <c r="AW264" s="440">
        <v>300</v>
      </c>
      <c r="AX264" s="4">
        <v>12</v>
      </c>
      <c r="AY264" s="428">
        <v>5</v>
      </c>
      <c r="AZ264" s="450">
        <v>248</v>
      </c>
      <c r="BA264" s="31">
        <v>30000</v>
      </c>
      <c r="BB264" s="31">
        <v>3</v>
      </c>
      <c r="BC264" s="31">
        <f t="shared" si="16"/>
        <v>150000</v>
      </c>
    </row>
    <row r="265" spans="1:55" x14ac:dyDescent="0.25">
      <c r="A265" s="28" t="s">
        <v>2199</v>
      </c>
      <c r="B265" s="428">
        <v>263</v>
      </c>
      <c r="C265" s="13">
        <v>7</v>
      </c>
      <c r="D265" s="4">
        <v>20</v>
      </c>
      <c r="E265" s="451">
        <v>10800</v>
      </c>
      <c r="F265" s="445">
        <v>6</v>
      </c>
      <c r="G265" s="13">
        <v>14</v>
      </c>
      <c r="H265" s="13">
        <v>20</v>
      </c>
      <c r="I265" s="455" t="s">
        <v>2218</v>
      </c>
      <c r="J265" s="451">
        <v>1</v>
      </c>
      <c r="K265" s="445">
        <v>50</v>
      </c>
      <c r="L265" s="445">
        <v>50</v>
      </c>
      <c r="M265" s="445">
        <v>5</v>
      </c>
      <c r="N265" s="13">
        <v>50</v>
      </c>
      <c r="O265" s="446">
        <v>5</v>
      </c>
      <c r="P265" s="445">
        <v>95</v>
      </c>
      <c r="Q265" s="321">
        <v>6</v>
      </c>
      <c r="R265" s="23">
        <v>15</v>
      </c>
      <c r="S265" s="445">
        <v>5</v>
      </c>
      <c r="T265" s="445">
        <f t="shared" si="17"/>
        <v>95</v>
      </c>
      <c r="U265" s="447">
        <v>0.5</v>
      </c>
      <c r="V265" s="448">
        <v>2.8899999999999997</v>
      </c>
      <c r="W265" s="449">
        <v>3.3000000000000003</v>
      </c>
      <c r="X265" s="448">
        <v>2.16</v>
      </c>
      <c r="Y265" s="448">
        <v>4.76</v>
      </c>
      <c r="Z265" s="448">
        <v>1.6</v>
      </c>
      <c r="AA265" s="448">
        <v>1.1440000000000001</v>
      </c>
      <c r="AB265" s="448">
        <v>0.13999999999999999</v>
      </c>
      <c r="AC265" s="445">
        <v>1315000</v>
      </c>
      <c r="AD265" s="460">
        <v>450</v>
      </c>
      <c r="AE265" s="428">
        <v>18000</v>
      </c>
      <c r="AF265" s="445">
        <v>500</v>
      </c>
      <c r="AG265" s="447">
        <v>1.17</v>
      </c>
      <c r="AH265" s="428">
        <v>3</v>
      </c>
      <c r="AI265" s="428">
        <v>4</v>
      </c>
      <c r="AJ265" s="428">
        <v>2</v>
      </c>
      <c r="AK265" s="445">
        <v>3</v>
      </c>
      <c r="AL265" s="2" t="s">
        <v>2260</v>
      </c>
      <c r="AM265" s="2" t="s">
        <v>2261</v>
      </c>
      <c r="AN265" s="2" t="s">
        <v>2377</v>
      </c>
      <c r="AO265" s="445">
        <v>12</v>
      </c>
      <c r="AP265" s="445">
        <v>24</v>
      </c>
      <c r="AQ265" s="445">
        <v>5</v>
      </c>
      <c r="AR265" s="445">
        <v>10</v>
      </c>
      <c r="AS265" s="445">
        <v>4</v>
      </c>
      <c r="AT265" s="445">
        <v>5</v>
      </c>
      <c r="AU265" s="445">
        <v>30</v>
      </c>
      <c r="AV265" s="445" t="str">
        <f t="shared" si="15"/>
        <v>Vàng:30000:MG01:3</v>
      </c>
      <c r="AW265" s="440">
        <v>300</v>
      </c>
      <c r="AX265" s="4">
        <v>12</v>
      </c>
      <c r="AY265" s="428">
        <v>5</v>
      </c>
      <c r="AZ265" s="450">
        <v>249</v>
      </c>
      <c r="BA265" s="31">
        <v>30000</v>
      </c>
      <c r="BB265" s="31">
        <v>3</v>
      </c>
      <c r="BC265" s="31">
        <f t="shared" si="16"/>
        <v>150000</v>
      </c>
    </row>
    <row r="266" spans="1:55" x14ac:dyDescent="0.25">
      <c r="A266" s="28" t="s">
        <v>2199</v>
      </c>
      <c r="B266" s="29">
        <v>264</v>
      </c>
      <c r="C266" s="13">
        <v>7</v>
      </c>
      <c r="D266" s="4">
        <v>20</v>
      </c>
      <c r="E266" s="451">
        <v>10800</v>
      </c>
      <c r="F266" s="445">
        <v>6</v>
      </c>
      <c r="G266" s="13">
        <v>14</v>
      </c>
      <c r="H266" s="13">
        <v>20</v>
      </c>
      <c r="I266" s="455" t="s">
        <v>2218</v>
      </c>
      <c r="J266" s="451">
        <v>1</v>
      </c>
      <c r="K266" s="445">
        <v>50</v>
      </c>
      <c r="L266" s="445">
        <v>50</v>
      </c>
      <c r="M266" s="445">
        <v>5</v>
      </c>
      <c r="N266" s="13">
        <v>50</v>
      </c>
      <c r="O266" s="446">
        <v>5</v>
      </c>
      <c r="P266" s="445">
        <v>95</v>
      </c>
      <c r="Q266" s="321">
        <v>6</v>
      </c>
      <c r="R266" s="23">
        <v>15</v>
      </c>
      <c r="S266" s="445">
        <v>5</v>
      </c>
      <c r="T266" s="445">
        <f t="shared" si="17"/>
        <v>95</v>
      </c>
      <c r="U266" s="447">
        <v>0.5</v>
      </c>
      <c r="V266" s="448">
        <v>2.8899999999999997</v>
      </c>
      <c r="W266" s="449">
        <v>3.3000000000000003</v>
      </c>
      <c r="X266" s="448">
        <v>2.16</v>
      </c>
      <c r="Y266" s="448">
        <v>4.76</v>
      </c>
      <c r="Z266" s="448">
        <v>1.6</v>
      </c>
      <c r="AA266" s="448">
        <v>1.1440000000000001</v>
      </c>
      <c r="AB266" s="448">
        <v>0.13999999999999999</v>
      </c>
      <c r="AC266" s="445">
        <v>1320000</v>
      </c>
      <c r="AD266" s="460">
        <v>450</v>
      </c>
      <c r="AE266" s="428">
        <v>18000</v>
      </c>
      <c r="AF266" s="445">
        <v>500</v>
      </c>
      <c r="AG266" s="447">
        <v>1.17</v>
      </c>
      <c r="AH266" s="428">
        <v>3</v>
      </c>
      <c r="AI266" s="428">
        <v>4</v>
      </c>
      <c r="AJ266" s="428">
        <v>2</v>
      </c>
      <c r="AK266" s="445">
        <v>3</v>
      </c>
      <c r="AL266" s="2" t="s">
        <v>2260</v>
      </c>
      <c r="AM266" s="2" t="s">
        <v>2261</v>
      </c>
      <c r="AN266" s="2" t="s">
        <v>2377</v>
      </c>
      <c r="AO266" s="445">
        <v>12</v>
      </c>
      <c r="AP266" s="445">
        <v>24</v>
      </c>
      <c r="AQ266" s="445">
        <v>5</v>
      </c>
      <c r="AR266" s="445">
        <v>10</v>
      </c>
      <c r="AS266" s="445">
        <v>4</v>
      </c>
      <c r="AT266" s="445">
        <v>5</v>
      </c>
      <c r="AU266" s="445">
        <v>30</v>
      </c>
      <c r="AV266" s="445" t="str">
        <f t="shared" si="15"/>
        <v>Vàng:30000:MG01:3</v>
      </c>
      <c r="AW266" s="440">
        <v>300</v>
      </c>
      <c r="AX266" s="4">
        <v>12</v>
      </c>
      <c r="AY266" s="428">
        <v>5</v>
      </c>
      <c r="AZ266" s="450">
        <v>250</v>
      </c>
      <c r="BA266" s="31">
        <v>30000</v>
      </c>
      <c r="BB266" s="31">
        <v>3</v>
      </c>
      <c r="BC266" s="31">
        <f t="shared" si="16"/>
        <v>150000</v>
      </c>
    </row>
    <row r="267" spans="1:55" x14ac:dyDescent="0.25">
      <c r="A267" s="28" t="s">
        <v>2199</v>
      </c>
      <c r="B267" s="428">
        <v>265</v>
      </c>
      <c r="C267" s="13">
        <v>7</v>
      </c>
      <c r="D267" s="4">
        <v>20</v>
      </c>
      <c r="E267" s="451">
        <v>10800</v>
      </c>
      <c r="F267" s="445">
        <v>6</v>
      </c>
      <c r="G267" s="13">
        <v>14</v>
      </c>
      <c r="H267" s="13">
        <v>20</v>
      </c>
      <c r="I267" s="455" t="s">
        <v>2218</v>
      </c>
      <c r="J267" s="451">
        <v>1</v>
      </c>
      <c r="K267" s="445">
        <v>50</v>
      </c>
      <c r="L267" s="445">
        <v>50</v>
      </c>
      <c r="M267" s="445">
        <v>5</v>
      </c>
      <c r="N267" s="13">
        <v>50</v>
      </c>
      <c r="O267" s="446">
        <v>5</v>
      </c>
      <c r="P267" s="445">
        <v>95</v>
      </c>
      <c r="Q267" s="321">
        <v>6</v>
      </c>
      <c r="R267" s="23">
        <v>15</v>
      </c>
      <c r="S267" s="445">
        <v>5</v>
      </c>
      <c r="T267" s="445">
        <f t="shared" si="17"/>
        <v>95</v>
      </c>
      <c r="U267" s="447">
        <v>0.5</v>
      </c>
      <c r="V267" s="448">
        <v>2.8899999999999997</v>
      </c>
      <c r="W267" s="449">
        <v>3.3000000000000003</v>
      </c>
      <c r="X267" s="448">
        <v>2.16</v>
      </c>
      <c r="Y267" s="448">
        <v>4.76</v>
      </c>
      <c r="Z267" s="448">
        <v>1.6</v>
      </c>
      <c r="AA267" s="448">
        <v>1.1440000000000001</v>
      </c>
      <c r="AB267" s="448">
        <v>0.13999999999999999</v>
      </c>
      <c r="AC267" s="445">
        <v>1325000</v>
      </c>
      <c r="AD267" s="460">
        <v>450</v>
      </c>
      <c r="AE267" s="428">
        <v>18000</v>
      </c>
      <c r="AF267" s="445">
        <v>500</v>
      </c>
      <c r="AG267" s="447">
        <v>1.17</v>
      </c>
      <c r="AH267" s="428">
        <v>3</v>
      </c>
      <c r="AI267" s="428">
        <v>4</v>
      </c>
      <c r="AJ267" s="428">
        <v>2</v>
      </c>
      <c r="AK267" s="445">
        <v>3</v>
      </c>
      <c r="AL267" s="2" t="s">
        <v>2260</v>
      </c>
      <c r="AM267" s="2" t="s">
        <v>2261</v>
      </c>
      <c r="AN267" s="2" t="s">
        <v>2377</v>
      </c>
      <c r="AO267" s="445">
        <v>12</v>
      </c>
      <c r="AP267" s="445">
        <v>24</v>
      </c>
      <c r="AQ267" s="445">
        <v>5</v>
      </c>
      <c r="AR267" s="445">
        <v>10</v>
      </c>
      <c r="AS267" s="445">
        <v>4</v>
      </c>
      <c r="AT267" s="445">
        <v>5</v>
      </c>
      <c r="AU267" s="445">
        <v>30</v>
      </c>
      <c r="AV267" s="445" t="str">
        <f t="shared" si="15"/>
        <v>Vàng:30000:MG01:3</v>
      </c>
      <c r="AW267" s="440">
        <v>300</v>
      </c>
      <c r="AX267" s="4">
        <v>12</v>
      </c>
      <c r="AY267" s="428">
        <v>5</v>
      </c>
      <c r="AZ267" s="450">
        <v>249</v>
      </c>
      <c r="BA267" s="31">
        <v>30000</v>
      </c>
      <c r="BB267" s="31">
        <v>3</v>
      </c>
      <c r="BC267" s="31">
        <f t="shared" si="16"/>
        <v>150000</v>
      </c>
    </row>
    <row r="268" spans="1:55" x14ac:dyDescent="0.25">
      <c r="A268" s="28" t="s">
        <v>2199</v>
      </c>
      <c r="B268" s="29">
        <v>266</v>
      </c>
      <c r="C268" s="13">
        <v>7</v>
      </c>
      <c r="D268" s="4">
        <v>20</v>
      </c>
      <c r="E268" s="451">
        <v>10800</v>
      </c>
      <c r="F268" s="445">
        <v>6</v>
      </c>
      <c r="G268" s="13">
        <v>14</v>
      </c>
      <c r="H268" s="13">
        <v>20</v>
      </c>
      <c r="I268" s="455" t="s">
        <v>2218</v>
      </c>
      <c r="J268" s="451">
        <v>1</v>
      </c>
      <c r="K268" s="445">
        <v>50</v>
      </c>
      <c r="L268" s="445">
        <v>50</v>
      </c>
      <c r="M268" s="445">
        <v>5</v>
      </c>
      <c r="N268" s="13">
        <v>50</v>
      </c>
      <c r="O268" s="446">
        <v>5</v>
      </c>
      <c r="P268" s="445">
        <v>95</v>
      </c>
      <c r="Q268" s="321">
        <v>6</v>
      </c>
      <c r="R268" s="23">
        <v>15</v>
      </c>
      <c r="S268" s="445">
        <v>5</v>
      </c>
      <c r="T268" s="445">
        <f t="shared" si="17"/>
        <v>95</v>
      </c>
      <c r="U268" s="447">
        <v>0.5</v>
      </c>
      <c r="V268" s="448">
        <v>2.8899999999999997</v>
      </c>
      <c r="W268" s="449">
        <v>3.3000000000000003</v>
      </c>
      <c r="X268" s="448">
        <v>2.16</v>
      </c>
      <c r="Y268" s="448">
        <v>4.76</v>
      </c>
      <c r="Z268" s="448">
        <v>1.6</v>
      </c>
      <c r="AA268" s="448">
        <v>1.1440000000000001</v>
      </c>
      <c r="AB268" s="448">
        <v>0.13999999999999999</v>
      </c>
      <c r="AC268" s="445">
        <v>1330000</v>
      </c>
      <c r="AD268" s="460">
        <v>450</v>
      </c>
      <c r="AE268" s="428">
        <v>18000</v>
      </c>
      <c r="AF268" s="445">
        <v>500</v>
      </c>
      <c r="AG268" s="447">
        <v>1.17</v>
      </c>
      <c r="AH268" s="428">
        <v>3</v>
      </c>
      <c r="AI268" s="428">
        <v>4</v>
      </c>
      <c r="AJ268" s="428">
        <v>2</v>
      </c>
      <c r="AK268" s="445">
        <v>3</v>
      </c>
      <c r="AL268" s="2" t="s">
        <v>2260</v>
      </c>
      <c r="AM268" s="2" t="s">
        <v>2261</v>
      </c>
      <c r="AN268" s="2" t="s">
        <v>2377</v>
      </c>
      <c r="AO268" s="445">
        <v>12</v>
      </c>
      <c r="AP268" s="445">
        <v>24</v>
      </c>
      <c r="AQ268" s="445">
        <v>5</v>
      </c>
      <c r="AR268" s="445">
        <v>10</v>
      </c>
      <c r="AS268" s="445">
        <v>4</v>
      </c>
      <c r="AT268" s="445">
        <v>5</v>
      </c>
      <c r="AU268" s="445">
        <v>30</v>
      </c>
      <c r="AV268" s="445" t="str">
        <f t="shared" si="15"/>
        <v>Vàng:30000:MG01:3</v>
      </c>
      <c r="AW268" s="440">
        <v>300</v>
      </c>
      <c r="AX268" s="4">
        <v>12</v>
      </c>
      <c r="AY268" s="428">
        <v>5</v>
      </c>
      <c r="AZ268" s="450">
        <v>250</v>
      </c>
      <c r="BA268" s="31">
        <v>30000</v>
      </c>
      <c r="BB268" s="31">
        <v>3</v>
      </c>
      <c r="BC268" s="31">
        <f t="shared" si="16"/>
        <v>150000</v>
      </c>
    </row>
    <row r="269" spans="1:55" x14ac:dyDescent="0.25">
      <c r="A269" s="28" t="s">
        <v>2199</v>
      </c>
      <c r="B269" s="428">
        <v>267</v>
      </c>
      <c r="C269" s="13">
        <v>7</v>
      </c>
      <c r="D269" s="4">
        <v>20</v>
      </c>
      <c r="E269" s="451">
        <v>10800</v>
      </c>
      <c r="F269" s="445">
        <v>6</v>
      </c>
      <c r="G269" s="13">
        <v>14</v>
      </c>
      <c r="H269" s="13">
        <v>20</v>
      </c>
      <c r="I269" s="455" t="s">
        <v>2218</v>
      </c>
      <c r="J269" s="451">
        <v>1</v>
      </c>
      <c r="K269" s="445">
        <v>50</v>
      </c>
      <c r="L269" s="445">
        <v>50</v>
      </c>
      <c r="M269" s="445">
        <v>5</v>
      </c>
      <c r="N269" s="13">
        <v>50</v>
      </c>
      <c r="O269" s="446">
        <v>5</v>
      </c>
      <c r="P269" s="445">
        <v>95</v>
      </c>
      <c r="Q269" s="321">
        <v>6</v>
      </c>
      <c r="R269" s="23">
        <v>15</v>
      </c>
      <c r="S269" s="445">
        <v>5</v>
      </c>
      <c r="T269" s="445">
        <f t="shared" si="17"/>
        <v>95</v>
      </c>
      <c r="U269" s="447">
        <v>0.5</v>
      </c>
      <c r="V269" s="448">
        <v>2.8899999999999997</v>
      </c>
      <c r="W269" s="449">
        <v>3.3000000000000003</v>
      </c>
      <c r="X269" s="448">
        <v>2.16</v>
      </c>
      <c r="Y269" s="448">
        <v>4.76</v>
      </c>
      <c r="Z269" s="448">
        <v>1.6</v>
      </c>
      <c r="AA269" s="448">
        <v>1.1440000000000001</v>
      </c>
      <c r="AB269" s="448">
        <v>0.13999999999999999</v>
      </c>
      <c r="AC269" s="445">
        <v>1335000</v>
      </c>
      <c r="AD269" s="460">
        <v>450</v>
      </c>
      <c r="AE269" s="428">
        <v>18000</v>
      </c>
      <c r="AF269" s="445">
        <v>500</v>
      </c>
      <c r="AG269" s="447">
        <v>1.17</v>
      </c>
      <c r="AH269" s="428">
        <v>3</v>
      </c>
      <c r="AI269" s="428">
        <v>4</v>
      </c>
      <c r="AJ269" s="428">
        <v>2</v>
      </c>
      <c r="AK269" s="445">
        <v>3</v>
      </c>
      <c r="AL269" s="2" t="s">
        <v>2260</v>
      </c>
      <c r="AM269" s="2" t="s">
        <v>2261</v>
      </c>
      <c r="AN269" s="2" t="s">
        <v>2377</v>
      </c>
      <c r="AO269" s="445">
        <v>12</v>
      </c>
      <c r="AP269" s="445">
        <v>24</v>
      </c>
      <c r="AQ269" s="445">
        <v>5</v>
      </c>
      <c r="AR269" s="445">
        <v>10</v>
      </c>
      <c r="AS269" s="445">
        <v>4</v>
      </c>
      <c r="AT269" s="445">
        <v>5</v>
      </c>
      <c r="AU269" s="445">
        <v>30</v>
      </c>
      <c r="AV269" s="445" t="str">
        <f t="shared" si="15"/>
        <v>Vàng:30000:MG01:3</v>
      </c>
      <c r="AW269" s="440">
        <v>300</v>
      </c>
      <c r="AX269" s="4">
        <v>12</v>
      </c>
      <c r="AY269" s="428">
        <v>5</v>
      </c>
      <c r="AZ269" s="450">
        <v>249</v>
      </c>
      <c r="BA269" s="31">
        <v>30000</v>
      </c>
      <c r="BB269" s="31">
        <v>3</v>
      </c>
      <c r="BC269" s="31">
        <f t="shared" si="16"/>
        <v>150000</v>
      </c>
    </row>
    <row r="270" spans="1:55" x14ac:dyDescent="0.25">
      <c r="A270" s="28" t="s">
        <v>2199</v>
      </c>
      <c r="B270" s="29">
        <v>268</v>
      </c>
      <c r="C270" s="13">
        <v>7</v>
      </c>
      <c r="D270" s="4">
        <v>20</v>
      </c>
      <c r="E270" s="451">
        <v>10800</v>
      </c>
      <c r="F270" s="445">
        <v>6</v>
      </c>
      <c r="G270" s="13">
        <v>14</v>
      </c>
      <c r="H270" s="13">
        <v>20</v>
      </c>
      <c r="I270" s="455" t="s">
        <v>2218</v>
      </c>
      <c r="J270" s="451">
        <v>1</v>
      </c>
      <c r="K270" s="445">
        <v>50</v>
      </c>
      <c r="L270" s="445">
        <v>50</v>
      </c>
      <c r="M270" s="445">
        <v>5</v>
      </c>
      <c r="N270" s="13">
        <v>50</v>
      </c>
      <c r="O270" s="446">
        <v>5</v>
      </c>
      <c r="P270" s="445">
        <v>95</v>
      </c>
      <c r="Q270" s="321">
        <v>6</v>
      </c>
      <c r="R270" s="23">
        <v>15</v>
      </c>
      <c r="S270" s="445">
        <v>5</v>
      </c>
      <c r="T270" s="445">
        <f t="shared" si="17"/>
        <v>95</v>
      </c>
      <c r="U270" s="447">
        <v>0.5</v>
      </c>
      <c r="V270" s="448">
        <v>2.8899999999999997</v>
      </c>
      <c r="W270" s="449">
        <v>3.3000000000000003</v>
      </c>
      <c r="X270" s="448">
        <v>2.16</v>
      </c>
      <c r="Y270" s="448">
        <v>4.76</v>
      </c>
      <c r="Z270" s="448">
        <v>1.6</v>
      </c>
      <c r="AA270" s="448">
        <v>1.1440000000000001</v>
      </c>
      <c r="AB270" s="448">
        <v>0.13999999999999999</v>
      </c>
      <c r="AC270" s="445">
        <v>1340000</v>
      </c>
      <c r="AD270" s="460">
        <v>450</v>
      </c>
      <c r="AE270" s="428">
        <v>18000</v>
      </c>
      <c r="AF270" s="445">
        <v>500</v>
      </c>
      <c r="AG270" s="447">
        <v>1.17</v>
      </c>
      <c r="AH270" s="428">
        <v>3</v>
      </c>
      <c r="AI270" s="428">
        <v>4</v>
      </c>
      <c r="AJ270" s="428">
        <v>2</v>
      </c>
      <c r="AK270" s="445">
        <v>3</v>
      </c>
      <c r="AL270" s="2" t="s">
        <v>2260</v>
      </c>
      <c r="AM270" s="2" t="s">
        <v>2261</v>
      </c>
      <c r="AN270" s="2" t="s">
        <v>2377</v>
      </c>
      <c r="AO270" s="445">
        <v>12</v>
      </c>
      <c r="AP270" s="445">
        <v>24</v>
      </c>
      <c r="AQ270" s="445">
        <v>5</v>
      </c>
      <c r="AR270" s="445">
        <v>10</v>
      </c>
      <c r="AS270" s="445">
        <v>4</v>
      </c>
      <c r="AT270" s="445">
        <v>5</v>
      </c>
      <c r="AU270" s="445">
        <v>30</v>
      </c>
      <c r="AV270" s="445" t="str">
        <f t="shared" si="15"/>
        <v>Vàng:30000:MG01:3</v>
      </c>
      <c r="AW270" s="440">
        <v>300</v>
      </c>
      <c r="AX270" s="4">
        <v>12</v>
      </c>
      <c r="AY270" s="428">
        <v>5</v>
      </c>
      <c r="AZ270" s="450">
        <v>250</v>
      </c>
      <c r="BA270" s="31">
        <v>30000</v>
      </c>
      <c r="BB270" s="31">
        <v>3</v>
      </c>
      <c r="BC270" s="31">
        <f t="shared" si="16"/>
        <v>150000</v>
      </c>
    </row>
    <row r="271" spans="1:55" x14ac:dyDescent="0.25">
      <c r="A271" s="28" t="s">
        <v>2199</v>
      </c>
      <c r="B271" s="428">
        <v>269</v>
      </c>
      <c r="C271" s="13">
        <v>7</v>
      </c>
      <c r="D271" s="4">
        <v>20</v>
      </c>
      <c r="E271" s="451">
        <v>10800</v>
      </c>
      <c r="F271" s="445">
        <v>6</v>
      </c>
      <c r="G271" s="13">
        <v>14</v>
      </c>
      <c r="H271" s="13">
        <v>20</v>
      </c>
      <c r="I271" s="455" t="s">
        <v>2218</v>
      </c>
      <c r="J271" s="451">
        <v>1</v>
      </c>
      <c r="K271" s="445">
        <v>50</v>
      </c>
      <c r="L271" s="445">
        <v>50</v>
      </c>
      <c r="M271" s="445">
        <v>5</v>
      </c>
      <c r="N271" s="13">
        <v>50</v>
      </c>
      <c r="O271" s="446">
        <v>5</v>
      </c>
      <c r="P271" s="445">
        <v>95</v>
      </c>
      <c r="Q271" s="321">
        <v>6</v>
      </c>
      <c r="R271" s="23">
        <v>15</v>
      </c>
      <c r="S271" s="445">
        <v>5</v>
      </c>
      <c r="T271" s="445">
        <f t="shared" si="17"/>
        <v>95</v>
      </c>
      <c r="U271" s="447">
        <v>0.5</v>
      </c>
      <c r="V271" s="448">
        <v>2.8899999999999997</v>
      </c>
      <c r="W271" s="449">
        <v>3.3000000000000003</v>
      </c>
      <c r="X271" s="448">
        <v>2.16</v>
      </c>
      <c r="Y271" s="448">
        <v>4.76</v>
      </c>
      <c r="Z271" s="448">
        <v>1.6</v>
      </c>
      <c r="AA271" s="448">
        <v>1.1440000000000001</v>
      </c>
      <c r="AB271" s="448">
        <v>0.13999999999999999</v>
      </c>
      <c r="AC271" s="445">
        <v>1345000</v>
      </c>
      <c r="AD271" s="460">
        <v>450</v>
      </c>
      <c r="AE271" s="428">
        <v>18000</v>
      </c>
      <c r="AF271" s="445">
        <v>500</v>
      </c>
      <c r="AG271" s="447">
        <v>1.17</v>
      </c>
      <c r="AH271" s="428">
        <v>3</v>
      </c>
      <c r="AI271" s="428">
        <v>4</v>
      </c>
      <c r="AJ271" s="428">
        <v>2</v>
      </c>
      <c r="AK271" s="445">
        <v>3</v>
      </c>
      <c r="AL271" s="2" t="s">
        <v>2260</v>
      </c>
      <c r="AM271" s="2" t="s">
        <v>2261</v>
      </c>
      <c r="AN271" s="2" t="s">
        <v>2377</v>
      </c>
      <c r="AO271" s="445">
        <v>12</v>
      </c>
      <c r="AP271" s="445">
        <v>24</v>
      </c>
      <c r="AQ271" s="445">
        <v>5</v>
      </c>
      <c r="AR271" s="445">
        <v>10</v>
      </c>
      <c r="AS271" s="445">
        <v>4</v>
      </c>
      <c r="AT271" s="445">
        <v>5</v>
      </c>
      <c r="AU271" s="445">
        <v>30</v>
      </c>
      <c r="AV271" s="445" t="str">
        <f t="shared" si="15"/>
        <v>Vàng:30000:MG01:3</v>
      </c>
      <c r="AW271" s="440">
        <v>300</v>
      </c>
      <c r="AX271" s="4">
        <v>12</v>
      </c>
      <c r="AY271" s="428">
        <v>5</v>
      </c>
      <c r="AZ271" s="450">
        <v>249</v>
      </c>
      <c r="BA271" s="31">
        <v>30000</v>
      </c>
      <c r="BB271" s="31">
        <v>3</v>
      </c>
      <c r="BC271" s="31">
        <f t="shared" si="16"/>
        <v>150000</v>
      </c>
    </row>
    <row r="272" spans="1:55" x14ac:dyDescent="0.25">
      <c r="A272" s="28" t="s">
        <v>2199</v>
      </c>
      <c r="B272" s="29">
        <v>270</v>
      </c>
      <c r="C272" s="13">
        <v>7</v>
      </c>
      <c r="D272" s="4">
        <v>20</v>
      </c>
      <c r="E272" s="451">
        <v>10800</v>
      </c>
      <c r="F272" s="445">
        <v>6</v>
      </c>
      <c r="G272" s="13">
        <v>14</v>
      </c>
      <c r="H272" s="13">
        <v>20</v>
      </c>
      <c r="I272" s="455" t="s">
        <v>2218</v>
      </c>
      <c r="J272" s="451">
        <v>1</v>
      </c>
      <c r="K272" s="445">
        <v>50</v>
      </c>
      <c r="L272" s="445">
        <v>50</v>
      </c>
      <c r="M272" s="445">
        <v>5</v>
      </c>
      <c r="N272" s="13">
        <v>50</v>
      </c>
      <c r="O272" s="446">
        <v>5</v>
      </c>
      <c r="P272" s="445">
        <v>95</v>
      </c>
      <c r="Q272" s="321">
        <v>6</v>
      </c>
      <c r="R272" s="23">
        <v>15</v>
      </c>
      <c r="S272" s="445">
        <v>5</v>
      </c>
      <c r="T272" s="445">
        <f t="shared" si="17"/>
        <v>95</v>
      </c>
      <c r="U272" s="447">
        <v>0.5</v>
      </c>
      <c r="V272" s="448">
        <v>2.8899999999999997</v>
      </c>
      <c r="W272" s="449">
        <v>3.3000000000000003</v>
      </c>
      <c r="X272" s="448">
        <v>2.16</v>
      </c>
      <c r="Y272" s="448">
        <v>4.76</v>
      </c>
      <c r="Z272" s="448">
        <v>1.6</v>
      </c>
      <c r="AA272" s="448">
        <v>1.1440000000000001</v>
      </c>
      <c r="AB272" s="448">
        <v>0.13999999999999999</v>
      </c>
      <c r="AC272" s="445">
        <v>1350000</v>
      </c>
      <c r="AD272" s="460">
        <v>450</v>
      </c>
      <c r="AE272" s="428">
        <v>18000</v>
      </c>
      <c r="AF272" s="445">
        <v>500</v>
      </c>
      <c r="AG272" s="447">
        <v>1.17</v>
      </c>
      <c r="AH272" s="428">
        <v>3</v>
      </c>
      <c r="AI272" s="428">
        <v>4</v>
      </c>
      <c r="AJ272" s="428">
        <v>2</v>
      </c>
      <c r="AK272" s="445">
        <v>3</v>
      </c>
      <c r="AL272" s="2" t="s">
        <v>2260</v>
      </c>
      <c r="AM272" s="2" t="s">
        <v>2261</v>
      </c>
      <c r="AN272" s="2" t="s">
        <v>2377</v>
      </c>
      <c r="AO272" s="445">
        <v>12</v>
      </c>
      <c r="AP272" s="445">
        <v>24</v>
      </c>
      <c r="AQ272" s="445">
        <v>5</v>
      </c>
      <c r="AR272" s="445">
        <v>10</v>
      </c>
      <c r="AS272" s="445">
        <v>4</v>
      </c>
      <c r="AT272" s="445">
        <v>5</v>
      </c>
      <c r="AU272" s="445">
        <v>30</v>
      </c>
      <c r="AV272" s="445" t="str">
        <f t="shared" si="15"/>
        <v>Vàng:30000:MG01:3</v>
      </c>
      <c r="AW272" s="440">
        <v>300</v>
      </c>
      <c r="AX272" s="4">
        <v>12</v>
      </c>
      <c r="AY272" s="428">
        <v>5</v>
      </c>
      <c r="AZ272" s="450">
        <v>250</v>
      </c>
      <c r="BA272" s="31">
        <v>30000</v>
      </c>
      <c r="BB272" s="31">
        <v>3</v>
      </c>
      <c r="BC272" s="31">
        <f t="shared" si="16"/>
        <v>150000</v>
      </c>
    </row>
    <row r="273" spans="1:55" x14ac:dyDescent="0.25">
      <c r="A273" s="28" t="s">
        <v>2199</v>
      </c>
      <c r="B273" s="428">
        <v>271</v>
      </c>
      <c r="C273" s="13">
        <v>7</v>
      </c>
      <c r="D273" s="4">
        <v>20</v>
      </c>
      <c r="E273" s="451">
        <v>10800</v>
      </c>
      <c r="F273" s="445">
        <v>6</v>
      </c>
      <c r="G273" s="13">
        <v>14</v>
      </c>
      <c r="H273" s="13">
        <v>20</v>
      </c>
      <c r="I273" s="455" t="s">
        <v>2218</v>
      </c>
      <c r="J273" s="451">
        <v>1</v>
      </c>
      <c r="K273" s="445">
        <v>50</v>
      </c>
      <c r="L273" s="445">
        <v>50</v>
      </c>
      <c r="M273" s="445">
        <v>5</v>
      </c>
      <c r="N273" s="13">
        <v>50</v>
      </c>
      <c r="O273" s="446">
        <v>5</v>
      </c>
      <c r="P273" s="445">
        <v>95</v>
      </c>
      <c r="Q273" s="321">
        <v>6</v>
      </c>
      <c r="R273" s="23">
        <v>15</v>
      </c>
      <c r="S273" s="445">
        <v>5</v>
      </c>
      <c r="T273" s="445">
        <f t="shared" si="17"/>
        <v>95</v>
      </c>
      <c r="U273" s="447">
        <v>0.5</v>
      </c>
      <c r="V273" s="448">
        <v>2.8899999999999997</v>
      </c>
      <c r="W273" s="449">
        <v>3.3000000000000003</v>
      </c>
      <c r="X273" s="448">
        <v>2.16</v>
      </c>
      <c r="Y273" s="448">
        <v>4.76</v>
      </c>
      <c r="Z273" s="448">
        <v>1.6</v>
      </c>
      <c r="AA273" s="448">
        <v>1.1440000000000001</v>
      </c>
      <c r="AB273" s="448">
        <v>0.13999999999999999</v>
      </c>
      <c r="AC273" s="445">
        <v>1355000</v>
      </c>
      <c r="AD273" s="460">
        <v>450</v>
      </c>
      <c r="AE273" s="428">
        <v>18000</v>
      </c>
      <c r="AF273" s="445">
        <v>500</v>
      </c>
      <c r="AG273" s="447">
        <v>1.17</v>
      </c>
      <c r="AH273" s="428">
        <v>3</v>
      </c>
      <c r="AI273" s="428">
        <v>4</v>
      </c>
      <c r="AJ273" s="428">
        <v>2</v>
      </c>
      <c r="AK273" s="445">
        <v>3</v>
      </c>
      <c r="AL273" s="2" t="s">
        <v>2260</v>
      </c>
      <c r="AM273" s="2" t="s">
        <v>2261</v>
      </c>
      <c r="AN273" s="2" t="s">
        <v>2377</v>
      </c>
      <c r="AO273" s="445">
        <v>12</v>
      </c>
      <c r="AP273" s="445">
        <v>24</v>
      </c>
      <c r="AQ273" s="445">
        <v>5</v>
      </c>
      <c r="AR273" s="445">
        <v>10</v>
      </c>
      <c r="AS273" s="445">
        <v>4</v>
      </c>
      <c r="AT273" s="445">
        <v>5</v>
      </c>
      <c r="AU273" s="445">
        <v>30</v>
      </c>
      <c r="AV273" s="445" t="str">
        <f t="shared" si="15"/>
        <v>Vàng:30000:MG01:3</v>
      </c>
      <c r="AW273" s="440">
        <v>300</v>
      </c>
      <c r="AX273" s="4">
        <v>12</v>
      </c>
      <c r="AY273" s="428">
        <v>5</v>
      </c>
      <c r="AZ273" s="450">
        <v>249</v>
      </c>
      <c r="BA273" s="31">
        <v>30000</v>
      </c>
      <c r="BB273" s="31">
        <v>3</v>
      </c>
      <c r="BC273" s="31">
        <f t="shared" si="16"/>
        <v>150000</v>
      </c>
    </row>
    <row r="274" spans="1:55" x14ac:dyDescent="0.25">
      <c r="A274" s="28" t="s">
        <v>2199</v>
      </c>
      <c r="B274" s="29">
        <v>272</v>
      </c>
      <c r="C274" s="13">
        <v>7</v>
      </c>
      <c r="D274" s="4">
        <v>20</v>
      </c>
      <c r="E274" s="451">
        <v>10800</v>
      </c>
      <c r="F274" s="445">
        <v>6</v>
      </c>
      <c r="G274" s="13">
        <v>14</v>
      </c>
      <c r="H274" s="13">
        <v>20</v>
      </c>
      <c r="I274" s="455" t="s">
        <v>2218</v>
      </c>
      <c r="J274" s="451">
        <v>1</v>
      </c>
      <c r="K274" s="445">
        <v>50</v>
      </c>
      <c r="L274" s="445">
        <v>50</v>
      </c>
      <c r="M274" s="445">
        <v>5</v>
      </c>
      <c r="N274" s="13">
        <v>50</v>
      </c>
      <c r="O274" s="446">
        <v>5</v>
      </c>
      <c r="P274" s="445">
        <v>95</v>
      </c>
      <c r="Q274" s="321">
        <v>6</v>
      </c>
      <c r="R274" s="23">
        <v>15</v>
      </c>
      <c r="S274" s="445">
        <v>5</v>
      </c>
      <c r="T274" s="445">
        <f t="shared" si="17"/>
        <v>95</v>
      </c>
      <c r="U274" s="447">
        <v>0.5</v>
      </c>
      <c r="V274" s="448">
        <v>2.8899999999999997</v>
      </c>
      <c r="W274" s="449">
        <v>3.3000000000000003</v>
      </c>
      <c r="X274" s="448">
        <v>2.16</v>
      </c>
      <c r="Y274" s="448">
        <v>4.76</v>
      </c>
      <c r="Z274" s="448">
        <v>1.6</v>
      </c>
      <c r="AA274" s="448">
        <v>1.1440000000000001</v>
      </c>
      <c r="AB274" s="448">
        <v>0.13999999999999999</v>
      </c>
      <c r="AC274" s="445">
        <v>1360000</v>
      </c>
      <c r="AD274" s="460">
        <v>450</v>
      </c>
      <c r="AE274" s="428">
        <v>18000</v>
      </c>
      <c r="AF274" s="445">
        <v>500</v>
      </c>
      <c r="AG274" s="447">
        <v>1.17</v>
      </c>
      <c r="AH274" s="428">
        <v>3</v>
      </c>
      <c r="AI274" s="428">
        <v>4</v>
      </c>
      <c r="AJ274" s="428">
        <v>2</v>
      </c>
      <c r="AK274" s="445">
        <v>3</v>
      </c>
      <c r="AL274" s="2" t="s">
        <v>2260</v>
      </c>
      <c r="AM274" s="2" t="s">
        <v>2261</v>
      </c>
      <c r="AN274" s="2" t="s">
        <v>2377</v>
      </c>
      <c r="AO274" s="445">
        <v>12</v>
      </c>
      <c r="AP274" s="445">
        <v>24</v>
      </c>
      <c r="AQ274" s="445">
        <v>5</v>
      </c>
      <c r="AR274" s="445">
        <v>10</v>
      </c>
      <c r="AS274" s="445">
        <v>4</v>
      </c>
      <c r="AT274" s="445">
        <v>5</v>
      </c>
      <c r="AU274" s="445">
        <v>30</v>
      </c>
      <c r="AV274" s="445" t="str">
        <f t="shared" si="15"/>
        <v>Vàng:30000:MG01:3</v>
      </c>
      <c r="AW274" s="440">
        <v>300</v>
      </c>
      <c r="AX274" s="4">
        <v>12</v>
      </c>
      <c r="AY274" s="428">
        <v>5</v>
      </c>
      <c r="AZ274" s="450">
        <v>250</v>
      </c>
      <c r="BA274" s="31">
        <v>30000</v>
      </c>
      <c r="BB274" s="31">
        <v>3</v>
      </c>
      <c r="BC274" s="31">
        <f t="shared" si="16"/>
        <v>150000</v>
      </c>
    </row>
    <row r="275" spans="1:55" x14ac:dyDescent="0.25">
      <c r="A275" s="28" t="s">
        <v>2199</v>
      </c>
      <c r="B275" s="428">
        <v>273</v>
      </c>
      <c r="C275" s="13">
        <v>7</v>
      </c>
      <c r="D275" s="4">
        <v>20</v>
      </c>
      <c r="E275" s="451">
        <v>10800</v>
      </c>
      <c r="F275" s="445">
        <v>6</v>
      </c>
      <c r="G275" s="13">
        <v>14</v>
      </c>
      <c r="H275" s="13">
        <v>20</v>
      </c>
      <c r="I275" s="455" t="s">
        <v>2218</v>
      </c>
      <c r="J275" s="451">
        <v>1</v>
      </c>
      <c r="K275" s="445">
        <v>50</v>
      </c>
      <c r="L275" s="445">
        <v>50</v>
      </c>
      <c r="M275" s="445">
        <v>5</v>
      </c>
      <c r="N275" s="13">
        <v>50</v>
      </c>
      <c r="O275" s="446">
        <v>5</v>
      </c>
      <c r="P275" s="445">
        <v>95</v>
      </c>
      <c r="Q275" s="321">
        <v>6</v>
      </c>
      <c r="R275" s="23">
        <v>15</v>
      </c>
      <c r="S275" s="445">
        <v>5</v>
      </c>
      <c r="T275" s="445">
        <f t="shared" si="17"/>
        <v>95</v>
      </c>
      <c r="U275" s="447">
        <v>0.5</v>
      </c>
      <c r="V275" s="448">
        <v>2.8899999999999997</v>
      </c>
      <c r="W275" s="449">
        <v>3.3000000000000003</v>
      </c>
      <c r="X275" s="448">
        <v>2.16</v>
      </c>
      <c r="Y275" s="448">
        <v>4.76</v>
      </c>
      <c r="Z275" s="448">
        <v>1.6</v>
      </c>
      <c r="AA275" s="448">
        <v>1.1440000000000001</v>
      </c>
      <c r="AB275" s="448">
        <v>0.13999999999999999</v>
      </c>
      <c r="AC275" s="445">
        <v>1365000</v>
      </c>
      <c r="AD275" s="460">
        <v>450</v>
      </c>
      <c r="AE275" s="428">
        <v>18000</v>
      </c>
      <c r="AF275" s="445">
        <v>500</v>
      </c>
      <c r="AG275" s="447">
        <v>1.17</v>
      </c>
      <c r="AH275" s="428">
        <v>3</v>
      </c>
      <c r="AI275" s="428">
        <v>4</v>
      </c>
      <c r="AJ275" s="428">
        <v>2</v>
      </c>
      <c r="AK275" s="445">
        <v>3</v>
      </c>
      <c r="AL275" s="2" t="s">
        <v>2260</v>
      </c>
      <c r="AM275" s="2" t="s">
        <v>2261</v>
      </c>
      <c r="AN275" s="2" t="s">
        <v>2377</v>
      </c>
      <c r="AO275" s="445">
        <v>12</v>
      </c>
      <c r="AP275" s="445">
        <v>24</v>
      </c>
      <c r="AQ275" s="445">
        <v>5</v>
      </c>
      <c r="AR275" s="445">
        <v>10</v>
      </c>
      <c r="AS275" s="445">
        <v>4</v>
      </c>
      <c r="AT275" s="445">
        <v>5</v>
      </c>
      <c r="AU275" s="445">
        <v>30</v>
      </c>
      <c r="AV275" s="445" t="str">
        <f t="shared" si="15"/>
        <v>Vàng:30000:MG01:3</v>
      </c>
      <c r="AW275" s="440">
        <v>300</v>
      </c>
      <c r="AX275" s="4">
        <v>12</v>
      </c>
      <c r="AY275" s="428">
        <v>5</v>
      </c>
      <c r="AZ275" s="450">
        <v>249</v>
      </c>
      <c r="BA275" s="31">
        <v>30000</v>
      </c>
      <c r="BB275" s="31">
        <v>3</v>
      </c>
      <c r="BC275" s="31">
        <f t="shared" si="16"/>
        <v>150000</v>
      </c>
    </row>
    <row r="276" spans="1:55" x14ac:dyDescent="0.25">
      <c r="A276" s="28" t="s">
        <v>2199</v>
      </c>
      <c r="B276" s="29">
        <v>274</v>
      </c>
      <c r="C276" s="13">
        <v>7</v>
      </c>
      <c r="D276" s="4">
        <v>20</v>
      </c>
      <c r="E276" s="451">
        <v>10800</v>
      </c>
      <c r="F276" s="445">
        <v>6</v>
      </c>
      <c r="G276" s="13">
        <v>14</v>
      </c>
      <c r="H276" s="13">
        <v>20</v>
      </c>
      <c r="I276" s="455" t="s">
        <v>2218</v>
      </c>
      <c r="J276" s="451">
        <v>1</v>
      </c>
      <c r="K276" s="445">
        <v>50</v>
      </c>
      <c r="L276" s="445">
        <v>50</v>
      </c>
      <c r="M276" s="445">
        <v>5</v>
      </c>
      <c r="N276" s="13">
        <v>50</v>
      </c>
      <c r="O276" s="446">
        <v>5</v>
      </c>
      <c r="P276" s="445">
        <v>95</v>
      </c>
      <c r="Q276" s="321">
        <v>6</v>
      </c>
      <c r="R276" s="23">
        <v>15</v>
      </c>
      <c r="S276" s="445">
        <v>5</v>
      </c>
      <c r="T276" s="445">
        <f t="shared" si="17"/>
        <v>95</v>
      </c>
      <c r="U276" s="447">
        <v>0.5</v>
      </c>
      <c r="V276" s="448">
        <v>2.8899999999999997</v>
      </c>
      <c r="W276" s="449">
        <v>3.3000000000000003</v>
      </c>
      <c r="X276" s="448">
        <v>2.16</v>
      </c>
      <c r="Y276" s="448">
        <v>4.76</v>
      </c>
      <c r="Z276" s="448">
        <v>1.6</v>
      </c>
      <c r="AA276" s="448">
        <v>1.1440000000000001</v>
      </c>
      <c r="AB276" s="448">
        <v>0.13999999999999999</v>
      </c>
      <c r="AC276" s="445">
        <v>1370000</v>
      </c>
      <c r="AD276" s="460">
        <v>450</v>
      </c>
      <c r="AE276" s="428">
        <v>18000</v>
      </c>
      <c r="AF276" s="445">
        <v>500</v>
      </c>
      <c r="AG276" s="447">
        <v>1.17</v>
      </c>
      <c r="AH276" s="428">
        <v>3</v>
      </c>
      <c r="AI276" s="428">
        <v>4</v>
      </c>
      <c r="AJ276" s="428">
        <v>2</v>
      </c>
      <c r="AK276" s="445">
        <v>3</v>
      </c>
      <c r="AL276" s="2" t="s">
        <v>2260</v>
      </c>
      <c r="AM276" s="2" t="s">
        <v>2261</v>
      </c>
      <c r="AN276" s="2" t="s">
        <v>2377</v>
      </c>
      <c r="AO276" s="445">
        <v>12</v>
      </c>
      <c r="AP276" s="445">
        <v>24</v>
      </c>
      <c r="AQ276" s="445">
        <v>5</v>
      </c>
      <c r="AR276" s="445">
        <v>10</v>
      </c>
      <c r="AS276" s="445">
        <v>4</v>
      </c>
      <c r="AT276" s="445">
        <v>5</v>
      </c>
      <c r="AU276" s="445">
        <v>30</v>
      </c>
      <c r="AV276" s="445" t="str">
        <f t="shared" si="15"/>
        <v>Vàng:30000:MG01:3</v>
      </c>
      <c r="AW276" s="440">
        <v>300</v>
      </c>
      <c r="AX276" s="4">
        <v>12</v>
      </c>
      <c r="AY276" s="428">
        <v>5</v>
      </c>
      <c r="AZ276" s="450">
        <v>250</v>
      </c>
      <c r="BA276" s="31">
        <v>30000</v>
      </c>
      <c r="BB276" s="31">
        <v>3</v>
      </c>
      <c r="BC276" s="31">
        <f t="shared" si="16"/>
        <v>150000</v>
      </c>
    </row>
    <row r="277" spans="1:55" x14ac:dyDescent="0.25">
      <c r="A277" s="28" t="s">
        <v>2199</v>
      </c>
      <c r="B277" s="428">
        <v>275</v>
      </c>
      <c r="C277" s="13">
        <v>7</v>
      </c>
      <c r="D277" s="4">
        <v>20</v>
      </c>
      <c r="E277" s="451">
        <v>10800</v>
      </c>
      <c r="F277" s="445">
        <v>6</v>
      </c>
      <c r="G277" s="13">
        <v>14</v>
      </c>
      <c r="H277" s="13">
        <v>20</v>
      </c>
      <c r="I277" s="455" t="s">
        <v>2218</v>
      </c>
      <c r="J277" s="451">
        <v>1</v>
      </c>
      <c r="K277" s="445">
        <v>50</v>
      </c>
      <c r="L277" s="445">
        <v>50</v>
      </c>
      <c r="M277" s="445">
        <v>5</v>
      </c>
      <c r="N277" s="13">
        <v>50</v>
      </c>
      <c r="O277" s="446">
        <v>5</v>
      </c>
      <c r="P277" s="445">
        <v>95</v>
      </c>
      <c r="Q277" s="321">
        <v>6</v>
      </c>
      <c r="R277" s="23">
        <v>15</v>
      </c>
      <c r="S277" s="445">
        <v>5</v>
      </c>
      <c r="T277" s="445">
        <f t="shared" si="17"/>
        <v>95</v>
      </c>
      <c r="U277" s="447">
        <v>0.5</v>
      </c>
      <c r="V277" s="448">
        <v>2.8899999999999997</v>
      </c>
      <c r="W277" s="449">
        <v>3.3000000000000003</v>
      </c>
      <c r="X277" s="448">
        <v>2.16</v>
      </c>
      <c r="Y277" s="448">
        <v>4.76</v>
      </c>
      <c r="Z277" s="448">
        <v>1.6</v>
      </c>
      <c r="AA277" s="448">
        <v>1.1440000000000001</v>
      </c>
      <c r="AB277" s="448">
        <v>0.13999999999999999</v>
      </c>
      <c r="AC277" s="445">
        <v>1375000</v>
      </c>
      <c r="AD277" s="460">
        <v>450</v>
      </c>
      <c r="AE277" s="428">
        <v>18000</v>
      </c>
      <c r="AF277" s="445">
        <v>500</v>
      </c>
      <c r="AG277" s="447">
        <v>1.17</v>
      </c>
      <c r="AH277" s="428">
        <v>3</v>
      </c>
      <c r="AI277" s="428">
        <v>4</v>
      </c>
      <c r="AJ277" s="428">
        <v>2</v>
      </c>
      <c r="AK277" s="445">
        <v>3</v>
      </c>
      <c r="AL277" s="2" t="s">
        <v>2260</v>
      </c>
      <c r="AM277" s="2" t="s">
        <v>2261</v>
      </c>
      <c r="AN277" s="2" t="s">
        <v>2377</v>
      </c>
      <c r="AO277" s="445">
        <v>12</v>
      </c>
      <c r="AP277" s="445">
        <v>24</v>
      </c>
      <c r="AQ277" s="445">
        <v>5</v>
      </c>
      <c r="AR277" s="445">
        <v>10</v>
      </c>
      <c r="AS277" s="445">
        <v>4</v>
      </c>
      <c r="AT277" s="445">
        <v>5</v>
      </c>
      <c r="AU277" s="445">
        <v>30</v>
      </c>
      <c r="AV277" s="445" t="str">
        <f t="shared" si="15"/>
        <v>Vàng:30000:MG01:3</v>
      </c>
      <c r="AW277" s="440">
        <v>300</v>
      </c>
      <c r="AX277" s="4">
        <v>12</v>
      </c>
      <c r="AY277" s="428">
        <v>5</v>
      </c>
      <c r="AZ277" s="450">
        <v>249</v>
      </c>
      <c r="BA277" s="31">
        <v>30000</v>
      </c>
      <c r="BB277" s="31">
        <v>3</v>
      </c>
      <c r="BC277" s="31">
        <f t="shared" si="16"/>
        <v>150000</v>
      </c>
    </row>
    <row r="278" spans="1:55" x14ac:dyDescent="0.25">
      <c r="A278" s="28" t="s">
        <v>2199</v>
      </c>
      <c r="B278" s="29">
        <v>276</v>
      </c>
      <c r="C278" s="13">
        <v>7</v>
      </c>
      <c r="D278" s="4">
        <v>20</v>
      </c>
      <c r="E278" s="451">
        <v>10800</v>
      </c>
      <c r="F278" s="445">
        <v>6</v>
      </c>
      <c r="G278" s="13">
        <v>14</v>
      </c>
      <c r="H278" s="13">
        <v>20</v>
      </c>
      <c r="I278" s="455" t="s">
        <v>2218</v>
      </c>
      <c r="J278" s="451">
        <v>1</v>
      </c>
      <c r="K278" s="445">
        <v>50</v>
      </c>
      <c r="L278" s="445">
        <v>50</v>
      </c>
      <c r="M278" s="445">
        <v>5</v>
      </c>
      <c r="N278" s="13">
        <v>50</v>
      </c>
      <c r="O278" s="446">
        <v>5</v>
      </c>
      <c r="P278" s="445">
        <v>95</v>
      </c>
      <c r="Q278" s="321">
        <v>6</v>
      </c>
      <c r="R278" s="23">
        <v>15</v>
      </c>
      <c r="S278" s="445">
        <v>5</v>
      </c>
      <c r="T278" s="445">
        <f t="shared" si="17"/>
        <v>95</v>
      </c>
      <c r="U278" s="447">
        <v>0.5</v>
      </c>
      <c r="V278" s="448">
        <v>2.8899999999999997</v>
      </c>
      <c r="W278" s="449">
        <v>3.3000000000000003</v>
      </c>
      <c r="X278" s="448">
        <v>2.16</v>
      </c>
      <c r="Y278" s="448">
        <v>4.76</v>
      </c>
      <c r="Z278" s="448">
        <v>1.6</v>
      </c>
      <c r="AA278" s="448">
        <v>1.1440000000000001</v>
      </c>
      <c r="AB278" s="448">
        <v>0.13999999999999999</v>
      </c>
      <c r="AC278" s="445">
        <v>1380000</v>
      </c>
      <c r="AD278" s="460">
        <v>450</v>
      </c>
      <c r="AE278" s="428">
        <v>18000</v>
      </c>
      <c r="AF278" s="445">
        <v>500</v>
      </c>
      <c r="AG278" s="447">
        <v>1.17</v>
      </c>
      <c r="AH278" s="428">
        <v>3</v>
      </c>
      <c r="AI278" s="428">
        <v>4</v>
      </c>
      <c r="AJ278" s="428">
        <v>2</v>
      </c>
      <c r="AK278" s="445">
        <v>3</v>
      </c>
      <c r="AL278" s="2" t="s">
        <v>2260</v>
      </c>
      <c r="AM278" s="2" t="s">
        <v>2261</v>
      </c>
      <c r="AN278" s="2" t="s">
        <v>2377</v>
      </c>
      <c r="AO278" s="445">
        <v>12</v>
      </c>
      <c r="AP278" s="445">
        <v>24</v>
      </c>
      <c r="AQ278" s="445">
        <v>5</v>
      </c>
      <c r="AR278" s="445">
        <v>10</v>
      </c>
      <c r="AS278" s="445">
        <v>4</v>
      </c>
      <c r="AT278" s="445">
        <v>5</v>
      </c>
      <c r="AU278" s="445">
        <v>30</v>
      </c>
      <c r="AV278" s="445" t="str">
        <f t="shared" si="15"/>
        <v>Vàng:30000:MG01:3</v>
      </c>
      <c r="AW278" s="440">
        <v>300</v>
      </c>
      <c r="AX278" s="4">
        <v>12</v>
      </c>
      <c r="AY278" s="428">
        <v>5</v>
      </c>
      <c r="AZ278" s="450">
        <v>250</v>
      </c>
      <c r="BA278" s="31">
        <v>30000</v>
      </c>
      <c r="BB278" s="31">
        <v>3</v>
      </c>
      <c r="BC278" s="31">
        <f t="shared" si="16"/>
        <v>150000</v>
      </c>
    </row>
    <row r="279" spans="1:55" x14ac:dyDescent="0.25">
      <c r="A279" s="28" t="s">
        <v>2199</v>
      </c>
      <c r="B279" s="428">
        <v>277</v>
      </c>
      <c r="C279" s="13">
        <v>7</v>
      </c>
      <c r="D279" s="4">
        <v>20</v>
      </c>
      <c r="E279" s="451">
        <v>10800</v>
      </c>
      <c r="F279" s="445">
        <v>6</v>
      </c>
      <c r="G279" s="13">
        <v>14</v>
      </c>
      <c r="H279" s="13">
        <v>20</v>
      </c>
      <c r="I279" s="455" t="s">
        <v>2218</v>
      </c>
      <c r="J279" s="451">
        <v>1</v>
      </c>
      <c r="K279" s="445">
        <v>50</v>
      </c>
      <c r="L279" s="445">
        <v>50</v>
      </c>
      <c r="M279" s="445">
        <v>5</v>
      </c>
      <c r="N279" s="13">
        <v>50</v>
      </c>
      <c r="O279" s="446">
        <v>5</v>
      </c>
      <c r="P279" s="445">
        <v>95</v>
      </c>
      <c r="Q279" s="321">
        <v>6</v>
      </c>
      <c r="R279" s="23">
        <v>15</v>
      </c>
      <c r="S279" s="445">
        <v>5</v>
      </c>
      <c r="T279" s="445">
        <f t="shared" si="17"/>
        <v>95</v>
      </c>
      <c r="U279" s="447">
        <v>0.5</v>
      </c>
      <c r="V279" s="448">
        <v>2.8899999999999997</v>
      </c>
      <c r="W279" s="449">
        <v>3.3000000000000003</v>
      </c>
      <c r="X279" s="448">
        <v>2.16</v>
      </c>
      <c r="Y279" s="448">
        <v>4.76</v>
      </c>
      <c r="Z279" s="448">
        <v>1.6</v>
      </c>
      <c r="AA279" s="448">
        <v>1.1440000000000001</v>
      </c>
      <c r="AB279" s="448">
        <v>0.13999999999999999</v>
      </c>
      <c r="AC279" s="445">
        <v>1385000</v>
      </c>
      <c r="AD279" s="460">
        <v>450</v>
      </c>
      <c r="AE279" s="428">
        <v>18000</v>
      </c>
      <c r="AF279" s="445">
        <v>500</v>
      </c>
      <c r="AG279" s="447">
        <v>1.17</v>
      </c>
      <c r="AH279" s="428">
        <v>3</v>
      </c>
      <c r="AI279" s="428">
        <v>4</v>
      </c>
      <c r="AJ279" s="428">
        <v>2</v>
      </c>
      <c r="AK279" s="445">
        <v>3</v>
      </c>
      <c r="AL279" s="2" t="s">
        <v>2260</v>
      </c>
      <c r="AM279" s="2" t="s">
        <v>2261</v>
      </c>
      <c r="AN279" s="2" t="s">
        <v>2377</v>
      </c>
      <c r="AO279" s="445">
        <v>12</v>
      </c>
      <c r="AP279" s="445">
        <v>24</v>
      </c>
      <c r="AQ279" s="445">
        <v>5</v>
      </c>
      <c r="AR279" s="445">
        <v>10</v>
      </c>
      <c r="AS279" s="445">
        <v>4</v>
      </c>
      <c r="AT279" s="445">
        <v>5</v>
      </c>
      <c r="AU279" s="445">
        <v>30</v>
      </c>
      <c r="AV279" s="445" t="str">
        <f t="shared" si="15"/>
        <v>Vàng:30000:MG01:3</v>
      </c>
      <c r="AW279" s="440">
        <v>300</v>
      </c>
      <c r="AX279" s="4">
        <v>12</v>
      </c>
      <c r="AY279" s="428">
        <v>5</v>
      </c>
      <c r="AZ279" s="450">
        <v>249</v>
      </c>
      <c r="BA279" s="31">
        <v>30000</v>
      </c>
      <c r="BB279" s="31">
        <v>3</v>
      </c>
      <c r="BC279" s="31">
        <f t="shared" si="16"/>
        <v>150000</v>
      </c>
    </row>
    <row r="280" spans="1:55" x14ac:dyDescent="0.25">
      <c r="A280" s="28" t="s">
        <v>2199</v>
      </c>
      <c r="B280" s="29">
        <v>278</v>
      </c>
      <c r="C280" s="13">
        <v>7</v>
      </c>
      <c r="D280" s="4">
        <v>20</v>
      </c>
      <c r="E280" s="451">
        <v>10800</v>
      </c>
      <c r="F280" s="445">
        <v>6</v>
      </c>
      <c r="G280" s="13">
        <v>14</v>
      </c>
      <c r="H280" s="13">
        <v>20</v>
      </c>
      <c r="I280" s="455" t="s">
        <v>2218</v>
      </c>
      <c r="J280" s="451">
        <v>1</v>
      </c>
      <c r="K280" s="445">
        <v>50</v>
      </c>
      <c r="L280" s="445">
        <v>50</v>
      </c>
      <c r="M280" s="445">
        <v>5</v>
      </c>
      <c r="N280" s="13">
        <v>50</v>
      </c>
      <c r="O280" s="446">
        <v>5</v>
      </c>
      <c r="P280" s="445">
        <v>95</v>
      </c>
      <c r="Q280" s="321">
        <v>6</v>
      </c>
      <c r="R280" s="23">
        <v>15</v>
      </c>
      <c r="S280" s="445">
        <v>5</v>
      </c>
      <c r="T280" s="445">
        <f t="shared" si="17"/>
        <v>95</v>
      </c>
      <c r="U280" s="447">
        <v>0.5</v>
      </c>
      <c r="V280" s="448">
        <v>2.8899999999999997</v>
      </c>
      <c r="W280" s="449">
        <v>3.3000000000000003</v>
      </c>
      <c r="X280" s="448">
        <v>2.16</v>
      </c>
      <c r="Y280" s="448">
        <v>4.76</v>
      </c>
      <c r="Z280" s="448">
        <v>1.6</v>
      </c>
      <c r="AA280" s="448">
        <v>1.1440000000000001</v>
      </c>
      <c r="AB280" s="448">
        <v>0.13999999999999999</v>
      </c>
      <c r="AC280" s="445">
        <v>1390000</v>
      </c>
      <c r="AD280" s="460">
        <v>450</v>
      </c>
      <c r="AE280" s="428">
        <v>18000</v>
      </c>
      <c r="AF280" s="445">
        <v>500</v>
      </c>
      <c r="AG280" s="447">
        <v>1.17</v>
      </c>
      <c r="AH280" s="428">
        <v>3</v>
      </c>
      <c r="AI280" s="428">
        <v>4</v>
      </c>
      <c r="AJ280" s="428">
        <v>2</v>
      </c>
      <c r="AK280" s="445">
        <v>3</v>
      </c>
      <c r="AL280" s="2" t="s">
        <v>2260</v>
      </c>
      <c r="AM280" s="2" t="s">
        <v>2261</v>
      </c>
      <c r="AN280" s="2" t="s">
        <v>2377</v>
      </c>
      <c r="AO280" s="445">
        <v>12</v>
      </c>
      <c r="AP280" s="445">
        <v>24</v>
      </c>
      <c r="AQ280" s="445">
        <v>5</v>
      </c>
      <c r="AR280" s="445">
        <v>10</v>
      </c>
      <c r="AS280" s="445">
        <v>4</v>
      </c>
      <c r="AT280" s="445">
        <v>5</v>
      </c>
      <c r="AU280" s="445">
        <v>30</v>
      </c>
      <c r="AV280" s="445" t="str">
        <f t="shared" si="15"/>
        <v>Vàng:30000:MG01:3</v>
      </c>
      <c r="AW280" s="440">
        <v>300</v>
      </c>
      <c r="AX280" s="4">
        <v>12</v>
      </c>
      <c r="AY280" s="428">
        <v>5</v>
      </c>
      <c r="AZ280" s="450">
        <v>250</v>
      </c>
      <c r="BA280" s="31">
        <v>30000</v>
      </c>
      <c r="BB280" s="31">
        <v>3</v>
      </c>
      <c r="BC280" s="31">
        <f t="shared" si="16"/>
        <v>150000</v>
      </c>
    </row>
    <row r="281" spans="1:55" x14ac:dyDescent="0.25">
      <c r="A281" s="28" t="s">
        <v>2199</v>
      </c>
      <c r="B281" s="428">
        <v>279</v>
      </c>
      <c r="C281" s="13">
        <v>7</v>
      </c>
      <c r="D281" s="4">
        <v>20</v>
      </c>
      <c r="E281" s="451">
        <v>10800</v>
      </c>
      <c r="F281" s="445">
        <v>6</v>
      </c>
      <c r="G281" s="13">
        <v>14</v>
      </c>
      <c r="H281" s="13">
        <v>20</v>
      </c>
      <c r="I281" s="455" t="s">
        <v>2218</v>
      </c>
      <c r="J281" s="451">
        <v>1</v>
      </c>
      <c r="K281" s="445">
        <v>50</v>
      </c>
      <c r="L281" s="445">
        <v>50</v>
      </c>
      <c r="M281" s="445">
        <v>5</v>
      </c>
      <c r="N281" s="13">
        <v>50</v>
      </c>
      <c r="O281" s="446">
        <v>5</v>
      </c>
      <c r="P281" s="445">
        <v>95</v>
      </c>
      <c r="Q281" s="321">
        <v>6</v>
      </c>
      <c r="R281" s="23">
        <v>15</v>
      </c>
      <c r="S281" s="445">
        <v>5</v>
      </c>
      <c r="T281" s="445">
        <f t="shared" si="17"/>
        <v>95</v>
      </c>
      <c r="U281" s="447">
        <v>0.5</v>
      </c>
      <c r="V281" s="448">
        <v>2.8899999999999997</v>
      </c>
      <c r="W281" s="449">
        <v>3.3000000000000003</v>
      </c>
      <c r="X281" s="448">
        <v>2.16</v>
      </c>
      <c r="Y281" s="448">
        <v>4.76</v>
      </c>
      <c r="Z281" s="448">
        <v>1.6</v>
      </c>
      <c r="AA281" s="448">
        <v>1.1440000000000001</v>
      </c>
      <c r="AB281" s="448">
        <v>0.13999999999999999</v>
      </c>
      <c r="AC281" s="445">
        <v>1395000</v>
      </c>
      <c r="AD281" s="460">
        <v>450</v>
      </c>
      <c r="AE281" s="428">
        <v>18000</v>
      </c>
      <c r="AF281" s="445">
        <v>500</v>
      </c>
      <c r="AG281" s="447">
        <v>1.17</v>
      </c>
      <c r="AH281" s="428">
        <v>3</v>
      </c>
      <c r="AI281" s="428">
        <v>4</v>
      </c>
      <c r="AJ281" s="428">
        <v>2</v>
      </c>
      <c r="AK281" s="445">
        <v>3</v>
      </c>
      <c r="AL281" s="2" t="s">
        <v>2260</v>
      </c>
      <c r="AM281" s="2" t="s">
        <v>2261</v>
      </c>
      <c r="AN281" s="2" t="s">
        <v>2377</v>
      </c>
      <c r="AO281" s="445">
        <v>12</v>
      </c>
      <c r="AP281" s="445">
        <v>24</v>
      </c>
      <c r="AQ281" s="445">
        <v>5</v>
      </c>
      <c r="AR281" s="445">
        <v>10</v>
      </c>
      <c r="AS281" s="445">
        <v>4</v>
      </c>
      <c r="AT281" s="445">
        <v>5</v>
      </c>
      <c r="AU281" s="445">
        <v>30</v>
      </c>
      <c r="AV281" s="445" t="str">
        <f t="shared" si="15"/>
        <v>Vàng:30000:MG01:3</v>
      </c>
      <c r="AW281" s="440">
        <v>300</v>
      </c>
      <c r="AX281" s="4">
        <v>12</v>
      </c>
      <c r="AY281" s="428">
        <v>5</v>
      </c>
      <c r="AZ281" s="450">
        <v>249</v>
      </c>
      <c r="BA281" s="31">
        <v>30000</v>
      </c>
      <c r="BB281" s="31">
        <v>3</v>
      </c>
      <c r="BC281" s="31">
        <f t="shared" si="16"/>
        <v>150000</v>
      </c>
    </row>
    <row r="282" spans="1:55" x14ac:dyDescent="0.25">
      <c r="A282" s="28" t="s">
        <v>2199</v>
      </c>
      <c r="B282" s="29">
        <v>280</v>
      </c>
      <c r="C282" s="13">
        <v>7</v>
      </c>
      <c r="D282" s="4">
        <v>20</v>
      </c>
      <c r="E282" s="451">
        <v>10800</v>
      </c>
      <c r="F282" s="445">
        <v>6</v>
      </c>
      <c r="G282" s="13">
        <v>14</v>
      </c>
      <c r="H282" s="13">
        <v>20</v>
      </c>
      <c r="I282" s="455" t="s">
        <v>2218</v>
      </c>
      <c r="J282" s="451">
        <v>1</v>
      </c>
      <c r="K282" s="445">
        <v>50</v>
      </c>
      <c r="L282" s="445">
        <v>50</v>
      </c>
      <c r="M282" s="445">
        <v>5</v>
      </c>
      <c r="N282" s="13">
        <v>50</v>
      </c>
      <c r="O282" s="446">
        <v>5</v>
      </c>
      <c r="P282" s="445">
        <v>95</v>
      </c>
      <c r="Q282" s="321">
        <v>6</v>
      </c>
      <c r="R282" s="23">
        <v>15</v>
      </c>
      <c r="S282" s="445">
        <v>5</v>
      </c>
      <c r="T282" s="445">
        <f t="shared" si="17"/>
        <v>95</v>
      </c>
      <c r="U282" s="447">
        <v>0.5</v>
      </c>
      <c r="V282" s="448">
        <v>2.8899999999999997</v>
      </c>
      <c r="W282" s="449">
        <v>3.3000000000000003</v>
      </c>
      <c r="X282" s="448">
        <v>2.16</v>
      </c>
      <c r="Y282" s="448">
        <v>4.76</v>
      </c>
      <c r="Z282" s="448">
        <v>1.6</v>
      </c>
      <c r="AA282" s="448">
        <v>1.1440000000000001</v>
      </c>
      <c r="AB282" s="448">
        <v>0.13999999999999999</v>
      </c>
      <c r="AC282" s="445">
        <v>1400000</v>
      </c>
      <c r="AD282" s="460">
        <v>450</v>
      </c>
      <c r="AE282" s="428">
        <v>18000</v>
      </c>
      <c r="AF282" s="445">
        <v>500</v>
      </c>
      <c r="AG282" s="447">
        <v>1.17</v>
      </c>
      <c r="AH282" s="428">
        <v>3</v>
      </c>
      <c r="AI282" s="428">
        <v>4</v>
      </c>
      <c r="AJ282" s="428">
        <v>2</v>
      </c>
      <c r="AK282" s="445">
        <v>3</v>
      </c>
      <c r="AL282" s="2" t="s">
        <v>2260</v>
      </c>
      <c r="AM282" s="2" t="s">
        <v>2261</v>
      </c>
      <c r="AN282" s="2" t="s">
        <v>2377</v>
      </c>
      <c r="AO282" s="445">
        <v>12</v>
      </c>
      <c r="AP282" s="445">
        <v>24</v>
      </c>
      <c r="AQ282" s="445">
        <v>5</v>
      </c>
      <c r="AR282" s="445">
        <v>10</v>
      </c>
      <c r="AS282" s="445">
        <v>4</v>
      </c>
      <c r="AT282" s="445">
        <v>5</v>
      </c>
      <c r="AU282" s="445">
        <v>30</v>
      </c>
      <c r="AV282" s="445" t="str">
        <f t="shared" si="15"/>
        <v>Vàng:30000:MG01:3</v>
      </c>
      <c r="AW282" s="440">
        <v>300</v>
      </c>
      <c r="AX282" s="4">
        <v>12</v>
      </c>
      <c r="AY282" s="428">
        <v>5</v>
      </c>
      <c r="AZ282" s="450">
        <v>250</v>
      </c>
      <c r="BA282" s="31">
        <v>30000</v>
      </c>
      <c r="BB282" s="31">
        <v>3</v>
      </c>
      <c r="BC282" s="31">
        <f t="shared" si="16"/>
        <v>150000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8"/>
  <sheetViews>
    <sheetView tabSelected="1" workbookViewId="0">
      <pane xSplit="2" ySplit="1" topLeftCell="R43" activePane="bottomRight" state="frozen"/>
      <selection pane="topRight" activeCell="C1" sqref="C1"/>
      <selection pane="bottomLeft" activeCell="A2" sqref="A2"/>
      <selection pane="bottomRight" activeCell="Z49" sqref="Z49"/>
    </sheetView>
  </sheetViews>
  <sheetFormatPr defaultRowHeight="15" x14ac:dyDescent="0.25"/>
  <cols>
    <col min="1" max="1" width="27.28515625" style="11" bestFit="1" customWidth="1"/>
    <col min="2" max="2" width="23.140625" style="11" customWidth="1"/>
    <col min="3" max="3" width="14.85546875" bestFit="1" customWidth="1"/>
    <col min="5" max="5" width="12.85546875" bestFit="1" customWidth="1"/>
    <col min="7" max="7" width="12.85546875" bestFit="1" customWidth="1"/>
    <col min="9" max="9" width="14.85546875" bestFit="1" customWidth="1"/>
    <col min="11" max="11" width="14.85546875" bestFit="1" customWidth="1"/>
    <col min="13" max="13" width="12.85546875" bestFit="1" customWidth="1"/>
    <col min="17" max="17" width="14.85546875" bestFit="1" customWidth="1"/>
    <col min="19" max="19" width="10.28515625" bestFit="1" customWidth="1"/>
    <col min="23" max="23" width="9.7109375" bestFit="1" customWidth="1"/>
    <col min="25" max="25" width="12.5703125" bestFit="1" customWidth="1"/>
    <col min="27" max="27" width="14.28515625" bestFit="1" customWidth="1"/>
    <col min="29" max="29" width="12.5703125" bestFit="1" customWidth="1"/>
    <col min="30" max="30" width="10.28515625" bestFit="1" customWidth="1"/>
    <col min="34" max="34" width="13.42578125" bestFit="1" customWidth="1"/>
    <col min="36" max="36" width="13.85546875" bestFit="1" customWidth="1"/>
    <col min="38" max="38" width="10.140625" bestFit="1" customWidth="1"/>
    <col min="39" max="39" width="10.5703125" bestFit="1" customWidth="1"/>
    <col min="41" max="41" width="12.42578125" bestFit="1" customWidth="1"/>
    <col min="43" max="43" width="18.5703125" style="15" bestFit="1" customWidth="1"/>
    <col min="44" max="44" width="24" style="15" bestFit="1" customWidth="1"/>
    <col min="45" max="45" width="11.7109375" bestFit="1" customWidth="1"/>
    <col min="46" max="46" width="17.28515625" bestFit="1" customWidth="1"/>
    <col min="47" max="47" width="10.5703125" bestFit="1" customWidth="1"/>
    <col min="49" max="49" width="14.28515625" style="11" bestFit="1" customWidth="1"/>
    <col min="52" max="53" width="13.28515625" bestFit="1" customWidth="1"/>
  </cols>
  <sheetData>
    <row r="1" spans="1:49" x14ac:dyDescent="0.25">
      <c r="A1" s="1" t="s">
        <v>0</v>
      </c>
      <c r="B1" s="49" t="s">
        <v>1116</v>
      </c>
      <c r="C1" s="133" t="s">
        <v>996</v>
      </c>
      <c r="D1" s="134">
        <v>3</v>
      </c>
      <c r="E1" s="133" t="s">
        <v>997</v>
      </c>
      <c r="F1" s="134">
        <v>3</v>
      </c>
      <c r="G1" s="133" t="s">
        <v>998</v>
      </c>
      <c r="H1" s="134">
        <v>3</v>
      </c>
      <c r="I1" s="133" t="s">
        <v>1001</v>
      </c>
      <c r="J1" s="134">
        <v>4</v>
      </c>
      <c r="K1" s="133" t="s">
        <v>999</v>
      </c>
      <c r="L1" s="134">
        <v>4</v>
      </c>
      <c r="M1" s="133" t="s">
        <v>1000</v>
      </c>
      <c r="N1" s="134">
        <v>4</v>
      </c>
      <c r="O1" s="133" t="s">
        <v>980</v>
      </c>
      <c r="P1" s="134">
        <v>11</v>
      </c>
      <c r="Q1" s="133" t="s">
        <v>985</v>
      </c>
      <c r="R1" s="134">
        <v>14</v>
      </c>
      <c r="S1" s="133" t="s">
        <v>984</v>
      </c>
      <c r="T1" s="134">
        <v>17</v>
      </c>
      <c r="U1" s="133" t="s">
        <v>987</v>
      </c>
      <c r="V1" s="134">
        <v>48</v>
      </c>
      <c r="W1" s="133" t="s">
        <v>990</v>
      </c>
      <c r="X1" s="134">
        <v>63</v>
      </c>
      <c r="Y1" s="133" t="s">
        <v>993</v>
      </c>
      <c r="Z1" s="134">
        <v>70</v>
      </c>
      <c r="AA1" s="133" t="s">
        <v>989</v>
      </c>
      <c r="AB1" s="134">
        <v>295</v>
      </c>
      <c r="AC1" s="592" t="s">
        <v>2652</v>
      </c>
      <c r="AD1" s="133" t="s">
        <v>1112</v>
      </c>
      <c r="AE1" s="134">
        <v>10</v>
      </c>
      <c r="AF1" s="133" t="s">
        <v>1113</v>
      </c>
      <c r="AG1" s="134">
        <v>20</v>
      </c>
      <c r="AH1" s="133" t="s">
        <v>1107</v>
      </c>
      <c r="AI1" s="134">
        <v>30</v>
      </c>
      <c r="AJ1" s="133" t="s">
        <v>1106</v>
      </c>
      <c r="AK1" s="134">
        <v>40</v>
      </c>
      <c r="AL1" s="592" t="s">
        <v>2651</v>
      </c>
      <c r="AM1" s="133" t="s">
        <v>1104</v>
      </c>
      <c r="AN1" s="134">
        <v>5</v>
      </c>
      <c r="AO1" s="133" t="s">
        <v>1105</v>
      </c>
      <c r="AP1" s="134">
        <v>5</v>
      </c>
      <c r="AQ1" s="139" t="s">
        <v>1237</v>
      </c>
      <c r="AR1" s="139" t="s">
        <v>1245</v>
      </c>
      <c r="AS1" s="233" t="s">
        <v>1244</v>
      </c>
      <c r="AT1" s="276" t="s">
        <v>1286</v>
      </c>
      <c r="AU1" s="255" t="s">
        <v>1285</v>
      </c>
      <c r="AV1" s="275">
        <v>0.2</v>
      </c>
      <c r="AW1" s="276" t="s">
        <v>161</v>
      </c>
    </row>
    <row r="2" spans="1:49" s="268" customFormat="1" x14ac:dyDescent="0.25">
      <c r="A2" s="263" t="s">
        <v>1</v>
      </c>
      <c r="B2" s="271" t="s">
        <v>1117</v>
      </c>
      <c r="C2" s="268" t="s">
        <v>996</v>
      </c>
      <c r="D2" s="268">
        <v>0</v>
      </c>
      <c r="AQ2" s="267">
        <v>1</v>
      </c>
      <c r="AR2" s="267">
        <f>AQ2*Pot_UP_Gold!E2</f>
        <v>1</v>
      </c>
      <c r="AS2" s="272">
        <f>AR2+Pot_UP_Gold!K2</f>
        <v>1.2</v>
      </c>
      <c r="AT2" s="272">
        <v>1</v>
      </c>
      <c r="AU2" s="272">
        <f>$AV$1*AS2</f>
        <v>0.24</v>
      </c>
      <c r="AW2" s="246">
        <v>1</v>
      </c>
    </row>
    <row r="3" spans="1:49" x14ac:dyDescent="0.25">
      <c r="A3" s="2" t="s">
        <v>2</v>
      </c>
      <c r="B3" s="130" t="s">
        <v>1117</v>
      </c>
      <c r="C3" s="268"/>
      <c r="D3" s="268"/>
      <c r="E3" s="268" t="s">
        <v>997</v>
      </c>
      <c r="F3" s="268">
        <v>0</v>
      </c>
      <c r="G3" s="268"/>
      <c r="H3" s="268"/>
      <c r="AQ3" s="15">
        <f>D2*$D$1+F2*$F$1+H2*$H$1+J2*$J$1+L2*$L$1+N2*$N$1+P2*$P$1+R2*$R$1+T2*$T$1+V2*$V$1+X2*$X$1+Z2*$Z$1+AB2*$AB$1+AE2*$AE$1+AG2*$AG$1+AI2*$AI$1+AK2*$AK$1+AN2*$AN$1+AP2*$AP$1</f>
        <v>0</v>
      </c>
      <c r="AR3" s="15">
        <f>AQ3*Pot_UP_Gold!E2</f>
        <v>0</v>
      </c>
      <c r="AS3" s="16">
        <f>AR3+Pot_UP_Gold!K3</f>
        <v>0.2</v>
      </c>
      <c r="AT3" s="16">
        <f>AR3+Pot_UP_Gold!K3+AS2</f>
        <v>1.4</v>
      </c>
      <c r="AU3" s="16">
        <f>$AV$1*AT3</f>
        <v>0.27999999999999997</v>
      </c>
      <c r="AW3" s="246">
        <v>2</v>
      </c>
    </row>
    <row r="4" spans="1:49" x14ac:dyDescent="0.25">
      <c r="A4" s="2" t="s">
        <v>3</v>
      </c>
      <c r="B4" s="130" t="s">
        <v>1117</v>
      </c>
      <c r="C4" s="11" t="s">
        <v>996</v>
      </c>
      <c r="D4" s="11">
        <v>2</v>
      </c>
      <c r="E4" s="268"/>
      <c r="F4" s="268"/>
      <c r="G4" s="268" t="s">
        <v>998</v>
      </c>
      <c r="H4" s="268">
        <v>0</v>
      </c>
      <c r="AQ4" s="15">
        <f t="shared" ref="AQ4:AQ67" si="0">D3*$D$1+F3*$F$1+H3*$H$1+J3*$J$1+L3*$L$1+N3*$N$1+P3*$P$1+R3*$R$1+T3*$T$1+V3*$V$1+X3*$X$1+Z3*$Z$1+AB3*$AB$1+AE3*$AE$1+AG3*$AG$1+AI3*$AI$1+AK3*$AK$1+AN3*$AN$1+AP3*$AP$1</f>
        <v>0</v>
      </c>
      <c r="AR4" s="15">
        <f>AQ4*Pot_UP_Gold!E3</f>
        <v>0</v>
      </c>
      <c r="AS4" s="16">
        <f>AR4+Pot_UP_Gold!K4</f>
        <v>0.5</v>
      </c>
      <c r="AT4" s="16">
        <f>AR4+Pot_UP_Gold!K4+AS3</f>
        <v>0.7</v>
      </c>
      <c r="AU4" s="16">
        <f t="shared" ref="AU4:AU67" si="1">$AV$1*AT4</f>
        <v>0.13999999999999999</v>
      </c>
      <c r="AW4" s="246">
        <v>3</v>
      </c>
    </row>
    <row r="5" spans="1:49" x14ac:dyDescent="0.25">
      <c r="A5" s="2" t="s">
        <v>4</v>
      </c>
      <c r="B5" s="130" t="s">
        <v>1117</v>
      </c>
      <c r="C5" s="11"/>
      <c r="D5" s="11"/>
      <c r="E5" s="11" t="s">
        <v>997</v>
      </c>
      <c r="F5" s="11">
        <v>2</v>
      </c>
      <c r="G5" s="11"/>
      <c r="H5" s="11"/>
      <c r="I5" s="11"/>
      <c r="J5" s="11"/>
      <c r="AQ5" s="15">
        <f>D4*$D$1+F4*$F$1+H4*$H$1+J4*$J$1+L4*$L$1+N4*$N$1+P4*$P$1+R4*$R$1+T4*$T$1+V4*$V$1+X4*$X$1+Z4*$Z$1+AB4*$AB$1+AE4*$AE$1+AG4*$AG$1+AI4*$AI$1+AK4*$AK$1+AN4*$AN$1+AP4*$AP$1</f>
        <v>6</v>
      </c>
      <c r="AR5" s="15">
        <f>AQ5*Pot_UP_Gold!E4</f>
        <v>6</v>
      </c>
      <c r="AS5" s="16">
        <f>AR5+Pot_UP_Gold!K5</f>
        <v>7</v>
      </c>
      <c r="AT5" s="16">
        <f>AR5+Pot_UP_Gold!K5+AS4</f>
        <v>7.5</v>
      </c>
      <c r="AU5" s="16">
        <f t="shared" si="1"/>
        <v>1.5</v>
      </c>
      <c r="AW5" s="246">
        <f>ROUNDUP(AT5/2,0)</f>
        <v>4</v>
      </c>
    </row>
    <row r="6" spans="1:49" x14ac:dyDescent="0.25">
      <c r="A6" s="3" t="s">
        <v>5</v>
      </c>
      <c r="B6" s="130" t="s">
        <v>1117</v>
      </c>
      <c r="C6" s="233" t="s">
        <v>996</v>
      </c>
      <c r="D6" s="233">
        <v>1</v>
      </c>
      <c r="E6" s="233" t="s">
        <v>997</v>
      </c>
      <c r="F6" s="233">
        <v>1</v>
      </c>
      <c r="G6" s="233" t="s">
        <v>998</v>
      </c>
      <c r="H6" s="233">
        <v>1</v>
      </c>
      <c r="I6" s="233" t="s">
        <v>1001</v>
      </c>
      <c r="J6" s="233">
        <v>0</v>
      </c>
      <c r="K6" s="233"/>
      <c r="L6" s="233"/>
      <c r="M6" s="233" t="s">
        <v>1000</v>
      </c>
      <c r="N6" s="233">
        <v>0</v>
      </c>
      <c r="AQ6" s="15">
        <f>D5*$D$1+F5*$F$1+H5*$H$1+J5*$J$1+L5*$L$1+N5*$N$1+P5*$P$1+R5*$R$1+T5*$T$1+V5*$V$1+X5*$X$1+Z5*$Z$1+AB5*$AB$1+AE5*$AE$1+AG5*$AG$1+AI5*$AI$1+AK5*$AK$1+AN5*$AN$1+AP5*$AP$1</f>
        <v>6</v>
      </c>
      <c r="AR6" s="15">
        <f>AQ6*Pot_UP_Gold!E5</f>
        <v>6</v>
      </c>
      <c r="AS6" s="16">
        <f>AR6+Pot_UP_Gold!K6</f>
        <v>8</v>
      </c>
      <c r="AT6" s="16">
        <f>AR6+Pot_UP_Gold!K6+AS5</f>
        <v>15</v>
      </c>
      <c r="AU6" s="16">
        <f t="shared" si="1"/>
        <v>3</v>
      </c>
      <c r="AW6" s="246">
        <f>ROUNDUP(AT6/2,0)</f>
        <v>8</v>
      </c>
    </row>
    <row r="7" spans="1:49" x14ac:dyDescent="0.25">
      <c r="A7" s="2" t="s">
        <v>6</v>
      </c>
      <c r="B7" s="130" t="s">
        <v>1117</v>
      </c>
      <c r="C7" t="s">
        <v>996</v>
      </c>
      <c r="D7">
        <v>7</v>
      </c>
      <c r="I7" s="11" t="s">
        <v>1001</v>
      </c>
      <c r="J7" s="11">
        <v>2</v>
      </c>
      <c r="O7" t="s">
        <v>980</v>
      </c>
      <c r="P7">
        <v>3</v>
      </c>
      <c r="AC7">
        <f>P7*$P$1+R7*$R$1+T7*$T$1+V7*$V$1+X7*$X$1+Z7*$Z$1+AB7*$AB$1</f>
        <v>33</v>
      </c>
      <c r="AQ7" s="15">
        <f t="shared" si="0"/>
        <v>9</v>
      </c>
      <c r="AR7" s="15">
        <f>AQ7*Pot_UP_Gold!E6</f>
        <v>9</v>
      </c>
      <c r="AS7" s="16">
        <f>AR7+Pot_UP_Gold!K7</f>
        <v>23</v>
      </c>
      <c r="AT7" s="16">
        <f>AR7+Pot_UP_Gold!K7+AS6</f>
        <v>31</v>
      </c>
      <c r="AU7" s="16">
        <f t="shared" si="1"/>
        <v>6.2</v>
      </c>
      <c r="AW7" s="246">
        <f>ROUNDUP(AT7/2,0)</f>
        <v>16</v>
      </c>
    </row>
    <row r="8" spans="1:49" x14ac:dyDescent="0.25">
      <c r="A8" s="2" t="s">
        <v>7</v>
      </c>
      <c r="B8" s="130" t="s">
        <v>1117</v>
      </c>
      <c r="C8" t="s">
        <v>996</v>
      </c>
      <c r="D8">
        <v>7</v>
      </c>
      <c r="I8" s="11" t="s">
        <v>1001</v>
      </c>
      <c r="J8" s="11">
        <v>2</v>
      </c>
      <c r="O8" t="s">
        <v>980</v>
      </c>
      <c r="P8">
        <v>3</v>
      </c>
      <c r="AC8">
        <f t="shared" ref="AC8:AC11" si="2">P8*$P$1+R8*$R$1+T8*$T$1+V8*$V$1+X8*$X$1+Z8*$Z$1+AB8*$AB$1</f>
        <v>33</v>
      </c>
      <c r="AQ8" s="15">
        <f t="shared" si="0"/>
        <v>62</v>
      </c>
      <c r="AR8" s="15">
        <f>AQ8*Pot_UP_Gold!E7</f>
        <v>88.571428571428569</v>
      </c>
      <c r="AS8" s="16">
        <f>AR8+Pot_UP_Gold!K8</f>
        <v>131.42857142857142</v>
      </c>
      <c r="AT8" s="16">
        <f>AR8+Pot_UP_Gold!K8+AS7</f>
        <v>154.42857142857142</v>
      </c>
      <c r="AU8" s="16">
        <f t="shared" si="1"/>
        <v>30.885714285714286</v>
      </c>
      <c r="AW8" s="246">
        <f>ROUNDUP(AT8/2,0)</f>
        <v>78</v>
      </c>
    </row>
    <row r="9" spans="1:49" x14ac:dyDescent="0.25">
      <c r="A9" s="2" t="s">
        <v>8</v>
      </c>
      <c r="B9" s="130" t="s">
        <v>1117</v>
      </c>
      <c r="C9" t="s">
        <v>996</v>
      </c>
      <c r="D9">
        <v>7</v>
      </c>
      <c r="I9" s="11" t="s">
        <v>1001</v>
      </c>
      <c r="J9" s="11">
        <v>2</v>
      </c>
      <c r="O9" t="s">
        <v>980</v>
      </c>
      <c r="P9">
        <v>3</v>
      </c>
      <c r="AC9">
        <f t="shared" si="2"/>
        <v>33</v>
      </c>
      <c r="AQ9" s="15">
        <f t="shared" si="0"/>
        <v>62</v>
      </c>
      <c r="AR9" s="15">
        <f>AQ9*Pot_UP_Gold!E8</f>
        <v>95.384615384615387</v>
      </c>
      <c r="AS9" s="16">
        <f>AR9+Pot_UP_Gold!K9</f>
        <v>147.69230769230771</v>
      </c>
      <c r="AT9" s="16">
        <f>AR9+Pot_UP_Gold!K9+AS8</f>
        <v>279.12087912087912</v>
      </c>
      <c r="AU9" s="16">
        <f t="shared" si="1"/>
        <v>55.824175824175825</v>
      </c>
      <c r="AW9" s="246">
        <f t="shared" ref="AW9:AW72" si="3">ROUNDUP(AT9/2,0)</f>
        <v>140</v>
      </c>
    </row>
    <row r="10" spans="1:49" x14ac:dyDescent="0.25">
      <c r="A10" s="4" t="s">
        <v>9</v>
      </c>
      <c r="B10" s="130" t="s">
        <v>1117</v>
      </c>
      <c r="C10" t="s">
        <v>996</v>
      </c>
      <c r="D10">
        <v>7</v>
      </c>
      <c r="I10" s="11" t="s">
        <v>1001</v>
      </c>
      <c r="J10" s="11">
        <v>2</v>
      </c>
      <c r="O10" t="s">
        <v>980</v>
      </c>
      <c r="P10">
        <v>3</v>
      </c>
      <c r="AC10">
        <f t="shared" si="2"/>
        <v>33</v>
      </c>
      <c r="AQ10" s="15">
        <f t="shared" si="0"/>
        <v>62</v>
      </c>
      <c r="AR10" s="15">
        <f>AQ10*Pot_UP_Gold!E9</f>
        <v>95.384615384615387</v>
      </c>
      <c r="AS10" s="16">
        <f>AR10+Pot_UP_Gold!K10</f>
        <v>153.84615384615387</v>
      </c>
      <c r="AT10" s="16">
        <f>AR10+Pot_UP_Gold!K10+AS9</f>
        <v>301.53846153846155</v>
      </c>
      <c r="AU10" s="16">
        <f t="shared" si="1"/>
        <v>60.307692307692314</v>
      </c>
      <c r="AW10" s="246">
        <f t="shared" si="3"/>
        <v>151</v>
      </c>
    </row>
    <row r="11" spans="1:49" x14ac:dyDescent="0.25">
      <c r="A11" s="4" t="s">
        <v>10</v>
      </c>
      <c r="B11" s="130" t="s">
        <v>1117</v>
      </c>
      <c r="C11" t="s">
        <v>996</v>
      </c>
      <c r="D11">
        <v>7</v>
      </c>
      <c r="I11" s="11" t="s">
        <v>1001</v>
      </c>
      <c r="J11" s="11">
        <v>2</v>
      </c>
      <c r="O11" t="s">
        <v>980</v>
      </c>
      <c r="P11">
        <v>3</v>
      </c>
      <c r="AC11">
        <f t="shared" si="2"/>
        <v>33</v>
      </c>
      <c r="AQ11" s="15">
        <f t="shared" si="0"/>
        <v>62</v>
      </c>
      <c r="AR11" s="15">
        <f>AQ11*Pot_UP_Gold!E10</f>
        <v>95.384615384615387</v>
      </c>
      <c r="AS11" s="16">
        <f>AR11+Pot_UP_Gold!K11</f>
        <v>160</v>
      </c>
      <c r="AT11" s="16">
        <f>AR11+Pot_UP_Gold!K11+AS10</f>
        <v>313.84615384615387</v>
      </c>
      <c r="AU11" s="16">
        <f t="shared" si="1"/>
        <v>62.769230769230774</v>
      </c>
      <c r="AW11" s="246">
        <f t="shared" si="3"/>
        <v>157</v>
      </c>
    </row>
    <row r="12" spans="1:49" x14ac:dyDescent="0.25">
      <c r="A12" s="4" t="s">
        <v>11</v>
      </c>
      <c r="B12" s="130" t="s">
        <v>1117</v>
      </c>
      <c r="C12" t="s">
        <v>996</v>
      </c>
      <c r="D12">
        <v>7</v>
      </c>
      <c r="I12" s="11" t="s">
        <v>1001</v>
      </c>
      <c r="J12" s="11">
        <v>2</v>
      </c>
      <c r="O12" t="s">
        <v>980</v>
      </c>
      <c r="P12">
        <v>3</v>
      </c>
      <c r="AC12">
        <f>P12*$P$1+R12*$R$1+T12*$T$1+V12*$V$1+X12*$X$1+Z12*$Z$1+AB12*$AB$1</f>
        <v>33</v>
      </c>
      <c r="AQ12" s="15">
        <f t="shared" si="0"/>
        <v>62</v>
      </c>
      <c r="AR12" s="15">
        <f>AQ12*Pot_UP_Gold!E11</f>
        <v>95.384615384615387</v>
      </c>
      <c r="AS12" s="16">
        <f>AR12+Pot_UP_Gold!K12</f>
        <v>166.15384615384616</v>
      </c>
      <c r="AT12" s="16">
        <f>AR12+Pot_UP_Gold!K12+AS11</f>
        <v>326.15384615384619</v>
      </c>
      <c r="AU12" s="16">
        <f t="shared" si="1"/>
        <v>65.230769230769241</v>
      </c>
      <c r="AW12" s="246">
        <f t="shared" si="3"/>
        <v>164</v>
      </c>
    </row>
    <row r="13" spans="1:49" x14ac:dyDescent="0.25">
      <c r="A13" s="5" t="s">
        <v>12</v>
      </c>
      <c r="B13" s="130" t="s">
        <v>1117</v>
      </c>
      <c r="E13" t="s">
        <v>997</v>
      </c>
      <c r="F13">
        <v>7</v>
      </c>
      <c r="M13" s="11" t="s">
        <v>1000</v>
      </c>
      <c r="N13" s="11">
        <v>3</v>
      </c>
      <c r="Q13" t="s">
        <v>985</v>
      </c>
      <c r="R13">
        <v>3</v>
      </c>
      <c r="AC13">
        <f t="shared" ref="AC13:AC72" si="4">P13*$P$1+R13*$R$1+T13*$T$1+V13*$V$1+X13*$X$1+Z13*$Z$1+AB13*$AB$1</f>
        <v>42</v>
      </c>
      <c r="AQ13" s="15">
        <f t="shared" si="0"/>
        <v>62</v>
      </c>
      <c r="AR13" s="15">
        <f>AQ13*Pot_UP_Gold!E12</f>
        <v>95.384615384615387</v>
      </c>
      <c r="AS13" s="16">
        <f>AR13+Pot_UP_Gold!K13</f>
        <v>172.30769230769232</v>
      </c>
      <c r="AT13" s="16">
        <f>AR13+Pot_UP_Gold!K13+AS12</f>
        <v>338.46153846153845</v>
      </c>
      <c r="AU13" s="16">
        <f t="shared" si="1"/>
        <v>67.692307692307693</v>
      </c>
      <c r="AW13" s="246">
        <f t="shared" si="3"/>
        <v>170</v>
      </c>
    </row>
    <row r="14" spans="1:49" x14ac:dyDescent="0.25">
      <c r="A14" s="5" t="s">
        <v>13</v>
      </c>
      <c r="B14" s="130" t="s">
        <v>1117</v>
      </c>
      <c r="E14" t="s">
        <v>997</v>
      </c>
      <c r="F14">
        <v>7</v>
      </c>
      <c r="M14" s="11" t="s">
        <v>1000</v>
      </c>
      <c r="N14" s="11">
        <v>3</v>
      </c>
      <c r="O14" t="s">
        <v>980</v>
      </c>
      <c r="P14">
        <v>4</v>
      </c>
      <c r="AC14">
        <f t="shared" si="4"/>
        <v>44</v>
      </c>
      <c r="AQ14" s="15">
        <f t="shared" si="0"/>
        <v>75</v>
      </c>
      <c r="AR14" s="15">
        <f>AQ14*Pot_UP_Gold!E13</f>
        <v>115.38461538461539</v>
      </c>
      <c r="AS14" s="16">
        <f>AR14+Pot_UP_Gold!K14</f>
        <v>207.69230769230768</v>
      </c>
      <c r="AT14" s="16">
        <f>AR14+Pot_UP_Gold!K14+AS13</f>
        <v>380</v>
      </c>
      <c r="AU14" s="16">
        <f t="shared" si="1"/>
        <v>76</v>
      </c>
      <c r="AW14" s="246">
        <f t="shared" si="3"/>
        <v>190</v>
      </c>
    </row>
    <row r="15" spans="1:49" x14ac:dyDescent="0.25">
      <c r="A15" s="6" t="s">
        <v>14</v>
      </c>
      <c r="B15" s="130" t="s">
        <v>1117</v>
      </c>
      <c r="E15" t="s">
        <v>997</v>
      </c>
      <c r="F15">
        <v>7</v>
      </c>
      <c r="M15" s="11" t="s">
        <v>1000</v>
      </c>
      <c r="N15" s="11">
        <v>3</v>
      </c>
      <c r="Q15" t="s">
        <v>985</v>
      </c>
      <c r="R15">
        <v>3</v>
      </c>
      <c r="AC15">
        <f t="shared" si="4"/>
        <v>42</v>
      </c>
      <c r="AQ15" s="15">
        <f t="shared" si="0"/>
        <v>77</v>
      </c>
      <c r="AR15" s="15">
        <f>AQ15*Pot_UP_Gold!E14</f>
        <v>118.46153846153847</v>
      </c>
      <c r="AS15" s="16">
        <f>AR15+Pot_UP_Gold!K15</f>
        <v>216.92307692307693</v>
      </c>
      <c r="AT15" s="16">
        <f>AR15+Pot_UP_Gold!K15+AS14</f>
        <v>424.61538461538464</v>
      </c>
      <c r="AU15" s="16">
        <f t="shared" si="1"/>
        <v>84.923076923076934</v>
      </c>
      <c r="AW15" s="246">
        <f t="shared" si="3"/>
        <v>213</v>
      </c>
    </row>
    <row r="16" spans="1:49" x14ac:dyDescent="0.25">
      <c r="A16" s="6" t="s">
        <v>15</v>
      </c>
      <c r="B16" s="130" t="s">
        <v>1117</v>
      </c>
      <c r="E16" t="s">
        <v>997</v>
      </c>
      <c r="F16">
        <v>7</v>
      </c>
      <c r="M16" s="11" t="s">
        <v>1000</v>
      </c>
      <c r="N16" s="11">
        <v>3</v>
      </c>
      <c r="O16" t="s">
        <v>980</v>
      </c>
      <c r="P16">
        <v>4</v>
      </c>
      <c r="AC16">
        <f t="shared" si="4"/>
        <v>44</v>
      </c>
      <c r="AQ16" s="15">
        <f>D15*$D$1+F15*$F$1+H15*$H$1+J15*$J$1+L15*$L$1+N15*$N$1+P15*$P$1+R15*$R$1+T15*$T$1+V15*$V$1+X15*$X$1+Z15*$Z$1+AB15*$AB$1+AE15*$AE$1+AG15*$AG$1+AI15*$AI$1+AK15*$AK$1+AN15*$AN$1+AP15*$AP$1</f>
        <v>75</v>
      </c>
      <c r="AR16" s="15">
        <f>AQ16*Pot_UP_Gold!E15</f>
        <v>115.38461538461539</v>
      </c>
      <c r="AS16" s="16">
        <f>AR16+Pot_UP_Gold!K16</f>
        <v>220</v>
      </c>
      <c r="AT16" s="16">
        <f>AR16+Pot_UP_Gold!K16+AS15</f>
        <v>436.92307692307691</v>
      </c>
      <c r="AU16" s="16">
        <f t="shared" si="1"/>
        <v>87.384615384615387</v>
      </c>
      <c r="AW16" s="246">
        <f t="shared" si="3"/>
        <v>219</v>
      </c>
    </row>
    <row r="17" spans="1:49" x14ac:dyDescent="0.25">
      <c r="A17" s="6" t="s">
        <v>16</v>
      </c>
      <c r="B17" s="130" t="s">
        <v>1117</v>
      </c>
      <c r="E17" t="s">
        <v>997</v>
      </c>
      <c r="F17">
        <v>7</v>
      </c>
      <c r="M17" s="11" t="s">
        <v>1000</v>
      </c>
      <c r="N17" s="11">
        <v>3</v>
      </c>
      <c r="Q17" t="s">
        <v>985</v>
      </c>
      <c r="R17">
        <v>3</v>
      </c>
      <c r="AC17">
        <f t="shared" si="4"/>
        <v>42</v>
      </c>
      <c r="AQ17" s="15">
        <f t="shared" si="0"/>
        <v>77</v>
      </c>
      <c r="AR17" s="15">
        <f>AQ17*Pot_UP_Gold!E16</f>
        <v>118.46153846153847</v>
      </c>
      <c r="AS17" s="16">
        <f>AR17+Pot_UP_Gold!K17</f>
        <v>229.23076923076923</v>
      </c>
      <c r="AT17" s="16">
        <f>AR17+Pot_UP_Gold!K17+AS16</f>
        <v>449.23076923076923</v>
      </c>
      <c r="AU17" s="16">
        <f t="shared" si="1"/>
        <v>89.846153846153854</v>
      </c>
      <c r="AW17" s="246">
        <f t="shared" si="3"/>
        <v>225</v>
      </c>
    </row>
    <row r="18" spans="1:49" x14ac:dyDescent="0.25">
      <c r="A18" s="6" t="s">
        <v>17</v>
      </c>
      <c r="B18" s="130" t="s">
        <v>1117</v>
      </c>
      <c r="E18" t="s">
        <v>997</v>
      </c>
      <c r="F18">
        <v>7</v>
      </c>
      <c r="M18" s="11" t="s">
        <v>1000</v>
      </c>
      <c r="N18" s="11">
        <v>3</v>
      </c>
      <c r="O18" t="s">
        <v>980</v>
      </c>
      <c r="P18">
        <v>4</v>
      </c>
      <c r="AC18">
        <f t="shared" si="4"/>
        <v>44</v>
      </c>
      <c r="AQ18" s="15">
        <f t="shared" si="0"/>
        <v>75</v>
      </c>
      <c r="AR18" s="15">
        <f>AQ18*Pot_UP_Gold!E17</f>
        <v>115.38461538461539</v>
      </c>
      <c r="AS18" s="16">
        <f>AR18+Pot_UP_Gold!K18</f>
        <v>232.30769230769232</v>
      </c>
      <c r="AT18" s="16">
        <f>AR18+Pot_UP_Gold!K18+AS17</f>
        <v>461.53846153846155</v>
      </c>
      <c r="AU18" s="16">
        <f t="shared" si="1"/>
        <v>92.307692307692321</v>
      </c>
      <c r="AW18" s="246">
        <f t="shared" si="3"/>
        <v>231</v>
      </c>
    </row>
    <row r="19" spans="1:49" x14ac:dyDescent="0.25">
      <c r="A19" s="4" t="s">
        <v>18</v>
      </c>
      <c r="B19" s="130" t="s">
        <v>1117</v>
      </c>
      <c r="G19" t="s">
        <v>998</v>
      </c>
      <c r="H19">
        <v>7</v>
      </c>
      <c r="O19" t="s">
        <v>980</v>
      </c>
      <c r="P19">
        <v>5</v>
      </c>
      <c r="S19" t="s">
        <v>984</v>
      </c>
      <c r="T19">
        <v>3</v>
      </c>
      <c r="AC19">
        <f t="shared" si="4"/>
        <v>106</v>
      </c>
      <c r="AQ19" s="15">
        <f>D18*$D$1+F18*$F$1+H18*$H$1+J18*$J$1+L18*$L$1+N18*$N$1+P18*$P$1+R18*$R$1+T18*$T$1+V18*$V$1+X18*$X$1+Z18*$Z$1+AB18*$AB$1+AE18*$AE$1+AG18*$AG$1+AI18*$AI$1+AK18*$AK$1+AN18*$AN$1+AP18*$AP$1</f>
        <v>77</v>
      </c>
      <c r="AR19" s="15">
        <f>AQ19*Pot_UP_Gold!E18</f>
        <v>118.46153846153847</v>
      </c>
      <c r="AS19" s="16">
        <f>AR19+Pot_UP_Gold!K19</f>
        <v>241.53846153846155</v>
      </c>
      <c r="AT19" s="16">
        <f>AR19+Pot_UP_Gold!K19+AS18</f>
        <v>473.84615384615387</v>
      </c>
      <c r="AU19" s="16">
        <f t="shared" si="1"/>
        <v>94.769230769230774</v>
      </c>
      <c r="AW19" s="246">
        <f t="shared" si="3"/>
        <v>237</v>
      </c>
    </row>
    <row r="20" spans="1:49" x14ac:dyDescent="0.25">
      <c r="A20" s="4" t="s">
        <v>19</v>
      </c>
      <c r="B20" s="130" t="s">
        <v>1117</v>
      </c>
      <c r="G20" t="s">
        <v>998</v>
      </c>
      <c r="H20">
        <v>7</v>
      </c>
      <c r="Q20" t="s">
        <v>985</v>
      </c>
      <c r="R20">
        <v>4</v>
      </c>
      <c r="S20" t="s">
        <v>984</v>
      </c>
      <c r="T20">
        <v>3</v>
      </c>
      <c r="AC20">
        <f t="shared" si="4"/>
        <v>107</v>
      </c>
      <c r="AQ20" s="15">
        <f t="shared" si="0"/>
        <v>127</v>
      </c>
      <c r="AR20" s="15">
        <f>AQ20*Pot_UP_Gold!E19</f>
        <v>195.38461538461539</v>
      </c>
      <c r="AS20" s="16">
        <f>AR20+Pot_UP_Gold!K20</f>
        <v>321.53846153846155</v>
      </c>
      <c r="AT20" s="16">
        <f>AR20+Pot_UP_Gold!K20+AS19</f>
        <v>563.07692307692309</v>
      </c>
      <c r="AU20" s="16">
        <f t="shared" si="1"/>
        <v>112.61538461538463</v>
      </c>
      <c r="AW20" s="246">
        <f t="shared" si="3"/>
        <v>282</v>
      </c>
    </row>
    <row r="21" spans="1:49" x14ac:dyDescent="0.25">
      <c r="A21" s="4" t="s">
        <v>20</v>
      </c>
      <c r="B21" s="130" t="s">
        <v>1117</v>
      </c>
      <c r="G21" t="s">
        <v>998</v>
      </c>
      <c r="H21">
        <v>7</v>
      </c>
      <c r="O21" t="s">
        <v>980</v>
      </c>
      <c r="P21">
        <v>5</v>
      </c>
      <c r="S21" t="s">
        <v>984</v>
      </c>
      <c r="T21">
        <v>3</v>
      </c>
      <c r="AC21">
        <f t="shared" si="4"/>
        <v>106</v>
      </c>
      <c r="AQ21" s="15">
        <f t="shared" si="0"/>
        <v>128</v>
      </c>
      <c r="AR21" s="15">
        <f>AQ21*Pot_UP_Gold!E20</f>
        <v>213.33333333333334</v>
      </c>
      <c r="AS21" s="16">
        <f>AR21+Pot_UP_Gold!K21</f>
        <v>353.33333333333337</v>
      </c>
      <c r="AT21" s="16">
        <f>AR21+Pot_UP_Gold!K21+AS20</f>
        <v>674.87179487179492</v>
      </c>
      <c r="AU21" s="16">
        <f t="shared" si="1"/>
        <v>134.97435897435898</v>
      </c>
      <c r="AW21" s="246">
        <f t="shared" si="3"/>
        <v>338</v>
      </c>
    </row>
    <row r="22" spans="1:49" x14ac:dyDescent="0.25">
      <c r="A22" s="4" t="s">
        <v>21</v>
      </c>
      <c r="B22" s="130" t="s">
        <v>1117</v>
      </c>
      <c r="G22" t="s">
        <v>998</v>
      </c>
      <c r="H22">
        <v>7</v>
      </c>
      <c r="Q22" t="s">
        <v>985</v>
      </c>
      <c r="R22">
        <v>4</v>
      </c>
      <c r="S22" t="s">
        <v>984</v>
      </c>
      <c r="T22">
        <v>3</v>
      </c>
      <c r="AC22">
        <f t="shared" si="4"/>
        <v>107</v>
      </c>
      <c r="AQ22" s="15">
        <f t="shared" si="0"/>
        <v>127</v>
      </c>
      <c r="AR22" s="15">
        <f>AQ22*Pot_UP_Gold!E21</f>
        <v>211.66666666666669</v>
      </c>
      <c r="AS22" s="16">
        <f>AR22+Pot_UP_Gold!K22</f>
        <v>355</v>
      </c>
      <c r="AT22" s="16">
        <f>AR22+Pot_UP_Gold!K22+AS21</f>
        <v>708.33333333333337</v>
      </c>
      <c r="AU22" s="16">
        <f t="shared" si="1"/>
        <v>141.66666666666669</v>
      </c>
      <c r="AW22" s="246">
        <f t="shared" si="3"/>
        <v>355</v>
      </c>
    </row>
    <row r="23" spans="1:49" x14ac:dyDescent="0.25">
      <c r="A23" s="4" t="s">
        <v>22</v>
      </c>
      <c r="B23" s="130" t="s">
        <v>1117</v>
      </c>
      <c r="G23" t="s">
        <v>998</v>
      </c>
      <c r="H23">
        <v>7</v>
      </c>
      <c r="O23" t="s">
        <v>980</v>
      </c>
      <c r="P23">
        <v>5</v>
      </c>
      <c r="S23" t="s">
        <v>984</v>
      </c>
      <c r="T23">
        <v>3</v>
      </c>
      <c r="AC23">
        <f t="shared" si="4"/>
        <v>106</v>
      </c>
      <c r="AQ23" s="15">
        <f t="shared" si="0"/>
        <v>128</v>
      </c>
      <c r="AR23" s="15">
        <f>AQ23*Pot_UP_Gold!E22</f>
        <v>213.33333333333334</v>
      </c>
      <c r="AS23" s="16">
        <f>AR23+Pot_UP_Gold!K23</f>
        <v>360</v>
      </c>
      <c r="AT23" s="16">
        <f>AR23+Pot_UP_Gold!K23+AS22</f>
        <v>715</v>
      </c>
      <c r="AU23" s="16">
        <f t="shared" si="1"/>
        <v>143</v>
      </c>
      <c r="AW23" s="246">
        <f t="shared" si="3"/>
        <v>358</v>
      </c>
    </row>
    <row r="24" spans="1:49" x14ac:dyDescent="0.25">
      <c r="A24" s="4" t="s">
        <v>23</v>
      </c>
      <c r="B24" s="130" t="s">
        <v>1117</v>
      </c>
      <c r="G24" t="s">
        <v>998</v>
      </c>
      <c r="H24">
        <v>7</v>
      </c>
      <c r="Q24" t="s">
        <v>985</v>
      </c>
      <c r="R24">
        <v>4</v>
      </c>
      <c r="S24" t="s">
        <v>984</v>
      </c>
      <c r="T24">
        <v>3</v>
      </c>
      <c r="AC24">
        <f t="shared" si="4"/>
        <v>107</v>
      </c>
      <c r="AQ24" s="15">
        <f t="shared" si="0"/>
        <v>127</v>
      </c>
      <c r="AR24" s="15">
        <f>AQ24*Pot_UP_Gold!E23</f>
        <v>211.66666666666669</v>
      </c>
      <c r="AS24" s="16">
        <f>AR24+Pot_UP_Gold!K24</f>
        <v>361.66666666666669</v>
      </c>
      <c r="AT24" s="16">
        <f>AR24+Pot_UP_Gold!K24+AS23</f>
        <v>721.66666666666674</v>
      </c>
      <c r="AU24" s="16">
        <f t="shared" si="1"/>
        <v>144.33333333333334</v>
      </c>
      <c r="AW24" s="246">
        <f t="shared" si="3"/>
        <v>361</v>
      </c>
    </row>
    <row r="25" spans="1:49" x14ac:dyDescent="0.25">
      <c r="A25" s="5" t="s">
        <v>24</v>
      </c>
      <c r="B25" s="130" t="s">
        <v>1117</v>
      </c>
      <c r="C25" s="11" t="s">
        <v>996</v>
      </c>
      <c r="D25" s="11">
        <v>5</v>
      </c>
      <c r="E25" s="11"/>
      <c r="F25" s="11"/>
      <c r="K25" s="11" t="s">
        <v>999</v>
      </c>
      <c r="L25" s="11">
        <v>3</v>
      </c>
      <c r="Q25" t="s">
        <v>985</v>
      </c>
      <c r="R25">
        <v>6</v>
      </c>
      <c r="U25" s="498" t="s">
        <v>987</v>
      </c>
      <c r="V25" s="498">
        <v>0</v>
      </c>
      <c r="AC25">
        <f t="shared" si="4"/>
        <v>84</v>
      </c>
      <c r="AQ25" s="15">
        <f t="shared" si="0"/>
        <v>128</v>
      </c>
      <c r="AR25" s="15">
        <f>AQ25*Pot_UP_Gold!E24</f>
        <v>213.33333333333334</v>
      </c>
      <c r="AS25" s="16">
        <f>AR25+Pot_UP_Gold!K25</f>
        <v>366.66666666666669</v>
      </c>
      <c r="AT25" s="16">
        <f>AR25+Pot_UP_Gold!K25+AS24</f>
        <v>728.33333333333337</v>
      </c>
      <c r="AU25" s="16">
        <f>$AV$1*AT25</f>
        <v>145.66666666666669</v>
      </c>
      <c r="AW25" s="246">
        <f t="shared" si="3"/>
        <v>365</v>
      </c>
    </row>
    <row r="26" spans="1:49" x14ac:dyDescent="0.25">
      <c r="A26" s="5" t="s">
        <v>25</v>
      </c>
      <c r="B26" s="130" t="s">
        <v>1117</v>
      </c>
      <c r="C26" s="11" t="s">
        <v>996</v>
      </c>
      <c r="D26" s="11">
        <v>5</v>
      </c>
      <c r="E26" s="11"/>
      <c r="F26" s="11"/>
      <c r="K26" s="11" t="s">
        <v>999</v>
      </c>
      <c r="L26" s="11">
        <v>3</v>
      </c>
      <c r="S26" t="s">
        <v>984</v>
      </c>
      <c r="T26">
        <v>5</v>
      </c>
      <c r="U26" s="498" t="s">
        <v>987</v>
      </c>
      <c r="V26" s="498">
        <v>0</v>
      </c>
      <c r="AC26">
        <f t="shared" si="4"/>
        <v>85</v>
      </c>
      <c r="AQ26" s="15">
        <f t="shared" si="0"/>
        <v>111</v>
      </c>
      <c r="AR26" s="15">
        <f>AQ26*Pot_UP_Gold!E25</f>
        <v>185</v>
      </c>
      <c r="AS26" s="16">
        <f>AR26+Pot_UP_Gold!K26</f>
        <v>351.66666666666669</v>
      </c>
      <c r="AT26" s="16">
        <f>AR26+Pot_UP_Gold!K26+AS25</f>
        <v>718.33333333333337</v>
      </c>
      <c r="AU26" s="16">
        <f t="shared" si="1"/>
        <v>143.66666666666669</v>
      </c>
      <c r="AW26" s="246">
        <f t="shared" si="3"/>
        <v>360</v>
      </c>
    </row>
    <row r="27" spans="1:49" x14ac:dyDescent="0.25">
      <c r="A27" s="5" t="s">
        <v>26</v>
      </c>
      <c r="B27" s="130" t="s">
        <v>1117</v>
      </c>
      <c r="C27" s="11" t="s">
        <v>996</v>
      </c>
      <c r="D27" s="11">
        <v>5</v>
      </c>
      <c r="E27" s="11"/>
      <c r="F27" s="11"/>
      <c r="K27" s="11" t="s">
        <v>999</v>
      </c>
      <c r="L27" s="11">
        <v>3</v>
      </c>
      <c r="Q27" t="s">
        <v>985</v>
      </c>
      <c r="R27">
        <v>6</v>
      </c>
      <c r="U27" s="498" t="s">
        <v>987</v>
      </c>
      <c r="V27" s="498">
        <v>0</v>
      </c>
      <c r="AC27">
        <f t="shared" si="4"/>
        <v>84</v>
      </c>
      <c r="AQ27" s="15">
        <f t="shared" si="0"/>
        <v>112</v>
      </c>
      <c r="AR27" s="15">
        <f>AQ27*Pot_UP_Gold!E26</f>
        <v>203.63636363636363</v>
      </c>
      <c r="AS27" s="16">
        <f>AR27+Pot_UP_Gold!K27</f>
        <v>396.36363636363637</v>
      </c>
      <c r="AT27" s="16">
        <f>AR27+Pot_UP_Gold!K27+AS26</f>
        <v>748.030303030303</v>
      </c>
      <c r="AU27" s="16">
        <f t="shared" si="1"/>
        <v>149.60606060606059</v>
      </c>
      <c r="AW27" s="246">
        <f t="shared" si="3"/>
        <v>375</v>
      </c>
    </row>
    <row r="28" spans="1:49" x14ac:dyDescent="0.25">
      <c r="A28" s="5" t="s">
        <v>27</v>
      </c>
      <c r="B28" s="130" t="s">
        <v>1117</v>
      </c>
      <c r="C28" s="11" t="s">
        <v>996</v>
      </c>
      <c r="D28" s="11">
        <v>5</v>
      </c>
      <c r="E28" s="11"/>
      <c r="F28" s="11"/>
      <c r="K28" s="11" t="s">
        <v>999</v>
      </c>
      <c r="L28" s="11">
        <v>3</v>
      </c>
      <c r="S28" t="s">
        <v>984</v>
      </c>
      <c r="T28">
        <v>5</v>
      </c>
      <c r="U28" s="498" t="s">
        <v>987</v>
      </c>
      <c r="V28" s="498">
        <v>0</v>
      </c>
      <c r="AC28">
        <f t="shared" si="4"/>
        <v>85</v>
      </c>
      <c r="AQ28" s="15">
        <f t="shared" si="0"/>
        <v>111</v>
      </c>
      <c r="AR28" s="15">
        <f>AQ28*Pot_UP_Gold!E27</f>
        <v>201.81818181818181</v>
      </c>
      <c r="AS28" s="16">
        <f>AR28+Pot_UP_Gold!K28</f>
        <v>405.45454545454544</v>
      </c>
      <c r="AT28" s="16">
        <f>AR28+Pot_UP_Gold!K28+AS27</f>
        <v>801.81818181818176</v>
      </c>
      <c r="AU28" s="16">
        <f t="shared" si="1"/>
        <v>160.36363636363637</v>
      </c>
      <c r="AW28" s="246">
        <f t="shared" si="3"/>
        <v>401</v>
      </c>
    </row>
    <row r="29" spans="1:49" x14ac:dyDescent="0.25">
      <c r="A29" s="5" t="s">
        <v>28</v>
      </c>
      <c r="B29" s="130" t="s">
        <v>1117</v>
      </c>
      <c r="C29" s="11" t="s">
        <v>996</v>
      </c>
      <c r="D29" s="11">
        <v>5</v>
      </c>
      <c r="E29" s="11"/>
      <c r="F29" s="11"/>
      <c r="K29" s="11" t="s">
        <v>999</v>
      </c>
      <c r="L29" s="11">
        <v>3</v>
      </c>
      <c r="Q29" t="s">
        <v>985</v>
      </c>
      <c r="R29">
        <v>6</v>
      </c>
      <c r="U29" s="498" t="s">
        <v>987</v>
      </c>
      <c r="V29" s="498">
        <v>0</v>
      </c>
      <c r="AC29">
        <f t="shared" si="4"/>
        <v>84</v>
      </c>
      <c r="AQ29" s="15">
        <f t="shared" si="0"/>
        <v>112</v>
      </c>
      <c r="AR29" s="15">
        <f>AQ29*Pot_UP_Gold!E28</f>
        <v>203.63636363636363</v>
      </c>
      <c r="AS29" s="16">
        <f>AR29+Pot_UP_Gold!K29</f>
        <v>418.18181818181813</v>
      </c>
      <c r="AT29" s="16">
        <f>AR29+Pot_UP_Gold!K29+AS28</f>
        <v>823.63636363636351</v>
      </c>
      <c r="AU29" s="16">
        <f t="shared" si="1"/>
        <v>164.72727272727272</v>
      </c>
      <c r="AW29" s="246">
        <f t="shared" si="3"/>
        <v>412</v>
      </c>
    </row>
    <row r="30" spans="1:49" x14ac:dyDescent="0.25">
      <c r="A30" s="5" t="s">
        <v>29</v>
      </c>
      <c r="B30" s="130" t="s">
        <v>1117</v>
      </c>
      <c r="C30" s="11" t="s">
        <v>996</v>
      </c>
      <c r="D30" s="11">
        <v>5</v>
      </c>
      <c r="E30" s="11"/>
      <c r="F30" s="11"/>
      <c r="K30" s="11" t="s">
        <v>999</v>
      </c>
      <c r="L30" s="11">
        <v>3</v>
      </c>
      <c r="S30" t="s">
        <v>984</v>
      </c>
      <c r="T30">
        <v>5</v>
      </c>
      <c r="U30" s="498" t="s">
        <v>987</v>
      </c>
      <c r="V30" s="498">
        <v>0</v>
      </c>
      <c r="AC30">
        <f t="shared" si="4"/>
        <v>85</v>
      </c>
      <c r="AQ30" s="15">
        <f t="shared" si="0"/>
        <v>111</v>
      </c>
      <c r="AR30" s="15">
        <f>AQ30*Pot_UP_Gold!E29</f>
        <v>201.81818181818181</v>
      </c>
      <c r="AS30" s="16">
        <f>AR30+Pot_UP_Gold!K30</f>
        <v>427.27272727272725</v>
      </c>
      <c r="AT30" s="16">
        <f>AR30+Pot_UP_Gold!K30+AS29</f>
        <v>845.45454545454538</v>
      </c>
      <c r="AU30" s="16">
        <f t="shared" si="1"/>
        <v>169.09090909090909</v>
      </c>
      <c r="AW30" s="246">
        <f t="shared" si="3"/>
        <v>423</v>
      </c>
    </row>
    <row r="31" spans="1:49" s="11" customFormat="1" x14ac:dyDescent="0.25">
      <c r="A31" s="2" t="s">
        <v>30</v>
      </c>
      <c r="B31" s="48" t="s">
        <v>1117</v>
      </c>
      <c r="E31" s="11" t="s">
        <v>997</v>
      </c>
      <c r="F31" s="11">
        <v>5</v>
      </c>
      <c r="I31" s="11" t="s">
        <v>1001</v>
      </c>
      <c r="J31" s="11">
        <v>3</v>
      </c>
      <c r="Q31" t="s">
        <v>985</v>
      </c>
      <c r="R31">
        <v>6</v>
      </c>
      <c r="S31"/>
      <c r="T31"/>
      <c r="U31" s="498" t="s">
        <v>987</v>
      </c>
      <c r="V31" s="498">
        <v>0</v>
      </c>
      <c r="W31" s="11" t="s">
        <v>990</v>
      </c>
      <c r="X31" s="11">
        <v>0</v>
      </c>
      <c r="AC31">
        <f t="shared" si="4"/>
        <v>84</v>
      </c>
      <c r="AQ31" s="303">
        <f>D30*$D$1+F30*$F$1+H30*$H$1+J30*$J$1+L30*$L$1+N30*$N$1+P30*$P$1+R30*$R$1+T30*$T$1+V30*$V$1+X30*$X$1+Z30*$Z$1+AB30*$AB$1+AE30*$AE$1+AG30*$AG$1+AI30*$AI$1+AK30*$AK$1+AN30*$AN$1+AP30*$AP$1</f>
        <v>112</v>
      </c>
      <c r="AR31" s="303">
        <f>AQ31*Pot_UP_Gold!E30</f>
        <v>203.63636363636363</v>
      </c>
      <c r="AS31" s="246">
        <f>AR31+Pot_UP_Gold!K31</f>
        <v>440</v>
      </c>
      <c r="AT31" s="246">
        <f>AR31+Pot_UP_Gold!K31+AS30</f>
        <v>867.27272727272725</v>
      </c>
      <c r="AU31" s="246">
        <f t="shared" si="1"/>
        <v>173.45454545454547</v>
      </c>
      <c r="AW31" s="246">
        <f t="shared" si="3"/>
        <v>434</v>
      </c>
    </row>
    <row r="32" spans="1:49" s="11" customFormat="1" x14ac:dyDescent="0.25">
      <c r="A32" s="2" t="s">
        <v>31</v>
      </c>
      <c r="B32" s="48" t="s">
        <v>1117</v>
      </c>
      <c r="E32" s="11" t="s">
        <v>997</v>
      </c>
      <c r="F32" s="11">
        <v>5</v>
      </c>
      <c r="I32" s="11" t="s">
        <v>1001</v>
      </c>
      <c r="J32" s="11">
        <v>3</v>
      </c>
      <c r="Q32"/>
      <c r="R32"/>
      <c r="S32" t="s">
        <v>984</v>
      </c>
      <c r="T32">
        <v>5</v>
      </c>
      <c r="U32" s="498" t="s">
        <v>987</v>
      </c>
      <c r="V32" s="498">
        <v>0</v>
      </c>
      <c r="W32" s="11" t="s">
        <v>990</v>
      </c>
      <c r="X32" s="11">
        <v>0</v>
      </c>
      <c r="AC32">
        <f t="shared" si="4"/>
        <v>85</v>
      </c>
      <c r="AQ32" s="303">
        <f>D31*$D$1+F31*$F$1+H31*$H$1+J31*$J$1+L31*$L$1+N31*$N$1+P31*$P$1+R31*$R$1+T31*$T$1+V31*$V$1+X31*$X$1+Z31*$Z$1+AB31*$AB$1+AE31*$AE$1+AG31*$AG$1+AI31*$AI$1+AK31*$AK$1+AN31*$AN$1+AP31*$AP$1</f>
        <v>111</v>
      </c>
      <c r="AR32" s="303">
        <f>AQ32*Pot_UP_Gold!E31</f>
        <v>201.81818181818181</v>
      </c>
      <c r="AS32" s="246">
        <f>AR32+Pot_UP_Gold!K32</f>
        <v>441.81818181818181</v>
      </c>
      <c r="AT32" s="246">
        <f>AR32+Pot_UP_Gold!K32+AS31</f>
        <v>881.81818181818176</v>
      </c>
      <c r="AU32" s="246">
        <f t="shared" si="1"/>
        <v>176.36363636363637</v>
      </c>
      <c r="AW32" s="246">
        <f t="shared" si="3"/>
        <v>441</v>
      </c>
    </row>
    <row r="33" spans="1:49" s="11" customFormat="1" x14ac:dyDescent="0.25">
      <c r="A33" s="7" t="s">
        <v>32</v>
      </c>
      <c r="B33" s="48" t="s">
        <v>1117</v>
      </c>
      <c r="E33" s="11" t="s">
        <v>997</v>
      </c>
      <c r="F33" s="11">
        <v>5</v>
      </c>
      <c r="I33" s="11" t="s">
        <v>1001</v>
      </c>
      <c r="J33" s="11">
        <v>3</v>
      </c>
      <c r="Q33" t="s">
        <v>985</v>
      </c>
      <c r="R33">
        <v>6</v>
      </c>
      <c r="S33"/>
      <c r="T33"/>
      <c r="U33" s="498" t="s">
        <v>987</v>
      </c>
      <c r="V33" s="498">
        <v>0</v>
      </c>
      <c r="W33" s="11" t="s">
        <v>990</v>
      </c>
      <c r="X33" s="11">
        <v>0</v>
      </c>
      <c r="AC33">
        <f t="shared" si="4"/>
        <v>84</v>
      </c>
      <c r="AQ33" s="303">
        <f t="shared" si="0"/>
        <v>112</v>
      </c>
      <c r="AR33" s="303">
        <f>AQ33*Pot_UP_Gold!E32</f>
        <v>224</v>
      </c>
      <c r="AS33" s="246">
        <f>AR33+Pot_UP_Gold!K33</f>
        <v>492</v>
      </c>
      <c r="AT33" s="246">
        <f>AR33+Pot_UP_Gold!K33+AS32</f>
        <v>933.81818181818176</v>
      </c>
      <c r="AU33" s="246">
        <f t="shared" si="1"/>
        <v>186.76363636363635</v>
      </c>
      <c r="AW33" s="246">
        <f t="shared" si="3"/>
        <v>467</v>
      </c>
    </row>
    <row r="34" spans="1:49" s="11" customFormat="1" x14ac:dyDescent="0.25">
      <c r="A34" s="7" t="s">
        <v>33</v>
      </c>
      <c r="B34" s="48" t="s">
        <v>1117</v>
      </c>
      <c r="E34" s="11" t="s">
        <v>997</v>
      </c>
      <c r="F34" s="11">
        <v>5</v>
      </c>
      <c r="I34" s="11" t="s">
        <v>1001</v>
      </c>
      <c r="J34" s="11">
        <v>3</v>
      </c>
      <c r="Q34"/>
      <c r="R34"/>
      <c r="S34" t="s">
        <v>984</v>
      </c>
      <c r="T34">
        <v>5</v>
      </c>
      <c r="U34" s="498" t="s">
        <v>987</v>
      </c>
      <c r="V34" s="498">
        <v>0</v>
      </c>
      <c r="W34" s="11" t="s">
        <v>990</v>
      </c>
      <c r="X34" s="11">
        <v>0</v>
      </c>
      <c r="AC34">
        <f t="shared" si="4"/>
        <v>85</v>
      </c>
      <c r="AQ34" s="303">
        <f t="shared" si="0"/>
        <v>111</v>
      </c>
      <c r="AR34" s="303">
        <f>AQ34*Pot_UP_Gold!E33</f>
        <v>222</v>
      </c>
      <c r="AS34" s="246">
        <f>AR34+Pot_UP_Gold!K34</f>
        <v>494</v>
      </c>
      <c r="AT34" s="246">
        <f>AR34+Pot_UP_Gold!K34+AS33</f>
        <v>986</v>
      </c>
      <c r="AU34" s="246">
        <f t="shared" si="1"/>
        <v>197.20000000000002</v>
      </c>
      <c r="AW34" s="246">
        <f t="shared" si="3"/>
        <v>493</v>
      </c>
    </row>
    <row r="35" spans="1:49" s="11" customFormat="1" x14ac:dyDescent="0.25">
      <c r="A35" s="7" t="s">
        <v>34</v>
      </c>
      <c r="B35" s="48" t="s">
        <v>1117</v>
      </c>
      <c r="E35" s="11" t="s">
        <v>997</v>
      </c>
      <c r="F35" s="11">
        <v>5</v>
      </c>
      <c r="I35" s="11" t="s">
        <v>1001</v>
      </c>
      <c r="J35" s="11">
        <v>3</v>
      </c>
      <c r="Q35" t="s">
        <v>985</v>
      </c>
      <c r="R35">
        <v>6</v>
      </c>
      <c r="S35"/>
      <c r="T35"/>
      <c r="U35" s="498" t="s">
        <v>987</v>
      </c>
      <c r="V35" s="498">
        <v>0</v>
      </c>
      <c r="W35" s="11" t="s">
        <v>990</v>
      </c>
      <c r="X35" s="11">
        <v>0</v>
      </c>
      <c r="AC35">
        <f t="shared" si="4"/>
        <v>84</v>
      </c>
      <c r="AQ35" s="303">
        <f t="shared" si="0"/>
        <v>112</v>
      </c>
      <c r="AR35" s="303">
        <f>AQ35*Pot_UP_Gold!E34</f>
        <v>224</v>
      </c>
      <c r="AS35" s="246">
        <f>AR35+Pot_UP_Gold!K35</f>
        <v>500</v>
      </c>
      <c r="AT35" s="246">
        <f>AR35+Pot_UP_Gold!K35+AS34</f>
        <v>994</v>
      </c>
      <c r="AU35" s="246">
        <f t="shared" si="1"/>
        <v>198.8</v>
      </c>
      <c r="AW35" s="246">
        <f t="shared" si="3"/>
        <v>497</v>
      </c>
    </row>
    <row r="36" spans="1:49" s="11" customFormat="1" x14ac:dyDescent="0.25">
      <c r="A36" s="4" t="s">
        <v>35</v>
      </c>
      <c r="B36" s="48" t="s">
        <v>1117</v>
      </c>
      <c r="E36" s="11" t="s">
        <v>997</v>
      </c>
      <c r="F36" s="11">
        <v>5</v>
      </c>
      <c r="I36" s="11" t="s">
        <v>1001</v>
      </c>
      <c r="J36" s="11">
        <v>3</v>
      </c>
      <c r="Q36"/>
      <c r="R36"/>
      <c r="S36" t="s">
        <v>984</v>
      </c>
      <c r="T36">
        <v>5</v>
      </c>
      <c r="U36" s="498" t="s">
        <v>987</v>
      </c>
      <c r="V36" s="498">
        <v>0</v>
      </c>
      <c r="W36" s="11" t="s">
        <v>990</v>
      </c>
      <c r="X36" s="11">
        <v>0</v>
      </c>
      <c r="AC36">
        <f t="shared" si="4"/>
        <v>85</v>
      </c>
      <c r="AQ36" s="303">
        <f t="shared" si="0"/>
        <v>111</v>
      </c>
      <c r="AR36" s="303">
        <f>AQ36*Pot_UP_Gold!E35</f>
        <v>222</v>
      </c>
      <c r="AS36" s="246">
        <f>AR36+Pot_UP_Gold!K36</f>
        <v>502</v>
      </c>
      <c r="AT36" s="246">
        <f>AR36+Pot_UP_Gold!K36+AS35</f>
        <v>1002</v>
      </c>
      <c r="AU36" s="246">
        <f t="shared" si="1"/>
        <v>200.4</v>
      </c>
      <c r="AW36" s="246">
        <f t="shared" si="3"/>
        <v>501</v>
      </c>
    </row>
    <row r="37" spans="1:49" x14ac:dyDescent="0.25">
      <c r="A37" s="5" t="s">
        <v>36</v>
      </c>
      <c r="B37" s="48" t="s">
        <v>1118</v>
      </c>
      <c r="M37" s="11" t="s">
        <v>1000</v>
      </c>
      <c r="N37" s="11">
        <v>4</v>
      </c>
      <c r="S37" t="s">
        <v>984</v>
      </c>
      <c r="T37">
        <v>7</v>
      </c>
      <c r="U37" t="s">
        <v>987</v>
      </c>
      <c r="V37">
        <v>5</v>
      </c>
      <c r="W37" s="11" t="s">
        <v>990</v>
      </c>
      <c r="X37" s="11">
        <v>0</v>
      </c>
      <c r="AC37">
        <f t="shared" si="4"/>
        <v>359</v>
      </c>
      <c r="AQ37" s="15">
        <f t="shared" si="0"/>
        <v>112</v>
      </c>
      <c r="AR37" s="15">
        <f>AQ37*Pot_UP_Gold!E36</f>
        <v>224</v>
      </c>
      <c r="AS37" s="16">
        <f>AR37+Pot_UP_Gold!K37</f>
        <v>508</v>
      </c>
      <c r="AT37" s="16">
        <f>AR37+Pot_UP_Gold!K37+AS36</f>
        <v>1010</v>
      </c>
      <c r="AU37" s="16">
        <f t="shared" si="1"/>
        <v>202</v>
      </c>
      <c r="AW37" s="246">
        <f t="shared" si="3"/>
        <v>505</v>
      </c>
    </row>
    <row r="38" spans="1:49" x14ac:dyDescent="0.25">
      <c r="A38" s="6" t="s">
        <v>37</v>
      </c>
      <c r="B38" s="48" t="s">
        <v>1118</v>
      </c>
      <c r="M38" s="11" t="s">
        <v>1000</v>
      </c>
      <c r="N38" s="11">
        <v>4</v>
      </c>
      <c r="S38" t="s">
        <v>984</v>
      </c>
      <c r="T38">
        <v>7</v>
      </c>
      <c r="U38" t="s">
        <v>987</v>
      </c>
      <c r="V38">
        <v>5</v>
      </c>
      <c r="W38" s="11" t="s">
        <v>990</v>
      </c>
      <c r="X38" s="11">
        <v>0</v>
      </c>
      <c r="AC38">
        <f t="shared" si="4"/>
        <v>359</v>
      </c>
      <c r="AQ38" s="15">
        <f t="shared" si="0"/>
        <v>375</v>
      </c>
      <c r="AR38" s="15">
        <f>AQ38*Pot_UP_Gold!E37</f>
        <v>750</v>
      </c>
      <c r="AS38" s="16">
        <f>AR38+Pot_UP_Gold!K38</f>
        <v>1070</v>
      </c>
      <c r="AT38" s="16">
        <f>AR38+Pot_UP_Gold!K38+AS37</f>
        <v>1578</v>
      </c>
      <c r="AU38" s="16">
        <f t="shared" si="1"/>
        <v>315.60000000000002</v>
      </c>
      <c r="AW38" s="246">
        <f t="shared" si="3"/>
        <v>789</v>
      </c>
    </row>
    <row r="39" spans="1:49" x14ac:dyDescent="0.25">
      <c r="A39" s="6" t="s">
        <v>38</v>
      </c>
      <c r="B39" s="48" t="s">
        <v>1118</v>
      </c>
      <c r="M39" s="11" t="s">
        <v>1000</v>
      </c>
      <c r="N39" s="11">
        <v>4</v>
      </c>
      <c r="S39" t="s">
        <v>984</v>
      </c>
      <c r="T39">
        <v>7</v>
      </c>
      <c r="U39" t="s">
        <v>987</v>
      </c>
      <c r="V39">
        <v>5</v>
      </c>
      <c r="W39" s="11" t="s">
        <v>990</v>
      </c>
      <c r="X39" s="11">
        <v>0</v>
      </c>
      <c r="AC39">
        <f t="shared" si="4"/>
        <v>359</v>
      </c>
      <c r="AQ39" s="15">
        <f t="shared" si="0"/>
        <v>375</v>
      </c>
      <c r="AR39" s="15">
        <f>AQ39*Pot_UP_Gold!E38</f>
        <v>750</v>
      </c>
      <c r="AS39" s="16">
        <f>AR39+Pot_UP_Gold!K39</f>
        <v>1074</v>
      </c>
      <c r="AT39" s="16">
        <f>AR39+Pot_UP_Gold!K39+AS38</f>
        <v>2144</v>
      </c>
      <c r="AU39" s="16">
        <f t="shared" si="1"/>
        <v>428.8</v>
      </c>
      <c r="AW39" s="246">
        <f t="shared" si="3"/>
        <v>1072</v>
      </c>
    </row>
    <row r="40" spans="1:49" x14ac:dyDescent="0.25">
      <c r="A40" s="6" t="s">
        <v>39</v>
      </c>
      <c r="B40" s="48" t="s">
        <v>1118</v>
      </c>
      <c r="M40" s="11" t="s">
        <v>1000</v>
      </c>
      <c r="N40" s="11">
        <v>4</v>
      </c>
      <c r="S40" t="s">
        <v>984</v>
      </c>
      <c r="T40">
        <v>7</v>
      </c>
      <c r="U40" t="s">
        <v>987</v>
      </c>
      <c r="V40">
        <v>5</v>
      </c>
      <c r="W40" s="11" t="s">
        <v>990</v>
      </c>
      <c r="X40" s="11">
        <v>0</v>
      </c>
      <c r="AC40">
        <f t="shared" si="4"/>
        <v>359</v>
      </c>
      <c r="AQ40" s="15">
        <f t="shared" si="0"/>
        <v>375</v>
      </c>
      <c r="AR40" s="15">
        <f>AQ40*Pot_UP_Gold!E39</f>
        <v>750</v>
      </c>
      <c r="AS40" s="16">
        <f>AR40+Pot_UP_Gold!K40</f>
        <v>1078</v>
      </c>
      <c r="AT40" s="16">
        <f>AR40+Pot_UP_Gold!K40+AS39</f>
        <v>2152</v>
      </c>
      <c r="AU40" s="16">
        <f t="shared" si="1"/>
        <v>430.40000000000003</v>
      </c>
      <c r="AW40" s="246">
        <f t="shared" si="3"/>
        <v>1076</v>
      </c>
    </row>
    <row r="41" spans="1:49" x14ac:dyDescent="0.25">
      <c r="A41" s="6" t="s">
        <v>40</v>
      </c>
      <c r="B41" s="48" t="s">
        <v>1118</v>
      </c>
      <c r="M41" s="11" t="s">
        <v>1000</v>
      </c>
      <c r="N41" s="11">
        <v>4</v>
      </c>
      <c r="S41" t="s">
        <v>984</v>
      </c>
      <c r="T41">
        <v>7</v>
      </c>
      <c r="U41" t="s">
        <v>987</v>
      </c>
      <c r="V41">
        <v>5</v>
      </c>
      <c r="W41" s="11" t="s">
        <v>990</v>
      </c>
      <c r="X41" s="11">
        <v>0</v>
      </c>
      <c r="AC41">
        <f t="shared" si="4"/>
        <v>359</v>
      </c>
      <c r="AQ41" s="15">
        <f t="shared" si="0"/>
        <v>375</v>
      </c>
      <c r="AR41" s="15">
        <f>AQ41*Pot_UP_Gold!E40</f>
        <v>750</v>
      </c>
      <c r="AS41" s="16">
        <f>AR41+Pot_UP_Gold!K41</f>
        <v>1082</v>
      </c>
      <c r="AT41" s="16">
        <f>AR41+Pot_UP_Gold!K41+AS40</f>
        <v>2160</v>
      </c>
      <c r="AU41" s="16">
        <f t="shared" si="1"/>
        <v>432</v>
      </c>
      <c r="AW41" s="246">
        <f t="shared" si="3"/>
        <v>1080</v>
      </c>
    </row>
    <row r="42" spans="1:49" x14ac:dyDescent="0.25">
      <c r="A42" s="6" t="s">
        <v>41</v>
      </c>
      <c r="B42" s="48" t="s">
        <v>1118</v>
      </c>
      <c r="M42" s="11" t="s">
        <v>1000</v>
      </c>
      <c r="N42" s="11">
        <v>4</v>
      </c>
      <c r="S42" t="s">
        <v>984</v>
      </c>
      <c r="T42">
        <v>7</v>
      </c>
      <c r="U42" t="s">
        <v>987</v>
      </c>
      <c r="V42">
        <v>5</v>
      </c>
      <c r="W42" s="11" t="s">
        <v>990</v>
      </c>
      <c r="X42" s="11">
        <v>0</v>
      </c>
      <c r="AC42">
        <f t="shared" si="4"/>
        <v>359</v>
      </c>
      <c r="AQ42" s="15">
        <f t="shared" si="0"/>
        <v>375</v>
      </c>
      <c r="AR42" s="15">
        <f>AQ42*Pot_UP_Gold!E41</f>
        <v>750</v>
      </c>
      <c r="AS42" s="16">
        <f>AR42+Pot_UP_Gold!K42</f>
        <v>1086</v>
      </c>
      <c r="AT42" s="16">
        <f>AR42+Pot_UP_Gold!K42+AS41</f>
        <v>2168</v>
      </c>
      <c r="AU42" s="16">
        <f t="shared" si="1"/>
        <v>433.6</v>
      </c>
      <c r="AW42" s="246">
        <f t="shared" si="3"/>
        <v>1084</v>
      </c>
    </row>
    <row r="43" spans="1:49" x14ac:dyDescent="0.25">
      <c r="A43" s="2" t="s">
        <v>42</v>
      </c>
      <c r="B43" s="48" t="s">
        <v>1118</v>
      </c>
      <c r="Q43" t="s">
        <v>985</v>
      </c>
      <c r="R43">
        <v>9</v>
      </c>
      <c r="S43" t="s">
        <v>984</v>
      </c>
      <c r="T43">
        <v>7</v>
      </c>
      <c r="U43" s="233" t="s">
        <v>987</v>
      </c>
      <c r="V43" s="233">
        <v>4</v>
      </c>
      <c r="W43" t="s">
        <v>990</v>
      </c>
      <c r="X43">
        <v>3</v>
      </c>
      <c r="AC43">
        <f t="shared" si="4"/>
        <v>626</v>
      </c>
      <c r="AQ43" s="15">
        <f t="shared" si="0"/>
        <v>375</v>
      </c>
      <c r="AR43" s="15">
        <f>AQ43*Pot_UP_Gold!E42</f>
        <v>750</v>
      </c>
      <c r="AS43" s="16">
        <f>AR43+Pot_UP_Gold!K43</f>
        <v>1090</v>
      </c>
      <c r="AT43" s="16">
        <f>AR43+Pot_UP_Gold!K43+AS42</f>
        <v>2176</v>
      </c>
      <c r="AU43" s="16">
        <f t="shared" si="1"/>
        <v>435.20000000000005</v>
      </c>
      <c r="AW43" s="246">
        <f t="shared" si="3"/>
        <v>1088</v>
      </c>
    </row>
    <row r="44" spans="1:49" x14ac:dyDescent="0.25">
      <c r="A44" s="8" t="s">
        <v>43</v>
      </c>
      <c r="B44" s="48" t="s">
        <v>1118</v>
      </c>
      <c r="Q44" t="s">
        <v>985</v>
      </c>
      <c r="R44">
        <v>9</v>
      </c>
      <c r="S44" t="s">
        <v>984</v>
      </c>
      <c r="T44">
        <v>7</v>
      </c>
      <c r="U44" s="233" t="s">
        <v>987</v>
      </c>
      <c r="V44" s="233">
        <v>4</v>
      </c>
      <c r="W44" t="s">
        <v>990</v>
      </c>
      <c r="X44">
        <v>3</v>
      </c>
      <c r="AC44">
        <f t="shared" si="4"/>
        <v>626</v>
      </c>
      <c r="AQ44" s="15">
        <f t="shared" si="0"/>
        <v>626</v>
      </c>
      <c r="AR44" s="15">
        <f>AQ44*Pot_UP_Gold!E43</f>
        <v>1252</v>
      </c>
      <c r="AS44" s="16">
        <f>AR44+Pot_UP_Gold!K44</f>
        <v>1672</v>
      </c>
      <c r="AT44" s="16">
        <f>AR44+Pot_UP_Gold!K44+AS43</f>
        <v>2762</v>
      </c>
      <c r="AU44" s="16">
        <f t="shared" si="1"/>
        <v>552.4</v>
      </c>
      <c r="AW44" s="246">
        <f t="shared" si="3"/>
        <v>1381</v>
      </c>
    </row>
    <row r="45" spans="1:49" x14ac:dyDescent="0.25">
      <c r="A45" s="8" t="s">
        <v>44</v>
      </c>
      <c r="B45" s="48" t="s">
        <v>1118</v>
      </c>
      <c r="Q45" t="s">
        <v>985</v>
      </c>
      <c r="R45">
        <v>9</v>
      </c>
      <c r="S45" t="s">
        <v>984</v>
      </c>
      <c r="T45">
        <v>7</v>
      </c>
      <c r="U45" s="233" t="s">
        <v>987</v>
      </c>
      <c r="V45" s="233">
        <v>4</v>
      </c>
      <c r="W45" t="s">
        <v>990</v>
      </c>
      <c r="X45">
        <v>3</v>
      </c>
      <c r="AC45">
        <f t="shared" si="4"/>
        <v>626</v>
      </c>
      <c r="AQ45" s="15">
        <f t="shared" si="0"/>
        <v>626</v>
      </c>
      <c r="AR45" s="15">
        <f>AQ45*Pot_UP_Gold!E44</f>
        <v>1565</v>
      </c>
      <c r="AS45" s="16">
        <f>AR45+Pot_UP_Gold!K45</f>
        <v>2100</v>
      </c>
      <c r="AT45" s="16">
        <f>AR45+Pot_UP_Gold!K45+AS44</f>
        <v>3772</v>
      </c>
      <c r="AU45" s="16">
        <f t="shared" si="1"/>
        <v>754.40000000000009</v>
      </c>
      <c r="AW45" s="246">
        <f t="shared" si="3"/>
        <v>1886</v>
      </c>
    </row>
    <row r="46" spans="1:49" x14ac:dyDescent="0.25">
      <c r="A46" s="8" t="s">
        <v>45</v>
      </c>
      <c r="B46" s="48" t="s">
        <v>1118</v>
      </c>
      <c r="Q46" t="s">
        <v>985</v>
      </c>
      <c r="R46">
        <v>9</v>
      </c>
      <c r="S46" t="s">
        <v>984</v>
      </c>
      <c r="T46">
        <v>7</v>
      </c>
      <c r="U46" s="233" t="s">
        <v>987</v>
      </c>
      <c r="V46" s="233">
        <v>4</v>
      </c>
      <c r="W46" t="s">
        <v>990</v>
      </c>
      <c r="X46">
        <v>3</v>
      </c>
      <c r="AC46">
        <f t="shared" si="4"/>
        <v>626</v>
      </c>
      <c r="AQ46" s="15">
        <f t="shared" si="0"/>
        <v>626</v>
      </c>
      <c r="AR46" s="15">
        <f>AQ46*Pot_UP_Gold!E45</f>
        <v>1565</v>
      </c>
      <c r="AS46" s="16">
        <f>AR46+Pot_UP_Gold!K46</f>
        <v>2110</v>
      </c>
      <c r="AT46" s="16">
        <f>AR46+Pot_UP_Gold!K46+AS45</f>
        <v>4210</v>
      </c>
      <c r="AU46" s="16">
        <f t="shared" si="1"/>
        <v>842</v>
      </c>
      <c r="AW46" s="246">
        <f t="shared" si="3"/>
        <v>2105</v>
      </c>
    </row>
    <row r="47" spans="1:49" x14ac:dyDescent="0.25">
      <c r="A47" s="8" t="s">
        <v>46</v>
      </c>
      <c r="B47" s="48" t="s">
        <v>1118</v>
      </c>
      <c r="Q47" t="s">
        <v>985</v>
      </c>
      <c r="R47">
        <v>9</v>
      </c>
      <c r="S47" t="s">
        <v>984</v>
      </c>
      <c r="T47">
        <v>7</v>
      </c>
      <c r="U47" s="233" t="s">
        <v>987</v>
      </c>
      <c r="V47" s="233">
        <v>4</v>
      </c>
      <c r="W47" t="s">
        <v>990</v>
      </c>
      <c r="X47">
        <v>3</v>
      </c>
      <c r="AC47">
        <f t="shared" si="4"/>
        <v>626</v>
      </c>
      <c r="AQ47" s="15">
        <f t="shared" si="0"/>
        <v>626</v>
      </c>
      <c r="AR47" s="15">
        <f>AQ47*Pot_UP_Gold!E46</f>
        <v>1565</v>
      </c>
      <c r="AS47" s="16">
        <f>AR47+Pot_UP_Gold!K47</f>
        <v>2120</v>
      </c>
      <c r="AT47" s="16">
        <f>AR47+Pot_UP_Gold!K47+AS46</f>
        <v>4230</v>
      </c>
      <c r="AU47" s="16">
        <f t="shared" si="1"/>
        <v>846</v>
      </c>
      <c r="AW47" s="246">
        <f t="shared" si="3"/>
        <v>2115</v>
      </c>
    </row>
    <row r="48" spans="1:49" x14ac:dyDescent="0.25">
      <c r="A48" s="8" t="s">
        <v>47</v>
      </c>
      <c r="B48" s="48" t="s">
        <v>1118</v>
      </c>
      <c r="Q48" t="s">
        <v>985</v>
      </c>
      <c r="R48">
        <v>9</v>
      </c>
      <c r="S48" t="s">
        <v>984</v>
      </c>
      <c r="T48">
        <v>7</v>
      </c>
      <c r="U48" s="233" t="s">
        <v>987</v>
      </c>
      <c r="V48" s="233">
        <v>4</v>
      </c>
      <c r="W48" t="s">
        <v>990</v>
      </c>
      <c r="X48">
        <v>3</v>
      </c>
      <c r="AC48">
        <f t="shared" si="4"/>
        <v>626</v>
      </c>
      <c r="AQ48" s="15">
        <f t="shared" si="0"/>
        <v>626</v>
      </c>
      <c r="AR48" s="15">
        <f>AQ48*Pot_UP_Gold!E47</f>
        <v>1565</v>
      </c>
      <c r="AS48" s="16">
        <f>AR48+Pot_UP_Gold!K48</f>
        <v>2130</v>
      </c>
      <c r="AT48" s="16">
        <f>AR48+Pot_UP_Gold!K48+AS47</f>
        <v>4250</v>
      </c>
      <c r="AU48" s="16">
        <f t="shared" si="1"/>
        <v>850</v>
      </c>
      <c r="AW48" s="246">
        <f t="shared" si="3"/>
        <v>2125</v>
      </c>
    </row>
    <row r="49" spans="1:53" x14ac:dyDescent="0.25">
      <c r="A49" s="5" t="s">
        <v>48</v>
      </c>
      <c r="B49" s="48" t="s">
        <v>1118</v>
      </c>
      <c r="Q49" s="11" t="s">
        <v>985</v>
      </c>
      <c r="R49" s="11">
        <v>11</v>
      </c>
      <c r="S49" s="11" t="s">
        <v>984</v>
      </c>
      <c r="T49" s="11">
        <v>9</v>
      </c>
      <c r="U49" s="11" t="s">
        <v>987</v>
      </c>
      <c r="V49" s="11">
        <v>7</v>
      </c>
      <c r="W49" s="11" t="s">
        <v>990</v>
      </c>
      <c r="X49" s="11">
        <v>5</v>
      </c>
      <c r="Y49" s="11" t="s">
        <v>993</v>
      </c>
      <c r="Z49" s="11">
        <v>0</v>
      </c>
      <c r="AC49">
        <f t="shared" si="4"/>
        <v>958</v>
      </c>
      <c r="AQ49" s="15">
        <f t="shared" si="0"/>
        <v>626</v>
      </c>
      <c r="AR49" s="15">
        <f>AQ49*Pot_UP_Gold!E48</f>
        <v>1565</v>
      </c>
      <c r="AS49" s="16">
        <f>AR49+Pot_UP_Gold!K49</f>
        <v>2140</v>
      </c>
      <c r="AT49" s="16">
        <f>AR49+Pot_UP_Gold!K49+AS48</f>
        <v>4270</v>
      </c>
      <c r="AU49" s="16">
        <f t="shared" si="1"/>
        <v>854</v>
      </c>
      <c r="AW49" s="246">
        <f t="shared" si="3"/>
        <v>2135</v>
      </c>
    </row>
    <row r="50" spans="1:53" x14ac:dyDescent="0.25">
      <c r="A50" s="5" t="s">
        <v>49</v>
      </c>
      <c r="B50" s="48" t="s">
        <v>1118</v>
      </c>
      <c r="Q50" s="11" t="s">
        <v>985</v>
      </c>
      <c r="R50" s="11">
        <v>11</v>
      </c>
      <c r="S50" s="11" t="s">
        <v>984</v>
      </c>
      <c r="T50" s="11">
        <v>9</v>
      </c>
      <c r="U50" s="11" t="s">
        <v>987</v>
      </c>
      <c r="V50" s="11">
        <v>7</v>
      </c>
      <c r="W50" s="11" t="s">
        <v>990</v>
      </c>
      <c r="X50" s="11">
        <v>5</v>
      </c>
      <c r="Y50" s="11" t="s">
        <v>993</v>
      </c>
      <c r="Z50" s="11">
        <v>0</v>
      </c>
      <c r="AC50">
        <f t="shared" si="4"/>
        <v>958</v>
      </c>
      <c r="AQ50" s="15">
        <f t="shared" si="0"/>
        <v>958</v>
      </c>
      <c r="AR50" s="15">
        <f>AQ50*Pot_UP_Gold!E49</f>
        <v>2395</v>
      </c>
      <c r="AS50" s="16">
        <f>AR50+Pot_UP_Gold!K50</f>
        <v>3020</v>
      </c>
      <c r="AT50" s="16">
        <f>AR50+Pot_UP_Gold!K50+AS49</f>
        <v>5160</v>
      </c>
      <c r="AU50" s="16">
        <f t="shared" si="1"/>
        <v>1032</v>
      </c>
      <c r="AW50" s="246">
        <f t="shared" si="3"/>
        <v>2580</v>
      </c>
    </row>
    <row r="51" spans="1:53" x14ac:dyDescent="0.25">
      <c r="A51" s="6" t="s">
        <v>50</v>
      </c>
      <c r="B51" s="48" t="s">
        <v>1118</v>
      </c>
      <c r="Q51" s="11" t="s">
        <v>985</v>
      </c>
      <c r="R51" s="11">
        <v>11</v>
      </c>
      <c r="S51" s="11" t="s">
        <v>984</v>
      </c>
      <c r="T51" s="11">
        <v>9</v>
      </c>
      <c r="U51" s="11" t="s">
        <v>987</v>
      </c>
      <c r="V51" s="11">
        <v>7</v>
      </c>
      <c r="W51" s="11" t="s">
        <v>990</v>
      </c>
      <c r="X51" s="11">
        <v>5</v>
      </c>
      <c r="Y51" s="11" t="s">
        <v>993</v>
      </c>
      <c r="Z51" s="11">
        <v>0</v>
      </c>
      <c r="AC51">
        <f t="shared" si="4"/>
        <v>958</v>
      </c>
      <c r="AQ51" s="15">
        <f t="shared" si="0"/>
        <v>958</v>
      </c>
      <c r="AR51" s="15">
        <f>AQ51*Pot_UP_Gold!E50</f>
        <v>2737.1428571428573</v>
      </c>
      <c r="AS51" s="16">
        <f>AR51+Pot_UP_Gold!K51</f>
        <v>3480</v>
      </c>
      <c r="AT51" s="16">
        <f>AR51+Pot_UP_Gold!K51+AS50</f>
        <v>6500</v>
      </c>
      <c r="AU51" s="16">
        <f t="shared" si="1"/>
        <v>1300</v>
      </c>
      <c r="AW51" s="246">
        <f t="shared" si="3"/>
        <v>3250</v>
      </c>
    </row>
    <row r="52" spans="1:53" x14ac:dyDescent="0.25">
      <c r="A52" s="6" t="s">
        <v>51</v>
      </c>
      <c r="B52" s="48" t="s">
        <v>1118</v>
      </c>
      <c r="Q52" s="11" t="s">
        <v>985</v>
      </c>
      <c r="R52" s="11">
        <v>11</v>
      </c>
      <c r="S52" s="11" t="s">
        <v>984</v>
      </c>
      <c r="T52" s="11">
        <v>9</v>
      </c>
      <c r="U52" s="11" t="s">
        <v>987</v>
      </c>
      <c r="V52" s="11">
        <v>7</v>
      </c>
      <c r="W52" s="11" t="s">
        <v>990</v>
      </c>
      <c r="X52" s="11">
        <v>5</v>
      </c>
      <c r="Y52" s="11" t="s">
        <v>993</v>
      </c>
      <c r="Z52" s="11">
        <v>0</v>
      </c>
      <c r="AC52">
        <f t="shared" si="4"/>
        <v>958</v>
      </c>
      <c r="AQ52" s="15">
        <f t="shared" si="0"/>
        <v>958</v>
      </c>
      <c r="AR52" s="15">
        <f>AQ52*Pot_UP_Gold!E51</f>
        <v>2737.1428571428573</v>
      </c>
      <c r="AS52" s="16">
        <f>AR52+Pot_UP_Gold!K52</f>
        <v>3508.5714285714289</v>
      </c>
      <c r="AT52" s="16">
        <f>AR52+Pot_UP_Gold!K52+AS51</f>
        <v>6988.5714285714294</v>
      </c>
      <c r="AU52" s="16">
        <f t="shared" si="1"/>
        <v>1397.714285714286</v>
      </c>
      <c r="AW52" s="246">
        <f t="shared" si="3"/>
        <v>3495</v>
      </c>
    </row>
    <row r="53" spans="1:53" x14ac:dyDescent="0.25">
      <c r="A53" s="6" t="s">
        <v>52</v>
      </c>
      <c r="B53" s="48" t="s">
        <v>1118</v>
      </c>
      <c r="Q53" s="11" t="s">
        <v>985</v>
      </c>
      <c r="R53" s="11">
        <v>11</v>
      </c>
      <c r="S53" s="11" t="s">
        <v>984</v>
      </c>
      <c r="T53" s="11">
        <v>9</v>
      </c>
      <c r="U53" s="11" t="s">
        <v>987</v>
      </c>
      <c r="V53" s="11">
        <v>7</v>
      </c>
      <c r="W53" s="11" t="s">
        <v>990</v>
      </c>
      <c r="X53" s="11">
        <v>5</v>
      </c>
      <c r="Y53" s="11" t="s">
        <v>993</v>
      </c>
      <c r="Z53" s="11">
        <v>0</v>
      </c>
      <c r="AC53">
        <f t="shared" si="4"/>
        <v>958</v>
      </c>
      <c r="AQ53" s="15">
        <f t="shared" si="0"/>
        <v>958</v>
      </c>
      <c r="AR53" s="15">
        <f>AQ53*Pot_UP_Gold!E52</f>
        <v>2737.1428571428573</v>
      </c>
      <c r="AS53" s="16">
        <f>AR53+Pot_UP_Gold!K53</f>
        <v>3537.1428571428573</v>
      </c>
      <c r="AT53" s="16">
        <f>AR53+Pot_UP_Gold!K53+AS52</f>
        <v>7045.7142857142862</v>
      </c>
      <c r="AU53" s="16">
        <f t="shared" si="1"/>
        <v>1409.1428571428573</v>
      </c>
      <c r="AW53" s="246">
        <f t="shared" si="3"/>
        <v>3523</v>
      </c>
    </row>
    <row r="54" spans="1:53" x14ac:dyDescent="0.25">
      <c r="A54" s="6" t="s">
        <v>53</v>
      </c>
      <c r="B54" s="48" t="s">
        <v>1118</v>
      </c>
      <c r="Q54" s="11" t="s">
        <v>985</v>
      </c>
      <c r="R54" s="11">
        <v>11</v>
      </c>
      <c r="S54" s="11" t="s">
        <v>984</v>
      </c>
      <c r="T54" s="11">
        <v>9</v>
      </c>
      <c r="U54" s="11" t="s">
        <v>987</v>
      </c>
      <c r="V54" s="11">
        <v>7</v>
      </c>
      <c r="W54" s="11" t="s">
        <v>990</v>
      </c>
      <c r="X54" s="11">
        <v>5</v>
      </c>
      <c r="Y54" s="11" t="s">
        <v>993</v>
      </c>
      <c r="Z54" s="11">
        <v>0</v>
      </c>
      <c r="AC54">
        <f t="shared" si="4"/>
        <v>958</v>
      </c>
      <c r="AQ54" s="15">
        <f t="shared" si="0"/>
        <v>958</v>
      </c>
      <c r="AR54" s="15">
        <f>AQ54*Pot_UP_Gold!E53</f>
        <v>2737.1428571428573</v>
      </c>
      <c r="AS54" s="16">
        <f>AR54+Pot_UP_Gold!K54</f>
        <v>3565.7142857142862</v>
      </c>
      <c r="AT54" s="16">
        <f>AR54+Pot_UP_Gold!K54+AS53</f>
        <v>7102.8571428571431</v>
      </c>
      <c r="AU54" s="16">
        <f t="shared" si="1"/>
        <v>1420.5714285714287</v>
      </c>
      <c r="AW54" s="246">
        <f t="shared" si="3"/>
        <v>3552</v>
      </c>
    </row>
    <row r="55" spans="1:53" x14ac:dyDescent="0.25">
      <c r="A55" s="7" t="s">
        <v>54</v>
      </c>
      <c r="B55" s="48" t="s">
        <v>1119</v>
      </c>
      <c r="S55" t="s">
        <v>984</v>
      </c>
      <c r="T55">
        <v>21</v>
      </c>
      <c r="U55" t="s">
        <v>987</v>
      </c>
      <c r="V55">
        <v>15</v>
      </c>
      <c r="W55" t="s">
        <v>990</v>
      </c>
      <c r="X55">
        <v>9</v>
      </c>
      <c r="Y55" t="s">
        <v>993</v>
      </c>
      <c r="Z55">
        <v>7</v>
      </c>
      <c r="AA55" t="s">
        <v>989</v>
      </c>
      <c r="AB55">
        <v>5</v>
      </c>
      <c r="AC55">
        <f t="shared" si="4"/>
        <v>3609</v>
      </c>
      <c r="AD55" t="s">
        <v>1112</v>
      </c>
      <c r="AE55">
        <v>20</v>
      </c>
      <c r="AL55">
        <f>AE55*$AE$1+AG55*$AG$1+AI55*$AI$1+AK55*$AK$1</f>
        <v>200</v>
      </c>
      <c r="AQ55" s="15">
        <f t="shared" si="0"/>
        <v>958</v>
      </c>
      <c r="AR55" s="15">
        <f>AQ55*Pot_UP_Gold!E54</f>
        <v>2737.1428571428573</v>
      </c>
      <c r="AS55" s="16">
        <f>AR55+Pot_UP_Gold!K55</f>
        <v>3594.2857142857147</v>
      </c>
      <c r="AT55" s="16">
        <f>AR55+Pot_UP_Gold!K55+AS54</f>
        <v>7160.0000000000009</v>
      </c>
      <c r="AU55" s="16">
        <f t="shared" si="1"/>
        <v>1432.0000000000002</v>
      </c>
      <c r="AW55" s="246">
        <f t="shared" si="3"/>
        <v>3580</v>
      </c>
      <c r="AZ55" s="550"/>
      <c r="BA55" s="256"/>
    </row>
    <row r="56" spans="1:53" x14ac:dyDescent="0.25">
      <c r="A56" s="7" t="s">
        <v>55</v>
      </c>
      <c r="B56" s="48" t="s">
        <v>1119</v>
      </c>
      <c r="S56" t="s">
        <v>984</v>
      </c>
      <c r="T56">
        <v>21</v>
      </c>
      <c r="U56" t="s">
        <v>987</v>
      </c>
      <c r="V56">
        <v>15</v>
      </c>
      <c r="W56" t="s">
        <v>990</v>
      </c>
      <c r="X56">
        <v>9</v>
      </c>
      <c r="Y56" t="s">
        <v>993</v>
      </c>
      <c r="Z56">
        <v>7</v>
      </c>
      <c r="AA56" t="s">
        <v>989</v>
      </c>
      <c r="AB56">
        <v>5</v>
      </c>
      <c r="AC56">
        <f t="shared" si="4"/>
        <v>3609</v>
      </c>
      <c r="AF56" t="s">
        <v>1113</v>
      </c>
      <c r="AG56">
        <v>10</v>
      </c>
      <c r="AL56">
        <f t="shared" ref="AL56:AL72" si="5">AE56*$AE$1+AG56*$AG$1+AI56*$AI$1+AK56*$AK$1</f>
        <v>200</v>
      </c>
      <c r="AQ56" s="15">
        <f t="shared" si="0"/>
        <v>3809</v>
      </c>
      <c r="AR56" s="15">
        <f>AQ56*Pot_UP_Gold!E55</f>
        <v>10882.857142857143</v>
      </c>
      <c r="AS56" s="16">
        <f>AR56+Pot_UP_Gold!K56</f>
        <v>12025.714285714286</v>
      </c>
      <c r="AT56" s="16">
        <f>AR56+Pot_UP_Gold!K56+AS55</f>
        <v>15620</v>
      </c>
      <c r="AU56" s="16">
        <f t="shared" si="1"/>
        <v>3124</v>
      </c>
      <c r="AW56" s="246">
        <f t="shared" si="3"/>
        <v>7810</v>
      </c>
    </row>
    <row r="57" spans="1:53" x14ac:dyDescent="0.25">
      <c r="A57" s="7" t="s">
        <v>56</v>
      </c>
      <c r="B57" s="48" t="s">
        <v>1119</v>
      </c>
      <c r="S57" t="s">
        <v>984</v>
      </c>
      <c r="T57">
        <v>21</v>
      </c>
      <c r="U57" t="s">
        <v>987</v>
      </c>
      <c r="V57">
        <v>15</v>
      </c>
      <c r="W57" t="s">
        <v>990</v>
      </c>
      <c r="X57">
        <v>9</v>
      </c>
      <c r="Y57" t="s">
        <v>993</v>
      </c>
      <c r="Z57">
        <v>7</v>
      </c>
      <c r="AA57" t="s">
        <v>989</v>
      </c>
      <c r="AB57">
        <v>5</v>
      </c>
      <c r="AC57">
        <f t="shared" si="4"/>
        <v>3609</v>
      </c>
      <c r="AH57" t="s">
        <v>1107</v>
      </c>
      <c r="AI57">
        <v>7</v>
      </c>
      <c r="AL57">
        <f t="shared" si="5"/>
        <v>210</v>
      </c>
      <c r="AQ57" s="15">
        <f t="shared" si="0"/>
        <v>3809</v>
      </c>
      <c r="AR57" s="15">
        <f>AQ57*Pot_UP_Gold!E56</f>
        <v>12696.666666666668</v>
      </c>
      <c r="AS57" s="16">
        <f>AR57+Pot_UP_Gold!K57</f>
        <v>14163.333333333334</v>
      </c>
      <c r="AT57" s="16">
        <f>AR57+Pot_UP_Gold!K57+AS56</f>
        <v>26189.047619047618</v>
      </c>
      <c r="AU57" s="16">
        <f t="shared" si="1"/>
        <v>5237.8095238095239</v>
      </c>
      <c r="AW57" s="246">
        <f t="shared" si="3"/>
        <v>13095</v>
      </c>
    </row>
    <row r="58" spans="1:53" x14ac:dyDescent="0.25">
      <c r="A58" s="7" t="s">
        <v>57</v>
      </c>
      <c r="B58" s="48" t="s">
        <v>1119</v>
      </c>
      <c r="S58" t="s">
        <v>984</v>
      </c>
      <c r="T58">
        <v>21</v>
      </c>
      <c r="U58" t="s">
        <v>987</v>
      </c>
      <c r="V58">
        <v>15</v>
      </c>
      <c r="W58" t="s">
        <v>990</v>
      </c>
      <c r="X58">
        <v>9</v>
      </c>
      <c r="Y58" t="s">
        <v>993</v>
      </c>
      <c r="Z58">
        <v>7</v>
      </c>
      <c r="AA58" t="s">
        <v>989</v>
      </c>
      <c r="AB58">
        <v>5</v>
      </c>
      <c r="AC58">
        <f t="shared" si="4"/>
        <v>3609</v>
      </c>
      <c r="AD58" t="s">
        <v>1112</v>
      </c>
      <c r="AE58">
        <v>20</v>
      </c>
      <c r="AL58">
        <f t="shared" si="5"/>
        <v>200</v>
      </c>
      <c r="AQ58" s="15">
        <f t="shared" si="0"/>
        <v>3819</v>
      </c>
      <c r="AR58" s="15">
        <f>AQ58*Pot_UP_Gold!E57</f>
        <v>12730</v>
      </c>
      <c r="AS58" s="16">
        <f>AR58+Pot_UP_Gold!K58</f>
        <v>14330</v>
      </c>
      <c r="AT58" s="16">
        <f>AR58+Pot_UP_Gold!K58+AS57</f>
        <v>28493.333333333336</v>
      </c>
      <c r="AU58" s="16">
        <f t="shared" si="1"/>
        <v>5698.6666666666679</v>
      </c>
      <c r="AW58" s="246">
        <f t="shared" si="3"/>
        <v>14247</v>
      </c>
    </row>
    <row r="59" spans="1:53" x14ac:dyDescent="0.25">
      <c r="A59" s="7" t="s">
        <v>58</v>
      </c>
      <c r="B59" s="48" t="s">
        <v>1119</v>
      </c>
      <c r="S59" t="s">
        <v>984</v>
      </c>
      <c r="T59">
        <v>21</v>
      </c>
      <c r="U59" t="s">
        <v>987</v>
      </c>
      <c r="V59">
        <v>15</v>
      </c>
      <c r="W59" t="s">
        <v>990</v>
      </c>
      <c r="X59">
        <v>9</v>
      </c>
      <c r="Y59" t="s">
        <v>993</v>
      </c>
      <c r="Z59">
        <v>7</v>
      </c>
      <c r="AA59" t="s">
        <v>989</v>
      </c>
      <c r="AB59">
        <v>5</v>
      </c>
      <c r="AC59">
        <f t="shared" si="4"/>
        <v>3609</v>
      </c>
      <c r="AF59" t="s">
        <v>1113</v>
      </c>
      <c r="AG59">
        <v>10</v>
      </c>
      <c r="AL59">
        <f t="shared" si="5"/>
        <v>200</v>
      </c>
      <c r="AQ59" s="15">
        <f t="shared" si="0"/>
        <v>3809</v>
      </c>
      <c r="AR59" s="15">
        <f>AQ59*Pot_UP_Gold!E58</f>
        <v>12696.666666666668</v>
      </c>
      <c r="AS59" s="16">
        <f>AR59+Pot_UP_Gold!K59</f>
        <v>14430.000000000002</v>
      </c>
      <c r="AT59" s="16">
        <f>AR59+Pot_UP_Gold!K59+AS58</f>
        <v>28760</v>
      </c>
      <c r="AU59" s="16">
        <f t="shared" si="1"/>
        <v>5752</v>
      </c>
      <c r="AW59" s="246">
        <f t="shared" si="3"/>
        <v>14380</v>
      </c>
    </row>
    <row r="60" spans="1:53" x14ac:dyDescent="0.25">
      <c r="A60" s="7" t="s">
        <v>59</v>
      </c>
      <c r="B60" s="48" t="s">
        <v>1119</v>
      </c>
      <c r="S60" t="s">
        <v>984</v>
      </c>
      <c r="T60">
        <v>21</v>
      </c>
      <c r="U60" t="s">
        <v>987</v>
      </c>
      <c r="V60">
        <v>15</v>
      </c>
      <c r="W60" t="s">
        <v>990</v>
      </c>
      <c r="X60">
        <v>9</v>
      </c>
      <c r="Y60" t="s">
        <v>993</v>
      </c>
      <c r="Z60">
        <v>7</v>
      </c>
      <c r="AA60" t="s">
        <v>989</v>
      </c>
      <c r="AB60">
        <v>5</v>
      </c>
      <c r="AC60">
        <f t="shared" si="4"/>
        <v>3609</v>
      </c>
      <c r="AH60" t="s">
        <v>1107</v>
      </c>
      <c r="AI60">
        <v>7</v>
      </c>
      <c r="AL60">
        <f t="shared" si="5"/>
        <v>210</v>
      </c>
      <c r="AQ60" s="15">
        <f t="shared" si="0"/>
        <v>3809</v>
      </c>
      <c r="AR60" s="15">
        <f>AQ60*Pot_UP_Gold!E59</f>
        <v>12696.666666666668</v>
      </c>
      <c r="AS60" s="16">
        <f>AR60+Pot_UP_Gold!K60</f>
        <v>14563.333333333334</v>
      </c>
      <c r="AT60" s="16">
        <f>AR60+Pot_UP_Gold!K60+AS59</f>
        <v>28993.333333333336</v>
      </c>
      <c r="AU60" s="16">
        <f t="shared" si="1"/>
        <v>5798.6666666666679</v>
      </c>
      <c r="AW60" s="246">
        <f t="shared" si="3"/>
        <v>14497</v>
      </c>
    </row>
    <row r="61" spans="1:53" x14ac:dyDescent="0.25">
      <c r="A61" s="9" t="s">
        <v>60</v>
      </c>
      <c r="B61" s="48" t="s">
        <v>1119</v>
      </c>
      <c r="W61" t="s">
        <v>990</v>
      </c>
      <c r="X61">
        <v>17</v>
      </c>
      <c r="Y61" t="s">
        <v>993</v>
      </c>
      <c r="Z61">
        <v>15</v>
      </c>
      <c r="AA61" t="s">
        <v>989</v>
      </c>
      <c r="AB61">
        <v>7</v>
      </c>
      <c r="AC61">
        <f t="shared" si="4"/>
        <v>4186</v>
      </c>
      <c r="AF61" t="s">
        <v>1113</v>
      </c>
      <c r="AG61">
        <v>20</v>
      </c>
      <c r="AL61">
        <f t="shared" si="5"/>
        <v>400</v>
      </c>
      <c r="AM61" t="s">
        <v>1104</v>
      </c>
      <c r="AN61">
        <v>7</v>
      </c>
      <c r="AO61" t="s">
        <v>1105</v>
      </c>
      <c r="AP61">
        <v>7</v>
      </c>
      <c r="AQ61" s="15">
        <f t="shared" si="0"/>
        <v>3819</v>
      </c>
      <c r="AR61" s="15">
        <f>AQ61*Pot_UP_Gold!E60</f>
        <v>12730</v>
      </c>
      <c r="AS61" s="16">
        <f>AR61+Pot_UP_Gold!K61</f>
        <v>14730</v>
      </c>
      <c r="AT61" s="16">
        <f>AR61+Pot_UP_Gold!K61+AS60</f>
        <v>29293.333333333336</v>
      </c>
      <c r="AU61" s="16">
        <f t="shared" si="1"/>
        <v>5858.6666666666679</v>
      </c>
      <c r="AW61" s="246">
        <f t="shared" si="3"/>
        <v>14647</v>
      </c>
    </row>
    <row r="62" spans="1:53" x14ac:dyDescent="0.25">
      <c r="A62" s="9" t="s">
        <v>61</v>
      </c>
      <c r="B62" s="48" t="s">
        <v>1119</v>
      </c>
      <c r="W62" t="s">
        <v>990</v>
      </c>
      <c r="X62">
        <v>17</v>
      </c>
      <c r="Y62" t="s">
        <v>993</v>
      </c>
      <c r="Z62">
        <v>15</v>
      </c>
      <c r="AA62" t="s">
        <v>989</v>
      </c>
      <c r="AB62">
        <v>7</v>
      </c>
      <c r="AC62">
        <f t="shared" si="4"/>
        <v>4186</v>
      </c>
      <c r="AH62" t="s">
        <v>1107</v>
      </c>
      <c r="AI62">
        <v>14</v>
      </c>
      <c r="AL62">
        <f t="shared" si="5"/>
        <v>420</v>
      </c>
      <c r="AM62" t="s">
        <v>1104</v>
      </c>
      <c r="AN62">
        <v>7</v>
      </c>
      <c r="AO62" t="s">
        <v>1105</v>
      </c>
      <c r="AP62">
        <v>7</v>
      </c>
      <c r="AQ62" s="15">
        <f t="shared" si="0"/>
        <v>4656</v>
      </c>
      <c r="AR62" s="15">
        <f>AQ62*Pot_UP_Gold!E61</f>
        <v>15520</v>
      </c>
      <c r="AS62" s="16">
        <f>AR62+Pot_UP_Gold!K62</f>
        <v>18186.666666666668</v>
      </c>
      <c r="AT62" s="16">
        <f>AR62+Pot_UP_Gold!K62+AS61</f>
        <v>32916.666666666672</v>
      </c>
      <c r="AU62" s="16">
        <f t="shared" si="1"/>
        <v>6583.3333333333348</v>
      </c>
      <c r="AW62" s="246">
        <f t="shared" si="3"/>
        <v>16459</v>
      </c>
    </row>
    <row r="63" spans="1:53" x14ac:dyDescent="0.25">
      <c r="A63" s="9" t="s">
        <v>62</v>
      </c>
      <c r="B63" s="48" t="s">
        <v>1119</v>
      </c>
      <c r="W63" t="s">
        <v>990</v>
      </c>
      <c r="X63">
        <v>17</v>
      </c>
      <c r="Y63" t="s">
        <v>993</v>
      </c>
      <c r="Z63">
        <v>15</v>
      </c>
      <c r="AA63" t="s">
        <v>989</v>
      </c>
      <c r="AB63">
        <v>7</v>
      </c>
      <c r="AC63">
        <f t="shared" si="4"/>
        <v>4186</v>
      </c>
      <c r="AJ63" t="s">
        <v>1106</v>
      </c>
      <c r="AK63">
        <v>11</v>
      </c>
      <c r="AL63">
        <f t="shared" si="5"/>
        <v>440</v>
      </c>
      <c r="AM63" t="s">
        <v>1104</v>
      </c>
      <c r="AN63">
        <v>7</v>
      </c>
      <c r="AO63" t="s">
        <v>1105</v>
      </c>
      <c r="AP63">
        <v>7</v>
      </c>
      <c r="AQ63" s="15">
        <f t="shared" si="0"/>
        <v>4676</v>
      </c>
      <c r="AR63" s="15">
        <f>AQ63*Pot_UP_Gold!E62</f>
        <v>18704</v>
      </c>
      <c r="AS63" s="16">
        <f>AR63+Pot_UP_Gold!K63</f>
        <v>22064</v>
      </c>
      <c r="AT63" s="16">
        <f>AR63+Pot_UP_Gold!K63+AS62</f>
        <v>40250.666666666672</v>
      </c>
      <c r="AU63" s="16">
        <f t="shared" si="1"/>
        <v>8050.133333333335</v>
      </c>
      <c r="AW63" s="246">
        <f t="shared" si="3"/>
        <v>20126</v>
      </c>
    </row>
    <row r="64" spans="1:53" x14ac:dyDescent="0.25">
      <c r="A64" s="9" t="s">
        <v>63</v>
      </c>
      <c r="B64" s="48" t="s">
        <v>1119</v>
      </c>
      <c r="W64" t="s">
        <v>990</v>
      </c>
      <c r="X64">
        <v>17</v>
      </c>
      <c r="Y64" t="s">
        <v>993</v>
      </c>
      <c r="Z64">
        <v>15</v>
      </c>
      <c r="AA64" t="s">
        <v>989</v>
      </c>
      <c r="AB64">
        <v>7</v>
      </c>
      <c r="AC64">
        <f t="shared" si="4"/>
        <v>4186</v>
      </c>
      <c r="AH64" t="s">
        <v>1107</v>
      </c>
      <c r="AI64">
        <v>15</v>
      </c>
      <c r="AL64">
        <f t="shared" si="5"/>
        <v>450</v>
      </c>
      <c r="AM64" t="s">
        <v>1104</v>
      </c>
      <c r="AN64">
        <v>7</v>
      </c>
      <c r="AO64" t="s">
        <v>1105</v>
      </c>
      <c r="AP64">
        <v>7</v>
      </c>
      <c r="AQ64" s="15">
        <f t="shared" si="0"/>
        <v>4696</v>
      </c>
      <c r="AR64" s="15">
        <f>AQ64*Pot_UP_Gold!E63</f>
        <v>23480</v>
      </c>
      <c r="AS64" s="16">
        <f>AR64+Pot_UP_Gold!K64</f>
        <v>27880</v>
      </c>
      <c r="AT64" s="16">
        <f>AR64+Pot_UP_Gold!K64+AS63</f>
        <v>49944</v>
      </c>
      <c r="AU64" s="16">
        <f t="shared" si="1"/>
        <v>9988.8000000000011</v>
      </c>
      <c r="AW64" s="246">
        <f t="shared" si="3"/>
        <v>24972</v>
      </c>
    </row>
    <row r="65" spans="1:49" x14ac:dyDescent="0.25">
      <c r="A65" s="9" t="s">
        <v>64</v>
      </c>
      <c r="B65" s="48" t="s">
        <v>1119</v>
      </c>
      <c r="W65" t="s">
        <v>990</v>
      </c>
      <c r="X65">
        <v>17</v>
      </c>
      <c r="Y65" t="s">
        <v>993</v>
      </c>
      <c r="Z65">
        <v>15</v>
      </c>
      <c r="AA65" t="s">
        <v>989</v>
      </c>
      <c r="AB65">
        <v>7</v>
      </c>
      <c r="AC65">
        <f t="shared" si="4"/>
        <v>4186</v>
      </c>
      <c r="AJ65" t="s">
        <v>1106</v>
      </c>
      <c r="AK65">
        <v>12</v>
      </c>
      <c r="AL65">
        <f t="shared" si="5"/>
        <v>480</v>
      </c>
      <c r="AM65" t="s">
        <v>1104</v>
      </c>
      <c r="AN65">
        <v>7</v>
      </c>
      <c r="AO65" t="s">
        <v>1105</v>
      </c>
      <c r="AP65">
        <v>7</v>
      </c>
      <c r="AQ65" s="15">
        <f t="shared" si="0"/>
        <v>4706</v>
      </c>
      <c r="AR65" s="15">
        <f>AQ65*Pot_UP_Gold!E64</f>
        <v>31373.333333333336</v>
      </c>
      <c r="AS65" s="16">
        <f>AR65+Pot_UP_Gold!K65</f>
        <v>37506.666666666672</v>
      </c>
      <c r="AT65" s="16">
        <f>AR65+Pot_UP_Gold!K65+AS64</f>
        <v>65386.666666666672</v>
      </c>
      <c r="AU65" s="16">
        <f t="shared" si="1"/>
        <v>13077.333333333336</v>
      </c>
      <c r="AW65" s="246">
        <f t="shared" si="3"/>
        <v>32694</v>
      </c>
    </row>
    <row r="66" spans="1:49" x14ac:dyDescent="0.25">
      <c r="A66" s="9" t="s">
        <v>65</v>
      </c>
      <c r="B66" s="48" t="s">
        <v>1119</v>
      </c>
      <c r="W66" t="s">
        <v>990</v>
      </c>
      <c r="X66">
        <v>17</v>
      </c>
      <c r="Y66" t="s">
        <v>993</v>
      </c>
      <c r="Z66">
        <v>15</v>
      </c>
      <c r="AA66" t="s">
        <v>989</v>
      </c>
      <c r="AB66">
        <v>7</v>
      </c>
      <c r="AC66">
        <f t="shared" si="4"/>
        <v>4186</v>
      </c>
      <c r="AJ66" t="s">
        <v>1106</v>
      </c>
      <c r="AK66">
        <v>13</v>
      </c>
      <c r="AL66">
        <f t="shared" si="5"/>
        <v>520</v>
      </c>
      <c r="AM66" t="s">
        <v>1104</v>
      </c>
      <c r="AN66">
        <v>7</v>
      </c>
      <c r="AO66" t="s">
        <v>1105</v>
      </c>
      <c r="AP66">
        <v>7</v>
      </c>
      <c r="AQ66" s="15">
        <f t="shared" si="0"/>
        <v>4736</v>
      </c>
      <c r="AR66" s="15">
        <f>AQ66*Pot_UP_Gold!E65</f>
        <v>47360</v>
      </c>
      <c r="AS66" s="16">
        <f>AR66+Pot_UP_Gold!K66</f>
        <v>56960</v>
      </c>
      <c r="AT66" s="16">
        <f>AR66+Pot_UP_Gold!K66+AS65</f>
        <v>94466.666666666672</v>
      </c>
      <c r="AU66" s="16">
        <f t="shared" si="1"/>
        <v>18893.333333333336</v>
      </c>
      <c r="AW66" s="246">
        <f t="shared" si="3"/>
        <v>47234</v>
      </c>
    </row>
    <row r="67" spans="1:49" x14ac:dyDescent="0.25">
      <c r="A67" s="7" t="s">
        <v>66</v>
      </c>
      <c r="B67" s="48" t="s">
        <v>1119</v>
      </c>
      <c r="Y67" t="s">
        <v>993</v>
      </c>
      <c r="Z67">
        <v>16</v>
      </c>
      <c r="AA67" t="s">
        <v>989</v>
      </c>
      <c r="AB67">
        <v>9</v>
      </c>
      <c r="AC67">
        <f t="shared" si="4"/>
        <v>3775</v>
      </c>
      <c r="AD67" t="s">
        <v>1112</v>
      </c>
      <c r="AE67">
        <v>18</v>
      </c>
      <c r="AJ67" t="s">
        <v>1106</v>
      </c>
      <c r="AK67">
        <v>23</v>
      </c>
      <c r="AL67">
        <f>AE67*$AE$1+AG67*$AG$1+AI67*$AI$1+AK67*$AK$1</f>
        <v>1100</v>
      </c>
      <c r="AM67" t="s">
        <v>1104</v>
      </c>
      <c r="AN67">
        <v>9</v>
      </c>
      <c r="AO67" t="s">
        <v>1105</v>
      </c>
      <c r="AP67">
        <v>9</v>
      </c>
      <c r="AQ67" s="15">
        <f t="shared" si="0"/>
        <v>4776</v>
      </c>
      <c r="AR67" s="15">
        <f>AQ67*Pot_UP_Gold!E66</f>
        <v>47760</v>
      </c>
      <c r="AS67" s="16">
        <f>AR67+Pot_UP_Gold!K67</f>
        <v>57760</v>
      </c>
      <c r="AT67" s="16">
        <f>AR67+Pot_UP_Gold!K67+AS66</f>
        <v>114720</v>
      </c>
      <c r="AU67" s="16">
        <f t="shared" si="1"/>
        <v>22944</v>
      </c>
      <c r="AW67" s="246">
        <f t="shared" si="3"/>
        <v>57360</v>
      </c>
    </row>
    <row r="68" spans="1:49" x14ac:dyDescent="0.25">
      <c r="A68" s="7" t="s">
        <v>67</v>
      </c>
      <c r="B68" s="48" t="s">
        <v>1119</v>
      </c>
      <c r="Y68" t="s">
        <v>993</v>
      </c>
      <c r="Z68">
        <v>16</v>
      </c>
      <c r="AA68" t="s">
        <v>989</v>
      </c>
      <c r="AB68">
        <v>9</v>
      </c>
      <c r="AC68">
        <f t="shared" si="4"/>
        <v>3775</v>
      </c>
      <c r="AF68" t="s">
        <v>1113</v>
      </c>
      <c r="AG68">
        <v>9</v>
      </c>
      <c r="AJ68" t="s">
        <v>1106</v>
      </c>
      <c r="AK68">
        <v>23</v>
      </c>
      <c r="AL68">
        <f t="shared" si="5"/>
        <v>1100</v>
      </c>
      <c r="AM68" t="s">
        <v>1104</v>
      </c>
      <c r="AN68">
        <v>9</v>
      </c>
      <c r="AO68" t="s">
        <v>1105</v>
      </c>
      <c r="AP68">
        <v>9</v>
      </c>
      <c r="AQ68" s="15">
        <f>D67*$D$1+F67*$F$1+H67*$H$1+J67*$J$1+L67*$L$1+N67*$N$1+P67*$P$1+R67*$R$1+T67*$T$1+V67*$V$1+X67*$X$1+Z67*$Z$1+AB67*$AB$1+AE67*$AE$1+AG67*$AG$1+AI67*$AI$1+AK67*$AK$1+AN67*$AN$1+AP67*$AP$1</f>
        <v>4965</v>
      </c>
      <c r="AR68" s="15">
        <f>AQ68*Pot_UP_Gold!E67</f>
        <v>49650</v>
      </c>
      <c r="AS68" s="16">
        <f>AR68+Pot_UP_Gold!K68</f>
        <v>69650</v>
      </c>
      <c r="AT68" s="16">
        <f>AR68+Pot_UP_Gold!K68+AS67</f>
        <v>127410</v>
      </c>
      <c r="AU68" s="16">
        <f>$AV$1*AT68</f>
        <v>25482</v>
      </c>
      <c r="AW68" s="246">
        <f t="shared" si="3"/>
        <v>63705</v>
      </c>
    </row>
    <row r="69" spans="1:49" x14ac:dyDescent="0.25">
      <c r="A69" s="7" t="s">
        <v>68</v>
      </c>
      <c r="B69" s="48" t="s">
        <v>1119</v>
      </c>
      <c r="Y69" t="s">
        <v>993</v>
      </c>
      <c r="Z69">
        <v>16</v>
      </c>
      <c r="AA69" t="s">
        <v>989</v>
      </c>
      <c r="AB69">
        <v>9</v>
      </c>
      <c r="AC69">
        <f t="shared" si="4"/>
        <v>3775</v>
      </c>
      <c r="AH69" t="s">
        <v>1107</v>
      </c>
      <c r="AI69">
        <v>17</v>
      </c>
      <c r="AJ69" t="s">
        <v>1106</v>
      </c>
      <c r="AK69">
        <v>15</v>
      </c>
      <c r="AL69">
        <f t="shared" si="5"/>
        <v>1110</v>
      </c>
      <c r="AM69" t="s">
        <v>1104</v>
      </c>
      <c r="AN69">
        <v>9</v>
      </c>
      <c r="AO69" t="s">
        <v>1105</v>
      </c>
      <c r="AP69">
        <v>9</v>
      </c>
      <c r="AQ69" s="15">
        <f>D68*$D$1+F68*$F$1+H68*$H$1+J68*$J$1+L68*$L$1+N68*$N$1+P68*$P$1+R68*$R$1+T68*$T$1+V68*$V$1+X68*$X$1+Z68*$Z$1+AB68*$AB$1+AE68*$AE$1+AG68*$AG$1+AI68*$AI$1+AK68*$AK$1+AN68*$AN$1+AP68*$AP$1</f>
        <v>4965</v>
      </c>
      <c r="AR69" s="15">
        <f>AQ69*Pot_UP_Gold!E68</f>
        <v>49650</v>
      </c>
      <c r="AS69" s="16">
        <f>AR69+Pot_UP_Gold!K69</f>
        <v>70650</v>
      </c>
      <c r="AT69" s="16">
        <f>AR69+Pot_UP_Gold!K69+AS68</f>
        <v>140300</v>
      </c>
      <c r="AU69" s="16">
        <f>$AV$1*AT69</f>
        <v>28060</v>
      </c>
      <c r="AW69" s="246">
        <f t="shared" si="3"/>
        <v>70150</v>
      </c>
    </row>
    <row r="70" spans="1:49" x14ac:dyDescent="0.25">
      <c r="A70" s="7" t="s">
        <v>69</v>
      </c>
      <c r="B70" s="48" t="s">
        <v>1119</v>
      </c>
      <c r="Y70" t="s">
        <v>993</v>
      </c>
      <c r="Z70">
        <v>16</v>
      </c>
      <c r="AA70" t="s">
        <v>989</v>
      </c>
      <c r="AB70">
        <v>9</v>
      </c>
      <c r="AC70">
        <f t="shared" si="4"/>
        <v>3775</v>
      </c>
      <c r="AH70" t="s">
        <v>1107</v>
      </c>
      <c r="AI70">
        <v>17</v>
      </c>
      <c r="AJ70" t="s">
        <v>1106</v>
      </c>
      <c r="AK70">
        <v>15</v>
      </c>
      <c r="AL70">
        <f t="shared" si="5"/>
        <v>1110</v>
      </c>
      <c r="AM70" t="s">
        <v>1104</v>
      </c>
      <c r="AN70">
        <v>9</v>
      </c>
      <c r="AO70" t="s">
        <v>1105</v>
      </c>
      <c r="AP70">
        <v>9</v>
      </c>
      <c r="AQ70" s="15">
        <f>D69*$D$1+F69*$F$1+H69*$H$1+J69*$J$1+L69*$L$1+N69*$N$1+P69*$P$1+R69*$R$1+T69*$T$1+V69*$V$1+X69*$X$1+Z69*$Z$1+AB69*$AB$1+AE69*$AE$1+AG69*$AG$1+AI69*$AI$1+AK69*$AK$1+AN69*$AN$1+AP69*$AP$1</f>
        <v>4975</v>
      </c>
      <c r="AR70" s="15">
        <f>AQ70*Pot_UP_Gold!E69</f>
        <v>49750</v>
      </c>
      <c r="AS70" s="16">
        <f>AR70+Pot_UP_Gold!K70</f>
        <v>71750</v>
      </c>
      <c r="AT70" s="16">
        <f>AR70+Pot_UP_Gold!K70+AS69</f>
        <v>142400</v>
      </c>
      <c r="AU70" s="16">
        <f>$AV$1*AT70</f>
        <v>28480</v>
      </c>
      <c r="AW70" s="246">
        <f t="shared" si="3"/>
        <v>71200</v>
      </c>
    </row>
    <row r="71" spans="1:49" x14ac:dyDescent="0.25">
      <c r="A71" s="7" t="s">
        <v>70</v>
      </c>
      <c r="B71" s="48" t="s">
        <v>1119</v>
      </c>
      <c r="Y71" t="s">
        <v>993</v>
      </c>
      <c r="Z71">
        <v>16</v>
      </c>
      <c r="AA71" t="s">
        <v>989</v>
      </c>
      <c r="AB71">
        <v>9</v>
      </c>
      <c r="AC71">
        <f t="shared" si="4"/>
        <v>3775</v>
      </c>
      <c r="AH71" t="s">
        <v>1107</v>
      </c>
      <c r="AI71">
        <v>17</v>
      </c>
      <c r="AJ71" t="s">
        <v>1106</v>
      </c>
      <c r="AK71">
        <v>15</v>
      </c>
      <c r="AL71">
        <f>AE71*$AE$1+AG71*$AG$1+AI71*$AI$1+AK71*$AK$1</f>
        <v>1110</v>
      </c>
      <c r="AM71" t="s">
        <v>1104</v>
      </c>
      <c r="AN71">
        <v>9</v>
      </c>
      <c r="AO71" t="s">
        <v>1105</v>
      </c>
      <c r="AP71">
        <v>9</v>
      </c>
      <c r="AQ71" s="15">
        <f>D70*$D$1+F70*$F$1+H70*$H$1+J70*$J$1+L70*$L$1+N70*$N$1+P70*$P$1+R70*$R$1+T70*$T$1+V70*$V$1+X70*$X$1+Z70*$Z$1+AB70*$AB$1+AE70*$AE$1+AG70*$AG$1+AI70*$AI$1+AK70*$AK$1+AN70*$AN$1+AP70*$AP$1</f>
        <v>4975</v>
      </c>
      <c r="AR71" s="15">
        <f>AQ71*Pot_UP_Gold!E70</f>
        <v>49750</v>
      </c>
      <c r="AS71" s="16">
        <f>AR71+Pot_UP_Gold!K71</f>
        <v>72750</v>
      </c>
      <c r="AT71" s="16">
        <f>AR71+Pot_UP_Gold!K71+AS70</f>
        <v>144500</v>
      </c>
      <c r="AU71" s="16">
        <f>$AV$1*AT71</f>
        <v>28900</v>
      </c>
      <c r="AW71" s="246">
        <f t="shared" si="3"/>
        <v>72250</v>
      </c>
    </row>
    <row r="72" spans="1:49" x14ac:dyDescent="0.25">
      <c r="A72" s="7" t="s">
        <v>71</v>
      </c>
      <c r="B72" s="48" t="s">
        <v>1119</v>
      </c>
      <c r="AC72">
        <f t="shared" si="4"/>
        <v>0</v>
      </c>
      <c r="AL72">
        <f t="shared" si="5"/>
        <v>0</v>
      </c>
      <c r="AQ72" s="15">
        <f>D71*$D$1+F71*$F$1+H71*$H$1+J71*$J$1+L71*$L$1+N71*$N$1+P71*$P$1+R71*$R$1+T71*$T$1+V71*$V$1+X71*$X$1+Z71*$Z$1+AB71*$AB$1+AE71*$AE$1+AG71*$AG$1+AI71*$AI$1+AK71*$AK$1+AN71*$AN$1+AP71*$AP$1</f>
        <v>4975</v>
      </c>
      <c r="AR72" s="15">
        <f>AQ72*Pot_UP_Gold!E71</f>
        <v>49750</v>
      </c>
      <c r="AS72" s="16">
        <f>AR72+Pot_UP_Gold!K72</f>
        <v>73750</v>
      </c>
      <c r="AT72" s="16">
        <f>AR72+Pot_UP_Gold!K72+AS71</f>
        <v>146500</v>
      </c>
      <c r="AU72" s="16">
        <f>$AV$1*AT72</f>
        <v>29300</v>
      </c>
      <c r="AW72" s="246">
        <f t="shared" si="3"/>
        <v>73250</v>
      </c>
    </row>
    <row r="73" spans="1:49" x14ac:dyDescent="0.25">
      <c r="A73" s="10" t="s">
        <v>72</v>
      </c>
      <c r="B73" s="48" t="s">
        <v>1120</v>
      </c>
      <c r="U73" t="s">
        <v>1111</v>
      </c>
      <c r="V73">
        <v>35</v>
      </c>
      <c r="W73" t="s">
        <v>1110</v>
      </c>
      <c r="X73">
        <v>25</v>
      </c>
      <c r="Y73" t="s">
        <v>1109</v>
      </c>
      <c r="Z73">
        <v>17</v>
      </c>
      <c r="AA73" t="s">
        <v>1108</v>
      </c>
      <c r="AB73">
        <v>15</v>
      </c>
      <c r="AD73" t="s">
        <v>1112</v>
      </c>
      <c r="AE73">
        <v>30</v>
      </c>
      <c r="AF73" t="s">
        <v>1113</v>
      </c>
      <c r="AG73">
        <v>25</v>
      </c>
      <c r="AH73" t="s">
        <v>1114</v>
      </c>
      <c r="AI73">
        <v>21</v>
      </c>
      <c r="AJ73" t="s">
        <v>1115</v>
      </c>
      <c r="AK73">
        <v>17</v>
      </c>
      <c r="AQ73" s="15">
        <f>D73*$D$1+F73*$F$1+H73*$H$1+J73*$J$1+L73*$L$1+N73*$N$1+P73*$P$1+R73*$R$1+T73*$T$1+V73*$V$1+X73*$X$1+Z73*$Z$1+AB73*$AB$1+AE73*$AE$1+AG73*$AG$1+AI73*$AI$1+AK73*$AK$1+AN73*$AN$1+AP73*$AP$1</f>
        <v>10980</v>
      </c>
      <c r="AR73" s="15">
        <f>AQ73*Pot_UP_Gold!E73</f>
        <v>109800</v>
      </c>
      <c r="AS73" s="16">
        <f>AR73+Pot_UP_Gold!K73</f>
        <v>109800</v>
      </c>
      <c r="AT73" s="16">
        <f>AR73+Pot_UP_Gold!K73+AS72</f>
        <v>183550</v>
      </c>
      <c r="AU73" s="16">
        <f t="shared" ref="AU73:AU84" si="6">$AV$1*AS73</f>
        <v>21960</v>
      </c>
      <c r="AW73" s="246">
        <f t="shared" ref="AW73:AW136" si="7">ROUNDUP(AT73/2,0)</f>
        <v>91775</v>
      </c>
    </row>
    <row r="74" spans="1:49" x14ac:dyDescent="0.25">
      <c r="A74" s="10" t="s">
        <v>73</v>
      </c>
      <c r="B74" s="48" t="s">
        <v>1120</v>
      </c>
      <c r="U74" t="s">
        <v>1111</v>
      </c>
      <c r="V74">
        <v>35</v>
      </c>
      <c r="W74" t="s">
        <v>1110</v>
      </c>
      <c r="X74">
        <v>25</v>
      </c>
      <c r="Y74" t="s">
        <v>1109</v>
      </c>
      <c r="Z74">
        <v>17</v>
      </c>
      <c r="AA74" t="s">
        <v>1108</v>
      </c>
      <c r="AB74">
        <v>15</v>
      </c>
      <c r="AD74" t="s">
        <v>1112</v>
      </c>
      <c r="AE74">
        <v>30</v>
      </c>
      <c r="AF74" t="s">
        <v>1113</v>
      </c>
      <c r="AG74">
        <v>25</v>
      </c>
      <c r="AH74" t="s">
        <v>1114</v>
      </c>
      <c r="AI74">
        <v>21</v>
      </c>
      <c r="AJ74" t="s">
        <v>1115</v>
      </c>
      <c r="AK74">
        <v>17</v>
      </c>
      <c r="AQ74" s="15">
        <f t="shared" ref="AQ74:AQ84" si="8">D74*$D$1+F74*$F$1+H74*$H$1+J74*$J$1+L74*$L$1+N74*$N$1+P74*$P$1+R74*$R$1+T74*$T$1+V74*$V$1+X74*$X$1+Z74*$Z$1+AB74*$AB$1+AE74*$AE$1+AG74*$AG$1+AI74*$AI$1+AK74*$AK$1+AN74*$AN$1+AP74*$AP$1</f>
        <v>10980</v>
      </c>
      <c r="AR74" s="15">
        <f>AQ74*Pot_UP_Gold!E74</f>
        <v>109800</v>
      </c>
      <c r="AS74" s="16">
        <f>AR74+Pot_UP_Gold!K74</f>
        <v>109800</v>
      </c>
      <c r="AT74" s="16">
        <f>AR74+Pot_UP_Gold!K74+AS73</f>
        <v>219600</v>
      </c>
      <c r="AU74" s="16">
        <f t="shared" si="6"/>
        <v>21960</v>
      </c>
      <c r="AW74" s="246">
        <f t="shared" si="7"/>
        <v>109800</v>
      </c>
    </row>
    <row r="75" spans="1:49" x14ac:dyDescent="0.25">
      <c r="A75" s="10" t="s">
        <v>74</v>
      </c>
      <c r="B75" s="48" t="s">
        <v>1120</v>
      </c>
      <c r="U75" t="s">
        <v>1111</v>
      </c>
      <c r="V75">
        <v>35</v>
      </c>
      <c r="W75" t="s">
        <v>1110</v>
      </c>
      <c r="X75">
        <v>25</v>
      </c>
      <c r="Y75" t="s">
        <v>1109</v>
      </c>
      <c r="Z75">
        <v>17</v>
      </c>
      <c r="AA75" t="s">
        <v>1108</v>
      </c>
      <c r="AB75">
        <v>15</v>
      </c>
      <c r="AD75" t="s">
        <v>1112</v>
      </c>
      <c r="AE75">
        <v>30</v>
      </c>
      <c r="AF75" t="s">
        <v>1113</v>
      </c>
      <c r="AG75">
        <v>25</v>
      </c>
      <c r="AH75" t="s">
        <v>1114</v>
      </c>
      <c r="AI75">
        <v>21</v>
      </c>
      <c r="AJ75" t="s">
        <v>1115</v>
      </c>
      <c r="AK75">
        <v>17</v>
      </c>
      <c r="AQ75" s="15">
        <f t="shared" si="8"/>
        <v>10980</v>
      </c>
      <c r="AR75" s="15">
        <f>AQ75*Pot_UP_Gold!E75</f>
        <v>109800</v>
      </c>
      <c r="AS75" s="16">
        <f>AR75+Pot_UP_Gold!K75</f>
        <v>109800</v>
      </c>
      <c r="AT75" s="16">
        <f>AR75+Pot_UP_Gold!K75+AS74</f>
        <v>219600</v>
      </c>
      <c r="AU75" s="16">
        <f t="shared" si="6"/>
        <v>21960</v>
      </c>
      <c r="AW75" s="246">
        <f t="shared" si="7"/>
        <v>109800</v>
      </c>
    </row>
    <row r="76" spans="1:49" x14ac:dyDescent="0.25">
      <c r="A76" s="10" t="s">
        <v>75</v>
      </c>
      <c r="B76" s="48" t="s">
        <v>1120</v>
      </c>
      <c r="U76" t="s">
        <v>1111</v>
      </c>
      <c r="V76">
        <v>35</v>
      </c>
      <c r="W76" t="s">
        <v>1110</v>
      </c>
      <c r="X76">
        <v>25</v>
      </c>
      <c r="Y76" t="s">
        <v>1109</v>
      </c>
      <c r="Z76">
        <v>17</v>
      </c>
      <c r="AA76" t="s">
        <v>1108</v>
      </c>
      <c r="AB76">
        <v>15</v>
      </c>
      <c r="AD76" t="s">
        <v>1112</v>
      </c>
      <c r="AE76">
        <v>30</v>
      </c>
      <c r="AF76" t="s">
        <v>1113</v>
      </c>
      <c r="AG76">
        <v>25</v>
      </c>
      <c r="AH76" t="s">
        <v>1114</v>
      </c>
      <c r="AI76">
        <v>21</v>
      </c>
      <c r="AJ76" t="s">
        <v>1115</v>
      </c>
      <c r="AK76">
        <v>17</v>
      </c>
      <c r="AQ76" s="15">
        <f t="shared" si="8"/>
        <v>10980</v>
      </c>
      <c r="AR76" s="15">
        <f>AQ76*Pot_UP_Gold!E76</f>
        <v>109800</v>
      </c>
      <c r="AS76" s="16">
        <f>AR76+Pot_UP_Gold!K76</f>
        <v>109800</v>
      </c>
      <c r="AT76" s="16">
        <f>AR76+Pot_UP_Gold!K76+AS75</f>
        <v>219600</v>
      </c>
      <c r="AU76" s="16">
        <f t="shared" si="6"/>
        <v>21960</v>
      </c>
      <c r="AW76" s="246">
        <f t="shared" si="7"/>
        <v>109800</v>
      </c>
    </row>
    <row r="77" spans="1:49" x14ac:dyDescent="0.25">
      <c r="A77" s="10" t="s">
        <v>76</v>
      </c>
      <c r="B77" s="48" t="s">
        <v>1120</v>
      </c>
      <c r="U77" t="s">
        <v>1111</v>
      </c>
      <c r="V77">
        <v>35</v>
      </c>
      <c r="W77" t="s">
        <v>1110</v>
      </c>
      <c r="X77">
        <v>25</v>
      </c>
      <c r="Y77" t="s">
        <v>1109</v>
      </c>
      <c r="Z77">
        <v>17</v>
      </c>
      <c r="AA77" t="s">
        <v>1108</v>
      </c>
      <c r="AB77">
        <v>15</v>
      </c>
      <c r="AD77" t="s">
        <v>1112</v>
      </c>
      <c r="AE77">
        <v>30</v>
      </c>
      <c r="AF77" t="s">
        <v>1113</v>
      </c>
      <c r="AG77">
        <v>25</v>
      </c>
      <c r="AH77" t="s">
        <v>1114</v>
      </c>
      <c r="AI77">
        <v>21</v>
      </c>
      <c r="AJ77" t="s">
        <v>1115</v>
      </c>
      <c r="AK77">
        <v>17</v>
      </c>
      <c r="AQ77" s="15">
        <f t="shared" si="8"/>
        <v>10980</v>
      </c>
      <c r="AR77" s="15">
        <f>AQ77*Pot_UP_Gold!E77</f>
        <v>109800</v>
      </c>
      <c r="AS77" s="16">
        <f>AR77+Pot_UP_Gold!K77</f>
        <v>109800</v>
      </c>
      <c r="AT77" s="16">
        <f>AR77+Pot_UP_Gold!K77+AS76</f>
        <v>219600</v>
      </c>
      <c r="AU77" s="16">
        <f t="shared" si="6"/>
        <v>21960</v>
      </c>
      <c r="AW77" s="246">
        <f t="shared" si="7"/>
        <v>109800</v>
      </c>
    </row>
    <row r="78" spans="1:49" x14ac:dyDescent="0.25">
      <c r="A78" s="10" t="s">
        <v>77</v>
      </c>
      <c r="B78" s="48" t="s">
        <v>1120</v>
      </c>
      <c r="U78" t="s">
        <v>1111</v>
      </c>
      <c r="V78">
        <v>35</v>
      </c>
      <c r="W78" t="s">
        <v>1110</v>
      </c>
      <c r="X78">
        <v>25</v>
      </c>
      <c r="Y78" t="s">
        <v>1109</v>
      </c>
      <c r="Z78">
        <v>17</v>
      </c>
      <c r="AA78" t="s">
        <v>1108</v>
      </c>
      <c r="AB78">
        <v>15</v>
      </c>
      <c r="AD78" t="s">
        <v>1112</v>
      </c>
      <c r="AE78">
        <v>30</v>
      </c>
      <c r="AF78" t="s">
        <v>1113</v>
      </c>
      <c r="AG78">
        <v>25</v>
      </c>
      <c r="AH78" t="s">
        <v>1114</v>
      </c>
      <c r="AI78">
        <v>21</v>
      </c>
      <c r="AJ78" t="s">
        <v>1115</v>
      </c>
      <c r="AK78">
        <v>17</v>
      </c>
      <c r="AQ78" s="15">
        <f t="shared" si="8"/>
        <v>10980</v>
      </c>
      <c r="AR78" s="15">
        <f>AQ78*Pot_UP_Gold!E78</f>
        <v>109800</v>
      </c>
      <c r="AS78" s="16">
        <f>AR78+Pot_UP_Gold!K78</f>
        <v>109800</v>
      </c>
      <c r="AT78" s="16">
        <f>AR78+Pot_UP_Gold!K78+AS77</f>
        <v>219600</v>
      </c>
      <c r="AU78" s="16">
        <f t="shared" si="6"/>
        <v>21960</v>
      </c>
      <c r="AW78" s="246">
        <f t="shared" si="7"/>
        <v>109800</v>
      </c>
    </row>
    <row r="79" spans="1:49" x14ac:dyDescent="0.25">
      <c r="A79" s="10" t="s">
        <v>78</v>
      </c>
      <c r="B79" s="48" t="s">
        <v>1120</v>
      </c>
      <c r="U79" t="s">
        <v>1111</v>
      </c>
      <c r="V79">
        <v>39</v>
      </c>
      <c r="W79" t="s">
        <v>1110</v>
      </c>
      <c r="X79">
        <v>27</v>
      </c>
      <c r="Y79" t="s">
        <v>1109</v>
      </c>
      <c r="Z79">
        <v>19</v>
      </c>
      <c r="AA79" t="s">
        <v>1108</v>
      </c>
      <c r="AB79">
        <v>17</v>
      </c>
      <c r="AD79" t="s">
        <v>1112</v>
      </c>
      <c r="AE79">
        <v>35</v>
      </c>
      <c r="AF79" t="s">
        <v>1113</v>
      </c>
      <c r="AG79">
        <v>30</v>
      </c>
      <c r="AH79" t="s">
        <v>1114</v>
      </c>
      <c r="AI79">
        <v>25</v>
      </c>
      <c r="AJ79" t="s">
        <v>1115</v>
      </c>
      <c r="AK79">
        <v>20</v>
      </c>
      <c r="AQ79" s="15">
        <f t="shared" si="8"/>
        <v>12418</v>
      </c>
      <c r="AR79" s="15">
        <f>AQ79*Pot_UP_Gold!E79</f>
        <v>124180</v>
      </c>
      <c r="AS79" s="16">
        <f>AR79+Pot_UP_Gold!K79</f>
        <v>124180</v>
      </c>
      <c r="AT79" s="16">
        <f>AR79+Pot_UP_Gold!K79+AS78</f>
        <v>233980</v>
      </c>
      <c r="AU79" s="16">
        <f t="shared" si="6"/>
        <v>24836</v>
      </c>
      <c r="AW79" s="246">
        <f t="shared" si="7"/>
        <v>116990</v>
      </c>
    </row>
    <row r="80" spans="1:49" x14ac:dyDescent="0.25">
      <c r="A80" s="10" t="s">
        <v>79</v>
      </c>
      <c r="B80" s="48" t="s">
        <v>1120</v>
      </c>
      <c r="U80" t="s">
        <v>1111</v>
      </c>
      <c r="V80">
        <v>39</v>
      </c>
      <c r="W80" t="s">
        <v>1110</v>
      </c>
      <c r="X80">
        <v>27</v>
      </c>
      <c r="Y80" t="s">
        <v>1109</v>
      </c>
      <c r="Z80">
        <v>19</v>
      </c>
      <c r="AA80" t="s">
        <v>1108</v>
      </c>
      <c r="AB80">
        <v>17</v>
      </c>
      <c r="AD80" t="s">
        <v>1112</v>
      </c>
      <c r="AE80">
        <v>35</v>
      </c>
      <c r="AF80" t="s">
        <v>1113</v>
      </c>
      <c r="AG80">
        <v>30</v>
      </c>
      <c r="AH80" t="s">
        <v>1114</v>
      </c>
      <c r="AI80">
        <v>25</v>
      </c>
      <c r="AJ80" t="s">
        <v>1115</v>
      </c>
      <c r="AK80">
        <v>20</v>
      </c>
      <c r="AQ80" s="15">
        <f t="shared" si="8"/>
        <v>12418</v>
      </c>
      <c r="AR80" s="15">
        <f>AQ80*Pot_UP_Gold!E80</f>
        <v>124180</v>
      </c>
      <c r="AS80" s="16">
        <f>AR80+Pot_UP_Gold!K80</f>
        <v>124180</v>
      </c>
      <c r="AT80" s="16">
        <f>AR80+Pot_UP_Gold!K80+AS79</f>
        <v>248360</v>
      </c>
      <c r="AU80" s="16">
        <f t="shared" si="6"/>
        <v>24836</v>
      </c>
      <c r="AW80" s="246">
        <f t="shared" si="7"/>
        <v>124180</v>
      </c>
    </row>
    <row r="81" spans="1:49" x14ac:dyDescent="0.25">
      <c r="A81" s="10" t="s">
        <v>80</v>
      </c>
      <c r="B81" s="48" t="s">
        <v>1120</v>
      </c>
      <c r="U81" t="s">
        <v>1111</v>
      </c>
      <c r="V81">
        <v>39</v>
      </c>
      <c r="W81" t="s">
        <v>1110</v>
      </c>
      <c r="X81">
        <v>27</v>
      </c>
      <c r="Y81" t="s">
        <v>1109</v>
      </c>
      <c r="Z81">
        <v>19</v>
      </c>
      <c r="AA81" t="s">
        <v>1108</v>
      </c>
      <c r="AB81">
        <v>17</v>
      </c>
      <c r="AD81" t="s">
        <v>1112</v>
      </c>
      <c r="AE81">
        <v>35</v>
      </c>
      <c r="AF81" t="s">
        <v>1113</v>
      </c>
      <c r="AG81">
        <v>30</v>
      </c>
      <c r="AH81" t="s">
        <v>1114</v>
      </c>
      <c r="AI81">
        <v>25</v>
      </c>
      <c r="AJ81" t="s">
        <v>1115</v>
      </c>
      <c r="AK81">
        <v>20</v>
      </c>
      <c r="AQ81" s="15">
        <f t="shared" si="8"/>
        <v>12418</v>
      </c>
      <c r="AR81" s="15">
        <f>AQ81*Pot_UP_Gold!E81</f>
        <v>124180</v>
      </c>
      <c r="AS81" s="16">
        <f>AR81+Pot_UP_Gold!K81</f>
        <v>124180</v>
      </c>
      <c r="AT81" s="16">
        <f>AR81+Pot_UP_Gold!K81+AS80</f>
        <v>248360</v>
      </c>
      <c r="AU81" s="16">
        <f t="shared" si="6"/>
        <v>24836</v>
      </c>
      <c r="AW81" s="246">
        <f t="shared" si="7"/>
        <v>124180</v>
      </c>
    </row>
    <row r="82" spans="1:49" x14ac:dyDescent="0.25">
      <c r="A82" s="10" t="s">
        <v>81</v>
      </c>
      <c r="B82" s="48" t="s">
        <v>1120</v>
      </c>
      <c r="U82" t="s">
        <v>1111</v>
      </c>
      <c r="V82">
        <v>39</v>
      </c>
      <c r="W82" t="s">
        <v>1110</v>
      </c>
      <c r="X82">
        <v>27</v>
      </c>
      <c r="Y82" t="s">
        <v>1109</v>
      </c>
      <c r="Z82">
        <v>19</v>
      </c>
      <c r="AA82" t="s">
        <v>1108</v>
      </c>
      <c r="AB82">
        <v>17</v>
      </c>
      <c r="AD82" t="s">
        <v>1112</v>
      </c>
      <c r="AE82">
        <v>35</v>
      </c>
      <c r="AF82" t="s">
        <v>1113</v>
      </c>
      <c r="AG82">
        <v>30</v>
      </c>
      <c r="AH82" t="s">
        <v>1114</v>
      </c>
      <c r="AI82">
        <v>25</v>
      </c>
      <c r="AJ82" t="s">
        <v>1115</v>
      </c>
      <c r="AK82">
        <v>20</v>
      </c>
      <c r="AQ82" s="15">
        <f t="shared" si="8"/>
        <v>12418</v>
      </c>
      <c r="AR82" s="15">
        <f>AQ82*Pot_UP_Gold!E82</f>
        <v>124180</v>
      </c>
      <c r="AS82" s="16">
        <f>AR82+Pot_UP_Gold!K82</f>
        <v>124180</v>
      </c>
      <c r="AT82" s="16">
        <f>AR82+Pot_UP_Gold!K82+AS81</f>
        <v>248360</v>
      </c>
      <c r="AU82" s="16">
        <f t="shared" si="6"/>
        <v>24836</v>
      </c>
      <c r="AW82" s="246">
        <f t="shared" si="7"/>
        <v>124180</v>
      </c>
    </row>
    <row r="83" spans="1:49" x14ac:dyDescent="0.25">
      <c r="A83" s="10" t="s">
        <v>82</v>
      </c>
      <c r="B83" s="48" t="s">
        <v>1120</v>
      </c>
      <c r="U83" t="s">
        <v>1111</v>
      </c>
      <c r="V83">
        <v>39</v>
      </c>
      <c r="W83" t="s">
        <v>1110</v>
      </c>
      <c r="X83">
        <v>27</v>
      </c>
      <c r="Y83" t="s">
        <v>1109</v>
      </c>
      <c r="Z83">
        <v>19</v>
      </c>
      <c r="AA83" t="s">
        <v>1108</v>
      </c>
      <c r="AB83">
        <v>17</v>
      </c>
      <c r="AD83" t="s">
        <v>1112</v>
      </c>
      <c r="AE83">
        <v>35</v>
      </c>
      <c r="AF83" t="s">
        <v>1113</v>
      </c>
      <c r="AG83">
        <v>30</v>
      </c>
      <c r="AH83" t="s">
        <v>1114</v>
      </c>
      <c r="AI83">
        <v>25</v>
      </c>
      <c r="AJ83" t="s">
        <v>1115</v>
      </c>
      <c r="AK83">
        <v>20</v>
      </c>
      <c r="AQ83" s="15">
        <f t="shared" si="8"/>
        <v>12418</v>
      </c>
      <c r="AR83" s="15">
        <f>AQ83*Pot_UP_Gold!E83</f>
        <v>124180</v>
      </c>
      <c r="AS83" s="16">
        <f>AR83+Pot_UP_Gold!K83</f>
        <v>124180</v>
      </c>
      <c r="AT83" s="16">
        <f>AR83+Pot_UP_Gold!K83+AS82</f>
        <v>248360</v>
      </c>
      <c r="AU83" s="16">
        <f t="shared" si="6"/>
        <v>24836</v>
      </c>
      <c r="AW83" s="246">
        <f t="shared" si="7"/>
        <v>124180</v>
      </c>
    </row>
    <row r="84" spans="1:49" x14ac:dyDescent="0.25">
      <c r="A84" s="10" t="s">
        <v>83</v>
      </c>
      <c r="B84" s="48" t="s">
        <v>1120</v>
      </c>
      <c r="U84" t="s">
        <v>1111</v>
      </c>
      <c r="V84">
        <v>39</v>
      </c>
      <c r="W84" t="s">
        <v>1110</v>
      </c>
      <c r="X84">
        <v>27</v>
      </c>
      <c r="Y84" t="s">
        <v>1109</v>
      </c>
      <c r="Z84">
        <v>19</v>
      </c>
      <c r="AA84" t="s">
        <v>1108</v>
      </c>
      <c r="AB84">
        <v>17</v>
      </c>
      <c r="AD84" t="s">
        <v>1112</v>
      </c>
      <c r="AE84">
        <v>35</v>
      </c>
      <c r="AF84" t="s">
        <v>1113</v>
      </c>
      <c r="AG84">
        <v>30</v>
      </c>
      <c r="AH84" t="s">
        <v>1114</v>
      </c>
      <c r="AI84">
        <v>25</v>
      </c>
      <c r="AJ84" t="s">
        <v>1115</v>
      </c>
      <c r="AK84">
        <v>20</v>
      </c>
      <c r="AQ84" s="15">
        <f t="shared" si="8"/>
        <v>12418</v>
      </c>
      <c r="AR84" s="15">
        <f>AQ84*Pot_UP_Gold!E84</f>
        <v>124180</v>
      </c>
      <c r="AS84" s="16">
        <f>AR84+Pot_UP_Gold!K84</f>
        <v>124180</v>
      </c>
      <c r="AT84" s="16">
        <f>AR84+Pot_UP_Gold!K84+AS83</f>
        <v>248360</v>
      </c>
      <c r="AU84" s="16">
        <f t="shared" si="6"/>
        <v>24836</v>
      </c>
      <c r="AW84" s="246">
        <f t="shared" si="7"/>
        <v>124180</v>
      </c>
    </row>
    <row r="85" spans="1:49" s="137" customFormat="1" x14ac:dyDescent="0.25">
      <c r="A85" s="135"/>
      <c r="B85" s="136"/>
      <c r="D85" s="138">
        <f>SUM(D2:D84)</f>
        <v>75</v>
      </c>
      <c r="F85" s="138">
        <f>SUM(F2:F84)</f>
        <v>75</v>
      </c>
      <c r="H85" s="138">
        <f>SUM(H2:H84)</f>
        <v>43</v>
      </c>
      <c r="J85" s="138">
        <f>SUM(J2:J84)</f>
        <v>30</v>
      </c>
      <c r="L85" s="138">
        <f>SUM(L2:L84)</f>
        <v>18</v>
      </c>
      <c r="N85" s="138">
        <f>SUM(N2:N84)</f>
        <v>42</v>
      </c>
      <c r="P85" s="138">
        <f>SUM(P2:P84)</f>
        <v>45</v>
      </c>
      <c r="R85" s="138">
        <f>SUM(R2:R84)</f>
        <v>177</v>
      </c>
      <c r="T85" s="138">
        <f>SUM(T2:T84)</f>
        <v>312</v>
      </c>
      <c r="V85" s="138">
        <f>SUM(V2:V84)</f>
        <v>630</v>
      </c>
      <c r="X85" s="138">
        <f>SUM(X2:X84)</f>
        <v>516</v>
      </c>
      <c r="Z85" s="138">
        <f>SUM(Z2:Z84)</f>
        <v>428</v>
      </c>
      <c r="AB85" s="138">
        <f>SUM(AB2:AB84)</f>
        <v>309</v>
      </c>
      <c r="AC85" s="138"/>
      <c r="AE85" s="138">
        <f>SUM(AE2:AE84)</f>
        <v>448</v>
      </c>
      <c r="AG85" s="138">
        <f>SUM(AG2:AG84)</f>
        <v>379</v>
      </c>
      <c r="AI85" s="138">
        <f>SUM(AI2:AI84)</f>
        <v>370</v>
      </c>
      <c r="AK85" s="138">
        <f>SUM(AK2:AK84)</f>
        <v>349</v>
      </c>
      <c r="AL85" s="138"/>
      <c r="AN85" s="138">
        <f>SUM(AN2:AN84)</f>
        <v>87</v>
      </c>
      <c r="AP85" s="138">
        <f>SUM(AP2:AP84)</f>
        <v>87</v>
      </c>
      <c r="AQ85" s="140"/>
      <c r="AR85" s="15"/>
      <c r="AS85" s="16"/>
      <c r="AT85" s="16"/>
      <c r="AU85" s="16"/>
      <c r="AW85" s="246">
        <f t="shared" si="7"/>
        <v>0</v>
      </c>
    </row>
    <row r="86" spans="1:49" x14ac:dyDescent="0.25">
      <c r="A86" s="125" t="s">
        <v>1031</v>
      </c>
      <c r="B86" s="48" t="s">
        <v>1120</v>
      </c>
      <c r="AS86" s="16"/>
      <c r="AT86" s="16"/>
      <c r="AU86" s="16"/>
      <c r="AW86" s="246">
        <f t="shared" si="7"/>
        <v>0</v>
      </c>
    </row>
    <row r="87" spans="1:49" x14ac:dyDescent="0.25">
      <c r="A87" s="125" t="s">
        <v>1032</v>
      </c>
      <c r="B87" s="48" t="s">
        <v>1120</v>
      </c>
      <c r="AS87" s="16"/>
      <c r="AT87" s="16"/>
      <c r="AU87" s="16"/>
      <c r="AW87" s="246">
        <f t="shared" si="7"/>
        <v>0</v>
      </c>
    </row>
    <row r="88" spans="1:49" x14ac:dyDescent="0.25">
      <c r="A88" s="125" t="s">
        <v>1033</v>
      </c>
      <c r="B88" s="48" t="s">
        <v>1120</v>
      </c>
      <c r="AS88" s="16"/>
      <c r="AT88" s="16"/>
      <c r="AU88" s="16"/>
      <c r="AW88" s="246">
        <f t="shared" si="7"/>
        <v>0</v>
      </c>
    </row>
    <row r="89" spans="1:49" x14ac:dyDescent="0.25">
      <c r="A89" s="125" t="s">
        <v>1034</v>
      </c>
      <c r="B89" s="48" t="s">
        <v>1120</v>
      </c>
      <c r="AS89" s="16"/>
      <c r="AT89" s="16"/>
      <c r="AU89" s="16"/>
      <c r="AW89" s="246">
        <f t="shared" si="7"/>
        <v>0</v>
      </c>
    </row>
    <row r="90" spans="1:49" x14ac:dyDescent="0.25">
      <c r="A90" s="125" t="s">
        <v>1035</v>
      </c>
      <c r="B90" s="48" t="s">
        <v>1120</v>
      </c>
      <c r="AS90" s="16"/>
      <c r="AT90" s="16"/>
      <c r="AU90" s="16"/>
      <c r="AW90" s="246">
        <f t="shared" si="7"/>
        <v>0</v>
      </c>
    </row>
    <row r="91" spans="1:49" x14ac:dyDescent="0.25">
      <c r="A91" s="125" t="s">
        <v>1036</v>
      </c>
      <c r="B91" s="48" t="s">
        <v>1120</v>
      </c>
      <c r="AS91" s="16"/>
      <c r="AT91" s="16"/>
      <c r="AU91" s="16"/>
      <c r="AW91" s="246">
        <f t="shared" si="7"/>
        <v>0</v>
      </c>
    </row>
    <row r="92" spans="1:49" x14ac:dyDescent="0.25">
      <c r="A92" s="125" t="s">
        <v>1037</v>
      </c>
      <c r="B92" s="48" t="s">
        <v>1120</v>
      </c>
      <c r="AS92" s="16"/>
      <c r="AT92" s="16"/>
      <c r="AU92" s="16"/>
      <c r="AW92" s="246">
        <f t="shared" si="7"/>
        <v>0</v>
      </c>
    </row>
    <row r="93" spans="1:49" x14ac:dyDescent="0.25">
      <c r="A93" s="125" t="s">
        <v>1038</v>
      </c>
      <c r="B93" s="48" t="s">
        <v>1120</v>
      </c>
      <c r="AS93" s="16"/>
      <c r="AT93" s="16"/>
      <c r="AU93" s="16"/>
      <c r="AW93" s="246">
        <f t="shared" si="7"/>
        <v>0</v>
      </c>
    </row>
    <row r="94" spans="1:49" x14ac:dyDescent="0.25">
      <c r="A94" s="125" t="s">
        <v>1039</v>
      </c>
      <c r="B94" s="48" t="s">
        <v>1120</v>
      </c>
      <c r="AS94" s="16"/>
      <c r="AT94" s="16"/>
      <c r="AU94" s="16"/>
      <c r="AW94" s="246">
        <f t="shared" si="7"/>
        <v>0</v>
      </c>
    </row>
    <row r="95" spans="1:49" x14ac:dyDescent="0.25">
      <c r="A95" s="125" t="s">
        <v>1040</v>
      </c>
      <c r="B95" s="48" t="s">
        <v>1120</v>
      </c>
      <c r="AS95" s="16"/>
      <c r="AT95" s="16"/>
      <c r="AU95" s="16"/>
      <c r="AW95" s="246">
        <f t="shared" si="7"/>
        <v>0</v>
      </c>
    </row>
    <row r="96" spans="1:49" x14ac:dyDescent="0.25">
      <c r="A96" s="125" t="s">
        <v>1041</v>
      </c>
      <c r="B96" s="48" t="s">
        <v>1120</v>
      </c>
      <c r="AS96" s="16"/>
      <c r="AT96" s="16"/>
      <c r="AU96" s="16"/>
      <c r="AW96" s="246">
        <f t="shared" si="7"/>
        <v>0</v>
      </c>
    </row>
    <row r="97" spans="1:49" x14ac:dyDescent="0.25">
      <c r="A97" s="125" t="s">
        <v>1042</v>
      </c>
      <c r="B97" s="48" t="s">
        <v>1120</v>
      </c>
      <c r="AS97" s="16"/>
      <c r="AT97" s="16"/>
      <c r="AU97" s="16"/>
      <c r="AW97" s="246">
        <f t="shared" si="7"/>
        <v>0</v>
      </c>
    </row>
    <row r="98" spans="1:49" x14ac:dyDescent="0.25">
      <c r="A98" s="126" t="s">
        <v>1043</v>
      </c>
      <c r="B98" s="131" t="s">
        <v>1119</v>
      </c>
      <c r="AS98" s="16"/>
      <c r="AT98" s="16"/>
      <c r="AU98" s="16"/>
      <c r="AW98" s="246">
        <f t="shared" si="7"/>
        <v>0</v>
      </c>
    </row>
    <row r="99" spans="1:49" x14ac:dyDescent="0.25">
      <c r="A99" s="126" t="s">
        <v>1044</v>
      </c>
      <c r="B99" s="131" t="s">
        <v>1119</v>
      </c>
      <c r="AS99" s="16"/>
      <c r="AT99" s="16"/>
      <c r="AU99" s="16"/>
      <c r="AW99" s="246">
        <f t="shared" si="7"/>
        <v>0</v>
      </c>
    </row>
    <row r="100" spans="1:49" x14ac:dyDescent="0.25">
      <c r="A100" s="126" t="s">
        <v>1045</v>
      </c>
      <c r="B100" s="131" t="s">
        <v>1119</v>
      </c>
      <c r="AS100" s="16"/>
      <c r="AT100" s="16"/>
      <c r="AU100" s="16"/>
      <c r="AW100" s="246">
        <f t="shared" si="7"/>
        <v>0</v>
      </c>
    </row>
    <row r="101" spans="1:49" x14ac:dyDescent="0.25">
      <c r="A101" s="126" t="s">
        <v>1046</v>
      </c>
      <c r="B101" s="131" t="s">
        <v>1119</v>
      </c>
      <c r="AS101" s="16"/>
      <c r="AT101" s="16"/>
      <c r="AU101" s="16"/>
      <c r="AW101" s="246">
        <f t="shared" si="7"/>
        <v>0</v>
      </c>
    </row>
    <row r="102" spans="1:49" x14ac:dyDescent="0.25">
      <c r="A102" s="126" t="s">
        <v>1047</v>
      </c>
      <c r="B102" s="131" t="s">
        <v>1119</v>
      </c>
      <c r="AS102" s="16"/>
      <c r="AT102" s="16"/>
      <c r="AU102" s="16"/>
      <c r="AW102" s="246">
        <f t="shared" si="7"/>
        <v>0</v>
      </c>
    </row>
    <row r="103" spans="1:49" x14ac:dyDescent="0.25">
      <c r="A103" s="126" t="s">
        <v>1048</v>
      </c>
      <c r="B103" s="131" t="s">
        <v>1119</v>
      </c>
      <c r="AS103" s="16"/>
      <c r="AT103" s="16"/>
      <c r="AU103" s="16"/>
      <c r="AW103" s="246">
        <f t="shared" si="7"/>
        <v>0</v>
      </c>
    </row>
    <row r="104" spans="1:49" x14ac:dyDescent="0.25">
      <c r="A104" s="126" t="s">
        <v>1049</v>
      </c>
      <c r="B104" s="131" t="s">
        <v>1119</v>
      </c>
      <c r="AS104" s="16"/>
      <c r="AT104" s="16"/>
      <c r="AU104" s="16"/>
      <c r="AW104" s="246">
        <f t="shared" si="7"/>
        <v>0</v>
      </c>
    </row>
    <row r="105" spans="1:49" x14ac:dyDescent="0.25">
      <c r="A105" s="126" t="s">
        <v>1050</v>
      </c>
      <c r="B105" s="131" t="s">
        <v>1119</v>
      </c>
      <c r="AS105" s="16"/>
      <c r="AT105" s="16"/>
      <c r="AU105" s="16"/>
      <c r="AW105" s="246">
        <f t="shared" si="7"/>
        <v>0</v>
      </c>
    </row>
    <row r="106" spans="1:49" x14ac:dyDescent="0.25">
      <c r="A106" s="126" t="s">
        <v>1051</v>
      </c>
      <c r="B106" s="131" t="s">
        <v>1119</v>
      </c>
      <c r="AS106" s="16"/>
      <c r="AT106" s="16"/>
      <c r="AU106" s="16"/>
      <c r="AW106" s="246">
        <f t="shared" si="7"/>
        <v>0</v>
      </c>
    </row>
    <row r="107" spans="1:49" x14ac:dyDescent="0.25">
      <c r="A107" s="126" t="s">
        <v>1052</v>
      </c>
      <c r="B107" s="131" t="s">
        <v>1119</v>
      </c>
      <c r="AS107" s="16"/>
      <c r="AT107" s="16"/>
      <c r="AU107" s="16"/>
      <c r="AW107" s="246">
        <f t="shared" si="7"/>
        <v>0</v>
      </c>
    </row>
    <row r="108" spans="1:49" x14ac:dyDescent="0.25">
      <c r="A108" s="126" t="s">
        <v>1053</v>
      </c>
      <c r="B108" s="131" t="s">
        <v>1119</v>
      </c>
      <c r="AS108" s="16"/>
      <c r="AT108" s="16"/>
      <c r="AU108" s="16"/>
      <c r="AW108" s="246">
        <f t="shared" si="7"/>
        <v>0</v>
      </c>
    </row>
    <row r="109" spans="1:49" x14ac:dyDescent="0.25">
      <c r="A109" s="126" t="s">
        <v>1054</v>
      </c>
      <c r="B109" s="131" t="s">
        <v>1119</v>
      </c>
      <c r="AS109" s="16"/>
      <c r="AT109" s="16"/>
      <c r="AU109" s="16"/>
      <c r="AW109" s="246">
        <f t="shared" si="7"/>
        <v>0</v>
      </c>
    </row>
    <row r="110" spans="1:49" x14ac:dyDescent="0.25">
      <c r="A110" s="126" t="s">
        <v>1055</v>
      </c>
      <c r="B110" s="131" t="s">
        <v>1119</v>
      </c>
      <c r="AS110" s="16"/>
      <c r="AT110" s="16"/>
      <c r="AU110" s="16"/>
      <c r="AW110" s="246">
        <f t="shared" si="7"/>
        <v>0</v>
      </c>
    </row>
    <row r="111" spans="1:49" x14ac:dyDescent="0.25">
      <c r="A111" s="126" t="s">
        <v>1056</v>
      </c>
      <c r="B111" s="131" t="s">
        <v>1119</v>
      </c>
      <c r="AS111" s="16"/>
      <c r="AT111" s="16"/>
      <c r="AU111" s="16"/>
      <c r="AW111" s="246">
        <f t="shared" si="7"/>
        <v>0</v>
      </c>
    </row>
    <row r="112" spans="1:49" x14ac:dyDescent="0.25">
      <c r="A112" s="126" t="s">
        <v>1057</v>
      </c>
      <c r="B112" s="131" t="s">
        <v>1119</v>
      </c>
      <c r="AS112" s="16"/>
      <c r="AT112" s="16"/>
      <c r="AU112" s="16"/>
      <c r="AW112" s="246">
        <f t="shared" si="7"/>
        <v>0</v>
      </c>
    </row>
    <row r="113" spans="1:49" x14ac:dyDescent="0.25">
      <c r="A113" s="126" t="s">
        <v>1058</v>
      </c>
      <c r="B113" s="131" t="s">
        <v>1119</v>
      </c>
      <c r="AS113" s="16"/>
      <c r="AT113" s="16"/>
      <c r="AU113" s="16"/>
      <c r="AW113" s="246">
        <f t="shared" si="7"/>
        <v>0</v>
      </c>
    </row>
    <row r="114" spans="1:49" x14ac:dyDescent="0.25">
      <c r="A114" s="126" t="s">
        <v>1059</v>
      </c>
      <c r="B114" s="131" t="s">
        <v>1119</v>
      </c>
      <c r="AS114" s="16"/>
      <c r="AT114" s="16"/>
      <c r="AU114" s="16"/>
      <c r="AW114" s="246">
        <f t="shared" si="7"/>
        <v>0</v>
      </c>
    </row>
    <row r="115" spans="1:49" x14ac:dyDescent="0.25">
      <c r="A115" s="126" t="s">
        <v>1060</v>
      </c>
      <c r="B115" s="131" t="s">
        <v>1119</v>
      </c>
      <c r="AS115" s="16"/>
      <c r="AT115" s="16"/>
      <c r="AU115" s="16"/>
      <c r="AW115" s="246">
        <f t="shared" si="7"/>
        <v>0</v>
      </c>
    </row>
    <row r="116" spans="1:49" x14ac:dyDescent="0.25">
      <c r="A116" s="127" t="s">
        <v>1061</v>
      </c>
      <c r="B116" s="131" t="s">
        <v>1119</v>
      </c>
      <c r="AS116" s="16"/>
      <c r="AT116" s="16"/>
      <c r="AU116" s="16"/>
      <c r="AW116" s="246">
        <f t="shared" si="7"/>
        <v>0</v>
      </c>
    </row>
    <row r="117" spans="1:49" x14ac:dyDescent="0.25">
      <c r="A117" s="127" t="s">
        <v>1062</v>
      </c>
      <c r="B117" s="131" t="s">
        <v>1119</v>
      </c>
      <c r="AS117" s="16"/>
      <c r="AT117" s="16"/>
      <c r="AU117" s="16"/>
      <c r="AW117" s="246">
        <f t="shared" si="7"/>
        <v>0</v>
      </c>
    </row>
    <row r="118" spans="1:49" x14ac:dyDescent="0.25">
      <c r="A118" s="127" t="s">
        <v>1063</v>
      </c>
      <c r="B118" s="131" t="s">
        <v>1119</v>
      </c>
      <c r="AS118" s="16"/>
      <c r="AT118" s="16"/>
      <c r="AU118" s="16"/>
      <c r="AW118" s="246">
        <f t="shared" si="7"/>
        <v>0</v>
      </c>
    </row>
    <row r="119" spans="1:49" x14ac:dyDescent="0.25">
      <c r="A119" s="127" t="s">
        <v>1064</v>
      </c>
      <c r="B119" s="131" t="s">
        <v>1119</v>
      </c>
      <c r="AS119" s="16"/>
      <c r="AT119" s="16"/>
      <c r="AU119" s="16"/>
      <c r="AW119" s="246">
        <f t="shared" si="7"/>
        <v>0</v>
      </c>
    </row>
    <row r="120" spans="1:49" x14ac:dyDescent="0.25">
      <c r="A120" s="127" t="s">
        <v>1065</v>
      </c>
      <c r="B120" s="131" t="s">
        <v>1119</v>
      </c>
      <c r="AS120" s="16"/>
      <c r="AT120" s="16"/>
      <c r="AU120" s="16"/>
      <c r="AW120" s="246">
        <f t="shared" si="7"/>
        <v>0</v>
      </c>
    </row>
    <row r="121" spans="1:49" x14ac:dyDescent="0.25">
      <c r="A121" s="127" t="s">
        <v>1066</v>
      </c>
      <c r="B121" s="131" t="s">
        <v>1119</v>
      </c>
      <c r="AS121" s="16"/>
      <c r="AT121" s="16"/>
      <c r="AU121" s="16"/>
      <c r="AW121" s="246">
        <f t="shared" si="7"/>
        <v>0</v>
      </c>
    </row>
    <row r="122" spans="1:49" x14ac:dyDescent="0.25">
      <c r="A122" s="128" t="s">
        <v>1067</v>
      </c>
      <c r="B122" s="131" t="s">
        <v>1119</v>
      </c>
      <c r="AS122" s="16"/>
      <c r="AT122" s="16"/>
      <c r="AU122" s="16"/>
      <c r="AW122" s="246">
        <f t="shared" si="7"/>
        <v>0</v>
      </c>
    </row>
    <row r="123" spans="1:49" x14ac:dyDescent="0.25">
      <c r="A123" s="128" t="s">
        <v>1068</v>
      </c>
      <c r="B123" s="131" t="s">
        <v>1119</v>
      </c>
      <c r="AS123" s="16"/>
      <c r="AT123" s="16"/>
      <c r="AU123" s="16"/>
      <c r="AW123" s="246">
        <f t="shared" si="7"/>
        <v>0</v>
      </c>
    </row>
    <row r="124" spans="1:49" x14ac:dyDescent="0.25">
      <c r="A124" s="129" t="s">
        <v>1069</v>
      </c>
      <c r="B124" s="131" t="s">
        <v>1119</v>
      </c>
      <c r="AS124" s="16"/>
      <c r="AT124" s="16"/>
      <c r="AU124" s="16"/>
      <c r="AW124" s="246">
        <f t="shared" si="7"/>
        <v>0</v>
      </c>
    </row>
    <row r="125" spans="1:49" x14ac:dyDescent="0.25">
      <c r="A125" s="129" t="s">
        <v>1070</v>
      </c>
      <c r="B125" s="131" t="s">
        <v>1119</v>
      </c>
      <c r="AS125" s="16"/>
      <c r="AT125" s="16"/>
      <c r="AU125" s="16"/>
      <c r="AW125" s="246">
        <f t="shared" si="7"/>
        <v>0</v>
      </c>
    </row>
    <row r="126" spans="1:49" x14ac:dyDescent="0.25">
      <c r="A126" s="129" t="s">
        <v>1071</v>
      </c>
      <c r="B126" s="131" t="s">
        <v>1119</v>
      </c>
      <c r="AS126" s="16"/>
      <c r="AT126" s="16"/>
      <c r="AU126" s="16"/>
      <c r="AW126" s="246">
        <f t="shared" si="7"/>
        <v>0</v>
      </c>
    </row>
    <row r="127" spans="1:49" x14ac:dyDescent="0.25">
      <c r="A127" s="129" t="s">
        <v>1072</v>
      </c>
      <c r="B127" s="131" t="s">
        <v>1119</v>
      </c>
      <c r="AS127" s="16"/>
      <c r="AT127" s="16"/>
      <c r="AU127" s="16"/>
      <c r="AW127" s="246">
        <f t="shared" si="7"/>
        <v>0</v>
      </c>
    </row>
    <row r="128" spans="1:49" x14ac:dyDescent="0.25">
      <c r="A128" s="129" t="s">
        <v>1073</v>
      </c>
      <c r="B128" s="131" t="s">
        <v>1119</v>
      </c>
      <c r="AS128" s="16"/>
      <c r="AT128" s="16"/>
      <c r="AU128" s="16"/>
      <c r="AW128" s="246">
        <f t="shared" si="7"/>
        <v>0</v>
      </c>
    </row>
    <row r="129" spans="1:49" x14ac:dyDescent="0.25">
      <c r="A129" s="129" t="s">
        <v>1074</v>
      </c>
      <c r="B129" s="131" t="s">
        <v>1119</v>
      </c>
      <c r="AS129" s="16"/>
      <c r="AT129" s="16"/>
      <c r="AU129" s="16"/>
      <c r="AW129" s="246">
        <f t="shared" si="7"/>
        <v>0</v>
      </c>
    </row>
    <row r="130" spans="1:49" x14ac:dyDescent="0.25">
      <c r="A130" s="129" t="s">
        <v>1075</v>
      </c>
      <c r="B130" s="131" t="s">
        <v>1119</v>
      </c>
      <c r="AS130" s="16"/>
      <c r="AT130" s="16"/>
      <c r="AU130" s="16"/>
      <c r="AW130" s="246">
        <f t="shared" si="7"/>
        <v>0</v>
      </c>
    </row>
    <row r="131" spans="1:49" x14ac:dyDescent="0.25">
      <c r="A131" s="129" t="s">
        <v>1076</v>
      </c>
      <c r="B131" s="131" t="s">
        <v>1119</v>
      </c>
      <c r="AS131" s="16"/>
      <c r="AT131" s="16"/>
      <c r="AU131" s="16"/>
      <c r="AW131" s="246">
        <f t="shared" si="7"/>
        <v>0</v>
      </c>
    </row>
    <row r="132" spans="1:49" x14ac:dyDescent="0.25">
      <c r="A132" s="129" t="s">
        <v>1077</v>
      </c>
      <c r="B132" s="131" t="s">
        <v>1119</v>
      </c>
      <c r="AS132" s="16"/>
      <c r="AT132" s="16"/>
      <c r="AU132" s="16"/>
      <c r="AW132" s="246">
        <f t="shared" si="7"/>
        <v>0</v>
      </c>
    </row>
    <row r="133" spans="1:49" x14ac:dyDescent="0.25">
      <c r="A133" s="129" t="s">
        <v>1078</v>
      </c>
      <c r="B133" s="131" t="s">
        <v>1119</v>
      </c>
      <c r="AS133" s="16"/>
      <c r="AT133" s="16"/>
      <c r="AU133" s="16"/>
      <c r="AW133" s="246">
        <f t="shared" si="7"/>
        <v>0</v>
      </c>
    </row>
    <row r="134" spans="1:49" x14ac:dyDescent="0.25">
      <c r="A134" s="127" t="s">
        <v>1079</v>
      </c>
      <c r="B134" s="131" t="s">
        <v>1119</v>
      </c>
      <c r="AS134" s="16"/>
      <c r="AT134" s="16"/>
      <c r="AU134" s="16"/>
      <c r="AW134" s="246">
        <f t="shared" si="7"/>
        <v>0</v>
      </c>
    </row>
    <row r="135" spans="1:49" x14ac:dyDescent="0.25">
      <c r="A135" s="127" t="s">
        <v>1080</v>
      </c>
      <c r="B135" s="131" t="s">
        <v>1119</v>
      </c>
      <c r="AS135" s="16"/>
      <c r="AT135" s="16"/>
      <c r="AU135" s="16"/>
      <c r="AW135" s="246">
        <f t="shared" si="7"/>
        <v>0</v>
      </c>
    </row>
    <row r="136" spans="1:49" x14ac:dyDescent="0.25">
      <c r="A136" s="127" t="s">
        <v>1081</v>
      </c>
      <c r="B136" s="131" t="s">
        <v>1119</v>
      </c>
      <c r="AS136" s="16"/>
      <c r="AT136" s="16"/>
      <c r="AU136" s="16"/>
      <c r="AW136" s="246">
        <f t="shared" si="7"/>
        <v>0</v>
      </c>
    </row>
    <row r="137" spans="1:49" x14ac:dyDescent="0.25">
      <c r="A137" s="127" t="s">
        <v>1082</v>
      </c>
      <c r="B137" s="131" t="s">
        <v>1119</v>
      </c>
      <c r="AS137" s="16"/>
      <c r="AT137" s="16"/>
      <c r="AU137" s="16"/>
      <c r="AW137" s="246">
        <f t="shared" ref="AW137:AW158" si="9">ROUNDUP(AT137/2,0)</f>
        <v>0</v>
      </c>
    </row>
    <row r="138" spans="1:49" x14ac:dyDescent="0.25">
      <c r="A138" s="127" t="s">
        <v>1083</v>
      </c>
      <c r="B138" s="131" t="s">
        <v>1119</v>
      </c>
      <c r="AS138" s="16"/>
      <c r="AT138" s="16"/>
      <c r="AU138" s="16"/>
      <c r="AW138" s="246">
        <f t="shared" si="9"/>
        <v>0</v>
      </c>
    </row>
    <row r="139" spans="1:49" x14ac:dyDescent="0.25">
      <c r="A139" s="127" t="s">
        <v>1084</v>
      </c>
      <c r="B139" s="131" t="s">
        <v>1119</v>
      </c>
      <c r="AS139" s="16"/>
      <c r="AT139" s="16"/>
      <c r="AU139" s="16"/>
      <c r="AW139" s="246">
        <f t="shared" si="9"/>
        <v>0</v>
      </c>
    </row>
    <row r="140" spans="1:49" x14ac:dyDescent="0.25">
      <c r="A140" s="129" t="s">
        <v>1085</v>
      </c>
      <c r="B140" s="131" t="s">
        <v>1119</v>
      </c>
      <c r="AS140" s="16"/>
      <c r="AT140" s="16"/>
      <c r="AU140" s="16"/>
      <c r="AW140" s="246">
        <f t="shared" si="9"/>
        <v>0</v>
      </c>
    </row>
    <row r="141" spans="1:49" x14ac:dyDescent="0.25">
      <c r="A141" s="129" t="s">
        <v>1086</v>
      </c>
      <c r="B141" s="131" t="s">
        <v>1119</v>
      </c>
      <c r="AS141" s="16"/>
      <c r="AT141" s="16"/>
      <c r="AU141" s="16"/>
      <c r="AW141" s="246">
        <f t="shared" si="9"/>
        <v>0</v>
      </c>
    </row>
    <row r="142" spans="1:49" x14ac:dyDescent="0.25">
      <c r="A142" s="129" t="s">
        <v>1087</v>
      </c>
      <c r="B142" s="131" t="s">
        <v>1119</v>
      </c>
      <c r="AS142" s="16"/>
      <c r="AT142" s="16"/>
      <c r="AU142" s="16"/>
      <c r="AW142" s="246">
        <f t="shared" si="9"/>
        <v>0</v>
      </c>
    </row>
    <row r="143" spans="1:49" x14ac:dyDescent="0.25">
      <c r="A143" s="129" t="s">
        <v>1088</v>
      </c>
      <c r="B143" s="131" t="s">
        <v>1119</v>
      </c>
      <c r="AS143" s="16"/>
      <c r="AT143" s="16"/>
      <c r="AU143" s="16"/>
      <c r="AW143" s="246">
        <f t="shared" si="9"/>
        <v>0</v>
      </c>
    </row>
    <row r="144" spans="1:49" x14ac:dyDescent="0.25">
      <c r="A144" s="129" t="s">
        <v>1089</v>
      </c>
      <c r="B144" s="131" t="s">
        <v>1119</v>
      </c>
      <c r="AS144" s="16"/>
      <c r="AT144" s="16"/>
      <c r="AU144" s="16"/>
      <c r="AW144" s="246">
        <f t="shared" si="9"/>
        <v>0</v>
      </c>
    </row>
    <row r="145" spans="1:49" x14ac:dyDescent="0.25">
      <c r="A145" s="129" t="s">
        <v>1090</v>
      </c>
      <c r="B145" s="131" t="s">
        <v>1119</v>
      </c>
      <c r="AS145" s="16"/>
      <c r="AT145" s="16"/>
      <c r="AU145" s="16"/>
      <c r="AW145" s="246">
        <f t="shared" si="9"/>
        <v>0</v>
      </c>
    </row>
    <row r="146" spans="1:49" x14ac:dyDescent="0.25">
      <c r="A146" s="129" t="s">
        <v>1091</v>
      </c>
      <c r="B146" s="131" t="s">
        <v>1119</v>
      </c>
      <c r="AS146" s="16"/>
      <c r="AT146" s="16"/>
      <c r="AU146" s="16"/>
      <c r="AW146" s="246">
        <f t="shared" si="9"/>
        <v>0</v>
      </c>
    </row>
    <row r="147" spans="1:49" x14ac:dyDescent="0.25">
      <c r="A147" s="127" t="s">
        <v>1092</v>
      </c>
      <c r="B147" s="131" t="s">
        <v>1119</v>
      </c>
      <c r="AS147" s="16"/>
      <c r="AT147" s="16"/>
      <c r="AU147" s="16"/>
      <c r="AW147" s="246">
        <f t="shared" si="9"/>
        <v>0</v>
      </c>
    </row>
    <row r="148" spans="1:49" x14ac:dyDescent="0.25">
      <c r="A148" s="127" t="s">
        <v>1093</v>
      </c>
      <c r="B148" s="131" t="s">
        <v>1119</v>
      </c>
      <c r="AS148" s="16"/>
      <c r="AT148" s="16"/>
      <c r="AU148" s="16"/>
      <c r="AW148" s="246">
        <f t="shared" si="9"/>
        <v>0</v>
      </c>
    </row>
    <row r="149" spans="1:49" x14ac:dyDescent="0.25">
      <c r="A149" s="127" t="s">
        <v>1094</v>
      </c>
      <c r="B149" s="131" t="s">
        <v>1119</v>
      </c>
      <c r="AS149" s="16"/>
      <c r="AT149" s="16"/>
      <c r="AU149" s="16"/>
      <c r="AW149" s="246">
        <f t="shared" si="9"/>
        <v>0</v>
      </c>
    </row>
    <row r="150" spans="1:49" x14ac:dyDescent="0.25">
      <c r="A150" s="127" t="s">
        <v>1095</v>
      </c>
      <c r="B150" s="131" t="s">
        <v>1119</v>
      </c>
      <c r="AS150" s="16"/>
      <c r="AT150" s="16"/>
      <c r="AU150" s="16"/>
      <c r="AW150" s="246">
        <f t="shared" si="9"/>
        <v>0</v>
      </c>
    </row>
    <row r="151" spans="1:49" x14ac:dyDescent="0.25">
      <c r="A151" s="127" t="s">
        <v>1096</v>
      </c>
      <c r="B151" s="131" t="s">
        <v>1119</v>
      </c>
      <c r="AS151" s="16"/>
      <c r="AT151" s="16"/>
      <c r="AU151" s="16"/>
      <c r="AW151" s="246">
        <f t="shared" si="9"/>
        <v>0</v>
      </c>
    </row>
    <row r="152" spans="1:49" x14ac:dyDescent="0.25">
      <c r="A152" s="127" t="s">
        <v>1097</v>
      </c>
      <c r="B152" s="131" t="s">
        <v>1119</v>
      </c>
      <c r="AS152" s="16"/>
      <c r="AT152" s="16"/>
      <c r="AU152" s="16"/>
      <c r="AW152" s="246">
        <f t="shared" si="9"/>
        <v>0</v>
      </c>
    </row>
    <row r="153" spans="1:49" x14ac:dyDescent="0.25">
      <c r="A153" s="127" t="s">
        <v>1098</v>
      </c>
      <c r="B153" s="131" t="s">
        <v>1119</v>
      </c>
      <c r="AS153" s="16"/>
      <c r="AT153" s="16"/>
      <c r="AU153" s="16"/>
      <c r="AW153" s="246">
        <f t="shared" si="9"/>
        <v>0</v>
      </c>
    </row>
    <row r="154" spans="1:49" x14ac:dyDescent="0.25">
      <c r="A154" s="127" t="s">
        <v>1099</v>
      </c>
      <c r="B154" s="131" t="s">
        <v>1119</v>
      </c>
      <c r="AS154" s="16"/>
      <c r="AT154" s="16"/>
      <c r="AU154" s="16"/>
      <c r="AW154" s="246">
        <f t="shared" si="9"/>
        <v>0</v>
      </c>
    </row>
    <row r="155" spans="1:49" x14ac:dyDescent="0.25">
      <c r="A155" s="127" t="s">
        <v>1100</v>
      </c>
      <c r="B155" s="131" t="s">
        <v>1119</v>
      </c>
      <c r="AS155" s="16"/>
      <c r="AT155" s="16"/>
      <c r="AU155" s="16"/>
      <c r="AW155" s="246">
        <f t="shared" si="9"/>
        <v>0</v>
      </c>
    </row>
    <row r="156" spans="1:49" x14ac:dyDescent="0.25">
      <c r="A156" s="127" t="s">
        <v>1101</v>
      </c>
      <c r="B156" s="131" t="s">
        <v>1119</v>
      </c>
      <c r="AS156" s="16"/>
      <c r="AT156" s="16"/>
      <c r="AU156" s="16"/>
      <c r="AW156" s="246">
        <f t="shared" si="9"/>
        <v>0</v>
      </c>
    </row>
    <row r="157" spans="1:49" x14ac:dyDescent="0.25">
      <c r="A157" s="127" t="s">
        <v>1102</v>
      </c>
      <c r="B157" s="131" t="s">
        <v>1119</v>
      </c>
      <c r="AS157" s="16"/>
      <c r="AT157" s="16"/>
      <c r="AU157" s="16"/>
      <c r="AW157" s="246">
        <f t="shared" si="9"/>
        <v>0</v>
      </c>
    </row>
    <row r="158" spans="1:49" x14ac:dyDescent="0.25">
      <c r="A158" s="129" t="s">
        <v>1103</v>
      </c>
      <c r="B158" s="131" t="s">
        <v>1119</v>
      </c>
      <c r="AR158" s="15">
        <f>AQ158*Pot_UP_Gold!E85</f>
        <v>0</v>
      </c>
      <c r="AS158" s="16">
        <f>AR158+Pot_UP_Gold!K85</f>
        <v>0</v>
      </c>
      <c r="AT158" s="16"/>
      <c r="AU158" s="16">
        <f>$AV$1*AS158</f>
        <v>0</v>
      </c>
      <c r="AW158" s="246">
        <f t="shared" si="9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1"/>
  <sheetViews>
    <sheetView workbookViewId="0">
      <selection activeCell="L16" sqref="L16"/>
    </sheetView>
  </sheetViews>
  <sheetFormatPr defaultRowHeight="15" x14ac:dyDescent="0.25"/>
  <cols>
    <col min="1" max="1" width="8.5703125" style="11" customWidth="1"/>
  </cols>
  <sheetData>
    <row r="1" spans="1:10" x14ac:dyDescent="0.25">
      <c r="A1" s="21" t="s">
        <v>1699</v>
      </c>
      <c r="B1" s="43" t="s">
        <v>2265</v>
      </c>
      <c r="C1" s="43" t="s">
        <v>2266</v>
      </c>
      <c r="D1" s="43" t="s">
        <v>2267</v>
      </c>
      <c r="E1" s="589" t="s">
        <v>2268</v>
      </c>
      <c r="F1" s="590"/>
      <c r="G1" s="591"/>
      <c r="H1" s="43" t="s">
        <v>2265</v>
      </c>
      <c r="I1" s="43" t="s">
        <v>2266</v>
      </c>
      <c r="J1" s="43" t="s">
        <v>2267</v>
      </c>
    </row>
    <row r="2" spans="1:10" x14ac:dyDescent="0.25">
      <c r="A2" s="209">
        <v>0</v>
      </c>
      <c r="B2" s="39">
        <v>0.4</v>
      </c>
      <c r="C2" s="39">
        <v>0.3</v>
      </c>
      <c r="D2" s="39">
        <v>0.2</v>
      </c>
      <c r="E2" s="468">
        <f>B2*1.6</f>
        <v>0.64000000000000012</v>
      </c>
      <c r="F2" s="468">
        <f>C2*1.6</f>
        <v>0.48</v>
      </c>
      <c r="G2" s="468">
        <f>D2*1.6</f>
        <v>0.32000000000000006</v>
      </c>
      <c r="H2" s="469">
        <v>0.64000000000000012</v>
      </c>
      <c r="I2" s="469">
        <v>0.48</v>
      </c>
      <c r="J2" s="469">
        <v>0.32000000000000006</v>
      </c>
    </row>
    <row r="3" spans="1:10" x14ac:dyDescent="0.25">
      <c r="A3" s="209">
        <v>1</v>
      </c>
      <c r="B3" s="39">
        <v>0.4</v>
      </c>
      <c r="C3" s="39">
        <v>0.3</v>
      </c>
      <c r="D3" s="39">
        <v>0.2</v>
      </c>
      <c r="E3" s="468">
        <f t="shared" ref="E3:E22" si="0">B3*1.6</f>
        <v>0.64000000000000012</v>
      </c>
      <c r="F3" s="468">
        <f t="shared" ref="F3:F22" si="1">C3*1.6</f>
        <v>0.48</v>
      </c>
      <c r="G3" s="468">
        <f t="shared" ref="G3:G22" si="2">D3*1.6</f>
        <v>0.32000000000000006</v>
      </c>
      <c r="H3" s="469">
        <v>0.64000000000000012</v>
      </c>
      <c r="I3" s="469">
        <v>0.48</v>
      </c>
      <c r="J3" s="469">
        <v>0.32000000000000006</v>
      </c>
    </row>
    <row r="4" spans="1:10" x14ac:dyDescent="0.25">
      <c r="A4" s="209">
        <v>2</v>
      </c>
      <c r="B4" s="39">
        <v>0.4</v>
      </c>
      <c r="C4" s="39">
        <v>0.3</v>
      </c>
      <c r="D4" s="39">
        <v>0.2</v>
      </c>
      <c r="E4" s="468">
        <f t="shared" si="0"/>
        <v>0.64000000000000012</v>
      </c>
      <c r="F4" s="468">
        <f t="shared" si="1"/>
        <v>0.48</v>
      </c>
      <c r="G4" s="468">
        <f t="shared" si="2"/>
        <v>0.32000000000000006</v>
      </c>
      <c r="H4" s="469">
        <v>0.64000000000000012</v>
      </c>
      <c r="I4" s="469">
        <v>0.48</v>
      </c>
      <c r="J4" s="469">
        <v>0.32000000000000006</v>
      </c>
    </row>
    <row r="5" spans="1:10" x14ac:dyDescent="0.25">
      <c r="A5" s="209">
        <v>3</v>
      </c>
      <c r="B5" s="39">
        <v>0.4</v>
      </c>
      <c r="C5" s="39">
        <v>0.3</v>
      </c>
      <c r="D5" s="39">
        <v>0.2</v>
      </c>
      <c r="E5" s="468">
        <f t="shared" si="0"/>
        <v>0.64000000000000012</v>
      </c>
      <c r="F5" s="468">
        <f t="shared" si="1"/>
        <v>0.48</v>
      </c>
      <c r="G5" s="468">
        <f t="shared" si="2"/>
        <v>0.32000000000000006</v>
      </c>
      <c r="H5" s="469">
        <v>0.64000000000000012</v>
      </c>
      <c r="I5" s="469">
        <v>0.48</v>
      </c>
      <c r="J5" s="469">
        <v>0.32000000000000006</v>
      </c>
    </row>
    <row r="6" spans="1:10" x14ac:dyDescent="0.25">
      <c r="A6" s="209">
        <v>4</v>
      </c>
      <c r="B6" s="39">
        <v>0.4</v>
      </c>
      <c r="C6" s="39">
        <v>0.3</v>
      </c>
      <c r="D6" s="39">
        <v>0.2</v>
      </c>
      <c r="E6" s="468">
        <f t="shared" si="0"/>
        <v>0.64000000000000012</v>
      </c>
      <c r="F6" s="468">
        <f t="shared" si="1"/>
        <v>0.48</v>
      </c>
      <c r="G6" s="468">
        <f t="shared" si="2"/>
        <v>0.32000000000000006</v>
      </c>
      <c r="H6" s="469">
        <v>0.64000000000000012</v>
      </c>
      <c r="I6" s="469">
        <v>0.48</v>
      </c>
      <c r="J6" s="469">
        <v>0.32000000000000006</v>
      </c>
    </row>
    <row r="7" spans="1:10" x14ac:dyDescent="0.25">
      <c r="A7" s="209">
        <v>5</v>
      </c>
      <c r="B7" s="39">
        <v>0.4</v>
      </c>
      <c r="C7" s="39">
        <v>0.3</v>
      </c>
      <c r="D7" s="39">
        <v>0.2</v>
      </c>
      <c r="E7" s="468">
        <f t="shared" si="0"/>
        <v>0.64000000000000012</v>
      </c>
      <c r="F7" s="468">
        <f t="shared" si="1"/>
        <v>0.48</v>
      </c>
      <c r="G7" s="468">
        <f t="shared" si="2"/>
        <v>0.32000000000000006</v>
      </c>
      <c r="H7" s="469">
        <v>0.64000000000000012</v>
      </c>
      <c r="I7" s="469">
        <v>0.48</v>
      </c>
      <c r="J7" s="469">
        <v>0.32000000000000006</v>
      </c>
    </row>
    <row r="8" spans="1:10" x14ac:dyDescent="0.25">
      <c r="A8" s="209">
        <v>6</v>
      </c>
      <c r="B8" s="39">
        <v>0.4</v>
      </c>
      <c r="C8" s="39">
        <v>0.3</v>
      </c>
      <c r="D8" s="39">
        <v>0.2</v>
      </c>
      <c r="E8" s="468">
        <f t="shared" si="0"/>
        <v>0.64000000000000012</v>
      </c>
      <c r="F8" s="468">
        <f t="shared" si="1"/>
        <v>0.48</v>
      </c>
      <c r="G8" s="468">
        <f t="shared" si="2"/>
        <v>0.32000000000000006</v>
      </c>
      <c r="H8" s="469">
        <v>0.64000000000000012</v>
      </c>
      <c r="I8" s="469">
        <v>0.48</v>
      </c>
      <c r="J8" s="469">
        <v>0.32000000000000006</v>
      </c>
    </row>
    <row r="9" spans="1:10" x14ac:dyDescent="0.25">
      <c r="A9" s="209">
        <v>7</v>
      </c>
      <c r="B9" s="39">
        <v>0.4</v>
      </c>
      <c r="C9" s="39">
        <v>0.3</v>
      </c>
      <c r="D9" s="39">
        <v>0.2</v>
      </c>
      <c r="E9" s="468">
        <f t="shared" si="0"/>
        <v>0.64000000000000012</v>
      </c>
      <c r="F9" s="468">
        <f t="shared" si="1"/>
        <v>0.48</v>
      </c>
      <c r="G9" s="468">
        <f t="shared" si="2"/>
        <v>0.32000000000000006</v>
      </c>
      <c r="H9" s="469">
        <v>0.64000000000000012</v>
      </c>
      <c r="I9" s="469">
        <v>0.48</v>
      </c>
      <c r="J9" s="469">
        <v>0.32000000000000006</v>
      </c>
    </row>
    <row r="10" spans="1:10" x14ac:dyDescent="0.25">
      <c r="A10" s="209">
        <v>8</v>
      </c>
      <c r="B10" s="39">
        <v>0.4</v>
      </c>
      <c r="C10" s="39">
        <v>0.3</v>
      </c>
      <c r="D10" s="39">
        <v>0.2</v>
      </c>
      <c r="E10" s="468">
        <f t="shared" si="0"/>
        <v>0.64000000000000012</v>
      </c>
      <c r="F10" s="468">
        <f t="shared" si="1"/>
        <v>0.48</v>
      </c>
      <c r="G10" s="468">
        <f t="shared" si="2"/>
        <v>0.32000000000000006</v>
      </c>
      <c r="H10" s="469">
        <v>0.64000000000000012</v>
      </c>
      <c r="I10" s="469">
        <v>0.48</v>
      </c>
      <c r="J10" s="469">
        <v>0.32000000000000006</v>
      </c>
    </row>
    <row r="11" spans="1:10" x14ac:dyDescent="0.25">
      <c r="A11" s="209">
        <v>9</v>
      </c>
      <c r="B11" s="39">
        <v>0.4</v>
      </c>
      <c r="C11" s="39">
        <v>0.3</v>
      </c>
      <c r="D11" s="39">
        <v>0.2</v>
      </c>
      <c r="E11" s="468">
        <f t="shared" si="0"/>
        <v>0.64000000000000012</v>
      </c>
      <c r="F11" s="468">
        <f t="shared" si="1"/>
        <v>0.48</v>
      </c>
      <c r="G11" s="468">
        <f t="shared" si="2"/>
        <v>0.32000000000000006</v>
      </c>
      <c r="H11" s="469">
        <v>0.64000000000000012</v>
      </c>
      <c r="I11" s="469">
        <v>0.48</v>
      </c>
      <c r="J11" s="469">
        <v>0.32000000000000006</v>
      </c>
    </row>
    <row r="12" spans="1:10" x14ac:dyDescent="0.25">
      <c r="A12" s="209">
        <v>10</v>
      </c>
      <c r="B12" s="39">
        <v>0.4</v>
      </c>
      <c r="C12" s="39">
        <v>0.3</v>
      </c>
      <c r="D12" s="39">
        <v>0.2</v>
      </c>
      <c r="E12" s="468">
        <f t="shared" si="0"/>
        <v>0.64000000000000012</v>
      </c>
      <c r="F12" s="468">
        <f t="shared" si="1"/>
        <v>0.48</v>
      </c>
      <c r="G12" s="468">
        <f t="shared" si="2"/>
        <v>0.32000000000000006</v>
      </c>
      <c r="H12" s="469">
        <v>0.64000000000000012</v>
      </c>
      <c r="I12" s="469">
        <v>0.48</v>
      </c>
      <c r="J12" s="469">
        <v>0.32000000000000006</v>
      </c>
    </row>
    <row r="13" spans="1:10" x14ac:dyDescent="0.25">
      <c r="A13" s="209">
        <v>11</v>
      </c>
      <c r="B13" s="39">
        <v>0.4</v>
      </c>
      <c r="C13" s="39">
        <v>0.3</v>
      </c>
      <c r="D13" s="39">
        <v>0.2</v>
      </c>
      <c r="E13" s="468">
        <f t="shared" si="0"/>
        <v>0.64000000000000012</v>
      </c>
      <c r="F13" s="468">
        <f t="shared" si="1"/>
        <v>0.48</v>
      </c>
      <c r="G13" s="468">
        <f t="shared" si="2"/>
        <v>0.32000000000000006</v>
      </c>
      <c r="H13" s="469">
        <v>0.64000000000000012</v>
      </c>
      <c r="I13" s="469">
        <v>0.48</v>
      </c>
      <c r="J13" s="469">
        <v>0.32000000000000006</v>
      </c>
    </row>
    <row r="14" spans="1:10" x14ac:dyDescent="0.25">
      <c r="A14" s="209">
        <v>12</v>
      </c>
      <c r="B14" s="39">
        <v>0.4</v>
      </c>
      <c r="C14" s="39">
        <v>0.3</v>
      </c>
      <c r="D14" s="39">
        <v>0.2</v>
      </c>
      <c r="E14" s="468">
        <f t="shared" si="0"/>
        <v>0.64000000000000012</v>
      </c>
      <c r="F14" s="468">
        <f t="shared" si="1"/>
        <v>0.48</v>
      </c>
      <c r="G14" s="468">
        <f t="shared" si="2"/>
        <v>0.32000000000000006</v>
      </c>
      <c r="H14" s="469">
        <v>0.64000000000000012</v>
      </c>
      <c r="I14" s="469">
        <v>0.48</v>
      </c>
      <c r="J14" s="469">
        <v>0.32000000000000006</v>
      </c>
    </row>
    <row r="15" spans="1:10" x14ac:dyDescent="0.25">
      <c r="A15" s="209">
        <v>13</v>
      </c>
      <c r="B15" s="39">
        <v>0.4</v>
      </c>
      <c r="C15" s="39">
        <v>0.3</v>
      </c>
      <c r="D15" s="39">
        <v>0.2</v>
      </c>
      <c r="E15" s="468">
        <f t="shared" si="0"/>
        <v>0.64000000000000012</v>
      </c>
      <c r="F15" s="468">
        <f t="shared" si="1"/>
        <v>0.48</v>
      </c>
      <c r="G15" s="468">
        <f t="shared" si="2"/>
        <v>0.32000000000000006</v>
      </c>
      <c r="H15" s="469">
        <v>0.64000000000000012</v>
      </c>
      <c r="I15" s="469">
        <v>0.48</v>
      </c>
      <c r="J15" s="469">
        <v>0.32000000000000006</v>
      </c>
    </row>
    <row r="16" spans="1:10" x14ac:dyDescent="0.25">
      <c r="A16" s="209">
        <v>14</v>
      </c>
      <c r="B16" s="39">
        <v>0.4</v>
      </c>
      <c r="C16" s="39">
        <v>0.3</v>
      </c>
      <c r="D16" s="39">
        <v>0.2</v>
      </c>
      <c r="E16" s="468">
        <f t="shared" si="0"/>
        <v>0.64000000000000012</v>
      </c>
      <c r="F16" s="468">
        <f t="shared" si="1"/>
        <v>0.48</v>
      </c>
      <c r="G16" s="468">
        <f t="shared" si="2"/>
        <v>0.32000000000000006</v>
      </c>
      <c r="H16" s="469">
        <v>0.64000000000000012</v>
      </c>
      <c r="I16" s="469">
        <v>0.48</v>
      </c>
      <c r="J16" s="469">
        <v>0.32000000000000006</v>
      </c>
    </row>
    <row r="17" spans="1:10" x14ac:dyDescent="0.25">
      <c r="A17" s="209">
        <v>15</v>
      </c>
      <c r="B17" s="39">
        <v>0.4</v>
      </c>
      <c r="C17" s="39">
        <v>0.3</v>
      </c>
      <c r="D17" s="39">
        <v>0.2</v>
      </c>
      <c r="E17" s="468">
        <f t="shared" si="0"/>
        <v>0.64000000000000012</v>
      </c>
      <c r="F17" s="468">
        <f t="shared" si="1"/>
        <v>0.48</v>
      </c>
      <c r="G17" s="468">
        <f t="shared" si="2"/>
        <v>0.32000000000000006</v>
      </c>
      <c r="H17" s="469">
        <v>0.64000000000000012</v>
      </c>
      <c r="I17" s="469">
        <v>0.48</v>
      </c>
      <c r="J17" s="469">
        <v>0.32000000000000006</v>
      </c>
    </row>
    <row r="18" spans="1:10" x14ac:dyDescent="0.25">
      <c r="A18" s="209">
        <v>16</v>
      </c>
      <c r="B18" s="39">
        <v>0.4</v>
      </c>
      <c r="C18" s="39">
        <v>0.3</v>
      </c>
      <c r="D18" s="39">
        <v>0.2</v>
      </c>
      <c r="E18" s="468">
        <f t="shared" si="0"/>
        <v>0.64000000000000012</v>
      </c>
      <c r="F18" s="468">
        <f t="shared" si="1"/>
        <v>0.48</v>
      </c>
      <c r="G18" s="468">
        <f t="shared" si="2"/>
        <v>0.32000000000000006</v>
      </c>
      <c r="H18" s="469">
        <v>0.64000000000000012</v>
      </c>
      <c r="I18" s="469">
        <v>0.48</v>
      </c>
      <c r="J18" s="469">
        <v>0.32000000000000006</v>
      </c>
    </row>
    <row r="19" spans="1:10" x14ac:dyDescent="0.25">
      <c r="A19" s="209">
        <v>17</v>
      </c>
      <c r="B19" s="39">
        <v>0.4</v>
      </c>
      <c r="C19" s="39">
        <v>0.3</v>
      </c>
      <c r="D19" s="39">
        <v>0.2</v>
      </c>
      <c r="E19" s="468">
        <f t="shared" si="0"/>
        <v>0.64000000000000012</v>
      </c>
      <c r="F19" s="468">
        <f t="shared" si="1"/>
        <v>0.48</v>
      </c>
      <c r="G19" s="468">
        <f t="shared" si="2"/>
        <v>0.32000000000000006</v>
      </c>
      <c r="H19" s="469">
        <v>0.64000000000000012</v>
      </c>
      <c r="I19" s="469">
        <v>0.48</v>
      </c>
      <c r="J19" s="469">
        <v>0.32000000000000006</v>
      </c>
    </row>
    <row r="20" spans="1:10" x14ac:dyDescent="0.25">
      <c r="A20" s="209">
        <v>18</v>
      </c>
      <c r="B20" s="39">
        <v>0.4</v>
      </c>
      <c r="C20" s="39">
        <v>0.3</v>
      </c>
      <c r="D20" s="39">
        <v>0.2</v>
      </c>
      <c r="E20" s="468">
        <f t="shared" si="0"/>
        <v>0.64000000000000012</v>
      </c>
      <c r="F20" s="468">
        <f t="shared" si="1"/>
        <v>0.48</v>
      </c>
      <c r="G20" s="468">
        <f t="shared" si="2"/>
        <v>0.32000000000000006</v>
      </c>
      <c r="H20" s="469">
        <v>0.64000000000000012</v>
      </c>
      <c r="I20" s="469">
        <v>0.48</v>
      </c>
      <c r="J20" s="469">
        <v>0.32000000000000006</v>
      </c>
    </row>
    <row r="21" spans="1:10" x14ac:dyDescent="0.25">
      <c r="A21" s="209">
        <v>19</v>
      </c>
      <c r="B21" s="39">
        <v>0.4</v>
      </c>
      <c r="C21" s="39">
        <v>0.3</v>
      </c>
      <c r="D21" s="39">
        <v>0.2</v>
      </c>
      <c r="E21" s="468">
        <f t="shared" si="0"/>
        <v>0.64000000000000012</v>
      </c>
      <c r="F21" s="468">
        <f t="shared" si="1"/>
        <v>0.48</v>
      </c>
      <c r="G21" s="468">
        <f t="shared" si="2"/>
        <v>0.32000000000000006</v>
      </c>
      <c r="H21" s="469">
        <v>0.64000000000000012</v>
      </c>
      <c r="I21" s="469">
        <v>0.48</v>
      </c>
      <c r="J21" s="469">
        <v>0.32000000000000006</v>
      </c>
    </row>
    <row r="22" spans="1:10" x14ac:dyDescent="0.25">
      <c r="A22" s="209">
        <v>20</v>
      </c>
      <c r="B22" s="39">
        <v>0.4</v>
      </c>
      <c r="C22" s="39">
        <v>0.3</v>
      </c>
      <c r="D22" s="39">
        <v>0.2</v>
      </c>
      <c r="E22" s="468">
        <f t="shared" si="0"/>
        <v>0.64000000000000012</v>
      </c>
      <c r="F22" s="468">
        <f t="shared" si="1"/>
        <v>0.48</v>
      </c>
      <c r="G22" s="468">
        <f t="shared" si="2"/>
        <v>0.32000000000000006</v>
      </c>
      <c r="H22" s="469">
        <v>0.64000000000000012</v>
      </c>
      <c r="I22" s="469">
        <v>0.48</v>
      </c>
      <c r="J22" s="469">
        <v>0.32000000000000006</v>
      </c>
    </row>
    <row r="23" spans="1:10" x14ac:dyDescent="0.25">
      <c r="A23" s="209">
        <v>21</v>
      </c>
      <c r="B23" s="39">
        <v>0.3</v>
      </c>
      <c r="C23" s="39">
        <v>0.2</v>
      </c>
      <c r="D23" s="39">
        <v>0.1</v>
      </c>
      <c r="E23" s="468">
        <f t="shared" ref="E23:E42" si="3">B23*1.5</f>
        <v>0.44999999999999996</v>
      </c>
      <c r="F23" s="468">
        <f>C23*2</f>
        <v>0.4</v>
      </c>
      <c r="G23" s="468">
        <f t="shared" ref="G23:G42" si="4">D23*1.5</f>
        <v>0.15000000000000002</v>
      </c>
      <c r="H23" s="469">
        <v>0.44999999999999996</v>
      </c>
      <c r="I23" s="469">
        <v>0.4</v>
      </c>
      <c r="J23" s="469">
        <v>0.15000000000000002</v>
      </c>
    </row>
    <row r="24" spans="1:10" x14ac:dyDescent="0.25">
      <c r="A24" s="209">
        <v>22</v>
      </c>
      <c r="B24" s="39">
        <v>0.3</v>
      </c>
      <c r="C24" s="39">
        <v>0.2</v>
      </c>
      <c r="D24" s="39">
        <v>0.1</v>
      </c>
      <c r="E24" s="468">
        <f t="shared" si="3"/>
        <v>0.44999999999999996</v>
      </c>
      <c r="F24" s="468">
        <f t="shared" ref="F24:F42" si="5">C24*2</f>
        <v>0.4</v>
      </c>
      <c r="G24" s="468">
        <f t="shared" si="4"/>
        <v>0.15000000000000002</v>
      </c>
      <c r="H24" s="469">
        <v>0.44999999999999996</v>
      </c>
      <c r="I24" s="469">
        <v>0.4</v>
      </c>
      <c r="J24" s="469">
        <v>0.15000000000000002</v>
      </c>
    </row>
    <row r="25" spans="1:10" x14ac:dyDescent="0.25">
      <c r="A25" s="209">
        <v>23</v>
      </c>
      <c r="B25" s="39">
        <v>0.3</v>
      </c>
      <c r="C25" s="39">
        <v>0.2</v>
      </c>
      <c r="D25" s="39">
        <v>0.1</v>
      </c>
      <c r="E25" s="468">
        <f t="shared" si="3"/>
        <v>0.44999999999999996</v>
      </c>
      <c r="F25" s="468">
        <f t="shared" si="5"/>
        <v>0.4</v>
      </c>
      <c r="G25" s="468">
        <f t="shared" si="4"/>
        <v>0.15000000000000002</v>
      </c>
      <c r="H25" s="469">
        <v>0.44999999999999996</v>
      </c>
      <c r="I25" s="469">
        <v>0.4</v>
      </c>
      <c r="J25" s="469">
        <v>0.15000000000000002</v>
      </c>
    </row>
    <row r="26" spans="1:10" x14ac:dyDescent="0.25">
      <c r="A26" s="209">
        <v>24</v>
      </c>
      <c r="B26" s="39">
        <v>0.3</v>
      </c>
      <c r="C26" s="39">
        <v>0.2</v>
      </c>
      <c r="D26" s="39">
        <v>0.1</v>
      </c>
      <c r="E26" s="468">
        <f t="shared" si="3"/>
        <v>0.44999999999999996</v>
      </c>
      <c r="F26" s="468">
        <f t="shared" si="5"/>
        <v>0.4</v>
      </c>
      <c r="G26" s="468">
        <f t="shared" si="4"/>
        <v>0.15000000000000002</v>
      </c>
      <c r="H26" s="469">
        <v>0.44999999999999996</v>
      </c>
      <c r="I26" s="469">
        <v>0.4</v>
      </c>
      <c r="J26" s="469">
        <v>0.15000000000000002</v>
      </c>
    </row>
    <row r="27" spans="1:10" x14ac:dyDescent="0.25">
      <c r="A27" s="209">
        <v>25</v>
      </c>
      <c r="B27" s="39">
        <v>0.3</v>
      </c>
      <c r="C27" s="39">
        <v>0.2</v>
      </c>
      <c r="D27" s="39">
        <v>0.1</v>
      </c>
      <c r="E27" s="468">
        <f t="shared" si="3"/>
        <v>0.44999999999999996</v>
      </c>
      <c r="F27" s="468">
        <f t="shared" si="5"/>
        <v>0.4</v>
      </c>
      <c r="G27" s="468">
        <f t="shared" si="4"/>
        <v>0.15000000000000002</v>
      </c>
      <c r="H27" s="469">
        <v>0.44999999999999996</v>
      </c>
      <c r="I27" s="469">
        <v>0.4</v>
      </c>
      <c r="J27" s="469">
        <v>0.15000000000000002</v>
      </c>
    </row>
    <row r="28" spans="1:10" x14ac:dyDescent="0.25">
      <c r="A28" s="209">
        <v>26</v>
      </c>
      <c r="B28" s="39">
        <v>0.3</v>
      </c>
      <c r="C28" s="39">
        <v>0.2</v>
      </c>
      <c r="D28" s="39">
        <v>0.1</v>
      </c>
      <c r="E28" s="468">
        <f t="shared" si="3"/>
        <v>0.44999999999999996</v>
      </c>
      <c r="F28" s="468">
        <f t="shared" si="5"/>
        <v>0.4</v>
      </c>
      <c r="G28" s="468">
        <f t="shared" si="4"/>
        <v>0.15000000000000002</v>
      </c>
      <c r="H28" s="469">
        <v>0.44999999999999996</v>
      </c>
      <c r="I28" s="469">
        <v>0.4</v>
      </c>
      <c r="J28" s="469">
        <v>0.15000000000000002</v>
      </c>
    </row>
    <row r="29" spans="1:10" x14ac:dyDescent="0.25">
      <c r="A29" s="209">
        <v>27</v>
      </c>
      <c r="B29" s="39">
        <v>0.3</v>
      </c>
      <c r="C29" s="39">
        <v>0.2</v>
      </c>
      <c r="D29" s="39">
        <v>0.1</v>
      </c>
      <c r="E29" s="468">
        <f t="shared" si="3"/>
        <v>0.44999999999999996</v>
      </c>
      <c r="F29" s="468">
        <f t="shared" si="5"/>
        <v>0.4</v>
      </c>
      <c r="G29" s="468">
        <f t="shared" si="4"/>
        <v>0.15000000000000002</v>
      </c>
      <c r="H29" s="469">
        <v>0.44999999999999996</v>
      </c>
      <c r="I29" s="469">
        <v>0.4</v>
      </c>
      <c r="J29" s="469">
        <v>0.15000000000000002</v>
      </c>
    </row>
    <row r="30" spans="1:10" x14ac:dyDescent="0.25">
      <c r="A30" s="209">
        <v>28</v>
      </c>
      <c r="B30" s="39">
        <v>0.3</v>
      </c>
      <c r="C30" s="39">
        <v>0.2</v>
      </c>
      <c r="D30" s="39">
        <v>0.1</v>
      </c>
      <c r="E30" s="468">
        <f t="shared" si="3"/>
        <v>0.44999999999999996</v>
      </c>
      <c r="F30" s="468">
        <f t="shared" si="5"/>
        <v>0.4</v>
      </c>
      <c r="G30" s="468">
        <f t="shared" si="4"/>
        <v>0.15000000000000002</v>
      </c>
      <c r="H30" s="469">
        <v>0.44999999999999996</v>
      </c>
      <c r="I30" s="469">
        <v>0.4</v>
      </c>
      <c r="J30" s="469">
        <v>0.15000000000000002</v>
      </c>
    </row>
    <row r="31" spans="1:10" x14ac:dyDescent="0.25">
      <c r="A31" s="209">
        <v>29</v>
      </c>
      <c r="B31" s="39">
        <v>0.3</v>
      </c>
      <c r="C31" s="39">
        <v>0.2</v>
      </c>
      <c r="D31" s="39">
        <v>0.1</v>
      </c>
      <c r="E31" s="468">
        <f t="shared" si="3"/>
        <v>0.44999999999999996</v>
      </c>
      <c r="F31" s="468">
        <f t="shared" si="5"/>
        <v>0.4</v>
      </c>
      <c r="G31" s="468">
        <f t="shared" si="4"/>
        <v>0.15000000000000002</v>
      </c>
      <c r="H31" s="469">
        <v>0.44999999999999996</v>
      </c>
      <c r="I31" s="469">
        <v>0.4</v>
      </c>
      <c r="J31" s="469">
        <v>0.15000000000000002</v>
      </c>
    </row>
    <row r="32" spans="1:10" x14ac:dyDescent="0.25">
      <c r="A32" s="209">
        <v>30</v>
      </c>
      <c r="B32" s="39">
        <v>0.3</v>
      </c>
      <c r="C32" s="39">
        <v>0.2</v>
      </c>
      <c r="D32" s="39">
        <v>0.1</v>
      </c>
      <c r="E32" s="468">
        <f t="shared" si="3"/>
        <v>0.44999999999999996</v>
      </c>
      <c r="F32" s="468">
        <f t="shared" si="5"/>
        <v>0.4</v>
      </c>
      <c r="G32" s="468">
        <f t="shared" si="4"/>
        <v>0.15000000000000002</v>
      </c>
      <c r="H32" s="469">
        <v>0.44999999999999996</v>
      </c>
      <c r="I32" s="469">
        <v>0.4</v>
      </c>
      <c r="J32" s="469">
        <v>0.15000000000000002</v>
      </c>
    </row>
    <row r="33" spans="1:10" x14ac:dyDescent="0.25">
      <c r="A33" s="209">
        <v>31</v>
      </c>
      <c r="B33" s="39">
        <v>0.3</v>
      </c>
      <c r="C33" s="39">
        <v>0.2</v>
      </c>
      <c r="D33" s="39">
        <v>0.1</v>
      </c>
      <c r="E33" s="468">
        <f t="shared" si="3"/>
        <v>0.44999999999999996</v>
      </c>
      <c r="F33" s="468">
        <f t="shared" si="5"/>
        <v>0.4</v>
      </c>
      <c r="G33" s="468">
        <f t="shared" si="4"/>
        <v>0.15000000000000002</v>
      </c>
      <c r="H33" s="469">
        <v>0.44999999999999996</v>
      </c>
      <c r="I33" s="469">
        <v>0.4</v>
      </c>
      <c r="J33" s="469">
        <v>0.15000000000000002</v>
      </c>
    </row>
    <row r="34" spans="1:10" x14ac:dyDescent="0.25">
      <c r="A34" s="209">
        <v>32</v>
      </c>
      <c r="B34" s="39">
        <v>0.3</v>
      </c>
      <c r="C34" s="39">
        <v>0.2</v>
      </c>
      <c r="D34" s="39">
        <v>0.1</v>
      </c>
      <c r="E34" s="468">
        <f t="shared" si="3"/>
        <v>0.44999999999999996</v>
      </c>
      <c r="F34" s="468">
        <f t="shared" si="5"/>
        <v>0.4</v>
      </c>
      <c r="G34" s="468">
        <f t="shared" si="4"/>
        <v>0.15000000000000002</v>
      </c>
      <c r="H34" s="469">
        <v>0.44999999999999996</v>
      </c>
      <c r="I34" s="469">
        <v>0.4</v>
      </c>
      <c r="J34" s="469">
        <v>0.15000000000000002</v>
      </c>
    </row>
    <row r="35" spans="1:10" x14ac:dyDescent="0.25">
      <c r="A35" s="209">
        <v>33</v>
      </c>
      <c r="B35" s="39">
        <v>0.3</v>
      </c>
      <c r="C35" s="39">
        <v>0.2</v>
      </c>
      <c r="D35" s="39">
        <v>0.1</v>
      </c>
      <c r="E35" s="468">
        <f t="shared" si="3"/>
        <v>0.44999999999999996</v>
      </c>
      <c r="F35" s="468">
        <f t="shared" si="5"/>
        <v>0.4</v>
      </c>
      <c r="G35" s="468">
        <f t="shared" si="4"/>
        <v>0.15000000000000002</v>
      </c>
      <c r="H35" s="469">
        <v>0.44999999999999996</v>
      </c>
      <c r="I35" s="469">
        <v>0.4</v>
      </c>
      <c r="J35" s="469">
        <v>0.15000000000000002</v>
      </c>
    </row>
    <row r="36" spans="1:10" x14ac:dyDescent="0.25">
      <c r="A36" s="209">
        <v>34</v>
      </c>
      <c r="B36" s="39">
        <v>0.3</v>
      </c>
      <c r="C36" s="39">
        <v>0.2</v>
      </c>
      <c r="D36" s="39">
        <v>0.1</v>
      </c>
      <c r="E36" s="468">
        <f t="shared" si="3"/>
        <v>0.44999999999999996</v>
      </c>
      <c r="F36" s="468">
        <f t="shared" si="5"/>
        <v>0.4</v>
      </c>
      <c r="G36" s="468">
        <f t="shared" si="4"/>
        <v>0.15000000000000002</v>
      </c>
      <c r="H36" s="469">
        <v>0.44999999999999996</v>
      </c>
      <c r="I36" s="469">
        <v>0.4</v>
      </c>
      <c r="J36" s="469">
        <v>0.15000000000000002</v>
      </c>
    </row>
    <row r="37" spans="1:10" x14ac:dyDescent="0.25">
      <c r="A37" s="209">
        <v>35</v>
      </c>
      <c r="B37" s="39">
        <v>0.3</v>
      </c>
      <c r="C37" s="39">
        <v>0.2</v>
      </c>
      <c r="D37" s="39">
        <v>0.1</v>
      </c>
      <c r="E37" s="468">
        <f t="shared" si="3"/>
        <v>0.44999999999999996</v>
      </c>
      <c r="F37" s="468">
        <f t="shared" si="5"/>
        <v>0.4</v>
      </c>
      <c r="G37" s="468">
        <f t="shared" si="4"/>
        <v>0.15000000000000002</v>
      </c>
      <c r="H37" s="469">
        <v>0.44999999999999996</v>
      </c>
      <c r="I37" s="469">
        <v>0.4</v>
      </c>
      <c r="J37" s="469">
        <v>0.15000000000000002</v>
      </c>
    </row>
    <row r="38" spans="1:10" x14ac:dyDescent="0.25">
      <c r="A38" s="209">
        <v>36</v>
      </c>
      <c r="B38" s="39">
        <v>0.3</v>
      </c>
      <c r="C38" s="39">
        <v>0.2</v>
      </c>
      <c r="D38" s="39">
        <v>0.1</v>
      </c>
      <c r="E38" s="468">
        <f t="shared" si="3"/>
        <v>0.44999999999999996</v>
      </c>
      <c r="F38" s="468">
        <f t="shared" si="5"/>
        <v>0.4</v>
      </c>
      <c r="G38" s="468">
        <f t="shared" si="4"/>
        <v>0.15000000000000002</v>
      </c>
      <c r="H38" s="469">
        <v>0.44999999999999996</v>
      </c>
      <c r="I38" s="469">
        <v>0.4</v>
      </c>
      <c r="J38" s="469">
        <v>0.15000000000000002</v>
      </c>
    </row>
    <row r="39" spans="1:10" x14ac:dyDescent="0.25">
      <c r="A39" s="209">
        <v>37</v>
      </c>
      <c r="B39" s="39">
        <v>0.3</v>
      </c>
      <c r="C39" s="39">
        <v>0.2</v>
      </c>
      <c r="D39" s="39">
        <v>0.1</v>
      </c>
      <c r="E39" s="468">
        <f t="shared" si="3"/>
        <v>0.44999999999999996</v>
      </c>
      <c r="F39" s="468">
        <f t="shared" si="5"/>
        <v>0.4</v>
      </c>
      <c r="G39" s="468">
        <f t="shared" si="4"/>
        <v>0.15000000000000002</v>
      </c>
      <c r="H39" s="469">
        <v>0.44999999999999996</v>
      </c>
      <c r="I39" s="469">
        <v>0.4</v>
      </c>
      <c r="J39" s="469">
        <v>0.15000000000000002</v>
      </c>
    </row>
    <row r="40" spans="1:10" x14ac:dyDescent="0.25">
      <c r="A40" s="209">
        <v>38</v>
      </c>
      <c r="B40" s="39">
        <v>0.3</v>
      </c>
      <c r="C40" s="39">
        <v>0.2</v>
      </c>
      <c r="D40" s="39">
        <v>0.1</v>
      </c>
      <c r="E40" s="468">
        <f t="shared" si="3"/>
        <v>0.44999999999999996</v>
      </c>
      <c r="F40" s="468">
        <f t="shared" si="5"/>
        <v>0.4</v>
      </c>
      <c r="G40" s="468">
        <f t="shared" si="4"/>
        <v>0.15000000000000002</v>
      </c>
      <c r="H40" s="469">
        <v>0.44999999999999996</v>
      </c>
      <c r="I40" s="469">
        <v>0.4</v>
      </c>
      <c r="J40" s="469">
        <v>0.15000000000000002</v>
      </c>
    </row>
    <row r="41" spans="1:10" x14ac:dyDescent="0.25">
      <c r="A41" s="209">
        <v>39</v>
      </c>
      <c r="B41" s="39">
        <v>0.3</v>
      </c>
      <c r="C41" s="39">
        <v>0.2</v>
      </c>
      <c r="D41" s="39">
        <v>0.1</v>
      </c>
      <c r="E41" s="468">
        <f t="shared" si="3"/>
        <v>0.44999999999999996</v>
      </c>
      <c r="F41" s="468">
        <f t="shared" si="5"/>
        <v>0.4</v>
      </c>
      <c r="G41" s="468">
        <f t="shared" si="4"/>
        <v>0.15000000000000002</v>
      </c>
      <c r="H41" s="469">
        <v>0.44999999999999996</v>
      </c>
      <c r="I41" s="469">
        <v>0.4</v>
      </c>
      <c r="J41" s="469">
        <v>0.15000000000000002</v>
      </c>
    </row>
    <row r="42" spans="1:10" x14ac:dyDescent="0.25">
      <c r="A42" s="209">
        <v>40</v>
      </c>
      <c r="B42" s="39">
        <v>0.3</v>
      </c>
      <c r="C42" s="39">
        <v>0.2</v>
      </c>
      <c r="D42" s="39">
        <v>0.1</v>
      </c>
      <c r="E42" s="468">
        <f t="shared" si="3"/>
        <v>0.44999999999999996</v>
      </c>
      <c r="F42" s="468">
        <f t="shared" si="5"/>
        <v>0.4</v>
      </c>
      <c r="G42" s="468">
        <f t="shared" si="4"/>
        <v>0.15000000000000002</v>
      </c>
      <c r="H42" s="469">
        <v>0.44999999999999996</v>
      </c>
      <c r="I42" s="469">
        <v>0.4</v>
      </c>
      <c r="J42" s="469">
        <v>0.15000000000000002</v>
      </c>
    </row>
    <row r="43" spans="1:10" x14ac:dyDescent="0.25">
      <c r="A43" s="23">
        <v>41</v>
      </c>
      <c r="B43" s="39">
        <v>0.5</v>
      </c>
      <c r="C43" s="39">
        <v>0.3</v>
      </c>
      <c r="D43" s="39">
        <v>0.2</v>
      </c>
      <c r="H43" s="39">
        <v>0.5</v>
      </c>
      <c r="I43" s="39">
        <v>0.3</v>
      </c>
      <c r="J43" s="39">
        <v>0.2</v>
      </c>
    </row>
    <row r="44" spans="1:10" x14ac:dyDescent="0.25">
      <c r="A44" s="23">
        <v>42</v>
      </c>
      <c r="B44" s="39">
        <v>0.5</v>
      </c>
      <c r="C44" s="39">
        <v>0.3</v>
      </c>
      <c r="D44" s="39">
        <v>0.2</v>
      </c>
      <c r="H44" s="39">
        <v>0.5</v>
      </c>
      <c r="I44" s="39">
        <v>0.3</v>
      </c>
      <c r="J44" s="39">
        <v>0.2</v>
      </c>
    </row>
    <row r="45" spans="1:10" x14ac:dyDescent="0.25">
      <c r="A45" s="23">
        <v>43</v>
      </c>
      <c r="B45" s="39">
        <v>0.5</v>
      </c>
      <c r="C45" s="39">
        <v>0.3</v>
      </c>
      <c r="D45" s="39">
        <v>0.2</v>
      </c>
      <c r="H45" s="39">
        <v>0.5</v>
      </c>
      <c r="I45" s="39">
        <v>0.3</v>
      </c>
      <c r="J45" s="39">
        <v>0.2</v>
      </c>
    </row>
    <row r="46" spans="1:10" x14ac:dyDescent="0.25">
      <c r="A46" s="23">
        <v>44</v>
      </c>
      <c r="B46" s="39">
        <v>0.5</v>
      </c>
      <c r="C46" s="39">
        <v>0.3</v>
      </c>
      <c r="D46" s="39">
        <v>0.2</v>
      </c>
      <c r="H46" s="39">
        <v>0.5</v>
      </c>
      <c r="I46" s="39">
        <v>0.3</v>
      </c>
      <c r="J46" s="39">
        <v>0.2</v>
      </c>
    </row>
    <row r="47" spans="1:10" x14ac:dyDescent="0.25">
      <c r="A47" s="23">
        <v>45</v>
      </c>
      <c r="B47" s="39">
        <v>0.5</v>
      </c>
      <c r="C47" s="39">
        <v>0.3</v>
      </c>
      <c r="D47" s="39">
        <v>0.2</v>
      </c>
      <c r="H47" s="39">
        <v>0.5</v>
      </c>
      <c r="I47" s="39">
        <v>0.3</v>
      </c>
      <c r="J47" s="39">
        <v>0.2</v>
      </c>
    </row>
    <row r="48" spans="1:10" x14ac:dyDescent="0.25">
      <c r="A48" s="23">
        <v>46</v>
      </c>
      <c r="B48" s="39">
        <v>0.5</v>
      </c>
      <c r="C48" s="39">
        <v>0.3</v>
      </c>
      <c r="D48" s="39">
        <v>0.2</v>
      </c>
      <c r="H48" s="39">
        <v>0.5</v>
      </c>
      <c r="I48" s="39">
        <v>0.3</v>
      </c>
      <c r="J48" s="39">
        <v>0.2</v>
      </c>
    </row>
    <row r="49" spans="1:10" x14ac:dyDescent="0.25">
      <c r="A49" s="23">
        <v>47</v>
      </c>
      <c r="B49" s="39">
        <v>0.5</v>
      </c>
      <c r="C49" s="39">
        <v>0.3</v>
      </c>
      <c r="D49" s="39">
        <v>0.2</v>
      </c>
      <c r="H49" s="39">
        <v>0.5</v>
      </c>
      <c r="I49" s="39">
        <v>0.3</v>
      </c>
      <c r="J49" s="39">
        <v>0.2</v>
      </c>
    </row>
    <row r="50" spans="1:10" x14ac:dyDescent="0.25">
      <c r="A50" s="23">
        <v>48</v>
      </c>
      <c r="B50" s="39">
        <v>0.5</v>
      </c>
      <c r="C50" s="39">
        <v>0.3</v>
      </c>
      <c r="D50" s="39">
        <v>0.2</v>
      </c>
      <c r="H50" s="39">
        <v>0.5</v>
      </c>
      <c r="I50" s="39">
        <v>0.3</v>
      </c>
      <c r="J50" s="39">
        <v>0.2</v>
      </c>
    </row>
    <row r="51" spans="1:10" x14ac:dyDescent="0.25">
      <c r="A51" s="23">
        <v>49</v>
      </c>
      <c r="B51" s="39">
        <v>0.5</v>
      </c>
      <c r="C51" s="39">
        <v>0.3</v>
      </c>
      <c r="D51" s="39">
        <v>0.2</v>
      </c>
      <c r="H51" s="39">
        <v>0.5</v>
      </c>
      <c r="I51" s="39">
        <v>0.3</v>
      </c>
      <c r="J51" s="39">
        <v>0.2</v>
      </c>
    </row>
    <row r="52" spans="1:10" x14ac:dyDescent="0.25">
      <c r="A52" s="23">
        <v>50</v>
      </c>
      <c r="B52" s="39">
        <v>0.5</v>
      </c>
      <c r="C52" s="39">
        <v>0.3</v>
      </c>
      <c r="D52" s="39">
        <v>0.2</v>
      </c>
      <c r="H52" s="39">
        <v>0.5</v>
      </c>
      <c r="I52" s="39">
        <v>0.3</v>
      </c>
      <c r="J52" s="39">
        <v>0.2</v>
      </c>
    </row>
    <row r="53" spans="1:10" x14ac:dyDescent="0.25">
      <c r="A53" s="23">
        <v>51</v>
      </c>
      <c r="B53" s="39">
        <v>0.5</v>
      </c>
      <c r="C53" s="39">
        <v>0.3</v>
      </c>
      <c r="D53" s="39">
        <v>0.2</v>
      </c>
      <c r="H53" s="39">
        <v>0.5</v>
      </c>
      <c r="I53" s="39">
        <v>0.3</v>
      </c>
      <c r="J53" s="39">
        <v>0.2</v>
      </c>
    </row>
    <row r="54" spans="1:10" x14ac:dyDescent="0.25">
      <c r="A54" s="23">
        <v>52</v>
      </c>
      <c r="B54" s="39">
        <v>0.5</v>
      </c>
      <c r="C54" s="39">
        <v>0.3</v>
      </c>
      <c r="D54" s="39">
        <v>0.2</v>
      </c>
      <c r="H54" s="39">
        <v>0.5</v>
      </c>
      <c r="I54" s="39">
        <v>0.3</v>
      </c>
      <c r="J54" s="39">
        <v>0.2</v>
      </c>
    </row>
    <row r="55" spans="1:10" x14ac:dyDescent="0.25">
      <c r="A55" s="23">
        <v>53</v>
      </c>
      <c r="B55" s="39">
        <v>0.5</v>
      </c>
      <c r="C55" s="39">
        <v>0.3</v>
      </c>
      <c r="D55" s="39">
        <v>0.2</v>
      </c>
      <c r="H55" s="39">
        <v>0.5</v>
      </c>
      <c r="I55" s="39">
        <v>0.3</v>
      </c>
      <c r="J55" s="39">
        <v>0.2</v>
      </c>
    </row>
    <row r="56" spans="1:10" x14ac:dyDescent="0.25">
      <c r="A56" s="23">
        <v>54</v>
      </c>
      <c r="B56" s="39">
        <v>0.5</v>
      </c>
      <c r="C56" s="39">
        <v>0.3</v>
      </c>
      <c r="D56" s="39">
        <v>0.2</v>
      </c>
      <c r="H56" s="39">
        <v>0.5</v>
      </c>
      <c r="I56" s="39">
        <v>0.3</v>
      </c>
      <c r="J56" s="39">
        <v>0.2</v>
      </c>
    </row>
    <row r="57" spans="1:10" x14ac:dyDescent="0.25">
      <c r="A57" s="23">
        <v>55</v>
      </c>
      <c r="B57" s="39">
        <v>0.5</v>
      </c>
      <c r="C57" s="39">
        <v>0.3</v>
      </c>
      <c r="D57" s="39">
        <v>0.2</v>
      </c>
      <c r="H57" s="39">
        <v>0.5</v>
      </c>
      <c r="I57" s="39">
        <v>0.3</v>
      </c>
      <c r="J57" s="39">
        <v>0.2</v>
      </c>
    </row>
    <row r="58" spans="1:10" x14ac:dyDescent="0.25">
      <c r="A58" s="23">
        <v>56</v>
      </c>
      <c r="B58" s="39">
        <v>0.5</v>
      </c>
      <c r="C58" s="39">
        <v>0.3</v>
      </c>
      <c r="D58" s="39">
        <v>0.2</v>
      </c>
      <c r="H58" s="39">
        <v>0.5</v>
      </c>
      <c r="I58" s="39">
        <v>0.3</v>
      </c>
      <c r="J58" s="39">
        <v>0.2</v>
      </c>
    </row>
    <row r="59" spans="1:10" x14ac:dyDescent="0.25">
      <c r="A59" s="23">
        <v>57</v>
      </c>
      <c r="B59" s="39">
        <v>0.5</v>
      </c>
      <c r="C59" s="39">
        <v>0.3</v>
      </c>
      <c r="D59" s="39">
        <v>0.2</v>
      </c>
      <c r="H59" s="39">
        <v>0.5</v>
      </c>
      <c r="I59" s="39">
        <v>0.3</v>
      </c>
      <c r="J59" s="39">
        <v>0.2</v>
      </c>
    </row>
    <row r="60" spans="1:10" x14ac:dyDescent="0.25">
      <c r="A60" s="23">
        <v>58</v>
      </c>
      <c r="B60" s="39">
        <v>0.5</v>
      </c>
      <c r="C60" s="39">
        <v>0.3</v>
      </c>
      <c r="D60" s="39">
        <v>0.2</v>
      </c>
      <c r="H60" s="39">
        <v>0.5</v>
      </c>
      <c r="I60" s="39">
        <v>0.3</v>
      </c>
      <c r="J60" s="39">
        <v>0.2</v>
      </c>
    </row>
    <row r="61" spans="1:10" x14ac:dyDescent="0.25">
      <c r="A61" s="23">
        <v>59</v>
      </c>
      <c r="B61" s="39">
        <v>0.5</v>
      </c>
      <c r="C61" s="39">
        <v>0.3</v>
      </c>
      <c r="D61" s="39">
        <v>0.2</v>
      </c>
      <c r="H61" s="39">
        <v>0.5</v>
      </c>
      <c r="I61" s="39">
        <v>0.3</v>
      </c>
      <c r="J61" s="39">
        <v>0.2</v>
      </c>
    </row>
    <row r="62" spans="1:10" x14ac:dyDescent="0.25">
      <c r="A62" s="23">
        <v>60</v>
      </c>
      <c r="B62" s="39">
        <v>0.5</v>
      </c>
      <c r="C62" s="39">
        <v>0.3</v>
      </c>
      <c r="D62" s="39">
        <v>0.2</v>
      </c>
      <c r="H62" s="39">
        <v>0.5</v>
      </c>
      <c r="I62" s="39">
        <v>0.3</v>
      </c>
      <c r="J62" s="39">
        <v>0.2</v>
      </c>
    </row>
    <row r="63" spans="1:10" x14ac:dyDescent="0.25">
      <c r="A63" s="23">
        <v>61</v>
      </c>
      <c r="B63" s="39">
        <v>0.5</v>
      </c>
      <c r="C63" s="39">
        <v>0.3</v>
      </c>
      <c r="D63" s="39">
        <v>0.2</v>
      </c>
      <c r="H63" s="39">
        <v>0.5</v>
      </c>
      <c r="I63" s="39">
        <v>0.3</v>
      </c>
      <c r="J63" s="39">
        <v>0.2</v>
      </c>
    </row>
    <row r="64" spans="1:10" x14ac:dyDescent="0.25">
      <c r="A64" s="23">
        <v>62</v>
      </c>
      <c r="B64" s="39">
        <v>0.5</v>
      </c>
      <c r="C64" s="39">
        <v>0.4</v>
      </c>
      <c r="D64" s="39">
        <v>0.3</v>
      </c>
      <c r="H64" s="39">
        <v>0.5</v>
      </c>
      <c r="I64" s="39">
        <v>0.4</v>
      </c>
      <c r="J64" s="39">
        <v>0.3</v>
      </c>
    </row>
    <row r="65" spans="1:10" x14ac:dyDescent="0.25">
      <c r="A65" s="23">
        <v>63</v>
      </c>
      <c r="B65" s="39">
        <v>0.5</v>
      </c>
      <c r="C65" s="39">
        <v>0.4</v>
      </c>
      <c r="D65" s="39">
        <v>0.3</v>
      </c>
      <c r="H65" s="39">
        <v>0.5</v>
      </c>
      <c r="I65" s="39">
        <v>0.4</v>
      </c>
      <c r="J65" s="39">
        <v>0.3</v>
      </c>
    </row>
    <row r="66" spans="1:10" x14ac:dyDescent="0.25">
      <c r="A66" s="23">
        <v>64</v>
      </c>
      <c r="B66" s="39">
        <v>0.5</v>
      </c>
      <c r="C66" s="39">
        <v>0.4</v>
      </c>
      <c r="D66" s="39">
        <v>0.3</v>
      </c>
      <c r="H66" s="39">
        <v>0.5</v>
      </c>
      <c r="I66" s="39">
        <v>0.4</v>
      </c>
      <c r="J66" s="39">
        <v>0.3</v>
      </c>
    </row>
    <row r="67" spans="1:10" x14ac:dyDescent="0.25">
      <c r="A67" s="23">
        <v>65</v>
      </c>
      <c r="B67" s="39">
        <v>0.5</v>
      </c>
      <c r="C67" s="39">
        <v>0.4</v>
      </c>
      <c r="D67" s="39">
        <v>0.3</v>
      </c>
      <c r="H67" s="39">
        <v>0.5</v>
      </c>
      <c r="I67" s="39">
        <v>0.4</v>
      </c>
      <c r="J67" s="39">
        <v>0.3</v>
      </c>
    </row>
    <row r="68" spans="1:10" x14ac:dyDescent="0.25">
      <c r="A68" s="23">
        <v>66</v>
      </c>
      <c r="B68" s="39">
        <v>0.5</v>
      </c>
      <c r="C68" s="39">
        <v>0.4</v>
      </c>
      <c r="D68" s="39">
        <v>0.3</v>
      </c>
      <c r="H68" s="39">
        <v>0.5</v>
      </c>
      <c r="I68" s="39">
        <v>0.4</v>
      </c>
      <c r="J68" s="39">
        <v>0.3</v>
      </c>
    </row>
    <row r="69" spans="1:10" x14ac:dyDescent="0.25">
      <c r="A69" s="23">
        <v>67</v>
      </c>
      <c r="B69" s="39">
        <v>0.5</v>
      </c>
      <c r="C69" s="39">
        <v>0.4</v>
      </c>
      <c r="D69" s="39">
        <v>0.3</v>
      </c>
      <c r="H69" s="39">
        <v>0.5</v>
      </c>
      <c r="I69" s="39">
        <v>0.4</v>
      </c>
      <c r="J69" s="39">
        <v>0.3</v>
      </c>
    </row>
    <row r="70" spans="1:10" x14ac:dyDescent="0.25">
      <c r="A70" s="23">
        <v>68</v>
      </c>
      <c r="B70" s="39">
        <v>0.5</v>
      </c>
      <c r="C70" s="39">
        <v>0.4</v>
      </c>
      <c r="D70" s="39">
        <v>0.3</v>
      </c>
      <c r="H70" s="39">
        <v>0.5</v>
      </c>
      <c r="I70" s="39">
        <v>0.4</v>
      </c>
      <c r="J70" s="39">
        <v>0.3</v>
      </c>
    </row>
    <row r="71" spans="1:10" x14ac:dyDescent="0.25">
      <c r="A71" s="23">
        <v>69</v>
      </c>
      <c r="B71" s="39">
        <v>0.5</v>
      </c>
      <c r="C71" s="39">
        <v>0.4</v>
      </c>
      <c r="D71" s="39">
        <v>0.3</v>
      </c>
      <c r="H71" s="39">
        <v>0.5</v>
      </c>
      <c r="I71" s="39">
        <v>0.4</v>
      </c>
      <c r="J71" s="39">
        <v>0.3</v>
      </c>
    </row>
    <row r="72" spans="1:10" x14ac:dyDescent="0.25">
      <c r="A72" s="23">
        <v>70</v>
      </c>
      <c r="B72" s="39">
        <v>0.5</v>
      </c>
      <c r="C72" s="39">
        <v>0.4</v>
      </c>
      <c r="D72" s="39">
        <v>0.3</v>
      </c>
      <c r="H72" s="39">
        <v>0.5</v>
      </c>
      <c r="I72" s="39">
        <v>0.4</v>
      </c>
      <c r="J72" s="39">
        <v>0.3</v>
      </c>
    </row>
    <row r="73" spans="1:10" x14ac:dyDescent="0.25">
      <c r="A73" s="23">
        <v>71</v>
      </c>
      <c r="B73" s="39">
        <v>0.5</v>
      </c>
      <c r="C73" s="39">
        <v>0.4</v>
      </c>
      <c r="D73" s="39">
        <v>0.3</v>
      </c>
      <c r="H73" s="39">
        <v>0.5</v>
      </c>
      <c r="I73" s="39">
        <v>0.4</v>
      </c>
      <c r="J73" s="39">
        <v>0.3</v>
      </c>
    </row>
    <row r="74" spans="1:10" x14ac:dyDescent="0.25">
      <c r="A74" s="23">
        <v>72</v>
      </c>
      <c r="B74" s="39">
        <v>0.5</v>
      </c>
      <c r="C74" s="39">
        <v>0.4</v>
      </c>
      <c r="D74" s="39">
        <v>0.3</v>
      </c>
      <c r="H74" s="39">
        <v>0.5</v>
      </c>
      <c r="I74" s="39">
        <v>0.4</v>
      </c>
      <c r="J74" s="39">
        <v>0.3</v>
      </c>
    </row>
    <row r="75" spans="1:10" x14ac:dyDescent="0.25">
      <c r="A75" s="23">
        <v>73</v>
      </c>
      <c r="B75" s="39">
        <v>0.5</v>
      </c>
      <c r="C75" s="39">
        <v>0.4</v>
      </c>
      <c r="D75" s="39">
        <v>0.3</v>
      </c>
      <c r="H75" s="39">
        <v>0.5</v>
      </c>
      <c r="I75" s="39">
        <v>0.4</v>
      </c>
      <c r="J75" s="39">
        <v>0.3</v>
      </c>
    </row>
    <row r="76" spans="1:10" x14ac:dyDescent="0.25">
      <c r="A76" s="23">
        <v>74</v>
      </c>
      <c r="B76" s="39">
        <v>0.5</v>
      </c>
      <c r="C76" s="39">
        <v>0.4</v>
      </c>
      <c r="D76" s="39">
        <v>0.3</v>
      </c>
      <c r="H76" s="39">
        <v>0.5</v>
      </c>
      <c r="I76" s="39">
        <v>0.4</v>
      </c>
      <c r="J76" s="39">
        <v>0.3</v>
      </c>
    </row>
    <row r="77" spans="1:10" x14ac:dyDescent="0.25">
      <c r="A77" s="23">
        <v>75</v>
      </c>
      <c r="B77" s="39">
        <v>0.5</v>
      </c>
      <c r="C77" s="39">
        <v>0.4</v>
      </c>
      <c r="D77" s="39">
        <v>0.3</v>
      </c>
      <c r="H77" s="39">
        <v>0.5</v>
      </c>
      <c r="I77" s="39">
        <v>0.4</v>
      </c>
      <c r="J77" s="39">
        <v>0.3</v>
      </c>
    </row>
    <row r="78" spans="1:10" x14ac:dyDescent="0.25">
      <c r="A78" s="23">
        <v>76</v>
      </c>
      <c r="B78" s="39">
        <v>0.5</v>
      </c>
      <c r="C78" s="39">
        <v>0.4</v>
      </c>
      <c r="D78" s="39">
        <v>0.3</v>
      </c>
      <c r="H78" s="39">
        <v>0.5</v>
      </c>
      <c r="I78" s="39">
        <v>0.4</v>
      </c>
      <c r="J78" s="39">
        <v>0.3</v>
      </c>
    </row>
    <row r="79" spans="1:10" x14ac:dyDescent="0.25">
      <c r="A79" s="23">
        <v>77</v>
      </c>
      <c r="B79" s="39">
        <v>0.5</v>
      </c>
      <c r="C79" s="39">
        <v>0.4</v>
      </c>
      <c r="D79" s="39">
        <v>0.3</v>
      </c>
      <c r="H79" s="39">
        <v>0.5</v>
      </c>
      <c r="I79" s="39">
        <v>0.4</v>
      </c>
      <c r="J79" s="39">
        <v>0.3</v>
      </c>
    </row>
    <row r="80" spans="1:10" x14ac:dyDescent="0.25">
      <c r="A80" s="23">
        <v>78</v>
      </c>
      <c r="B80" s="39">
        <v>0.5</v>
      </c>
      <c r="C80" s="39">
        <v>0.4</v>
      </c>
      <c r="D80" s="39">
        <v>0.3</v>
      </c>
      <c r="H80" s="39">
        <v>0.5</v>
      </c>
      <c r="I80" s="39">
        <v>0.4</v>
      </c>
      <c r="J80" s="39">
        <v>0.3</v>
      </c>
    </row>
    <row r="81" spans="1:10" x14ac:dyDescent="0.25">
      <c r="A81" s="23">
        <v>79</v>
      </c>
      <c r="B81" s="39">
        <v>0.5</v>
      </c>
      <c r="C81" s="39">
        <v>0.4</v>
      </c>
      <c r="D81" s="39">
        <v>0.3</v>
      </c>
      <c r="H81" s="39">
        <v>0.5</v>
      </c>
      <c r="I81" s="39">
        <v>0.4</v>
      </c>
      <c r="J81" s="39">
        <v>0.3</v>
      </c>
    </row>
    <row r="82" spans="1:10" x14ac:dyDescent="0.25">
      <c r="A82" s="23">
        <v>80</v>
      </c>
      <c r="B82" s="39">
        <v>0.5</v>
      </c>
      <c r="C82" s="39">
        <v>0.4</v>
      </c>
      <c r="D82" s="39">
        <v>0.3</v>
      </c>
      <c r="H82" s="39">
        <v>0.5</v>
      </c>
      <c r="I82" s="39">
        <v>0.4</v>
      </c>
      <c r="J82" s="39">
        <v>0.3</v>
      </c>
    </row>
    <row r="83" spans="1:10" x14ac:dyDescent="0.25">
      <c r="A83" s="23">
        <v>81</v>
      </c>
      <c r="B83" s="39">
        <v>0.4</v>
      </c>
      <c r="C83" s="39">
        <v>0.3</v>
      </c>
      <c r="D83" s="39">
        <v>0.2</v>
      </c>
      <c r="H83" s="39">
        <v>0.4</v>
      </c>
      <c r="I83" s="39">
        <v>0.3</v>
      </c>
      <c r="J83" s="39">
        <v>0.2</v>
      </c>
    </row>
    <row r="84" spans="1:10" x14ac:dyDescent="0.25">
      <c r="A84" s="23">
        <v>82</v>
      </c>
      <c r="B84" s="39">
        <v>0.4</v>
      </c>
      <c r="C84" s="39">
        <v>0.3</v>
      </c>
      <c r="D84" s="39">
        <v>0.2</v>
      </c>
      <c r="H84" s="39">
        <v>0.4</v>
      </c>
      <c r="I84" s="39">
        <v>0.3</v>
      </c>
      <c r="J84" s="39">
        <v>0.2</v>
      </c>
    </row>
    <row r="85" spans="1:10" x14ac:dyDescent="0.25">
      <c r="A85" s="23">
        <v>83</v>
      </c>
      <c r="B85" s="39">
        <v>0.4</v>
      </c>
      <c r="C85" s="39">
        <v>0.3</v>
      </c>
      <c r="D85" s="39">
        <v>0.2</v>
      </c>
      <c r="H85" s="39">
        <v>0.4</v>
      </c>
      <c r="I85" s="39">
        <v>0.3</v>
      </c>
      <c r="J85" s="39">
        <v>0.2</v>
      </c>
    </row>
    <row r="86" spans="1:10" x14ac:dyDescent="0.25">
      <c r="A86" s="23">
        <v>84</v>
      </c>
      <c r="B86" s="39">
        <v>0.4</v>
      </c>
      <c r="C86" s="39">
        <v>0.3</v>
      </c>
      <c r="D86" s="39">
        <v>0.2</v>
      </c>
      <c r="H86" s="39">
        <v>0.4</v>
      </c>
      <c r="I86" s="39">
        <v>0.3</v>
      </c>
      <c r="J86" s="39">
        <v>0.2</v>
      </c>
    </row>
    <row r="87" spans="1:10" x14ac:dyDescent="0.25">
      <c r="A87" s="23">
        <v>85</v>
      </c>
      <c r="B87" s="39">
        <v>0.4</v>
      </c>
      <c r="C87" s="39">
        <v>0.3</v>
      </c>
      <c r="D87" s="39">
        <v>0.2</v>
      </c>
      <c r="H87" s="39">
        <v>0.4</v>
      </c>
      <c r="I87" s="39">
        <v>0.3</v>
      </c>
      <c r="J87" s="39">
        <v>0.2</v>
      </c>
    </row>
    <row r="88" spans="1:10" x14ac:dyDescent="0.25">
      <c r="A88" s="23">
        <v>86</v>
      </c>
      <c r="B88" s="39">
        <v>0.4</v>
      </c>
      <c r="C88" s="39">
        <v>0.3</v>
      </c>
      <c r="D88" s="39">
        <v>0.2</v>
      </c>
      <c r="H88" s="39">
        <v>0.4</v>
      </c>
      <c r="I88" s="39">
        <v>0.3</v>
      </c>
      <c r="J88" s="39">
        <v>0.2</v>
      </c>
    </row>
    <row r="89" spans="1:10" x14ac:dyDescent="0.25">
      <c r="A89" s="23">
        <v>87</v>
      </c>
      <c r="B89" s="39">
        <v>0.4</v>
      </c>
      <c r="C89" s="39">
        <v>0.3</v>
      </c>
      <c r="D89" s="39">
        <v>0.2</v>
      </c>
      <c r="H89" s="39">
        <v>0.4</v>
      </c>
      <c r="I89" s="39">
        <v>0.3</v>
      </c>
      <c r="J89" s="39">
        <v>0.2</v>
      </c>
    </row>
    <row r="90" spans="1:10" x14ac:dyDescent="0.25">
      <c r="A90" s="23">
        <v>88</v>
      </c>
      <c r="B90" s="39">
        <v>0.4</v>
      </c>
      <c r="C90" s="39">
        <v>0.3</v>
      </c>
      <c r="D90" s="39">
        <v>0.2</v>
      </c>
      <c r="H90" s="39">
        <v>0.4</v>
      </c>
      <c r="I90" s="39">
        <v>0.3</v>
      </c>
      <c r="J90" s="39">
        <v>0.2</v>
      </c>
    </row>
    <row r="91" spans="1:10" x14ac:dyDescent="0.25">
      <c r="A91" s="23">
        <v>89</v>
      </c>
      <c r="B91" s="39">
        <v>0.4</v>
      </c>
      <c r="C91" s="39">
        <v>0.3</v>
      </c>
      <c r="D91" s="39">
        <v>0.2</v>
      </c>
      <c r="H91" s="39">
        <v>0.4</v>
      </c>
      <c r="I91" s="39">
        <v>0.3</v>
      </c>
      <c r="J91" s="39">
        <v>0.2</v>
      </c>
    </row>
    <row r="92" spans="1:10" x14ac:dyDescent="0.25">
      <c r="A92" s="23">
        <v>90</v>
      </c>
      <c r="B92" s="39">
        <v>0.4</v>
      </c>
      <c r="C92" s="39">
        <v>0.3</v>
      </c>
      <c r="D92" s="39">
        <v>0.2</v>
      </c>
      <c r="H92" s="39">
        <v>0.4</v>
      </c>
      <c r="I92" s="39">
        <v>0.3</v>
      </c>
      <c r="J92" s="39">
        <v>0.2</v>
      </c>
    </row>
    <row r="93" spans="1:10" x14ac:dyDescent="0.25">
      <c r="A93" s="23">
        <v>91</v>
      </c>
      <c r="B93" s="39">
        <v>0.4</v>
      </c>
      <c r="C93" s="39">
        <v>0.3</v>
      </c>
      <c r="D93" s="39">
        <v>0.2</v>
      </c>
      <c r="H93" s="39">
        <v>0.4</v>
      </c>
      <c r="I93" s="39">
        <v>0.3</v>
      </c>
      <c r="J93" s="39">
        <v>0.2</v>
      </c>
    </row>
    <row r="94" spans="1:10" x14ac:dyDescent="0.25">
      <c r="A94" s="23">
        <v>92</v>
      </c>
      <c r="B94" s="39">
        <v>0.4</v>
      </c>
      <c r="C94" s="39">
        <v>0.3</v>
      </c>
      <c r="D94" s="39">
        <v>0.2</v>
      </c>
      <c r="H94" s="39">
        <v>0.4</v>
      </c>
      <c r="I94" s="39">
        <v>0.3</v>
      </c>
      <c r="J94" s="39">
        <v>0.2</v>
      </c>
    </row>
    <row r="95" spans="1:10" x14ac:dyDescent="0.25">
      <c r="A95" s="23">
        <v>93</v>
      </c>
      <c r="B95" s="39">
        <v>0.4</v>
      </c>
      <c r="C95" s="39">
        <v>0.3</v>
      </c>
      <c r="D95" s="39">
        <v>0.2</v>
      </c>
      <c r="H95" s="39">
        <v>0.4</v>
      </c>
      <c r="I95" s="39">
        <v>0.3</v>
      </c>
      <c r="J95" s="39">
        <v>0.2</v>
      </c>
    </row>
    <row r="96" spans="1:10" x14ac:dyDescent="0.25">
      <c r="A96" s="23">
        <v>94</v>
      </c>
      <c r="B96" s="39">
        <v>0.4</v>
      </c>
      <c r="C96" s="39">
        <v>0.3</v>
      </c>
      <c r="D96" s="39">
        <v>0.2</v>
      </c>
      <c r="H96" s="39">
        <v>0.4</v>
      </c>
      <c r="I96" s="39">
        <v>0.3</v>
      </c>
      <c r="J96" s="39">
        <v>0.2</v>
      </c>
    </row>
    <row r="97" spans="1:10" x14ac:dyDescent="0.25">
      <c r="A97" s="23">
        <v>95</v>
      </c>
      <c r="B97" s="39">
        <v>0.4</v>
      </c>
      <c r="C97" s="39">
        <v>0.3</v>
      </c>
      <c r="D97" s="39">
        <v>0.2</v>
      </c>
      <c r="H97" s="39">
        <v>0.4</v>
      </c>
      <c r="I97" s="39">
        <v>0.3</v>
      </c>
      <c r="J97" s="39">
        <v>0.2</v>
      </c>
    </row>
    <row r="98" spans="1:10" x14ac:dyDescent="0.25">
      <c r="A98" s="23">
        <v>96</v>
      </c>
      <c r="B98" s="39">
        <v>0.4</v>
      </c>
      <c r="C98" s="39">
        <v>0.3</v>
      </c>
      <c r="D98" s="39">
        <v>0.2</v>
      </c>
      <c r="H98" s="39">
        <v>0.4</v>
      </c>
      <c r="I98" s="39">
        <v>0.3</v>
      </c>
      <c r="J98" s="39">
        <v>0.2</v>
      </c>
    </row>
    <row r="99" spans="1:10" x14ac:dyDescent="0.25">
      <c r="A99" s="23">
        <v>97</v>
      </c>
      <c r="B99" s="39">
        <v>0.4</v>
      </c>
      <c r="C99" s="39">
        <v>0.3</v>
      </c>
      <c r="D99" s="39">
        <v>0.2</v>
      </c>
      <c r="H99" s="39">
        <v>0.4</v>
      </c>
      <c r="I99" s="39">
        <v>0.3</v>
      </c>
      <c r="J99" s="39">
        <v>0.2</v>
      </c>
    </row>
    <row r="100" spans="1:10" x14ac:dyDescent="0.25">
      <c r="A100" s="23">
        <v>98</v>
      </c>
      <c r="B100" s="39">
        <v>0.4</v>
      </c>
      <c r="C100" s="39">
        <v>0.3</v>
      </c>
      <c r="D100" s="39">
        <v>0.2</v>
      </c>
      <c r="H100" s="39">
        <v>0.4</v>
      </c>
      <c r="I100" s="39">
        <v>0.3</v>
      </c>
      <c r="J100" s="39">
        <v>0.2</v>
      </c>
    </row>
    <row r="101" spans="1:10" x14ac:dyDescent="0.25">
      <c r="A101" s="23">
        <v>99</v>
      </c>
      <c r="B101" s="39">
        <v>0.4</v>
      </c>
      <c r="C101" s="39">
        <v>0.3</v>
      </c>
      <c r="D101" s="39">
        <v>0.2</v>
      </c>
      <c r="H101" s="39">
        <v>0.4</v>
      </c>
      <c r="I101" s="39">
        <v>0.3</v>
      </c>
      <c r="J101" s="39">
        <v>0.2</v>
      </c>
    </row>
    <row r="102" spans="1:10" x14ac:dyDescent="0.25">
      <c r="A102" s="23">
        <v>100</v>
      </c>
      <c r="B102" s="39">
        <v>0.4</v>
      </c>
      <c r="C102" s="39">
        <v>0.3</v>
      </c>
      <c r="D102" s="39">
        <v>0.2</v>
      </c>
      <c r="H102" s="39">
        <v>0.4</v>
      </c>
      <c r="I102" s="39">
        <v>0.3</v>
      </c>
      <c r="J102" s="39">
        <v>0.2</v>
      </c>
    </row>
    <row r="103" spans="1:10" x14ac:dyDescent="0.25">
      <c r="A103" s="23">
        <v>101</v>
      </c>
      <c r="B103" s="39">
        <v>0.3</v>
      </c>
      <c r="C103" s="39">
        <v>0.2</v>
      </c>
      <c r="D103" s="39">
        <v>0.1</v>
      </c>
      <c r="H103" s="39">
        <v>0.3</v>
      </c>
      <c r="I103" s="39">
        <v>0.2</v>
      </c>
      <c r="J103" s="39">
        <v>0.1</v>
      </c>
    </row>
    <row r="104" spans="1:10" x14ac:dyDescent="0.25">
      <c r="A104" s="23">
        <v>102</v>
      </c>
      <c r="B104" s="39">
        <v>0.3</v>
      </c>
      <c r="C104" s="39">
        <v>0.2</v>
      </c>
      <c r="D104" s="39">
        <v>0.1</v>
      </c>
      <c r="H104" s="39">
        <v>0.3</v>
      </c>
      <c r="I104" s="39">
        <v>0.2</v>
      </c>
      <c r="J104" s="39">
        <v>0.1</v>
      </c>
    </row>
    <row r="105" spans="1:10" x14ac:dyDescent="0.25">
      <c r="A105" s="23">
        <v>103</v>
      </c>
      <c r="B105" s="39">
        <v>0.3</v>
      </c>
      <c r="C105" s="39">
        <v>0.2</v>
      </c>
      <c r="D105" s="39">
        <v>0.1</v>
      </c>
      <c r="H105" s="39">
        <v>0.3</v>
      </c>
      <c r="I105" s="39">
        <v>0.2</v>
      </c>
      <c r="J105" s="39">
        <v>0.1</v>
      </c>
    </row>
    <row r="106" spans="1:10" x14ac:dyDescent="0.25">
      <c r="A106" s="23">
        <v>104</v>
      </c>
      <c r="B106" s="39">
        <v>0.3</v>
      </c>
      <c r="C106" s="39">
        <v>0.2</v>
      </c>
      <c r="D106" s="39">
        <v>0.1</v>
      </c>
      <c r="H106" s="39">
        <v>0.3</v>
      </c>
      <c r="I106" s="39">
        <v>0.2</v>
      </c>
      <c r="J106" s="39">
        <v>0.1</v>
      </c>
    </row>
    <row r="107" spans="1:10" x14ac:dyDescent="0.25">
      <c r="A107" s="23">
        <v>105</v>
      </c>
      <c r="B107" s="39">
        <v>0.3</v>
      </c>
      <c r="C107" s="39">
        <v>0.2</v>
      </c>
      <c r="D107" s="39">
        <v>0.1</v>
      </c>
      <c r="H107" s="39">
        <v>0.3</v>
      </c>
      <c r="I107" s="39">
        <v>0.2</v>
      </c>
      <c r="J107" s="39">
        <v>0.1</v>
      </c>
    </row>
    <row r="108" spans="1:10" x14ac:dyDescent="0.25">
      <c r="A108" s="23">
        <v>106</v>
      </c>
      <c r="B108" s="39">
        <v>0.3</v>
      </c>
      <c r="C108" s="39">
        <v>0.2</v>
      </c>
      <c r="D108" s="39">
        <v>0.1</v>
      </c>
      <c r="H108" s="39">
        <v>0.3</v>
      </c>
      <c r="I108" s="39">
        <v>0.2</v>
      </c>
      <c r="J108" s="39">
        <v>0.1</v>
      </c>
    </row>
    <row r="109" spans="1:10" x14ac:dyDescent="0.25">
      <c r="A109" s="23">
        <v>107</v>
      </c>
      <c r="B109" s="39">
        <v>0.3</v>
      </c>
      <c r="C109" s="39">
        <v>0.2</v>
      </c>
      <c r="D109" s="39">
        <v>0.1</v>
      </c>
      <c r="H109" s="39">
        <v>0.3</v>
      </c>
      <c r="I109" s="39">
        <v>0.2</v>
      </c>
      <c r="J109" s="39">
        <v>0.1</v>
      </c>
    </row>
    <row r="110" spans="1:10" x14ac:dyDescent="0.25">
      <c r="A110" s="23">
        <v>108</v>
      </c>
      <c r="B110" s="39">
        <v>0.3</v>
      </c>
      <c r="C110" s="39">
        <v>0.2</v>
      </c>
      <c r="D110" s="39">
        <v>0.1</v>
      </c>
      <c r="H110" s="39">
        <v>0.3</v>
      </c>
      <c r="I110" s="39">
        <v>0.2</v>
      </c>
      <c r="J110" s="39">
        <v>0.1</v>
      </c>
    </row>
    <row r="111" spans="1:10" x14ac:dyDescent="0.25">
      <c r="A111" s="23">
        <v>109</v>
      </c>
      <c r="B111" s="39">
        <v>0.3</v>
      </c>
      <c r="C111" s="39">
        <v>0.2</v>
      </c>
      <c r="D111" s="39">
        <v>0.1</v>
      </c>
      <c r="H111" s="39">
        <v>0.3</v>
      </c>
      <c r="I111" s="39">
        <v>0.2</v>
      </c>
      <c r="J111" s="39">
        <v>0.1</v>
      </c>
    </row>
    <row r="112" spans="1:10" x14ac:dyDescent="0.25">
      <c r="A112" s="23">
        <v>110</v>
      </c>
      <c r="B112" s="39">
        <v>0.3</v>
      </c>
      <c r="C112" s="39">
        <v>0.2</v>
      </c>
      <c r="D112" s="39">
        <v>0.1</v>
      </c>
      <c r="H112" s="39">
        <v>0.3</v>
      </c>
      <c r="I112" s="39">
        <v>0.2</v>
      </c>
      <c r="J112" s="39">
        <v>0.1</v>
      </c>
    </row>
    <row r="113" spans="1:10" x14ac:dyDescent="0.25">
      <c r="A113" s="23">
        <v>111</v>
      </c>
      <c r="B113" s="39">
        <v>0.3</v>
      </c>
      <c r="C113" s="39">
        <v>0.2</v>
      </c>
      <c r="D113" s="39">
        <v>0.1</v>
      </c>
      <c r="H113" s="39">
        <v>0.3</v>
      </c>
      <c r="I113" s="39">
        <v>0.2</v>
      </c>
      <c r="J113" s="39">
        <v>0.1</v>
      </c>
    </row>
    <row r="114" spans="1:10" x14ac:dyDescent="0.25">
      <c r="A114" s="23">
        <v>112</v>
      </c>
      <c r="B114" s="39">
        <v>0.3</v>
      </c>
      <c r="C114" s="39">
        <v>0.2</v>
      </c>
      <c r="D114" s="39">
        <v>0.1</v>
      </c>
      <c r="H114" s="39">
        <v>0.3</v>
      </c>
      <c r="I114" s="39">
        <v>0.2</v>
      </c>
      <c r="J114" s="39">
        <v>0.1</v>
      </c>
    </row>
    <row r="115" spans="1:10" x14ac:dyDescent="0.25">
      <c r="A115" s="23">
        <v>113</v>
      </c>
      <c r="B115" s="39">
        <v>0.3</v>
      </c>
      <c r="C115" s="39">
        <v>0.2</v>
      </c>
      <c r="D115" s="39">
        <v>0.1</v>
      </c>
      <c r="H115" s="39">
        <v>0.3</v>
      </c>
      <c r="I115" s="39">
        <v>0.2</v>
      </c>
      <c r="J115" s="39">
        <v>0.1</v>
      </c>
    </row>
    <row r="116" spans="1:10" x14ac:dyDescent="0.25">
      <c r="A116" s="23">
        <v>114</v>
      </c>
      <c r="B116" s="39">
        <v>0.3</v>
      </c>
      <c r="C116" s="39">
        <v>0.2</v>
      </c>
      <c r="D116" s="39">
        <v>0.1</v>
      </c>
      <c r="H116" s="39">
        <v>0.3</v>
      </c>
      <c r="I116" s="39">
        <v>0.2</v>
      </c>
      <c r="J116" s="39">
        <v>0.1</v>
      </c>
    </row>
    <row r="117" spans="1:10" x14ac:dyDescent="0.25">
      <c r="A117" s="23">
        <v>115</v>
      </c>
      <c r="B117" s="39">
        <v>0.3</v>
      </c>
      <c r="C117" s="39">
        <v>0.2</v>
      </c>
      <c r="D117" s="39">
        <v>0.1</v>
      </c>
      <c r="H117" s="39">
        <v>0.3</v>
      </c>
      <c r="I117" s="39">
        <v>0.2</v>
      </c>
      <c r="J117" s="39">
        <v>0.1</v>
      </c>
    </row>
    <row r="118" spans="1:10" x14ac:dyDescent="0.25">
      <c r="A118" s="23">
        <v>116</v>
      </c>
      <c r="B118" s="39">
        <v>0.3</v>
      </c>
      <c r="C118" s="39">
        <v>0.2</v>
      </c>
      <c r="D118" s="39">
        <v>0.1</v>
      </c>
      <c r="H118" s="39">
        <v>0.3</v>
      </c>
      <c r="I118" s="39">
        <v>0.2</v>
      </c>
      <c r="J118" s="39">
        <v>0.1</v>
      </c>
    </row>
    <row r="119" spans="1:10" x14ac:dyDescent="0.25">
      <c r="A119" s="23">
        <v>117</v>
      </c>
      <c r="B119" s="39">
        <v>0.3</v>
      </c>
      <c r="C119" s="39">
        <v>0.2</v>
      </c>
      <c r="D119" s="39">
        <v>0.1</v>
      </c>
      <c r="H119" s="39">
        <v>0.3</v>
      </c>
      <c r="I119" s="39">
        <v>0.2</v>
      </c>
      <c r="J119" s="39">
        <v>0.1</v>
      </c>
    </row>
    <row r="120" spans="1:10" x14ac:dyDescent="0.25">
      <c r="A120" s="23">
        <v>118</v>
      </c>
      <c r="B120" s="39">
        <v>0.3</v>
      </c>
      <c r="C120" s="39">
        <v>0.2</v>
      </c>
      <c r="D120" s="39">
        <v>0.1</v>
      </c>
      <c r="H120" s="39">
        <v>0.3</v>
      </c>
      <c r="I120" s="39">
        <v>0.2</v>
      </c>
      <c r="J120" s="39">
        <v>0.1</v>
      </c>
    </row>
    <row r="121" spans="1:10" x14ac:dyDescent="0.25">
      <c r="A121" s="23">
        <v>119</v>
      </c>
      <c r="B121" s="39">
        <v>0.3</v>
      </c>
      <c r="C121" s="39">
        <v>0.2</v>
      </c>
      <c r="D121" s="39">
        <v>0.1</v>
      </c>
      <c r="H121" s="39">
        <v>0.3</v>
      </c>
      <c r="I121" s="39">
        <v>0.2</v>
      </c>
      <c r="J121" s="39">
        <v>0.1</v>
      </c>
    </row>
    <row r="122" spans="1:10" x14ac:dyDescent="0.25">
      <c r="A122" s="23">
        <v>120</v>
      </c>
      <c r="B122" s="39">
        <v>0.3</v>
      </c>
      <c r="C122" s="39">
        <v>0.2</v>
      </c>
      <c r="D122" s="39">
        <v>0.1</v>
      </c>
      <c r="H122" s="39">
        <v>0.3</v>
      </c>
      <c r="I122" s="39">
        <v>0.2</v>
      </c>
      <c r="J122" s="39">
        <v>0.1</v>
      </c>
    </row>
    <row r="123" spans="1:10" x14ac:dyDescent="0.25">
      <c r="A123" s="23">
        <v>121</v>
      </c>
      <c r="B123" s="39">
        <v>0.3</v>
      </c>
      <c r="C123" s="39">
        <v>0.2</v>
      </c>
      <c r="D123" s="39">
        <v>0.1</v>
      </c>
      <c r="H123" s="39">
        <v>0.3</v>
      </c>
      <c r="I123" s="39">
        <v>0.2</v>
      </c>
      <c r="J123" s="39">
        <v>0.1</v>
      </c>
    </row>
    <row r="124" spans="1:10" x14ac:dyDescent="0.25">
      <c r="A124" s="23">
        <v>122</v>
      </c>
      <c r="B124" s="39">
        <v>0.3</v>
      </c>
      <c r="C124" s="39">
        <v>0.2</v>
      </c>
      <c r="D124" s="39">
        <v>0.1</v>
      </c>
      <c r="H124" s="39">
        <v>0.3</v>
      </c>
      <c r="I124" s="39">
        <v>0.2</v>
      </c>
      <c r="J124" s="39">
        <v>0.1</v>
      </c>
    </row>
    <row r="125" spans="1:10" x14ac:dyDescent="0.25">
      <c r="A125" s="23">
        <v>123</v>
      </c>
      <c r="B125" s="39">
        <v>0.3</v>
      </c>
      <c r="C125" s="39">
        <v>0.2</v>
      </c>
      <c r="D125" s="39">
        <v>0.1</v>
      </c>
      <c r="H125" s="39">
        <v>0.3</v>
      </c>
      <c r="I125" s="39">
        <v>0.2</v>
      </c>
      <c r="J125" s="39">
        <v>0.1</v>
      </c>
    </row>
    <row r="126" spans="1:10" x14ac:dyDescent="0.25">
      <c r="A126" s="23">
        <v>124</v>
      </c>
      <c r="B126" s="39">
        <v>0.3</v>
      </c>
      <c r="C126" s="39">
        <v>0.2</v>
      </c>
      <c r="D126" s="39">
        <v>0.1</v>
      </c>
      <c r="H126" s="39">
        <v>0.3</v>
      </c>
      <c r="I126" s="39">
        <v>0.2</v>
      </c>
      <c r="J126" s="39">
        <v>0.1</v>
      </c>
    </row>
    <row r="127" spans="1:10" x14ac:dyDescent="0.25">
      <c r="A127" s="23">
        <v>125</v>
      </c>
      <c r="B127" s="39">
        <v>0.3</v>
      </c>
      <c r="C127" s="39">
        <v>0.2</v>
      </c>
      <c r="D127" s="39">
        <v>0.1</v>
      </c>
      <c r="H127" s="39">
        <v>0.3</v>
      </c>
      <c r="I127" s="39">
        <v>0.2</v>
      </c>
      <c r="J127" s="39">
        <v>0.1</v>
      </c>
    </row>
    <row r="128" spans="1:10" x14ac:dyDescent="0.25">
      <c r="A128" s="23">
        <v>126</v>
      </c>
      <c r="B128" s="39">
        <v>0.3</v>
      </c>
      <c r="C128" s="39">
        <v>0.2</v>
      </c>
      <c r="D128" s="39">
        <v>0.1</v>
      </c>
      <c r="H128" s="39">
        <v>0.3</v>
      </c>
      <c r="I128" s="39">
        <v>0.2</v>
      </c>
      <c r="J128" s="39">
        <v>0.1</v>
      </c>
    </row>
    <row r="129" spans="1:10" x14ac:dyDescent="0.25">
      <c r="A129" s="23">
        <v>127</v>
      </c>
      <c r="B129" s="39">
        <v>0.3</v>
      </c>
      <c r="C129" s="39">
        <v>0.2</v>
      </c>
      <c r="D129" s="39">
        <v>0.1</v>
      </c>
      <c r="H129" s="39">
        <v>0.3</v>
      </c>
      <c r="I129" s="39">
        <v>0.2</v>
      </c>
      <c r="J129" s="39">
        <v>0.1</v>
      </c>
    </row>
    <row r="130" spans="1:10" x14ac:dyDescent="0.25">
      <c r="A130" s="23">
        <v>128</v>
      </c>
      <c r="B130" s="39">
        <v>0.3</v>
      </c>
      <c r="C130" s="39">
        <v>0.2</v>
      </c>
      <c r="D130" s="39">
        <v>0.1</v>
      </c>
      <c r="H130" s="39">
        <v>0.3</v>
      </c>
      <c r="I130" s="39">
        <v>0.2</v>
      </c>
      <c r="J130" s="39">
        <v>0.1</v>
      </c>
    </row>
    <row r="131" spans="1:10" x14ac:dyDescent="0.25">
      <c r="A131" s="23">
        <v>129</v>
      </c>
      <c r="B131" s="39">
        <v>0.3</v>
      </c>
      <c r="C131" s="39">
        <v>0.2</v>
      </c>
      <c r="D131" s="39">
        <v>0.1</v>
      </c>
      <c r="H131" s="39">
        <v>0.3</v>
      </c>
      <c r="I131" s="39">
        <v>0.2</v>
      </c>
      <c r="J131" s="39">
        <v>0.1</v>
      </c>
    </row>
    <row r="132" spans="1:10" x14ac:dyDescent="0.25">
      <c r="A132" s="23">
        <v>130</v>
      </c>
      <c r="B132" s="39">
        <v>0.3</v>
      </c>
      <c r="C132" s="39">
        <v>0.2</v>
      </c>
      <c r="D132" s="39">
        <v>0.1</v>
      </c>
      <c r="H132" s="39">
        <v>0.3</v>
      </c>
      <c r="I132" s="39">
        <v>0.2</v>
      </c>
      <c r="J132" s="39">
        <v>0.1</v>
      </c>
    </row>
    <row r="133" spans="1:10" x14ac:dyDescent="0.25">
      <c r="A133" s="23">
        <v>131</v>
      </c>
      <c r="B133" s="39">
        <v>0.3</v>
      </c>
      <c r="C133" s="39">
        <v>0.2</v>
      </c>
      <c r="D133" s="39">
        <v>0.1</v>
      </c>
      <c r="H133" s="39">
        <v>0.3</v>
      </c>
      <c r="I133" s="39">
        <v>0.2</v>
      </c>
      <c r="J133" s="39">
        <v>0.1</v>
      </c>
    </row>
    <row r="134" spans="1:10" x14ac:dyDescent="0.25">
      <c r="A134" s="23">
        <v>132</v>
      </c>
      <c r="B134" s="39">
        <v>0.3</v>
      </c>
      <c r="C134" s="39">
        <v>0.2</v>
      </c>
      <c r="D134" s="39">
        <v>0.1</v>
      </c>
      <c r="H134" s="39">
        <v>0.3</v>
      </c>
      <c r="I134" s="39">
        <v>0.2</v>
      </c>
      <c r="J134" s="39">
        <v>0.1</v>
      </c>
    </row>
    <row r="135" spans="1:10" x14ac:dyDescent="0.25">
      <c r="A135" s="23">
        <v>133</v>
      </c>
      <c r="B135" s="39">
        <v>0.3</v>
      </c>
      <c r="C135" s="39">
        <v>0.2</v>
      </c>
      <c r="D135" s="39">
        <v>0.1</v>
      </c>
      <c r="H135" s="39">
        <v>0.3</v>
      </c>
      <c r="I135" s="39">
        <v>0.2</v>
      </c>
      <c r="J135" s="39">
        <v>0.1</v>
      </c>
    </row>
    <row r="136" spans="1:10" x14ac:dyDescent="0.25">
      <c r="A136" s="23">
        <v>134</v>
      </c>
      <c r="B136" s="39">
        <v>0.3</v>
      </c>
      <c r="C136" s="39">
        <v>0.2</v>
      </c>
      <c r="D136" s="39">
        <v>0.1</v>
      </c>
      <c r="H136" s="39">
        <v>0.3</v>
      </c>
      <c r="I136" s="39">
        <v>0.2</v>
      </c>
      <c r="J136" s="39">
        <v>0.1</v>
      </c>
    </row>
    <row r="137" spans="1:10" x14ac:dyDescent="0.25">
      <c r="A137" s="23">
        <v>135</v>
      </c>
      <c r="B137" s="39">
        <v>0.3</v>
      </c>
      <c r="C137" s="39">
        <v>0.2</v>
      </c>
      <c r="D137" s="39">
        <v>0.1</v>
      </c>
      <c r="H137" s="39">
        <v>0.3</v>
      </c>
      <c r="I137" s="39">
        <v>0.2</v>
      </c>
      <c r="J137" s="39">
        <v>0.1</v>
      </c>
    </row>
    <row r="138" spans="1:10" x14ac:dyDescent="0.25">
      <c r="A138" s="23">
        <v>136</v>
      </c>
      <c r="B138" s="39">
        <v>0.3</v>
      </c>
      <c r="C138" s="39">
        <v>0.2</v>
      </c>
      <c r="D138" s="39">
        <v>0.1</v>
      </c>
      <c r="H138" s="39">
        <v>0.3</v>
      </c>
      <c r="I138" s="39">
        <v>0.2</v>
      </c>
      <c r="J138" s="39">
        <v>0.1</v>
      </c>
    </row>
    <row r="139" spans="1:10" x14ac:dyDescent="0.25">
      <c r="A139" s="23">
        <v>137</v>
      </c>
      <c r="B139" s="39">
        <v>0.3</v>
      </c>
      <c r="C139" s="39">
        <v>0.2</v>
      </c>
      <c r="D139" s="39">
        <v>0.1</v>
      </c>
      <c r="H139" s="39">
        <v>0.3</v>
      </c>
      <c r="I139" s="39">
        <v>0.2</v>
      </c>
      <c r="J139" s="39">
        <v>0.1</v>
      </c>
    </row>
    <row r="140" spans="1:10" x14ac:dyDescent="0.25">
      <c r="A140" s="23">
        <v>138</v>
      </c>
      <c r="B140" s="39">
        <v>0.3</v>
      </c>
      <c r="C140" s="39">
        <v>0.2</v>
      </c>
      <c r="D140" s="39">
        <v>0.1</v>
      </c>
      <c r="H140" s="39">
        <v>0.3</v>
      </c>
      <c r="I140" s="39">
        <v>0.2</v>
      </c>
      <c r="J140" s="39">
        <v>0.1</v>
      </c>
    </row>
    <row r="141" spans="1:10" x14ac:dyDescent="0.25">
      <c r="A141" s="23">
        <v>139</v>
      </c>
      <c r="B141" s="39">
        <v>0.3</v>
      </c>
      <c r="C141" s="39">
        <v>0.2</v>
      </c>
      <c r="D141" s="39">
        <v>0.1</v>
      </c>
      <c r="H141" s="39">
        <v>0.3</v>
      </c>
      <c r="I141" s="39">
        <v>0.2</v>
      </c>
      <c r="J141" s="39">
        <v>0.1</v>
      </c>
    </row>
    <row r="142" spans="1:10" x14ac:dyDescent="0.25">
      <c r="A142" s="23">
        <v>140</v>
      </c>
      <c r="B142" s="39">
        <v>0.3</v>
      </c>
      <c r="C142" s="39">
        <v>0.2</v>
      </c>
      <c r="D142" s="39">
        <v>0.1</v>
      </c>
      <c r="H142" s="39">
        <v>0.3</v>
      </c>
      <c r="I142" s="39">
        <v>0.2</v>
      </c>
      <c r="J142" s="39">
        <v>0.1</v>
      </c>
    </row>
    <row r="143" spans="1:10" x14ac:dyDescent="0.25">
      <c r="A143" s="23">
        <v>141</v>
      </c>
      <c r="B143" s="39">
        <v>0.3</v>
      </c>
      <c r="C143" s="39">
        <v>0.2</v>
      </c>
      <c r="D143" s="39">
        <v>0.1</v>
      </c>
      <c r="H143" s="39">
        <v>0.3</v>
      </c>
      <c r="I143" s="39">
        <v>0.2</v>
      </c>
      <c r="J143" s="39">
        <v>0.1</v>
      </c>
    </row>
    <row r="144" spans="1:10" x14ac:dyDescent="0.25">
      <c r="A144" s="23">
        <v>142</v>
      </c>
      <c r="B144" s="39">
        <v>0.3</v>
      </c>
      <c r="C144" s="39">
        <v>0.2</v>
      </c>
      <c r="D144" s="39">
        <v>0.1</v>
      </c>
      <c r="H144" s="39">
        <v>0.3</v>
      </c>
      <c r="I144" s="39">
        <v>0.2</v>
      </c>
      <c r="J144" s="39">
        <v>0.1</v>
      </c>
    </row>
    <row r="145" spans="1:10" x14ac:dyDescent="0.25">
      <c r="A145" s="23">
        <v>143</v>
      </c>
      <c r="B145" s="39">
        <v>0.3</v>
      </c>
      <c r="C145" s="39">
        <v>0.2</v>
      </c>
      <c r="D145" s="39">
        <v>0.1</v>
      </c>
      <c r="H145" s="39">
        <v>0.3</v>
      </c>
      <c r="I145" s="39">
        <v>0.2</v>
      </c>
      <c r="J145" s="39">
        <v>0.1</v>
      </c>
    </row>
    <row r="146" spans="1:10" x14ac:dyDescent="0.25">
      <c r="A146" s="23">
        <v>144</v>
      </c>
      <c r="B146" s="39">
        <v>0.3</v>
      </c>
      <c r="C146" s="39">
        <v>0.2</v>
      </c>
      <c r="D146" s="39">
        <v>0.1</v>
      </c>
      <c r="H146" s="39">
        <v>0.3</v>
      </c>
      <c r="I146" s="39">
        <v>0.2</v>
      </c>
      <c r="J146" s="39">
        <v>0.1</v>
      </c>
    </row>
    <row r="147" spans="1:10" x14ac:dyDescent="0.25">
      <c r="A147" s="23">
        <v>145</v>
      </c>
      <c r="B147" s="39">
        <v>0.3</v>
      </c>
      <c r="C147" s="39">
        <v>0.2</v>
      </c>
      <c r="D147" s="39">
        <v>0.1</v>
      </c>
      <c r="H147" s="39">
        <v>0.3</v>
      </c>
      <c r="I147" s="39">
        <v>0.2</v>
      </c>
      <c r="J147" s="39">
        <v>0.1</v>
      </c>
    </row>
    <row r="148" spans="1:10" x14ac:dyDescent="0.25">
      <c r="A148" s="23">
        <v>146</v>
      </c>
      <c r="B148" s="39">
        <v>0.3</v>
      </c>
      <c r="C148" s="39">
        <v>0.2</v>
      </c>
      <c r="D148" s="39">
        <v>0.1</v>
      </c>
      <c r="H148" s="39">
        <v>0.3</v>
      </c>
      <c r="I148" s="39">
        <v>0.2</v>
      </c>
      <c r="J148" s="39">
        <v>0.1</v>
      </c>
    </row>
    <row r="149" spans="1:10" x14ac:dyDescent="0.25">
      <c r="A149" s="23">
        <v>147</v>
      </c>
      <c r="B149" s="39">
        <v>0.3</v>
      </c>
      <c r="C149" s="39">
        <v>0.2</v>
      </c>
      <c r="D149" s="39">
        <v>0.1</v>
      </c>
      <c r="H149" s="39">
        <v>0.3</v>
      </c>
      <c r="I149" s="39">
        <v>0.2</v>
      </c>
      <c r="J149" s="39">
        <v>0.1</v>
      </c>
    </row>
    <row r="150" spans="1:10" x14ac:dyDescent="0.25">
      <c r="A150" s="23">
        <v>148</v>
      </c>
      <c r="B150" s="39">
        <v>0.3</v>
      </c>
      <c r="C150" s="39">
        <v>0.2</v>
      </c>
      <c r="D150" s="39">
        <v>0.1</v>
      </c>
      <c r="H150" s="39">
        <v>0.3</v>
      </c>
      <c r="I150" s="39">
        <v>0.2</v>
      </c>
      <c r="J150" s="39">
        <v>0.1</v>
      </c>
    </row>
    <row r="151" spans="1:10" x14ac:dyDescent="0.25">
      <c r="A151" s="23">
        <v>149</v>
      </c>
      <c r="B151" s="39">
        <v>0.3</v>
      </c>
      <c r="C151" s="39">
        <v>0.2</v>
      </c>
      <c r="D151" s="39">
        <v>0.1</v>
      </c>
      <c r="H151" s="39">
        <v>0.3</v>
      </c>
      <c r="I151" s="39">
        <v>0.2</v>
      </c>
      <c r="J151" s="39">
        <v>0.1</v>
      </c>
    </row>
    <row r="152" spans="1:10" x14ac:dyDescent="0.25">
      <c r="A152" s="23">
        <v>150</v>
      </c>
      <c r="B152" s="39">
        <v>0.3</v>
      </c>
      <c r="C152" s="39">
        <v>0.2</v>
      </c>
      <c r="D152" s="39">
        <v>0.1</v>
      </c>
      <c r="H152" s="39">
        <v>0.3</v>
      </c>
      <c r="I152" s="39">
        <v>0.2</v>
      </c>
      <c r="J152" s="39">
        <v>0.1</v>
      </c>
    </row>
    <row r="153" spans="1:10" x14ac:dyDescent="0.25">
      <c r="A153" s="23">
        <v>151</v>
      </c>
      <c r="B153" s="39">
        <v>0.3</v>
      </c>
      <c r="C153" s="39">
        <v>0.2</v>
      </c>
      <c r="D153" s="39">
        <v>0.1</v>
      </c>
      <c r="H153" s="39">
        <v>0.3</v>
      </c>
      <c r="I153" s="39">
        <v>0.2</v>
      </c>
      <c r="J153" s="39">
        <v>0.1</v>
      </c>
    </row>
    <row r="154" spans="1:10" x14ac:dyDescent="0.25">
      <c r="A154" s="23">
        <v>152</v>
      </c>
      <c r="B154" s="39">
        <v>0.3</v>
      </c>
      <c r="C154" s="39">
        <v>0.2</v>
      </c>
      <c r="D154" s="39">
        <v>0.1</v>
      </c>
      <c r="H154" s="39">
        <v>0.3</v>
      </c>
      <c r="I154" s="39">
        <v>0.2</v>
      </c>
      <c r="J154" s="39">
        <v>0.1</v>
      </c>
    </row>
    <row r="155" spans="1:10" x14ac:dyDescent="0.25">
      <c r="A155" s="23">
        <v>153</v>
      </c>
      <c r="B155" s="39">
        <v>0.3</v>
      </c>
      <c r="C155" s="39">
        <v>0.2</v>
      </c>
      <c r="D155" s="39">
        <v>0.1</v>
      </c>
      <c r="H155" s="39">
        <v>0.3</v>
      </c>
      <c r="I155" s="39">
        <v>0.2</v>
      </c>
      <c r="J155" s="39">
        <v>0.1</v>
      </c>
    </row>
    <row r="156" spans="1:10" x14ac:dyDescent="0.25">
      <c r="A156" s="23">
        <v>154</v>
      </c>
      <c r="B156" s="39">
        <v>0.3</v>
      </c>
      <c r="C156" s="39">
        <v>0.2</v>
      </c>
      <c r="D156" s="39">
        <v>0.1</v>
      </c>
      <c r="H156" s="39">
        <v>0.3</v>
      </c>
      <c r="I156" s="39">
        <v>0.2</v>
      </c>
      <c r="J156" s="39">
        <v>0.1</v>
      </c>
    </row>
    <row r="157" spans="1:10" x14ac:dyDescent="0.25">
      <c r="A157" s="23">
        <v>155</v>
      </c>
      <c r="B157" s="39">
        <v>0.3</v>
      </c>
      <c r="C157" s="39">
        <v>0.2</v>
      </c>
      <c r="D157" s="39">
        <v>0.1</v>
      </c>
      <c r="H157" s="39">
        <v>0.3</v>
      </c>
      <c r="I157" s="39">
        <v>0.2</v>
      </c>
      <c r="J157" s="39">
        <v>0.1</v>
      </c>
    </row>
    <row r="158" spans="1:10" x14ac:dyDescent="0.25">
      <c r="A158" s="23">
        <v>156</v>
      </c>
      <c r="B158" s="39">
        <v>0.3</v>
      </c>
      <c r="C158" s="39">
        <v>0.2</v>
      </c>
      <c r="D158" s="39">
        <v>0.1</v>
      </c>
      <c r="H158" s="39">
        <v>0.3</v>
      </c>
      <c r="I158" s="39">
        <v>0.2</v>
      </c>
      <c r="J158" s="39">
        <v>0.1</v>
      </c>
    </row>
    <row r="159" spans="1:10" x14ac:dyDescent="0.25">
      <c r="A159" s="23">
        <v>157</v>
      </c>
      <c r="B159" s="39">
        <v>0.3</v>
      </c>
      <c r="C159" s="39">
        <v>0.2</v>
      </c>
      <c r="D159" s="39">
        <v>0.1</v>
      </c>
      <c r="H159" s="39">
        <v>0.3</v>
      </c>
      <c r="I159" s="39">
        <v>0.2</v>
      </c>
      <c r="J159" s="39">
        <v>0.1</v>
      </c>
    </row>
    <row r="160" spans="1:10" x14ac:dyDescent="0.25">
      <c r="A160" s="23">
        <v>158</v>
      </c>
      <c r="B160" s="39">
        <v>0.3</v>
      </c>
      <c r="C160" s="39">
        <v>0.2</v>
      </c>
      <c r="D160" s="39">
        <v>0.1</v>
      </c>
      <c r="H160" s="39">
        <v>0.3</v>
      </c>
      <c r="I160" s="39">
        <v>0.2</v>
      </c>
      <c r="J160" s="39">
        <v>0.1</v>
      </c>
    </row>
    <row r="161" spans="1:10" x14ac:dyDescent="0.25">
      <c r="A161" s="23">
        <v>159</v>
      </c>
      <c r="B161" s="39">
        <v>0.3</v>
      </c>
      <c r="C161" s="39">
        <v>0.2</v>
      </c>
      <c r="D161" s="39">
        <v>0.1</v>
      </c>
      <c r="H161" s="39">
        <v>0.3</v>
      </c>
      <c r="I161" s="39">
        <v>0.2</v>
      </c>
      <c r="J161" s="39">
        <v>0.1</v>
      </c>
    </row>
    <row r="162" spans="1:10" x14ac:dyDescent="0.25">
      <c r="A162" s="23">
        <v>160</v>
      </c>
      <c r="B162" s="39">
        <v>0.3</v>
      </c>
      <c r="C162" s="39">
        <v>0.2</v>
      </c>
      <c r="D162" s="39">
        <v>0.1</v>
      </c>
      <c r="H162" s="39">
        <v>0.3</v>
      </c>
      <c r="I162" s="39">
        <v>0.2</v>
      </c>
      <c r="J162" s="39">
        <v>0.1</v>
      </c>
    </row>
    <row r="163" spans="1:10" x14ac:dyDescent="0.25">
      <c r="A163" s="23">
        <v>161</v>
      </c>
      <c r="B163" s="39">
        <v>0.3</v>
      </c>
      <c r="C163" s="39">
        <v>0.2</v>
      </c>
      <c r="D163" s="39">
        <v>0.1</v>
      </c>
      <c r="H163" s="39">
        <v>0.3</v>
      </c>
      <c r="I163" s="39">
        <v>0.2</v>
      </c>
      <c r="J163" s="39">
        <v>0.1</v>
      </c>
    </row>
    <row r="164" spans="1:10" x14ac:dyDescent="0.25">
      <c r="A164" s="23">
        <v>162</v>
      </c>
      <c r="B164" s="39">
        <v>0.3</v>
      </c>
      <c r="C164" s="39">
        <v>0.2</v>
      </c>
      <c r="D164" s="39">
        <v>0.1</v>
      </c>
      <c r="H164" s="39">
        <v>0.3</v>
      </c>
      <c r="I164" s="39">
        <v>0.2</v>
      </c>
      <c r="J164" s="39">
        <v>0.1</v>
      </c>
    </row>
    <row r="165" spans="1:10" x14ac:dyDescent="0.25">
      <c r="A165" s="23">
        <v>163</v>
      </c>
      <c r="B165" s="39">
        <v>0.3</v>
      </c>
      <c r="C165" s="39">
        <v>0.2</v>
      </c>
      <c r="D165" s="39">
        <v>0.1</v>
      </c>
      <c r="H165" s="39">
        <v>0.3</v>
      </c>
      <c r="I165" s="39">
        <v>0.2</v>
      </c>
      <c r="J165" s="39">
        <v>0.1</v>
      </c>
    </row>
    <row r="166" spans="1:10" x14ac:dyDescent="0.25">
      <c r="A166" s="23">
        <v>164</v>
      </c>
      <c r="B166" s="39">
        <v>0.3</v>
      </c>
      <c r="C166" s="39">
        <v>0.2</v>
      </c>
      <c r="D166" s="39">
        <v>0.1</v>
      </c>
      <c r="H166" s="39">
        <v>0.3</v>
      </c>
      <c r="I166" s="39">
        <v>0.2</v>
      </c>
      <c r="J166" s="39">
        <v>0.1</v>
      </c>
    </row>
    <row r="167" spans="1:10" x14ac:dyDescent="0.25">
      <c r="A167" s="23">
        <v>165</v>
      </c>
      <c r="B167" s="39">
        <v>0.3</v>
      </c>
      <c r="C167" s="39">
        <v>0.2</v>
      </c>
      <c r="D167" s="39">
        <v>0.1</v>
      </c>
      <c r="H167" s="39">
        <v>0.3</v>
      </c>
      <c r="I167" s="39">
        <v>0.2</v>
      </c>
      <c r="J167" s="39">
        <v>0.1</v>
      </c>
    </row>
    <row r="168" spans="1:10" x14ac:dyDescent="0.25">
      <c r="A168" s="23">
        <v>166</v>
      </c>
      <c r="B168" s="39">
        <v>0.3</v>
      </c>
      <c r="C168" s="39">
        <v>0.2</v>
      </c>
      <c r="D168" s="39">
        <v>0.1</v>
      </c>
      <c r="H168" s="39">
        <v>0.3</v>
      </c>
      <c r="I168" s="39">
        <v>0.2</v>
      </c>
      <c r="J168" s="39">
        <v>0.1</v>
      </c>
    </row>
    <row r="169" spans="1:10" x14ac:dyDescent="0.25">
      <c r="A169" s="23">
        <v>167</v>
      </c>
      <c r="B169" s="39">
        <v>0.3</v>
      </c>
      <c r="C169" s="39">
        <v>0.2</v>
      </c>
      <c r="D169" s="39">
        <v>0.1</v>
      </c>
      <c r="H169" s="39">
        <v>0.3</v>
      </c>
      <c r="I169" s="39">
        <v>0.2</v>
      </c>
      <c r="J169" s="39">
        <v>0.1</v>
      </c>
    </row>
    <row r="170" spans="1:10" x14ac:dyDescent="0.25">
      <c r="A170" s="23">
        <v>168</v>
      </c>
      <c r="B170" s="39">
        <v>0.3</v>
      </c>
      <c r="C170" s="39">
        <v>0.2</v>
      </c>
      <c r="D170" s="39">
        <v>0.1</v>
      </c>
      <c r="H170" s="39">
        <v>0.3</v>
      </c>
      <c r="I170" s="39">
        <v>0.2</v>
      </c>
      <c r="J170" s="39">
        <v>0.1</v>
      </c>
    </row>
    <row r="171" spans="1:10" x14ac:dyDescent="0.25">
      <c r="A171" s="23">
        <v>169</v>
      </c>
      <c r="B171" s="39">
        <v>0.3</v>
      </c>
      <c r="C171" s="39">
        <v>0.2</v>
      </c>
      <c r="D171" s="39">
        <v>0.1</v>
      </c>
      <c r="H171" s="39">
        <v>0.3</v>
      </c>
      <c r="I171" s="39">
        <v>0.2</v>
      </c>
      <c r="J171" s="39">
        <v>0.1</v>
      </c>
    </row>
    <row r="172" spans="1:10" x14ac:dyDescent="0.25">
      <c r="A172" s="23">
        <v>170</v>
      </c>
      <c r="B172" s="39">
        <v>0.3</v>
      </c>
      <c r="C172" s="39">
        <v>0.2</v>
      </c>
      <c r="D172" s="39">
        <v>0.1</v>
      </c>
      <c r="H172" s="39">
        <v>0.3</v>
      </c>
      <c r="I172" s="39">
        <v>0.2</v>
      </c>
      <c r="J172" s="39">
        <v>0.1</v>
      </c>
    </row>
    <row r="173" spans="1:10" x14ac:dyDescent="0.25">
      <c r="A173" s="23">
        <v>171</v>
      </c>
      <c r="B173" s="39">
        <v>0.3</v>
      </c>
      <c r="C173" s="39">
        <v>0.2</v>
      </c>
      <c r="D173" s="39">
        <v>0.1</v>
      </c>
      <c r="H173" s="39">
        <v>0.3</v>
      </c>
      <c r="I173" s="39">
        <v>0.2</v>
      </c>
      <c r="J173" s="39">
        <v>0.1</v>
      </c>
    </row>
    <row r="174" spans="1:10" x14ac:dyDescent="0.25">
      <c r="A174" s="23">
        <v>172</v>
      </c>
      <c r="B174" s="39">
        <v>0.3</v>
      </c>
      <c r="C174" s="39">
        <v>0.2</v>
      </c>
      <c r="D174" s="39">
        <v>0.1</v>
      </c>
      <c r="H174" s="39">
        <v>0.3</v>
      </c>
      <c r="I174" s="39">
        <v>0.2</v>
      </c>
      <c r="J174" s="39">
        <v>0.1</v>
      </c>
    </row>
    <row r="175" spans="1:10" x14ac:dyDescent="0.25">
      <c r="A175" s="23">
        <v>173</v>
      </c>
      <c r="B175" s="39">
        <v>0.3</v>
      </c>
      <c r="C175" s="39">
        <v>0.2</v>
      </c>
      <c r="D175" s="39">
        <v>0.1</v>
      </c>
      <c r="H175" s="39">
        <v>0.3</v>
      </c>
      <c r="I175" s="39">
        <v>0.2</v>
      </c>
      <c r="J175" s="39">
        <v>0.1</v>
      </c>
    </row>
    <row r="176" spans="1:10" x14ac:dyDescent="0.25">
      <c r="A176" s="23">
        <v>174</v>
      </c>
      <c r="B176" s="39">
        <v>0.3</v>
      </c>
      <c r="C176" s="39">
        <v>0.2</v>
      </c>
      <c r="D176" s="39">
        <v>0.1</v>
      </c>
      <c r="H176" s="39">
        <v>0.3</v>
      </c>
      <c r="I176" s="39">
        <v>0.2</v>
      </c>
      <c r="J176" s="39">
        <v>0.1</v>
      </c>
    </row>
    <row r="177" spans="1:10" x14ac:dyDescent="0.25">
      <c r="A177" s="23">
        <v>175</v>
      </c>
      <c r="B177" s="39">
        <v>0.3</v>
      </c>
      <c r="C177" s="39">
        <v>0.2</v>
      </c>
      <c r="D177" s="39">
        <v>0.1</v>
      </c>
      <c r="H177" s="39">
        <v>0.3</v>
      </c>
      <c r="I177" s="39">
        <v>0.2</v>
      </c>
      <c r="J177" s="39">
        <v>0.1</v>
      </c>
    </row>
    <row r="178" spans="1:10" x14ac:dyDescent="0.25">
      <c r="A178" s="23">
        <v>176</v>
      </c>
      <c r="B178" s="39">
        <v>0.3</v>
      </c>
      <c r="C178" s="39">
        <v>0.2</v>
      </c>
      <c r="D178" s="39">
        <v>0.1</v>
      </c>
      <c r="H178" s="39">
        <v>0.3</v>
      </c>
      <c r="I178" s="39">
        <v>0.2</v>
      </c>
      <c r="J178" s="39">
        <v>0.1</v>
      </c>
    </row>
    <row r="179" spans="1:10" x14ac:dyDescent="0.25">
      <c r="A179" s="23">
        <v>177</v>
      </c>
      <c r="B179" s="39">
        <v>0.3</v>
      </c>
      <c r="C179" s="39">
        <v>0.2</v>
      </c>
      <c r="D179" s="39">
        <v>0.1</v>
      </c>
      <c r="H179" s="39">
        <v>0.3</v>
      </c>
      <c r="I179" s="39">
        <v>0.2</v>
      </c>
      <c r="J179" s="39">
        <v>0.1</v>
      </c>
    </row>
    <row r="180" spans="1:10" x14ac:dyDescent="0.25">
      <c r="A180" s="23">
        <v>178</v>
      </c>
      <c r="B180" s="39">
        <v>0.3</v>
      </c>
      <c r="C180" s="39">
        <v>0.2</v>
      </c>
      <c r="D180" s="39">
        <v>0.1</v>
      </c>
      <c r="H180" s="39">
        <v>0.3</v>
      </c>
      <c r="I180" s="39">
        <v>0.2</v>
      </c>
      <c r="J180" s="39">
        <v>0.1</v>
      </c>
    </row>
    <row r="181" spans="1:10" x14ac:dyDescent="0.25">
      <c r="A181" s="23">
        <v>179</v>
      </c>
      <c r="B181" s="39">
        <v>0.3</v>
      </c>
      <c r="C181" s="39">
        <v>0.2</v>
      </c>
      <c r="D181" s="39">
        <v>0.1</v>
      </c>
      <c r="H181" s="39">
        <v>0.3</v>
      </c>
      <c r="I181" s="39">
        <v>0.2</v>
      </c>
      <c r="J181" s="39">
        <v>0.1</v>
      </c>
    </row>
    <row r="182" spans="1:10" x14ac:dyDescent="0.25">
      <c r="A182" s="23">
        <v>180</v>
      </c>
      <c r="B182" s="39">
        <v>0.3</v>
      </c>
      <c r="C182" s="39">
        <v>0.2</v>
      </c>
      <c r="D182" s="39">
        <v>0.1</v>
      </c>
      <c r="H182" s="39">
        <v>0.3</v>
      </c>
      <c r="I182" s="39">
        <v>0.2</v>
      </c>
      <c r="J182" s="39">
        <v>0.1</v>
      </c>
    </row>
    <row r="183" spans="1:10" x14ac:dyDescent="0.25">
      <c r="A183" s="23">
        <v>181</v>
      </c>
      <c r="B183" s="39">
        <v>0.3</v>
      </c>
      <c r="C183" s="39">
        <v>0.2</v>
      </c>
      <c r="D183" s="39">
        <v>0.1</v>
      </c>
      <c r="H183" s="39">
        <v>0.3</v>
      </c>
      <c r="I183" s="39">
        <v>0.2</v>
      </c>
      <c r="J183" s="39">
        <v>0.1</v>
      </c>
    </row>
    <row r="184" spans="1:10" x14ac:dyDescent="0.25">
      <c r="A184" s="23">
        <v>182</v>
      </c>
      <c r="B184" s="39">
        <v>0.3</v>
      </c>
      <c r="C184" s="39">
        <v>0.2</v>
      </c>
      <c r="D184" s="39">
        <v>0.1</v>
      </c>
      <c r="H184" s="39">
        <v>0.3</v>
      </c>
      <c r="I184" s="39">
        <v>0.2</v>
      </c>
      <c r="J184" s="39">
        <v>0.1</v>
      </c>
    </row>
    <row r="185" spans="1:10" x14ac:dyDescent="0.25">
      <c r="A185" s="23">
        <v>183</v>
      </c>
      <c r="B185" s="39">
        <v>0.3</v>
      </c>
      <c r="C185" s="39">
        <v>0.2</v>
      </c>
      <c r="D185" s="39">
        <v>0.1</v>
      </c>
      <c r="H185" s="39">
        <v>0.3</v>
      </c>
      <c r="I185" s="39">
        <v>0.2</v>
      </c>
      <c r="J185" s="39">
        <v>0.1</v>
      </c>
    </row>
    <row r="186" spans="1:10" x14ac:dyDescent="0.25">
      <c r="A186" s="23">
        <v>184</v>
      </c>
      <c r="B186" s="39">
        <v>0.3</v>
      </c>
      <c r="C186" s="39">
        <v>0.2</v>
      </c>
      <c r="D186" s="39">
        <v>0.1</v>
      </c>
      <c r="H186" s="39">
        <v>0.3</v>
      </c>
      <c r="I186" s="39">
        <v>0.2</v>
      </c>
      <c r="J186" s="39">
        <v>0.1</v>
      </c>
    </row>
    <row r="187" spans="1:10" x14ac:dyDescent="0.25">
      <c r="A187" s="23">
        <v>185</v>
      </c>
      <c r="B187" s="39">
        <v>0.3</v>
      </c>
      <c r="C187" s="39">
        <v>0.2</v>
      </c>
      <c r="D187" s="39">
        <v>0.1</v>
      </c>
      <c r="H187" s="39">
        <v>0.3</v>
      </c>
      <c r="I187" s="39">
        <v>0.2</v>
      </c>
      <c r="J187" s="39">
        <v>0.1</v>
      </c>
    </row>
    <row r="188" spans="1:10" x14ac:dyDescent="0.25">
      <c r="A188" s="23">
        <v>186</v>
      </c>
      <c r="B188" s="39">
        <v>0.3</v>
      </c>
      <c r="C188" s="39">
        <v>0.2</v>
      </c>
      <c r="D188" s="39">
        <v>0.1</v>
      </c>
      <c r="H188" s="39">
        <v>0.3</v>
      </c>
      <c r="I188" s="39">
        <v>0.2</v>
      </c>
      <c r="J188" s="39">
        <v>0.1</v>
      </c>
    </row>
    <row r="189" spans="1:10" x14ac:dyDescent="0.25">
      <c r="A189" s="23">
        <v>187</v>
      </c>
      <c r="B189" s="39">
        <v>0.3</v>
      </c>
      <c r="C189" s="39">
        <v>0.2</v>
      </c>
      <c r="D189" s="39">
        <v>0.1</v>
      </c>
      <c r="H189" s="39">
        <v>0.3</v>
      </c>
      <c r="I189" s="39">
        <v>0.2</v>
      </c>
      <c r="J189" s="39">
        <v>0.1</v>
      </c>
    </row>
    <row r="190" spans="1:10" x14ac:dyDescent="0.25">
      <c r="A190" s="23">
        <v>188</v>
      </c>
      <c r="B190" s="39">
        <v>0.3</v>
      </c>
      <c r="C190" s="39">
        <v>0.2</v>
      </c>
      <c r="D190" s="39">
        <v>0.1</v>
      </c>
      <c r="H190" s="39">
        <v>0.3</v>
      </c>
      <c r="I190" s="39">
        <v>0.2</v>
      </c>
      <c r="J190" s="39">
        <v>0.1</v>
      </c>
    </row>
    <row r="191" spans="1:10" x14ac:dyDescent="0.25">
      <c r="A191" s="23">
        <v>189</v>
      </c>
      <c r="B191" s="39">
        <v>0.3</v>
      </c>
      <c r="C191" s="39">
        <v>0.2</v>
      </c>
      <c r="D191" s="39">
        <v>0.1</v>
      </c>
      <c r="H191" s="39">
        <v>0.3</v>
      </c>
      <c r="I191" s="39">
        <v>0.2</v>
      </c>
      <c r="J191" s="39">
        <v>0.1</v>
      </c>
    </row>
    <row r="192" spans="1:10" x14ac:dyDescent="0.25">
      <c r="A192" s="23">
        <v>190</v>
      </c>
      <c r="B192" s="39">
        <v>0.3</v>
      </c>
      <c r="C192" s="39">
        <v>0.2</v>
      </c>
      <c r="D192" s="39">
        <v>0.1</v>
      </c>
      <c r="H192" s="39">
        <v>0.3</v>
      </c>
      <c r="I192" s="39">
        <v>0.2</v>
      </c>
      <c r="J192" s="39">
        <v>0.1</v>
      </c>
    </row>
    <row r="193" spans="1:10" x14ac:dyDescent="0.25">
      <c r="A193" s="23">
        <v>191</v>
      </c>
      <c r="B193" s="39">
        <v>0.3</v>
      </c>
      <c r="C193" s="39">
        <v>0.2</v>
      </c>
      <c r="D193" s="39">
        <v>0.1</v>
      </c>
      <c r="H193" s="39">
        <v>0.3</v>
      </c>
      <c r="I193" s="39">
        <v>0.2</v>
      </c>
      <c r="J193" s="39">
        <v>0.1</v>
      </c>
    </row>
    <row r="194" spans="1:10" x14ac:dyDescent="0.25">
      <c r="A194" s="23">
        <v>192</v>
      </c>
      <c r="B194" s="39">
        <v>0.3</v>
      </c>
      <c r="C194" s="39">
        <v>0.2</v>
      </c>
      <c r="D194" s="39">
        <v>0.1</v>
      </c>
      <c r="H194" s="39">
        <v>0.3</v>
      </c>
      <c r="I194" s="39">
        <v>0.2</v>
      </c>
      <c r="J194" s="39">
        <v>0.1</v>
      </c>
    </row>
    <row r="195" spans="1:10" x14ac:dyDescent="0.25">
      <c r="A195" s="23">
        <v>193</v>
      </c>
      <c r="B195" s="39">
        <v>0.3</v>
      </c>
      <c r="C195" s="39">
        <v>0.2</v>
      </c>
      <c r="D195" s="39">
        <v>0.1</v>
      </c>
      <c r="H195" s="39">
        <v>0.3</v>
      </c>
      <c r="I195" s="39">
        <v>0.2</v>
      </c>
      <c r="J195" s="39">
        <v>0.1</v>
      </c>
    </row>
    <row r="196" spans="1:10" x14ac:dyDescent="0.25">
      <c r="A196" s="23">
        <v>194</v>
      </c>
      <c r="B196" s="39">
        <v>0.3</v>
      </c>
      <c r="C196" s="39">
        <v>0.2</v>
      </c>
      <c r="D196" s="39">
        <v>0.1</v>
      </c>
      <c r="H196" s="39">
        <v>0.3</v>
      </c>
      <c r="I196" s="39">
        <v>0.2</v>
      </c>
      <c r="J196" s="39">
        <v>0.1</v>
      </c>
    </row>
    <row r="197" spans="1:10" x14ac:dyDescent="0.25">
      <c r="A197" s="23">
        <v>195</v>
      </c>
      <c r="B197" s="39">
        <v>0.3</v>
      </c>
      <c r="C197" s="39">
        <v>0.2</v>
      </c>
      <c r="D197" s="39">
        <v>0.1</v>
      </c>
      <c r="H197" s="39">
        <v>0.3</v>
      </c>
      <c r="I197" s="39">
        <v>0.2</v>
      </c>
      <c r="J197" s="39">
        <v>0.1</v>
      </c>
    </row>
    <row r="198" spans="1:10" x14ac:dyDescent="0.25">
      <c r="A198" s="23">
        <v>196</v>
      </c>
      <c r="B198" s="39">
        <v>0.3</v>
      </c>
      <c r="C198" s="39">
        <v>0.2</v>
      </c>
      <c r="D198" s="39">
        <v>0.1</v>
      </c>
      <c r="H198" s="39">
        <v>0.3</v>
      </c>
      <c r="I198" s="39">
        <v>0.2</v>
      </c>
      <c r="J198" s="39">
        <v>0.1</v>
      </c>
    </row>
    <row r="199" spans="1:10" x14ac:dyDescent="0.25">
      <c r="A199" s="23">
        <v>197</v>
      </c>
      <c r="B199" s="39">
        <v>0.3</v>
      </c>
      <c r="C199" s="39">
        <v>0.2</v>
      </c>
      <c r="D199" s="39">
        <v>0.1</v>
      </c>
      <c r="H199" s="39">
        <v>0.3</v>
      </c>
      <c r="I199" s="39">
        <v>0.2</v>
      </c>
      <c r="J199" s="39">
        <v>0.1</v>
      </c>
    </row>
    <row r="200" spans="1:10" x14ac:dyDescent="0.25">
      <c r="A200" s="23">
        <v>198</v>
      </c>
      <c r="B200" s="39">
        <v>0.3</v>
      </c>
      <c r="C200" s="39">
        <v>0.2</v>
      </c>
      <c r="D200" s="39">
        <v>0.1</v>
      </c>
      <c r="H200" s="39">
        <v>0.3</v>
      </c>
      <c r="I200" s="39">
        <v>0.2</v>
      </c>
      <c r="J200" s="39">
        <v>0.1</v>
      </c>
    </row>
    <row r="201" spans="1:10" x14ac:dyDescent="0.25">
      <c r="A201" s="23">
        <v>199</v>
      </c>
      <c r="B201" s="39">
        <v>0.3</v>
      </c>
      <c r="C201" s="39">
        <v>0.2</v>
      </c>
      <c r="D201" s="39">
        <v>0.1</v>
      </c>
      <c r="H201" s="39">
        <v>0.3</v>
      </c>
      <c r="I201" s="39">
        <v>0.2</v>
      </c>
      <c r="J201" s="39">
        <v>0.1</v>
      </c>
    </row>
    <row r="202" spans="1:10" x14ac:dyDescent="0.25">
      <c r="A202" s="23">
        <v>200</v>
      </c>
      <c r="B202" s="39">
        <v>0.3</v>
      </c>
      <c r="C202" s="39">
        <v>0.2</v>
      </c>
      <c r="D202" s="39">
        <v>0.1</v>
      </c>
      <c r="H202" s="39">
        <v>0.3</v>
      </c>
      <c r="I202" s="39">
        <v>0.2</v>
      </c>
      <c r="J202" s="39">
        <v>0.1</v>
      </c>
    </row>
    <row r="203" spans="1:10" x14ac:dyDescent="0.25">
      <c r="A203" s="23">
        <v>201</v>
      </c>
      <c r="B203" s="39">
        <v>0.3</v>
      </c>
      <c r="C203" s="39">
        <v>0.2</v>
      </c>
      <c r="D203" s="39">
        <v>0.1</v>
      </c>
      <c r="H203" s="39">
        <v>0.3</v>
      </c>
      <c r="I203" s="39">
        <v>0.2</v>
      </c>
      <c r="J203" s="39">
        <v>0.1</v>
      </c>
    </row>
    <row r="204" spans="1:10" x14ac:dyDescent="0.25">
      <c r="A204" s="23">
        <v>202</v>
      </c>
      <c r="B204" s="39">
        <v>0.3</v>
      </c>
      <c r="C204" s="39">
        <v>0.2</v>
      </c>
      <c r="D204" s="39">
        <v>0.1</v>
      </c>
      <c r="H204" s="39">
        <v>0.3</v>
      </c>
      <c r="I204" s="39">
        <v>0.2</v>
      </c>
      <c r="J204" s="39">
        <v>0.1</v>
      </c>
    </row>
    <row r="205" spans="1:10" x14ac:dyDescent="0.25">
      <c r="A205" s="23">
        <v>203</v>
      </c>
      <c r="B205" s="39">
        <v>0.3</v>
      </c>
      <c r="C205" s="39">
        <v>0.2</v>
      </c>
      <c r="D205" s="39">
        <v>0.1</v>
      </c>
      <c r="H205" s="39">
        <v>0.3</v>
      </c>
      <c r="I205" s="39">
        <v>0.2</v>
      </c>
      <c r="J205" s="39">
        <v>0.1</v>
      </c>
    </row>
    <row r="206" spans="1:10" x14ac:dyDescent="0.25">
      <c r="A206" s="23">
        <v>204</v>
      </c>
      <c r="B206" s="39">
        <v>0.3</v>
      </c>
      <c r="C206" s="39">
        <v>0.2</v>
      </c>
      <c r="D206" s="39">
        <v>0.1</v>
      </c>
      <c r="H206" s="39">
        <v>0.3</v>
      </c>
      <c r="I206" s="39">
        <v>0.2</v>
      </c>
      <c r="J206" s="39">
        <v>0.1</v>
      </c>
    </row>
    <row r="207" spans="1:10" x14ac:dyDescent="0.25">
      <c r="A207" s="23">
        <v>205</v>
      </c>
      <c r="B207" s="39">
        <v>0.3</v>
      </c>
      <c r="C207" s="39">
        <v>0.2</v>
      </c>
      <c r="D207" s="39">
        <v>0.1</v>
      </c>
      <c r="H207" s="39">
        <v>0.3</v>
      </c>
      <c r="I207" s="39">
        <v>0.2</v>
      </c>
      <c r="J207" s="39">
        <v>0.1</v>
      </c>
    </row>
    <row r="208" spans="1:10" x14ac:dyDescent="0.25">
      <c r="A208" s="23">
        <v>206</v>
      </c>
      <c r="B208" s="39">
        <v>0.3</v>
      </c>
      <c r="C208" s="39">
        <v>0.2</v>
      </c>
      <c r="D208" s="39">
        <v>0.1</v>
      </c>
      <c r="H208" s="39">
        <v>0.3</v>
      </c>
      <c r="I208" s="39">
        <v>0.2</v>
      </c>
      <c r="J208" s="39">
        <v>0.1</v>
      </c>
    </row>
    <row r="209" spans="1:10" x14ac:dyDescent="0.25">
      <c r="A209" s="23">
        <v>207</v>
      </c>
      <c r="B209" s="39">
        <v>0.3</v>
      </c>
      <c r="C209" s="39">
        <v>0.2</v>
      </c>
      <c r="D209" s="39">
        <v>0.1</v>
      </c>
      <c r="H209" s="39">
        <v>0.3</v>
      </c>
      <c r="I209" s="39">
        <v>0.2</v>
      </c>
      <c r="J209" s="39">
        <v>0.1</v>
      </c>
    </row>
    <row r="210" spans="1:10" x14ac:dyDescent="0.25">
      <c r="A210" s="23">
        <v>208</v>
      </c>
      <c r="B210" s="39">
        <v>0.3</v>
      </c>
      <c r="C210" s="39">
        <v>0.2</v>
      </c>
      <c r="D210" s="39">
        <v>0.1</v>
      </c>
      <c r="H210" s="39">
        <v>0.3</v>
      </c>
      <c r="I210" s="39">
        <v>0.2</v>
      </c>
      <c r="J210" s="39">
        <v>0.1</v>
      </c>
    </row>
    <row r="211" spans="1:10" x14ac:dyDescent="0.25">
      <c r="A211" s="23">
        <v>209</v>
      </c>
      <c r="B211" s="39">
        <v>0.3</v>
      </c>
      <c r="C211" s="39">
        <v>0.2</v>
      </c>
      <c r="D211" s="39">
        <v>0.1</v>
      </c>
      <c r="H211" s="39">
        <v>0.3</v>
      </c>
      <c r="I211" s="39">
        <v>0.2</v>
      </c>
      <c r="J211" s="39">
        <v>0.1</v>
      </c>
    </row>
    <row r="212" spans="1:10" x14ac:dyDescent="0.25">
      <c r="A212" s="23">
        <v>210</v>
      </c>
      <c r="B212" s="39">
        <v>0.3</v>
      </c>
      <c r="C212" s="39">
        <v>0.2</v>
      </c>
      <c r="D212" s="39">
        <v>0.1</v>
      </c>
      <c r="H212" s="39">
        <v>0.3</v>
      </c>
      <c r="I212" s="39">
        <v>0.2</v>
      </c>
      <c r="J212" s="39">
        <v>0.1</v>
      </c>
    </row>
    <row r="213" spans="1:10" x14ac:dyDescent="0.25">
      <c r="A213" s="23">
        <v>211</v>
      </c>
      <c r="B213" s="39">
        <v>0.3</v>
      </c>
      <c r="C213" s="39">
        <v>0.2</v>
      </c>
      <c r="D213" s="39">
        <v>0.1</v>
      </c>
      <c r="H213" s="39">
        <v>0.3</v>
      </c>
      <c r="I213" s="39">
        <v>0.2</v>
      </c>
      <c r="J213" s="39">
        <v>0.1</v>
      </c>
    </row>
    <row r="214" spans="1:10" x14ac:dyDescent="0.25">
      <c r="A214" s="23">
        <v>212</v>
      </c>
      <c r="B214" s="39">
        <v>0.3</v>
      </c>
      <c r="C214" s="39">
        <v>0.2</v>
      </c>
      <c r="D214" s="39">
        <v>0.1</v>
      </c>
      <c r="H214" s="39">
        <v>0.3</v>
      </c>
      <c r="I214" s="39">
        <v>0.2</v>
      </c>
      <c r="J214" s="39">
        <v>0.1</v>
      </c>
    </row>
    <row r="215" spans="1:10" x14ac:dyDescent="0.25">
      <c r="A215" s="23">
        <v>213</v>
      </c>
      <c r="B215" s="39">
        <v>0.3</v>
      </c>
      <c r="C215" s="39">
        <v>0.2</v>
      </c>
      <c r="D215" s="39">
        <v>0.1</v>
      </c>
      <c r="H215" s="39">
        <v>0.3</v>
      </c>
      <c r="I215" s="39">
        <v>0.2</v>
      </c>
      <c r="J215" s="39">
        <v>0.1</v>
      </c>
    </row>
    <row r="216" spans="1:10" x14ac:dyDescent="0.25">
      <c r="A216" s="23">
        <v>214</v>
      </c>
      <c r="B216" s="39">
        <v>0.3</v>
      </c>
      <c r="C216" s="39">
        <v>0.2</v>
      </c>
      <c r="D216" s="39">
        <v>0.1</v>
      </c>
      <c r="H216" s="39">
        <v>0.3</v>
      </c>
      <c r="I216" s="39">
        <v>0.2</v>
      </c>
      <c r="J216" s="39">
        <v>0.1</v>
      </c>
    </row>
    <row r="217" spans="1:10" x14ac:dyDescent="0.25">
      <c r="A217" s="23">
        <v>215</v>
      </c>
      <c r="B217" s="39">
        <v>0.3</v>
      </c>
      <c r="C217" s="39">
        <v>0.2</v>
      </c>
      <c r="D217" s="39">
        <v>0.1</v>
      </c>
      <c r="H217" s="39">
        <v>0.3</v>
      </c>
      <c r="I217" s="39">
        <v>0.2</v>
      </c>
      <c r="J217" s="39">
        <v>0.1</v>
      </c>
    </row>
    <row r="218" spans="1:10" x14ac:dyDescent="0.25">
      <c r="A218" s="23">
        <v>216</v>
      </c>
      <c r="B218" s="39">
        <v>0.3</v>
      </c>
      <c r="C218" s="39">
        <v>0.2</v>
      </c>
      <c r="D218" s="39">
        <v>0.1</v>
      </c>
      <c r="H218" s="39">
        <v>0.3</v>
      </c>
      <c r="I218" s="39">
        <v>0.2</v>
      </c>
      <c r="J218" s="39">
        <v>0.1</v>
      </c>
    </row>
    <row r="219" spans="1:10" x14ac:dyDescent="0.25">
      <c r="A219" s="23">
        <v>217</v>
      </c>
      <c r="B219" s="39">
        <v>0.3</v>
      </c>
      <c r="C219" s="39">
        <v>0.2</v>
      </c>
      <c r="D219" s="39">
        <v>0.1</v>
      </c>
      <c r="H219" s="39">
        <v>0.3</v>
      </c>
      <c r="I219" s="39">
        <v>0.2</v>
      </c>
      <c r="J219" s="39">
        <v>0.1</v>
      </c>
    </row>
    <row r="220" spans="1:10" x14ac:dyDescent="0.25">
      <c r="A220" s="23">
        <v>218</v>
      </c>
      <c r="B220" s="39">
        <v>0.3</v>
      </c>
      <c r="C220" s="39">
        <v>0.2</v>
      </c>
      <c r="D220" s="39">
        <v>0.1</v>
      </c>
      <c r="H220" s="39">
        <v>0.3</v>
      </c>
      <c r="I220" s="39">
        <v>0.2</v>
      </c>
      <c r="J220" s="39">
        <v>0.1</v>
      </c>
    </row>
    <row r="221" spans="1:10" x14ac:dyDescent="0.25">
      <c r="A221" s="23">
        <v>219</v>
      </c>
      <c r="B221" s="39">
        <v>0.3</v>
      </c>
      <c r="C221" s="39">
        <v>0.2</v>
      </c>
      <c r="D221" s="39">
        <v>0.1</v>
      </c>
      <c r="H221" s="39">
        <v>0.3</v>
      </c>
      <c r="I221" s="39">
        <v>0.2</v>
      </c>
      <c r="J221" s="39">
        <v>0.1</v>
      </c>
    </row>
    <row r="222" spans="1:10" x14ac:dyDescent="0.25">
      <c r="A222" s="23">
        <v>220</v>
      </c>
      <c r="B222" s="39">
        <v>0.3</v>
      </c>
      <c r="C222" s="39">
        <v>0.2</v>
      </c>
      <c r="D222" s="39">
        <v>0.1</v>
      </c>
      <c r="H222" s="39">
        <v>0.3</v>
      </c>
      <c r="I222" s="39">
        <v>0.2</v>
      </c>
      <c r="J222" s="39">
        <v>0.1</v>
      </c>
    </row>
    <row r="223" spans="1:10" x14ac:dyDescent="0.25">
      <c r="A223" s="23">
        <v>221</v>
      </c>
      <c r="B223" s="39">
        <v>0.3</v>
      </c>
      <c r="C223" s="39">
        <v>0.2</v>
      </c>
      <c r="D223" s="39">
        <v>0.1</v>
      </c>
      <c r="H223" s="39">
        <v>0.3</v>
      </c>
      <c r="I223" s="39">
        <v>0.2</v>
      </c>
      <c r="J223" s="39">
        <v>0.1</v>
      </c>
    </row>
    <row r="224" spans="1:10" x14ac:dyDescent="0.25">
      <c r="A224" s="23">
        <v>222</v>
      </c>
      <c r="B224" s="39">
        <v>0.3</v>
      </c>
      <c r="C224" s="39">
        <v>0.2</v>
      </c>
      <c r="D224" s="39">
        <v>0.1</v>
      </c>
      <c r="H224" s="39">
        <v>0.3</v>
      </c>
      <c r="I224" s="39">
        <v>0.2</v>
      </c>
      <c r="J224" s="39">
        <v>0.1</v>
      </c>
    </row>
    <row r="225" spans="1:10" x14ac:dyDescent="0.25">
      <c r="A225" s="23">
        <v>223</v>
      </c>
      <c r="B225" s="39">
        <v>0.3</v>
      </c>
      <c r="C225" s="39">
        <v>0.2</v>
      </c>
      <c r="D225" s="39">
        <v>0.1</v>
      </c>
      <c r="H225" s="39">
        <v>0.3</v>
      </c>
      <c r="I225" s="39">
        <v>0.2</v>
      </c>
      <c r="J225" s="39">
        <v>0.1</v>
      </c>
    </row>
    <row r="226" spans="1:10" x14ac:dyDescent="0.25">
      <c r="A226" s="23">
        <v>224</v>
      </c>
      <c r="B226" s="39">
        <v>0.3</v>
      </c>
      <c r="C226" s="39">
        <v>0.2</v>
      </c>
      <c r="D226" s="39">
        <v>0.1</v>
      </c>
      <c r="H226" s="39">
        <v>0.3</v>
      </c>
      <c r="I226" s="39">
        <v>0.2</v>
      </c>
      <c r="J226" s="39">
        <v>0.1</v>
      </c>
    </row>
    <row r="227" spans="1:10" x14ac:dyDescent="0.25">
      <c r="A227" s="23">
        <v>225</v>
      </c>
      <c r="B227" s="39">
        <v>0.3</v>
      </c>
      <c r="C227" s="39">
        <v>0.2</v>
      </c>
      <c r="D227" s="39">
        <v>0.1</v>
      </c>
      <c r="H227" s="39">
        <v>0.3</v>
      </c>
      <c r="I227" s="39">
        <v>0.2</v>
      </c>
      <c r="J227" s="39">
        <v>0.1</v>
      </c>
    </row>
    <row r="228" spans="1:10" x14ac:dyDescent="0.25">
      <c r="A228" s="23">
        <v>226</v>
      </c>
      <c r="B228" s="39">
        <v>0.3</v>
      </c>
      <c r="C228" s="39">
        <v>0.2</v>
      </c>
      <c r="D228" s="39">
        <v>0.1</v>
      </c>
      <c r="H228" s="39">
        <v>0.3</v>
      </c>
      <c r="I228" s="39">
        <v>0.2</v>
      </c>
      <c r="J228" s="39">
        <v>0.1</v>
      </c>
    </row>
    <row r="229" spans="1:10" x14ac:dyDescent="0.25">
      <c r="A229" s="23">
        <v>227</v>
      </c>
      <c r="B229" s="39">
        <v>0.3</v>
      </c>
      <c r="C229" s="39">
        <v>0.2</v>
      </c>
      <c r="D229" s="39">
        <v>0.1</v>
      </c>
      <c r="H229" s="39">
        <v>0.3</v>
      </c>
      <c r="I229" s="39">
        <v>0.2</v>
      </c>
      <c r="J229" s="39">
        <v>0.1</v>
      </c>
    </row>
    <row r="230" spans="1:10" x14ac:dyDescent="0.25">
      <c r="A230" s="23">
        <v>228</v>
      </c>
      <c r="B230" s="39">
        <v>0.3</v>
      </c>
      <c r="C230" s="39">
        <v>0.2</v>
      </c>
      <c r="D230" s="39">
        <v>0.1</v>
      </c>
      <c r="H230" s="39">
        <v>0.3</v>
      </c>
      <c r="I230" s="39">
        <v>0.2</v>
      </c>
      <c r="J230" s="39">
        <v>0.1</v>
      </c>
    </row>
    <row r="231" spans="1:10" x14ac:dyDescent="0.25">
      <c r="A231" s="23">
        <v>229</v>
      </c>
      <c r="B231" s="39">
        <v>0.3</v>
      </c>
      <c r="C231" s="39">
        <v>0.2</v>
      </c>
      <c r="D231" s="39">
        <v>0.1</v>
      </c>
      <c r="H231" s="39">
        <v>0.3</v>
      </c>
      <c r="I231" s="39">
        <v>0.2</v>
      </c>
      <c r="J231" s="39">
        <v>0.1</v>
      </c>
    </row>
    <row r="232" spans="1:10" x14ac:dyDescent="0.25">
      <c r="A232" s="23">
        <v>230</v>
      </c>
      <c r="B232" s="39">
        <v>0.3</v>
      </c>
      <c r="C232" s="39">
        <v>0.2</v>
      </c>
      <c r="D232" s="39">
        <v>0.1</v>
      </c>
      <c r="H232" s="39">
        <v>0.3</v>
      </c>
      <c r="I232" s="39">
        <v>0.2</v>
      </c>
      <c r="J232" s="39">
        <v>0.1</v>
      </c>
    </row>
    <row r="233" spans="1:10" x14ac:dyDescent="0.25">
      <c r="A233" s="23">
        <v>231</v>
      </c>
      <c r="B233" s="39">
        <v>0.3</v>
      </c>
      <c r="C233" s="39">
        <v>0.2</v>
      </c>
      <c r="D233" s="39">
        <v>0.1</v>
      </c>
      <c r="H233" s="39">
        <v>0.3</v>
      </c>
      <c r="I233" s="39">
        <v>0.2</v>
      </c>
      <c r="J233" s="39">
        <v>0.1</v>
      </c>
    </row>
    <row r="234" spans="1:10" x14ac:dyDescent="0.25">
      <c r="A234" s="23">
        <v>232</v>
      </c>
      <c r="B234" s="39">
        <v>0.3</v>
      </c>
      <c r="C234" s="39">
        <v>0.2</v>
      </c>
      <c r="D234" s="39">
        <v>0.1</v>
      </c>
      <c r="H234" s="39">
        <v>0.3</v>
      </c>
      <c r="I234" s="39">
        <v>0.2</v>
      </c>
      <c r="J234" s="39">
        <v>0.1</v>
      </c>
    </row>
    <row r="235" spans="1:10" x14ac:dyDescent="0.25">
      <c r="A235" s="23">
        <v>233</v>
      </c>
      <c r="B235" s="39">
        <v>0.3</v>
      </c>
      <c r="C235" s="39">
        <v>0.2</v>
      </c>
      <c r="D235" s="39">
        <v>0.1</v>
      </c>
      <c r="H235" s="39">
        <v>0.3</v>
      </c>
      <c r="I235" s="39">
        <v>0.2</v>
      </c>
      <c r="J235" s="39">
        <v>0.1</v>
      </c>
    </row>
    <row r="236" spans="1:10" x14ac:dyDescent="0.25">
      <c r="A236" s="23">
        <v>234</v>
      </c>
      <c r="B236" s="39">
        <v>0.3</v>
      </c>
      <c r="C236" s="39">
        <v>0.2</v>
      </c>
      <c r="D236" s="39">
        <v>0.1</v>
      </c>
      <c r="H236" s="39">
        <v>0.3</v>
      </c>
      <c r="I236" s="39">
        <v>0.2</v>
      </c>
      <c r="J236" s="39">
        <v>0.1</v>
      </c>
    </row>
    <row r="237" spans="1:10" x14ac:dyDescent="0.25">
      <c r="A237" s="23">
        <v>235</v>
      </c>
      <c r="B237" s="39">
        <v>0.3</v>
      </c>
      <c r="C237" s="39">
        <v>0.2</v>
      </c>
      <c r="D237" s="39">
        <v>0.1</v>
      </c>
      <c r="H237" s="39">
        <v>0.3</v>
      </c>
      <c r="I237" s="39">
        <v>0.2</v>
      </c>
      <c r="J237" s="39">
        <v>0.1</v>
      </c>
    </row>
    <row r="238" spans="1:10" x14ac:dyDescent="0.25">
      <c r="A238" s="23">
        <v>236</v>
      </c>
      <c r="B238" s="39">
        <v>0.3</v>
      </c>
      <c r="C238" s="39">
        <v>0.2</v>
      </c>
      <c r="D238" s="39">
        <v>0.1</v>
      </c>
      <c r="H238" s="39">
        <v>0.3</v>
      </c>
      <c r="I238" s="39">
        <v>0.2</v>
      </c>
      <c r="J238" s="39">
        <v>0.1</v>
      </c>
    </row>
    <row r="239" spans="1:10" x14ac:dyDescent="0.25">
      <c r="A239" s="23">
        <v>237</v>
      </c>
      <c r="B239" s="39">
        <v>0.3</v>
      </c>
      <c r="C239" s="39">
        <v>0.2</v>
      </c>
      <c r="D239" s="39">
        <v>0.1</v>
      </c>
      <c r="H239" s="39">
        <v>0.3</v>
      </c>
      <c r="I239" s="39">
        <v>0.2</v>
      </c>
      <c r="J239" s="39">
        <v>0.1</v>
      </c>
    </row>
    <row r="240" spans="1:10" x14ac:dyDescent="0.25">
      <c r="A240" s="23">
        <v>238</v>
      </c>
      <c r="B240" s="39">
        <v>0.3</v>
      </c>
      <c r="C240" s="39">
        <v>0.2</v>
      </c>
      <c r="D240" s="39">
        <v>0.1</v>
      </c>
      <c r="H240" s="39">
        <v>0.3</v>
      </c>
      <c r="I240" s="39">
        <v>0.2</v>
      </c>
      <c r="J240" s="39">
        <v>0.1</v>
      </c>
    </row>
    <row r="241" spans="1:10" x14ac:dyDescent="0.25">
      <c r="A241" s="23">
        <v>239</v>
      </c>
      <c r="B241" s="39">
        <v>0.3</v>
      </c>
      <c r="C241" s="39">
        <v>0.2</v>
      </c>
      <c r="D241" s="39">
        <v>0.1</v>
      </c>
      <c r="H241" s="39">
        <v>0.3</v>
      </c>
      <c r="I241" s="39">
        <v>0.2</v>
      </c>
      <c r="J241" s="39">
        <v>0.1</v>
      </c>
    </row>
    <row r="242" spans="1:10" x14ac:dyDescent="0.25">
      <c r="A242" s="23">
        <v>240</v>
      </c>
      <c r="B242" s="39">
        <v>0.3</v>
      </c>
      <c r="C242" s="39">
        <v>0.2</v>
      </c>
      <c r="D242" s="39">
        <v>0.1</v>
      </c>
      <c r="H242" s="39">
        <v>0.3</v>
      </c>
      <c r="I242" s="39">
        <v>0.2</v>
      </c>
      <c r="J242" s="39">
        <v>0.1</v>
      </c>
    </row>
    <row r="243" spans="1:10" x14ac:dyDescent="0.25">
      <c r="A243" s="23">
        <v>241</v>
      </c>
      <c r="B243" s="39">
        <v>0.3</v>
      </c>
      <c r="C243" s="39">
        <v>0.2</v>
      </c>
      <c r="D243" s="39">
        <v>0.1</v>
      </c>
      <c r="H243" s="39">
        <v>0.3</v>
      </c>
      <c r="I243" s="39">
        <v>0.2</v>
      </c>
      <c r="J243" s="39">
        <v>0.1</v>
      </c>
    </row>
    <row r="244" spans="1:10" x14ac:dyDescent="0.25">
      <c r="A244" s="23">
        <v>242</v>
      </c>
      <c r="B244" s="39">
        <v>0.3</v>
      </c>
      <c r="C244" s="39">
        <v>0.2</v>
      </c>
      <c r="D244" s="39">
        <v>0.1</v>
      </c>
      <c r="H244" s="39">
        <v>0.3</v>
      </c>
      <c r="I244" s="39">
        <v>0.2</v>
      </c>
      <c r="J244" s="39">
        <v>0.1</v>
      </c>
    </row>
    <row r="245" spans="1:10" x14ac:dyDescent="0.25">
      <c r="A245" s="23">
        <v>243</v>
      </c>
      <c r="B245" s="39">
        <v>0.3</v>
      </c>
      <c r="C245" s="39">
        <v>0.2</v>
      </c>
      <c r="D245" s="39">
        <v>0.1</v>
      </c>
      <c r="H245" s="39">
        <v>0.3</v>
      </c>
      <c r="I245" s="39">
        <v>0.2</v>
      </c>
      <c r="J245" s="39">
        <v>0.1</v>
      </c>
    </row>
    <row r="246" spans="1:10" x14ac:dyDescent="0.25">
      <c r="A246" s="23">
        <v>244</v>
      </c>
      <c r="B246" s="39">
        <v>0.3</v>
      </c>
      <c r="C246" s="39">
        <v>0.2</v>
      </c>
      <c r="D246" s="39">
        <v>0.1</v>
      </c>
      <c r="H246" s="39">
        <v>0.3</v>
      </c>
      <c r="I246" s="39">
        <v>0.2</v>
      </c>
      <c r="J246" s="39">
        <v>0.1</v>
      </c>
    </row>
    <row r="247" spans="1:10" x14ac:dyDescent="0.25">
      <c r="A247" s="23">
        <v>245</v>
      </c>
      <c r="B247" s="39">
        <v>0.3</v>
      </c>
      <c r="C247" s="39">
        <v>0.2</v>
      </c>
      <c r="D247" s="39">
        <v>0.1</v>
      </c>
      <c r="H247" s="39">
        <v>0.3</v>
      </c>
      <c r="I247" s="39">
        <v>0.2</v>
      </c>
      <c r="J247" s="39">
        <v>0.1</v>
      </c>
    </row>
    <row r="248" spans="1:10" x14ac:dyDescent="0.25">
      <c r="A248" s="23">
        <v>246</v>
      </c>
      <c r="B248" s="39">
        <v>0.3</v>
      </c>
      <c r="C248" s="39">
        <v>0.2</v>
      </c>
      <c r="D248" s="39">
        <v>0.1</v>
      </c>
      <c r="H248" s="39">
        <v>0.3</v>
      </c>
      <c r="I248" s="39">
        <v>0.2</v>
      </c>
      <c r="J248" s="39">
        <v>0.1</v>
      </c>
    </row>
    <row r="249" spans="1:10" x14ac:dyDescent="0.25">
      <c r="A249" s="23">
        <v>247</v>
      </c>
      <c r="B249" s="39">
        <v>0.3</v>
      </c>
      <c r="C249" s="39">
        <v>0.2</v>
      </c>
      <c r="D249" s="39">
        <v>0.1</v>
      </c>
      <c r="H249" s="39">
        <v>0.3</v>
      </c>
      <c r="I249" s="39">
        <v>0.2</v>
      </c>
      <c r="J249" s="39">
        <v>0.1</v>
      </c>
    </row>
    <row r="250" spans="1:10" x14ac:dyDescent="0.25">
      <c r="A250" s="23">
        <v>248</v>
      </c>
      <c r="B250" s="39">
        <v>0.3</v>
      </c>
      <c r="C250" s="39">
        <v>0.2</v>
      </c>
      <c r="D250" s="39">
        <v>0.1</v>
      </c>
      <c r="H250" s="39">
        <v>0.3</v>
      </c>
      <c r="I250" s="39">
        <v>0.2</v>
      </c>
      <c r="J250" s="39">
        <v>0.1</v>
      </c>
    </row>
    <row r="251" spans="1:10" x14ac:dyDescent="0.25">
      <c r="A251" s="23">
        <v>249</v>
      </c>
      <c r="B251" s="39">
        <v>0.3</v>
      </c>
      <c r="C251" s="39">
        <v>0.2</v>
      </c>
      <c r="D251" s="39">
        <v>0.1</v>
      </c>
      <c r="H251" s="39">
        <v>0.3</v>
      </c>
      <c r="I251" s="39">
        <v>0.2</v>
      </c>
      <c r="J251" s="39">
        <v>0.1</v>
      </c>
    </row>
    <row r="252" spans="1:10" x14ac:dyDescent="0.25">
      <c r="A252" s="23">
        <v>250</v>
      </c>
      <c r="B252" s="39">
        <v>0.3</v>
      </c>
      <c r="C252" s="39">
        <v>0.2</v>
      </c>
      <c r="D252" s="39">
        <v>0.1</v>
      </c>
      <c r="H252" s="39">
        <v>0.3</v>
      </c>
      <c r="I252" s="39">
        <v>0.2</v>
      </c>
      <c r="J252" s="39">
        <v>0.1</v>
      </c>
    </row>
    <row r="253" spans="1:10" x14ac:dyDescent="0.25">
      <c r="A253" s="467">
        <v>251</v>
      </c>
      <c r="B253" s="39">
        <v>0.3</v>
      </c>
      <c r="C253" s="39">
        <v>0.2</v>
      </c>
      <c r="D253" s="39">
        <v>0.1</v>
      </c>
      <c r="H253" s="39">
        <v>0.3</v>
      </c>
      <c r="I253" s="39">
        <v>0.2</v>
      </c>
      <c r="J253" s="39">
        <v>0.1</v>
      </c>
    </row>
    <row r="254" spans="1:10" x14ac:dyDescent="0.25">
      <c r="A254" s="23">
        <v>252</v>
      </c>
      <c r="B254" s="39">
        <v>0.3</v>
      </c>
      <c r="C254" s="39">
        <v>0.2</v>
      </c>
      <c r="D254" s="39">
        <v>0.1</v>
      </c>
      <c r="H254" s="39">
        <v>0.3</v>
      </c>
      <c r="I254" s="39">
        <v>0.2</v>
      </c>
      <c r="J254" s="39">
        <v>0.1</v>
      </c>
    </row>
    <row r="255" spans="1:10" x14ac:dyDescent="0.25">
      <c r="A255" s="23">
        <v>253</v>
      </c>
      <c r="B255" s="39">
        <v>0.3</v>
      </c>
      <c r="C255" s="39">
        <v>0.2</v>
      </c>
      <c r="D255" s="39">
        <v>0.1</v>
      </c>
      <c r="H255" s="39">
        <v>0.3</v>
      </c>
      <c r="I255" s="39">
        <v>0.2</v>
      </c>
      <c r="J255" s="39">
        <v>0.1</v>
      </c>
    </row>
    <row r="256" spans="1:10" x14ac:dyDescent="0.25">
      <c r="A256" s="23">
        <v>254</v>
      </c>
      <c r="B256" s="39">
        <v>0.3</v>
      </c>
      <c r="C256" s="39">
        <v>0.2</v>
      </c>
      <c r="D256" s="39">
        <v>0.1</v>
      </c>
      <c r="H256" s="39">
        <v>0.3</v>
      </c>
      <c r="I256" s="39">
        <v>0.2</v>
      </c>
      <c r="J256" s="39">
        <v>0.1</v>
      </c>
    </row>
    <row r="257" spans="1:10" x14ac:dyDescent="0.25">
      <c r="A257" s="23">
        <v>255</v>
      </c>
      <c r="B257" s="39">
        <v>0.3</v>
      </c>
      <c r="C257" s="39">
        <v>0.2</v>
      </c>
      <c r="D257" s="39">
        <v>0.1</v>
      </c>
      <c r="H257" s="39">
        <v>0.3</v>
      </c>
      <c r="I257" s="39">
        <v>0.2</v>
      </c>
      <c r="J257" s="39">
        <v>0.1</v>
      </c>
    </row>
    <row r="258" spans="1:10" x14ac:dyDescent="0.25">
      <c r="A258" s="23">
        <v>256</v>
      </c>
      <c r="B258" s="39">
        <v>0.3</v>
      </c>
      <c r="C258" s="39">
        <v>0.2</v>
      </c>
      <c r="D258" s="39">
        <v>0.1</v>
      </c>
      <c r="H258" s="39">
        <v>0.3</v>
      </c>
      <c r="I258" s="39">
        <v>0.2</v>
      </c>
      <c r="J258" s="39">
        <v>0.1</v>
      </c>
    </row>
    <row r="259" spans="1:10" x14ac:dyDescent="0.25">
      <c r="A259" s="23">
        <v>257</v>
      </c>
      <c r="B259" s="39">
        <v>0.3</v>
      </c>
      <c r="C259" s="39">
        <v>0.2</v>
      </c>
      <c r="D259" s="39">
        <v>0.1</v>
      </c>
      <c r="H259" s="39">
        <v>0.3</v>
      </c>
      <c r="I259" s="39">
        <v>0.2</v>
      </c>
      <c r="J259" s="39">
        <v>0.1</v>
      </c>
    </row>
    <row r="260" spans="1:10" x14ac:dyDescent="0.25">
      <c r="A260" s="23">
        <v>258</v>
      </c>
      <c r="B260" s="39">
        <v>0.3</v>
      </c>
      <c r="C260" s="39">
        <v>0.2</v>
      </c>
      <c r="D260" s="39">
        <v>0.1</v>
      </c>
      <c r="H260" s="39">
        <v>0.3</v>
      </c>
      <c r="I260" s="39">
        <v>0.2</v>
      </c>
      <c r="J260" s="39">
        <v>0.1</v>
      </c>
    </row>
    <row r="261" spans="1:10" x14ac:dyDescent="0.25">
      <c r="A261" s="23">
        <v>259</v>
      </c>
      <c r="B261" s="39">
        <v>0.3</v>
      </c>
      <c r="C261" s="39">
        <v>0.2</v>
      </c>
      <c r="D261" s="39">
        <v>0.1</v>
      </c>
      <c r="H261" s="39">
        <v>0.3</v>
      </c>
      <c r="I261" s="39">
        <v>0.2</v>
      </c>
      <c r="J261" s="39">
        <v>0.1</v>
      </c>
    </row>
    <row r="262" spans="1:10" x14ac:dyDescent="0.25">
      <c r="A262" s="23">
        <v>260</v>
      </c>
      <c r="B262" s="39">
        <v>0.3</v>
      </c>
      <c r="C262" s="39">
        <v>0.2</v>
      </c>
      <c r="D262" s="39">
        <v>0.1</v>
      </c>
      <c r="H262" s="39">
        <v>0.3</v>
      </c>
      <c r="I262" s="39">
        <v>0.2</v>
      </c>
      <c r="J262" s="39">
        <v>0.1</v>
      </c>
    </row>
    <row r="263" spans="1:10" x14ac:dyDescent="0.25">
      <c r="A263" s="23">
        <v>261</v>
      </c>
      <c r="B263" s="39">
        <v>0.3</v>
      </c>
      <c r="C263" s="39">
        <v>0.2</v>
      </c>
      <c r="D263" s="39">
        <v>0.1</v>
      </c>
      <c r="H263" s="39">
        <v>0.3</v>
      </c>
      <c r="I263" s="39">
        <v>0.2</v>
      </c>
      <c r="J263" s="39">
        <v>0.1</v>
      </c>
    </row>
    <row r="264" spans="1:10" x14ac:dyDescent="0.25">
      <c r="A264" s="23">
        <v>262</v>
      </c>
      <c r="B264" s="39">
        <v>0.3</v>
      </c>
      <c r="C264" s="39">
        <v>0.2</v>
      </c>
      <c r="D264" s="39">
        <v>0.1</v>
      </c>
      <c r="H264" s="39">
        <v>0.3</v>
      </c>
      <c r="I264" s="39">
        <v>0.2</v>
      </c>
      <c r="J264" s="39">
        <v>0.1</v>
      </c>
    </row>
    <row r="265" spans="1:10" x14ac:dyDescent="0.25">
      <c r="A265" s="23">
        <v>263</v>
      </c>
      <c r="B265" s="39">
        <v>0.3</v>
      </c>
      <c r="C265" s="39">
        <v>0.2</v>
      </c>
      <c r="D265" s="39">
        <v>0.1</v>
      </c>
      <c r="H265" s="39">
        <v>0.3</v>
      </c>
      <c r="I265" s="39">
        <v>0.2</v>
      </c>
      <c r="J265" s="39">
        <v>0.1</v>
      </c>
    </row>
    <row r="266" spans="1:10" x14ac:dyDescent="0.25">
      <c r="A266" s="23">
        <v>264</v>
      </c>
      <c r="B266" s="39">
        <v>0.3</v>
      </c>
      <c r="C266" s="39">
        <v>0.2</v>
      </c>
      <c r="D266" s="39">
        <v>0.1</v>
      </c>
      <c r="H266" s="39">
        <v>0.3</v>
      </c>
      <c r="I266" s="39">
        <v>0.2</v>
      </c>
      <c r="J266" s="39">
        <v>0.1</v>
      </c>
    </row>
    <row r="267" spans="1:10" x14ac:dyDescent="0.25">
      <c r="A267" s="23">
        <v>265</v>
      </c>
      <c r="B267" s="39">
        <v>0.3</v>
      </c>
      <c r="C267" s="39">
        <v>0.2</v>
      </c>
      <c r="D267" s="39">
        <v>0.1</v>
      </c>
      <c r="H267" s="39">
        <v>0.3</v>
      </c>
      <c r="I267" s="39">
        <v>0.2</v>
      </c>
      <c r="J267" s="39">
        <v>0.1</v>
      </c>
    </row>
    <row r="268" spans="1:10" x14ac:dyDescent="0.25">
      <c r="A268" s="23">
        <v>266</v>
      </c>
      <c r="B268" s="39">
        <v>0.3</v>
      </c>
      <c r="C268" s="39">
        <v>0.2</v>
      </c>
      <c r="D268" s="39">
        <v>0.1</v>
      </c>
      <c r="H268" s="39">
        <v>0.3</v>
      </c>
      <c r="I268" s="39">
        <v>0.2</v>
      </c>
      <c r="J268" s="39">
        <v>0.1</v>
      </c>
    </row>
    <row r="269" spans="1:10" x14ac:dyDescent="0.25">
      <c r="A269" s="23">
        <v>267</v>
      </c>
      <c r="B269" s="39">
        <v>0.3</v>
      </c>
      <c r="C269" s="39">
        <v>0.2</v>
      </c>
      <c r="D269" s="39">
        <v>0.1</v>
      </c>
      <c r="H269" s="39">
        <v>0.3</v>
      </c>
      <c r="I269" s="39">
        <v>0.2</v>
      </c>
      <c r="J269" s="39">
        <v>0.1</v>
      </c>
    </row>
    <row r="270" spans="1:10" x14ac:dyDescent="0.25">
      <c r="A270" s="23">
        <v>268</v>
      </c>
      <c r="B270" s="39">
        <v>0.3</v>
      </c>
      <c r="C270" s="39">
        <v>0.2</v>
      </c>
      <c r="D270" s="39">
        <v>0.1</v>
      </c>
      <c r="H270" s="39">
        <v>0.3</v>
      </c>
      <c r="I270" s="39">
        <v>0.2</v>
      </c>
      <c r="J270" s="39">
        <v>0.1</v>
      </c>
    </row>
    <row r="271" spans="1:10" x14ac:dyDescent="0.25">
      <c r="A271" s="23">
        <v>269</v>
      </c>
      <c r="B271" s="39">
        <v>0.3</v>
      </c>
      <c r="C271" s="39">
        <v>0.2</v>
      </c>
      <c r="D271" s="39">
        <v>0.1</v>
      </c>
      <c r="H271" s="39">
        <v>0.3</v>
      </c>
      <c r="I271" s="39">
        <v>0.2</v>
      </c>
      <c r="J271" s="39">
        <v>0.1</v>
      </c>
    </row>
    <row r="272" spans="1:10" x14ac:dyDescent="0.25">
      <c r="A272" s="23">
        <v>270</v>
      </c>
      <c r="B272" s="39">
        <v>0.3</v>
      </c>
      <c r="C272" s="39">
        <v>0.2</v>
      </c>
      <c r="D272" s="39">
        <v>0.1</v>
      </c>
      <c r="H272" s="39">
        <v>0.3</v>
      </c>
      <c r="I272" s="39">
        <v>0.2</v>
      </c>
      <c r="J272" s="39">
        <v>0.1</v>
      </c>
    </row>
    <row r="273" spans="1:10" x14ac:dyDescent="0.25">
      <c r="A273" s="23">
        <v>271</v>
      </c>
      <c r="B273" s="39">
        <v>0.3</v>
      </c>
      <c r="C273" s="39">
        <v>0.2</v>
      </c>
      <c r="D273" s="39">
        <v>0.1</v>
      </c>
      <c r="H273" s="39">
        <v>0.3</v>
      </c>
      <c r="I273" s="39">
        <v>0.2</v>
      </c>
      <c r="J273" s="39">
        <v>0.1</v>
      </c>
    </row>
    <row r="274" spans="1:10" x14ac:dyDescent="0.25">
      <c r="A274" s="23">
        <v>272</v>
      </c>
      <c r="B274" s="39">
        <v>0.3</v>
      </c>
      <c r="C274" s="39">
        <v>0.2</v>
      </c>
      <c r="D274" s="39">
        <v>0.1</v>
      </c>
      <c r="H274" s="39">
        <v>0.3</v>
      </c>
      <c r="I274" s="39">
        <v>0.2</v>
      </c>
      <c r="J274" s="39">
        <v>0.1</v>
      </c>
    </row>
    <row r="275" spans="1:10" x14ac:dyDescent="0.25">
      <c r="A275" s="23">
        <v>273</v>
      </c>
      <c r="B275" s="39">
        <v>0.3</v>
      </c>
      <c r="C275" s="39">
        <v>0.2</v>
      </c>
      <c r="D275" s="39">
        <v>0.1</v>
      </c>
      <c r="H275" s="39">
        <v>0.3</v>
      </c>
      <c r="I275" s="39">
        <v>0.2</v>
      </c>
      <c r="J275" s="39">
        <v>0.1</v>
      </c>
    </row>
    <row r="276" spans="1:10" x14ac:dyDescent="0.25">
      <c r="A276" s="23">
        <v>274</v>
      </c>
      <c r="B276" s="39">
        <v>0.3</v>
      </c>
      <c r="C276" s="39">
        <v>0.2</v>
      </c>
      <c r="D276" s="39">
        <v>0.1</v>
      </c>
      <c r="H276" s="39">
        <v>0.3</v>
      </c>
      <c r="I276" s="39">
        <v>0.2</v>
      </c>
      <c r="J276" s="39">
        <v>0.1</v>
      </c>
    </row>
    <row r="277" spans="1:10" x14ac:dyDescent="0.25">
      <c r="A277" s="23">
        <v>275</v>
      </c>
      <c r="B277" s="39">
        <v>0.3</v>
      </c>
      <c r="C277" s="39">
        <v>0.2</v>
      </c>
      <c r="D277" s="39">
        <v>0.1</v>
      </c>
      <c r="H277" s="39">
        <v>0.3</v>
      </c>
      <c r="I277" s="39">
        <v>0.2</v>
      </c>
      <c r="J277" s="39">
        <v>0.1</v>
      </c>
    </row>
    <row r="278" spans="1:10" x14ac:dyDescent="0.25">
      <c r="A278" s="23">
        <v>276</v>
      </c>
      <c r="B278" s="39">
        <v>0.3</v>
      </c>
      <c r="C278" s="39">
        <v>0.2</v>
      </c>
      <c r="D278" s="39">
        <v>0.1</v>
      </c>
      <c r="H278" s="39">
        <v>0.3</v>
      </c>
      <c r="I278" s="39">
        <v>0.2</v>
      </c>
      <c r="J278" s="39">
        <v>0.1</v>
      </c>
    </row>
    <row r="279" spans="1:10" x14ac:dyDescent="0.25">
      <c r="A279" s="23">
        <v>277</v>
      </c>
      <c r="B279" s="39">
        <v>0.3</v>
      </c>
      <c r="C279" s="39">
        <v>0.2</v>
      </c>
      <c r="D279" s="39">
        <v>0.1</v>
      </c>
      <c r="H279" s="39">
        <v>0.3</v>
      </c>
      <c r="I279" s="39">
        <v>0.2</v>
      </c>
      <c r="J279" s="39">
        <v>0.1</v>
      </c>
    </row>
    <row r="280" spans="1:10" x14ac:dyDescent="0.25">
      <c r="A280" s="23">
        <v>278</v>
      </c>
      <c r="B280" s="39">
        <v>0.3</v>
      </c>
      <c r="C280" s="39">
        <v>0.2</v>
      </c>
      <c r="D280" s="39">
        <v>0.1</v>
      </c>
      <c r="H280" s="39">
        <v>0.3</v>
      </c>
      <c r="I280" s="39">
        <v>0.2</v>
      </c>
      <c r="J280" s="39">
        <v>0.1</v>
      </c>
    </row>
    <row r="281" spans="1:10" x14ac:dyDescent="0.25">
      <c r="A281" s="23">
        <v>279</v>
      </c>
      <c r="B281" s="39">
        <v>0.3</v>
      </c>
      <c r="C281" s="39">
        <v>0.2</v>
      </c>
      <c r="D281" s="39">
        <v>0.1</v>
      </c>
      <c r="H281" s="39">
        <v>0.3</v>
      </c>
      <c r="I281" s="39">
        <v>0.2</v>
      </c>
      <c r="J281" s="39">
        <v>0.1</v>
      </c>
    </row>
  </sheetData>
  <mergeCells count="1">
    <mergeCell ref="E1:G1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0" sqref="C30"/>
    </sheetView>
  </sheetViews>
  <sheetFormatPr defaultRowHeight="15" x14ac:dyDescent="0.25"/>
  <cols>
    <col min="1" max="1" width="32.7109375" bestFit="1" customWidth="1"/>
    <col min="2" max="2" width="71.7109375" bestFit="1" customWidth="1"/>
    <col min="3" max="3" width="72.85546875" bestFit="1" customWidth="1"/>
  </cols>
  <sheetData>
    <row r="1" spans="1:3" x14ac:dyDescent="0.25">
      <c r="A1" s="350" t="s">
        <v>1619</v>
      </c>
      <c r="B1" s="351" t="s">
        <v>1620</v>
      </c>
      <c r="C1" s="187" t="s">
        <v>1509</v>
      </c>
    </row>
    <row r="2" spans="1:3" x14ac:dyDescent="0.25">
      <c r="A2" s="501" t="s">
        <v>2324</v>
      </c>
      <c r="B2" s="502">
        <v>100</v>
      </c>
      <c r="C2" s="503" t="s">
        <v>2325</v>
      </c>
    </row>
    <row r="3" spans="1:3" x14ac:dyDescent="0.25">
      <c r="A3" s="501" t="s">
        <v>2326</v>
      </c>
      <c r="B3" s="502">
        <v>80</v>
      </c>
      <c r="C3" s="503" t="s">
        <v>2325</v>
      </c>
    </row>
    <row r="4" spans="1:3" x14ac:dyDescent="0.25">
      <c r="A4" s="501" t="s">
        <v>2327</v>
      </c>
      <c r="B4" s="502">
        <v>500</v>
      </c>
      <c r="C4" s="503" t="s">
        <v>2325</v>
      </c>
    </row>
    <row r="5" spans="1:3" x14ac:dyDescent="0.25">
      <c r="A5" s="501" t="s">
        <v>2328</v>
      </c>
      <c r="B5" s="502">
        <v>1</v>
      </c>
      <c r="C5" s="503" t="s">
        <v>2329</v>
      </c>
    </row>
    <row r="6" spans="1:3" x14ac:dyDescent="0.25">
      <c r="A6" s="501" t="s">
        <v>2330</v>
      </c>
      <c r="B6" s="502" t="b">
        <v>0</v>
      </c>
      <c r="C6" s="503" t="s">
        <v>2329</v>
      </c>
    </row>
    <row r="7" spans="1:3" x14ac:dyDescent="0.25">
      <c r="A7" s="54" t="s">
        <v>2331</v>
      </c>
      <c r="B7" s="144" t="b">
        <v>1</v>
      </c>
      <c r="C7" s="144"/>
    </row>
    <row r="8" spans="1:3" x14ac:dyDescent="0.25">
      <c r="A8" s="54" t="s">
        <v>2332</v>
      </c>
      <c r="B8" s="144" t="s">
        <v>2333</v>
      </c>
      <c r="C8" s="305" t="s">
        <v>2334</v>
      </c>
    </row>
    <row r="9" spans="1:3" x14ac:dyDescent="0.25">
      <c r="A9" s="54" t="s">
        <v>2335</v>
      </c>
      <c r="B9" s="144" t="b">
        <v>1</v>
      </c>
      <c r="C9" s="4"/>
    </row>
    <row r="10" spans="1:3" x14ac:dyDescent="0.25">
      <c r="A10" s="54" t="s">
        <v>2336</v>
      </c>
      <c r="B10" s="144"/>
      <c r="C10" s="305" t="s">
        <v>2334</v>
      </c>
    </row>
    <row r="11" spans="1:3" x14ac:dyDescent="0.25">
      <c r="A11" s="54" t="s">
        <v>2337</v>
      </c>
      <c r="B11" s="144" t="b">
        <v>1</v>
      </c>
      <c r="C11" s="4"/>
    </row>
    <row r="12" spans="1:3" x14ac:dyDescent="0.25">
      <c r="A12" s="54" t="s">
        <v>2338</v>
      </c>
      <c r="B12" s="144" t="b">
        <v>1</v>
      </c>
      <c r="C12" s="4"/>
    </row>
    <row r="13" spans="1:3" x14ac:dyDescent="0.25">
      <c r="A13" s="54" t="s">
        <v>2339</v>
      </c>
      <c r="B13" s="144" t="s">
        <v>2349</v>
      </c>
      <c r="C13" s="4" t="s">
        <v>2340</v>
      </c>
    </row>
    <row r="14" spans="1:3" x14ac:dyDescent="0.25">
      <c r="A14" s="39" t="s">
        <v>2341</v>
      </c>
      <c r="B14" s="144" t="s">
        <v>2349</v>
      </c>
      <c r="C14" s="4" t="s">
        <v>2342</v>
      </c>
    </row>
    <row r="15" spans="1:3" x14ac:dyDescent="0.25">
      <c r="A15" s="39" t="s">
        <v>2343</v>
      </c>
      <c r="B15" s="144" t="s">
        <v>2351</v>
      </c>
      <c r="C15" s="4" t="s">
        <v>2344</v>
      </c>
    </row>
    <row r="16" spans="1:3" x14ac:dyDescent="0.25">
      <c r="A16" s="39" t="s">
        <v>2345</v>
      </c>
      <c r="B16" s="144" t="s">
        <v>2350</v>
      </c>
      <c r="C16" s="4" t="s">
        <v>2346</v>
      </c>
    </row>
    <row r="17" spans="1:3" x14ac:dyDescent="0.25">
      <c r="A17" s="39" t="s">
        <v>2347</v>
      </c>
      <c r="B17" s="144" t="s">
        <v>2351</v>
      </c>
      <c r="C17" s="4" t="s">
        <v>2348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D23" sqref="D23"/>
    </sheetView>
  </sheetViews>
  <sheetFormatPr defaultRowHeight="15" x14ac:dyDescent="0.25"/>
  <cols>
    <col min="1" max="1" width="29.42578125" customWidth="1"/>
    <col min="2" max="2" width="17.7109375" customWidth="1"/>
    <col min="3" max="3" width="33" customWidth="1"/>
    <col min="4" max="4" width="28.7109375" customWidth="1"/>
    <col min="5" max="5" width="30.85546875" customWidth="1"/>
    <col min="6" max="6" width="31.5703125" customWidth="1"/>
    <col min="7" max="7" width="26" customWidth="1"/>
    <col min="8" max="8" width="24.140625" customWidth="1"/>
    <col min="9" max="9" width="15" customWidth="1"/>
  </cols>
  <sheetData>
    <row r="1" spans="1:13" x14ac:dyDescent="0.25">
      <c r="A1" s="507" t="s">
        <v>88</v>
      </c>
      <c r="B1" s="507" t="s">
        <v>1124</v>
      </c>
      <c r="C1" s="508" t="s">
        <v>2409</v>
      </c>
      <c r="D1" s="508" t="s">
        <v>2410</v>
      </c>
      <c r="E1" s="508" t="s">
        <v>2411</v>
      </c>
      <c r="F1" s="508" t="s">
        <v>2412</v>
      </c>
      <c r="G1" s="508" t="s">
        <v>2413</v>
      </c>
      <c r="H1" s="544" t="s">
        <v>2414</v>
      </c>
      <c r="I1" s="548" t="s">
        <v>2424</v>
      </c>
      <c r="J1" s="548" t="s">
        <v>2425</v>
      </c>
    </row>
    <row r="2" spans="1:13" x14ac:dyDescent="0.25">
      <c r="A2" s="4" t="s">
        <v>2415</v>
      </c>
      <c r="B2" s="510">
        <v>0</v>
      </c>
      <c r="C2" s="511">
        <v>0</v>
      </c>
      <c r="D2" s="510"/>
      <c r="E2" s="511">
        <v>0</v>
      </c>
      <c r="F2" s="511">
        <v>0</v>
      </c>
      <c r="G2" s="511">
        <v>0</v>
      </c>
      <c r="H2" s="545">
        <v>0</v>
      </c>
      <c r="I2" s="39"/>
      <c r="J2" s="39"/>
    </row>
    <row r="3" spans="1:13" x14ac:dyDescent="0.25">
      <c r="A3" s="71" t="s">
        <v>2428</v>
      </c>
      <c r="B3" s="512">
        <v>7</v>
      </c>
      <c r="C3" s="513">
        <v>3</v>
      </c>
      <c r="D3" s="514" t="str">
        <f>$D$7&amp;":"&amp;D8</f>
        <v>Vàng:2000</v>
      </c>
      <c r="E3" s="513">
        <v>2</v>
      </c>
      <c r="F3" s="513">
        <v>2</v>
      </c>
      <c r="G3" s="513">
        <v>5</v>
      </c>
      <c r="H3" s="546">
        <v>1</v>
      </c>
      <c r="I3" s="39">
        <v>50000</v>
      </c>
      <c r="J3" s="513">
        <f>I3/5</f>
        <v>10000</v>
      </c>
    </row>
    <row r="4" spans="1:13" x14ac:dyDescent="0.25">
      <c r="A4" s="515" t="s">
        <v>2429</v>
      </c>
      <c r="B4" s="512">
        <v>7</v>
      </c>
      <c r="C4" s="513">
        <v>5</v>
      </c>
      <c r="D4" s="514" t="str">
        <f>$D$7&amp;":"&amp;D9</f>
        <v>Vàng:2500</v>
      </c>
      <c r="E4" s="513">
        <v>3</v>
      </c>
      <c r="F4" s="513">
        <v>3</v>
      </c>
      <c r="G4" s="513">
        <v>10</v>
      </c>
      <c r="H4" s="546">
        <v>2</v>
      </c>
      <c r="I4" s="39">
        <v>100000</v>
      </c>
      <c r="J4" s="513">
        <f>I4/5</f>
        <v>20000</v>
      </c>
    </row>
    <row r="5" spans="1:13" s="520" customFormat="1" x14ac:dyDescent="0.25">
      <c r="A5" s="516" t="s">
        <v>2430</v>
      </c>
      <c r="B5" s="512">
        <v>7</v>
      </c>
      <c r="C5" s="518">
        <v>10</v>
      </c>
      <c r="D5" s="514" t="str">
        <f>$D$7&amp;":"&amp;D10</f>
        <v>Vàng:3000</v>
      </c>
      <c r="E5" s="518">
        <v>6</v>
      </c>
      <c r="F5" s="518">
        <v>5</v>
      </c>
      <c r="G5" s="518">
        <v>15</v>
      </c>
      <c r="H5" s="547">
        <v>3</v>
      </c>
      <c r="I5" s="39">
        <v>200000</v>
      </c>
      <c r="J5" s="513">
        <v>50000</v>
      </c>
    </row>
    <row r="6" spans="1:13" x14ac:dyDescent="0.25">
      <c r="J6" s="543"/>
    </row>
    <row r="7" spans="1:13" x14ac:dyDescent="0.25">
      <c r="C7" s="521"/>
      <c r="D7" t="s">
        <v>1456</v>
      </c>
      <c r="E7" t="s">
        <v>2426</v>
      </c>
      <c r="F7" t="s">
        <v>2425</v>
      </c>
    </row>
    <row r="8" spans="1:13" x14ac:dyDescent="0.25">
      <c r="C8" s="521"/>
      <c r="D8">
        <v>2000</v>
      </c>
      <c r="E8" s="521">
        <v>60000</v>
      </c>
      <c r="F8">
        <f>E8/5</f>
        <v>12000</v>
      </c>
    </row>
    <row r="9" spans="1:13" x14ac:dyDescent="0.25">
      <c r="C9" s="521"/>
      <c r="D9">
        <v>2500</v>
      </c>
      <c r="E9" s="521">
        <v>125000</v>
      </c>
      <c r="F9">
        <f>E9/5</f>
        <v>25000</v>
      </c>
    </row>
    <row r="10" spans="1:13" x14ac:dyDescent="0.25">
      <c r="A10" t="s">
        <v>2427</v>
      </c>
      <c r="D10">
        <v>3000</v>
      </c>
      <c r="E10" s="521">
        <v>250000</v>
      </c>
      <c r="F10">
        <f>E10/5</f>
        <v>50000</v>
      </c>
    </row>
    <row r="11" spans="1:13" x14ac:dyDescent="0.25">
      <c r="A11" s="507" t="s">
        <v>88</v>
      </c>
      <c r="B11" s="507" t="s">
        <v>1124</v>
      </c>
      <c r="C11" s="508" t="s">
        <v>2409</v>
      </c>
      <c r="D11" s="508" t="s">
        <v>2410</v>
      </c>
      <c r="E11" s="508" t="s">
        <v>2411</v>
      </c>
      <c r="F11" s="508" t="s">
        <v>2412</v>
      </c>
      <c r="G11" s="508" t="s">
        <v>2413</v>
      </c>
      <c r="H11" s="509" t="s">
        <v>2414</v>
      </c>
    </row>
    <row r="12" spans="1:13" x14ac:dyDescent="0.25">
      <c r="A12" s="4" t="s">
        <v>2415</v>
      </c>
      <c r="B12" s="510">
        <v>0</v>
      </c>
      <c r="C12" s="511">
        <v>0</v>
      </c>
      <c r="D12" s="510"/>
      <c r="E12" s="511">
        <v>0</v>
      </c>
      <c r="F12" s="511">
        <v>0</v>
      </c>
      <c r="G12" s="511">
        <v>0</v>
      </c>
      <c r="H12" s="511">
        <v>0</v>
      </c>
    </row>
    <row r="13" spans="1:13" x14ac:dyDescent="0.25">
      <c r="A13" s="71" t="s">
        <v>2416</v>
      </c>
      <c r="B13" s="512">
        <v>7</v>
      </c>
      <c r="C13" s="513">
        <v>5</v>
      </c>
      <c r="D13" s="514" t="s">
        <v>1844</v>
      </c>
      <c r="E13" s="513">
        <v>5</v>
      </c>
      <c r="F13" s="513">
        <v>10</v>
      </c>
      <c r="G13" s="513">
        <v>10</v>
      </c>
      <c r="H13" s="513">
        <v>2</v>
      </c>
    </row>
    <row r="14" spans="1:13" x14ac:dyDescent="0.25">
      <c r="A14" s="515" t="s">
        <v>2417</v>
      </c>
      <c r="B14" s="512">
        <v>15</v>
      </c>
      <c r="C14" s="513">
        <v>10</v>
      </c>
      <c r="D14" s="514" t="s">
        <v>2418</v>
      </c>
      <c r="E14" s="513">
        <v>8</v>
      </c>
      <c r="F14" s="513">
        <v>15</v>
      </c>
      <c r="G14" s="513">
        <v>20</v>
      </c>
      <c r="H14" s="513">
        <v>4</v>
      </c>
    </row>
    <row r="15" spans="1:13" s="520" customFormat="1" x14ac:dyDescent="0.25">
      <c r="A15" s="516" t="s">
        <v>2419</v>
      </c>
      <c r="B15" s="517">
        <v>30</v>
      </c>
      <c r="C15" s="518">
        <v>15</v>
      </c>
      <c r="D15" s="519" t="s">
        <v>2420</v>
      </c>
      <c r="E15" s="518">
        <v>10</v>
      </c>
      <c r="F15" s="518">
        <v>20</v>
      </c>
      <c r="G15" s="518">
        <v>50</v>
      </c>
      <c r="H15" s="518">
        <v>6</v>
      </c>
    </row>
    <row r="16" spans="1:13" x14ac:dyDescent="0.25">
      <c r="A16" s="39" t="s">
        <v>2428</v>
      </c>
      <c r="B16" s="39" t="b">
        <v>0</v>
      </c>
      <c r="C16" s="243">
        <v>10000</v>
      </c>
      <c r="D16" s="243">
        <v>10000</v>
      </c>
      <c r="E16" s="39" t="s">
        <v>2431</v>
      </c>
      <c r="F16" s="39"/>
      <c r="G16" s="39"/>
      <c r="H16" s="39"/>
      <c r="I16" s="39"/>
      <c r="J16" s="39"/>
      <c r="K16" s="39"/>
      <c r="L16" s="39"/>
      <c r="M16" s="39"/>
    </row>
    <row r="17" spans="1:13" x14ac:dyDescent="0.25">
      <c r="A17" s="39" t="s">
        <v>2429</v>
      </c>
      <c r="B17" s="39" t="b">
        <v>0</v>
      </c>
      <c r="C17" s="243">
        <v>20000</v>
      </c>
      <c r="D17" s="243">
        <v>20000</v>
      </c>
      <c r="E17" s="39" t="s">
        <v>2432</v>
      </c>
      <c r="F17" s="39"/>
      <c r="G17" s="39"/>
      <c r="H17" s="39"/>
      <c r="I17" s="39"/>
      <c r="J17" s="39"/>
      <c r="K17" s="39"/>
      <c r="L17" s="39"/>
      <c r="M17" s="39"/>
    </row>
    <row r="18" spans="1:13" x14ac:dyDescent="0.25">
      <c r="A18" s="39" t="s">
        <v>2430</v>
      </c>
      <c r="B18" s="39" t="b">
        <v>0</v>
      </c>
      <c r="C18" s="243">
        <v>50000</v>
      </c>
      <c r="D18" s="243">
        <v>50000</v>
      </c>
      <c r="E18" s="39" t="s">
        <v>2433</v>
      </c>
      <c r="F18" s="39"/>
      <c r="G18" s="39"/>
      <c r="H18" s="39"/>
      <c r="I18" s="39"/>
      <c r="J18" s="39"/>
      <c r="K18" s="39"/>
      <c r="L18" s="39"/>
      <c r="M18" s="39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1"/>
  <sheetViews>
    <sheetView workbookViewId="0">
      <pane xSplit="2" ySplit="1" topLeftCell="G8" activePane="bottomRight" state="frozen"/>
      <selection pane="topRight" activeCell="D1" sqref="D1"/>
      <selection pane="bottomLeft" activeCell="A2" sqref="A2"/>
      <selection pane="bottomRight" activeCell="M27" sqref="M27"/>
    </sheetView>
  </sheetViews>
  <sheetFormatPr defaultRowHeight="15" x14ac:dyDescent="0.25"/>
  <cols>
    <col min="1" max="1" width="7.42578125" style="11" customWidth="1"/>
    <col min="2" max="2" width="15.5703125" style="11" bestFit="1" customWidth="1"/>
    <col min="3" max="3" width="22.5703125" style="11" customWidth="1"/>
    <col min="4" max="4" width="22.7109375" style="72" customWidth="1"/>
    <col min="5" max="5" width="60.42578125" style="72" bestFit="1" customWidth="1"/>
    <col min="6" max="6" width="15.28515625" style="11" customWidth="1"/>
    <col min="7" max="7" width="18" style="72" customWidth="1"/>
    <col min="8" max="8" width="21.85546875" style="11" customWidth="1"/>
    <col min="9" max="9" width="16.5703125" style="72" customWidth="1"/>
    <col min="10" max="10" width="21.7109375" style="11" customWidth="1"/>
    <col min="11" max="11" width="19.85546875" style="11" customWidth="1"/>
    <col min="12" max="13" width="52.85546875" style="11" customWidth="1"/>
    <col min="14" max="14" width="15.7109375" style="11" bestFit="1" customWidth="1"/>
    <col min="15" max="15" width="20.42578125" style="11" bestFit="1" customWidth="1"/>
    <col min="16" max="249" width="9.140625" style="11"/>
    <col min="250" max="250" width="6.5703125" style="11" customWidth="1"/>
    <col min="251" max="251" width="7.42578125" style="11" customWidth="1"/>
    <col min="252" max="252" width="15.5703125" style="11" bestFit="1" customWidth="1"/>
    <col min="253" max="253" width="22.5703125" style="11" customWidth="1"/>
    <col min="254" max="254" width="22.7109375" style="11" customWidth="1"/>
    <col min="255" max="255" width="41" style="11" bestFit="1" customWidth="1"/>
    <col min="256" max="256" width="15.28515625" style="11" customWidth="1"/>
    <col min="257" max="257" width="18" style="11" customWidth="1"/>
    <col min="258" max="258" width="21.85546875" style="11" customWidth="1"/>
    <col min="259" max="259" width="16.5703125" style="11" customWidth="1"/>
    <col min="260" max="260" width="21.7109375" style="11" customWidth="1"/>
    <col min="261" max="261" width="19.85546875" style="11" customWidth="1"/>
    <col min="262" max="262" width="53.140625" style="11" bestFit="1" customWidth="1"/>
    <col min="263" max="263" width="15.7109375" style="11" bestFit="1" customWidth="1"/>
    <col min="264" max="264" width="48.140625" style="11" bestFit="1" customWidth="1"/>
    <col min="265" max="265" width="20.42578125" style="11" bestFit="1" customWidth="1"/>
    <col min="266" max="266" width="25.85546875" style="11" bestFit="1" customWidth="1"/>
    <col min="267" max="267" width="24.140625" style="11" bestFit="1" customWidth="1"/>
    <col min="268" max="268" width="25.85546875" style="11" bestFit="1" customWidth="1"/>
    <col min="269" max="269" width="24.140625" style="11" bestFit="1" customWidth="1"/>
    <col min="270" max="270" width="25.85546875" style="11" bestFit="1" customWidth="1"/>
    <col min="271" max="271" width="69.28515625" style="11" bestFit="1" customWidth="1"/>
    <col min="272" max="505" width="9.140625" style="11"/>
    <col min="506" max="506" width="6.5703125" style="11" customWidth="1"/>
    <col min="507" max="507" width="7.42578125" style="11" customWidth="1"/>
    <col min="508" max="508" width="15.5703125" style="11" bestFit="1" customWidth="1"/>
    <col min="509" max="509" width="22.5703125" style="11" customWidth="1"/>
    <col min="510" max="510" width="22.7109375" style="11" customWidth="1"/>
    <col min="511" max="511" width="41" style="11" bestFit="1" customWidth="1"/>
    <col min="512" max="512" width="15.28515625" style="11" customWidth="1"/>
    <col min="513" max="513" width="18" style="11" customWidth="1"/>
    <col min="514" max="514" width="21.85546875" style="11" customWidth="1"/>
    <col min="515" max="515" width="16.5703125" style="11" customWidth="1"/>
    <col min="516" max="516" width="21.7109375" style="11" customWidth="1"/>
    <col min="517" max="517" width="19.85546875" style="11" customWidth="1"/>
    <col min="518" max="518" width="53.140625" style="11" bestFit="1" customWidth="1"/>
    <col min="519" max="519" width="15.7109375" style="11" bestFit="1" customWidth="1"/>
    <col min="520" max="520" width="48.140625" style="11" bestFit="1" customWidth="1"/>
    <col min="521" max="521" width="20.42578125" style="11" bestFit="1" customWidth="1"/>
    <col min="522" max="522" width="25.85546875" style="11" bestFit="1" customWidth="1"/>
    <col min="523" max="523" width="24.140625" style="11" bestFit="1" customWidth="1"/>
    <col min="524" max="524" width="25.85546875" style="11" bestFit="1" customWidth="1"/>
    <col min="525" max="525" width="24.140625" style="11" bestFit="1" customWidth="1"/>
    <col min="526" max="526" width="25.85546875" style="11" bestFit="1" customWidth="1"/>
    <col min="527" max="527" width="69.28515625" style="11" bestFit="1" customWidth="1"/>
    <col min="528" max="761" width="9.140625" style="11"/>
    <col min="762" max="762" width="6.5703125" style="11" customWidth="1"/>
    <col min="763" max="763" width="7.42578125" style="11" customWidth="1"/>
    <col min="764" max="764" width="15.5703125" style="11" bestFit="1" customWidth="1"/>
    <col min="765" max="765" width="22.5703125" style="11" customWidth="1"/>
    <col min="766" max="766" width="22.7109375" style="11" customWidth="1"/>
    <col min="767" max="767" width="41" style="11" bestFit="1" customWidth="1"/>
    <col min="768" max="768" width="15.28515625" style="11" customWidth="1"/>
    <col min="769" max="769" width="18" style="11" customWidth="1"/>
    <col min="770" max="770" width="21.85546875" style="11" customWidth="1"/>
    <col min="771" max="771" width="16.5703125" style="11" customWidth="1"/>
    <col min="772" max="772" width="21.7109375" style="11" customWidth="1"/>
    <col min="773" max="773" width="19.85546875" style="11" customWidth="1"/>
    <col min="774" max="774" width="53.140625" style="11" bestFit="1" customWidth="1"/>
    <col min="775" max="775" width="15.7109375" style="11" bestFit="1" customWidth="1"/>
    <col min="776" max="776" width="48.140625" style="11" bestFit="1" customWidth="1"/>
    <col min="777" max="777" width="20.42578125" style="11" bestFit="1" customWidth="1"/>
    <col min="778" max="778" width="25.85546875" style="11" bestFit="1" customWidth="1"/>
    <col min="779" max="779" width="24.140625" style="11" bestFit="1" customWidth="1"/>
    <col min="780" max="780" width="25.85546875" style="11" bestFit="1" customWidth="1"/>
    <col min="781" max="781" width="24.140625" style="11" bestFit="1" customWidth="1"/>
    <col min="782" max="782" width="25.85546875" style="11" bestFit="1" customWidth="1"/>
    <col min="783" max="783" width="69.28515625" style="11" bestFit="1" customWidth="1"/>
    <col min="784" max="1017" width="9.140625" style="11"/>
    <col min="1018" max="1018" width="6.5703125" style="11" customWidth="1"/>
    <col min="1019" max="1019" width="7.42578125" style="11" customWidth="1"/>
    <col min="1020" max="1020" width="15.5703125" style="11" bestFit="1" customWidth="1"/>
    <col min="1021" max="1021" width="22.5703125" style="11" customWidth="1"/>
    <col min="1022" max="1022" width="22.7109375" style="11" customWidth="1"/>
    <col min="1023" max="1023" width="41" style="11" bestFit="1" customWidth="1"/>
    <col min="1024" max="1024" width="15.28515625" style="11" customWidth="1"/>
    <col min="1025" max="1025" width="18" style="11" customWidth="1"/>
    <col min="1026" max="1026" width="21.85546875" style="11" customWidth="1"/>
    <col min="1027" max="1027" width="16.5703125" style="11" customWidth="1"/>
    <col min="1028" max="1028" width="21.7109375" style="11" customWidth="1"/>
    <col min="1029" max="1029" width="19.85546875" style="11" customWidth="1"/>
    <col min="1030" max="1030" width="53.140625" style="11" bestFit="1" customWidth="1"/>
    <col min="1031" max="1031" width="15.7109375" style="11" bestFit="1" customWidth="1"/>
    <col min="1032" max="1032" width="48.140625" style="11" bestFit="1" customWidth="1"/>
    <col min="1033" max="1033" width="20.42578125" style="11" bestFit="1" customWidth="1"/>
    <col min="1034" max="1034" width="25.85546875" style="11" bestFit="1" customWidth="1"/>
    <col min="1035" max="1035" width="24.140625" style="11" bestFit="1" customWidth="1"/>
    <col min="1036" max="1036" width="25.85546875" style="11" bestFit="1" customWidth="1"/>
    <col min="1037" max="1037" width="24.140625" style="11" bestFit="1" customWidth="1"/>
    <col min="1038" max="1038" width="25.85546875" style="11" bestFit="1" customWidth="1"/>
    <col min="1039" max="1039" width="69.28515625" style="11" bestFit="1" customWidth="1"/>
    <col min="1040" max="1273" width="9.140625" style="11"/>
    <col min="1274" max="1274" width="6.5703125" style="11" customWidth="1"/>
    <col min="1275" max="1275" width="7.42578125" style="11" customWidth="1"/>
    <col min="1276" max="1276" width="15.5703125" style="11" bestFit="1" customWidth="1"/>
    <col min="1277" max="1277" width="22.5703125" style="11" customWidth="1"/>
    <col min="1278" max="1278" width="22.7109375" style="11" customWidth="1"/>
    <col min="1279" max="1279" width="41" style="11" bestFit="1" customWidth="1"/>
    <col min="1280" max="1280" width="15.28515625" style="11" customWidth="1"/>
    <col min="1281" max="1281" width="18" style="11" customWidth="1"/>
    <col min="1282" max="1282" width="21.85546875" style="11" customWidth="1"/>
    <col min="1283" max="1283" width="16.5703125" style="11" customWidth="1"/>
    <col min="1284" max="1284" width="21.7109375" style="11" customWidth="1"/>
    <col min="1285" max="1285" width="19.85546875" style="11" customWidth="1"/>
    <col min="1286" max="1286" width="53.140625" style="11" bestFit="1" customWidth="1"/>
    <col min="1287" max="1287" width="15.7109375" style="11" bestFit="1" customWidth="1"/>
    <col min="1288" max="1288" width="48.140625" style="11" bestFit="1" customWidth="1"/>
    <col min="1289" max="1289" width="20.42578125" style="11" bestFit="1" customWidth="1"/>
    <col min="1290" max="1290" width="25.85546875" style="11" bestFit="1" customWidth="1"/>
    <col min="1291" max="1291" width="24.140625" style="11" bestFit="1" customWidth="1"/>
    <col min="1292" max="1292" width="25.85546875" style="11" bestFit="1" customWidth="1"/>
    <col min="1293" max="1293" width="24.140625" style="11" bestFit="1" customWidth="1"/>
    <col min="1294" max="1294" width="25.85546875" style="11" bestFit="1" customWidth="1"/>
    <col min="1295" max="1295" width="69.28515625" style="11" bestFit="1" customWidth="1"/>
    <col min="1296" max="1529" width="9.140625" style="11"/>
    <col min="1530" max="1530" width="6.5703125" style="11" customWidth="1"/>
    <col min="1531" max="1531" width="7.42578125" style="11" customWidth="1"/>
    <col min="1532" max="1532" width="15.5703125" style="11" bestFit="1" customWidth="1"/>
    <col min="1533" max="1533" width="22.5703125" style="11" customWidth="1"/>
    <col min="1534" max="1534" width="22.7109375" style="11" customWidth="1"/>
    <col min="1535" max="1535" width="41" style="11" bestFit="1" customWidth="1"/>
    <col min="1536" max="1536" width="15.28515625" style="11" customWidth="1"/>
    <col min="1537" max="1537" width="18" style="11" customWidth="1"/>
    <col min="1538" max="1538" width="21.85546875" style="11" customWidth="1"/>
    <col min="1539" max="1539" width="16.5703125" style="11" customWidth="1"/>
    <col min="1540" max="1540" width="21.7109375" style="11" customWidth="1"/>
    <col min="1541" max="1541" width="19.85546875" style="11" customWidth="1"/>
    <col min="1542" max="1542" width="53.140625" style="11" bestFit="1" customWidth="1"/>
    <col min="1543" max="1543" width="15.7109375" style="11" bestFit="1" customWidth="1"/>
    <col min="1544" max="1544" width="48.140625" style="11" bestFit="1" customWidth="1"/>
    <col min="1545" max="1545" width="20.42578125" style="11" bestFit="1" customWidth="1"/>
    <col min="1546" max="1546" width="25.85546875" style="11" bestFit="1" customWidth="1"/>
    <col min="1547" max="1547" width="24.140625" style="11" bestFit="1" customWidth="1"/>
    <col min="1548" max="1548" width="25.85546875" style="11" bestFit="1" customWidth="1"/>
    <col min="1549" max="1549" width="24.140625" style="11" bestFit="1" customWidth="1"/>
    <col min="1550" max="1550" width="25.85546875" style="11" bestFit="1" customWidth="1"/>
    <col min="1551" max="1551" width="69.28515625" style="11" bestFit="1" customWidth="1"/>
    <col min="1552" max="1785" width="9.140625" style="11"/>
    <col min="1786" max="1786" width="6.5703125" style="11" customWidth="1"/>
    <col min="1787" max="1787" width="7.42578125" style="11" customWidth="1"/>
    <col min="1788" max="1788" width="15.5703125" style="11" bestFit="1" customWidth="1"/>
    <col min="1789" max="1789" width="22.5703125" style="11" customWidth="1"/>
    <col min="1790" max="1790" width="22.7109375" style="11" customWidth="1"/>
    <col min="1791" max="1791" width="41" style="11" bestFit="1" customWidth="1"/>
    <col min="1792" max="1792" width="15.28515625" style="11" customWidth="1"/>
    <col min="1793" max="1793" width="18" style="11" customWidth="1"/>
    <col min="1794" max="1794" width="21.85546875" style="11" customWidth="1"/>
    <col min="1795" max="1795" width="16.5703125" style="11" customWidth="1"/>
    <col min="1796" max="1796" width="21.7109375" style="11" customWidth="1"/>
    <col min="1797" max="1797" width="19.85546875" style="11" customWidth="1"/>
    <col min="1798" max="1798" width="53.140625" style="11" bestFit="1" customWidth="1"/>
    <col min="1799" max="1799" width="15.7109375" style="11" bestFit="1" customWidth="1"/>
    <col min="1800" max="1800" width="48.140625" style="11" bestFit="1" customWidth="1"/>
    <col min="1801" max="1801" width="20.42578125" style="11" bestFit="1" customWidth="1"/>
    <col min="1802" max="1802" width="25.85546875" style="11" bestFit="1" customWidth="1"/>
    <col min="1803" max="1803" width="24.140625" style="11" bestFit="1" customWidth="1"/>
    <col min="1804" max="1804" width="25.85546875" style="11" bestFit="1" customWidth="1"/>
    <col min="1805" max="1805" width="24.140625" style="11" bestFit="1" customWidth="1"/>
    <col min="1806" max="1806" width="25.85546875" style="11" bestFit="1" customWidth="1"/>
    <col min="1807" max="1807" width="69.28515625" style="11" bestFit="1" customWidth="1"/>
    <col min="1808" max="2041" width="9.140625" style="11"/>
    <col min="2042" max="2042" width="6.5703125" style="11" customWidth="1"/>
    <col min="2043" max="2043" width="7.42578125" style="11" customWidth="1"/>
    <col min="2044" max="2044" width="15.5703125" style="11" bestFit="1" customWidth="1"/>
    <col min="2045" max="2045" width="22.5703125" style="11" customWidth="1"/>
    <col min="2046" max="2046" width="22.7109375" style="11" customWidth="1"/>
    <col min="2047" max="2047" width="41" style="11" bestFit="1" customWidth="1"/>
    <col min="2048" max="2048" width="15.28515625" style="11" customWidth="1"/>
    <col min="2049" max="2049" width="18" style="11" customWidth="1"/>
    <col min="2050" max="2050" width="21.85546875" style="11" customWidth="1"/>
    <col min="2051" max="2051" width="16.5703125" style="11" customWidth="1"/>
    <col min="2052" max="2052" width="21.7109375" style="11" customWidth="1"/>
    <col min="2053" max="2053" width="19.85546875" style="11" customWidth="1"/>
    <col min="2054" max="2054" width="53.140625" style="11" bestFit="1" customWidth="1"/>
    <col min="2055" max="2055" width="15.7109375" style="11" bestFit="1" customWidth="1"/>
    <col min="2056" max="2056" width="48.140625" style="11" bestFit="1" customWidth="1"/>
    <col min="2057" max="2057" width="20.42578125" style="11" bestFit="1" customWidth="1"/>
    <col min="2058" max="2058" width="25.85546875" style="11" bestFit="1" customWidth="1"/>
    <col min="2059" max="2059" width="24.140625" style="11" bestFit="1" customWidth="1"/>
    <col min="2060" max="2060" width="25.85546875" style="11" bestFit="1" customWidth="1"/>
    <col min="2061" max="2061" width="24.140625" style="11" bestFit="1" customWidth="1"/>
    <col min="2062" max="2062" width="25.85546875" style="11" bestFit="1" customWidth="1"/>
    <col min="2063" max="2063" width="69.28515625" style="11" bestFit="1" customWidth="1"/>
    <col min="2064" max="2297" width="9.140625" style="11"/>
    <col min="2298" max="2298" width="6.5703125" style="11" customWidth="1"/>
    <col min="2299" max="2299" width="7.42578125" style="11" customWidth="1"/>
    <col min="2300" max="2300" width="15.5703125" style="11" bestFit="1" customWidth="1"/>
    <col min="2301" max="2301" width="22.5703125" style="11" customWidth="1"/>
    <col min="2302" max="2302" width="22.7109375" style="11" customWidth="1"/>
    <col min="2303" max="2303" width="41" style="11" bestFit="1" customWidth="1"/>
    <col min="2304" max="2304" width="15.28515625" style="11" customWidth="1"/>
    <col min="2305" max="2305" width="18" style="11" customWidth="1"/>
    <col min="2306" max="2306" width="21.85546875" style="11" customWidth="1"/>
    <col min="2307" max="2307" width="16.5703125" style="11" customWidth="1"/>
    <col min="2308" max="2308" width="21.7109375" style="11" customWidth="1"/>
    <col min="2309" max="2309" width="19.85546875" style="11" customWidth="1"/>
    <col min="2310" max="2310" width="53.140625" style="11" bestFit="1" customWidth="1"/>
    <col min="2311" max="2311" width="15.7109375" style="11" bestFit="1" customWidth="1"/>
    <col min="2312" max="2312" width="48.140625" style="11" bestFit="1" customWidth="1"/>
    <col min="2313" max="2313" width="20.42578125" style="11" bestFit="1" customWidth="1"/>
    <col min="2314" max="2314" width="25.85546875" style="11" bestFit="1" customWidth="1"/>
    <col min="2315" max="2315" width="24.140625" style="11" bestFit="1" customWidth="1"/>
    <col min="2316" max="2316" width="25.85546875" style="11" bestFit="1" customWidth="1"/>
    <col min="2317" max="2317" width="24.140625" style="11" bestFit="1" customWidth="1"/>
    <col min="2318" max="2318" width="25.85546875" style="11" bestFit="1" customWidth="1"/>
    <col min="2319" max="2319" width="69.28515625" style="11" bestFit="1" customWidth="1"/>
    <col min="2320" max="2553" width="9.140625" style="11"/>
    <col min="2554" max="2554" width="6.5703125" style="11" customWidth="1"/>
    <col min="2555" max="2555" width="7.42578125" style="11" customWidth="1"/>
    <col min="2556" max="2556" width="15.5703125" style="11" bestFit="1" customWidth="1"/>
    <col min="2557" max="2557" width="22.5703125" style="11" customWidth="1"/>
    <col min="2558" max="2558" width="22.7109375" style="11" customWidth="1"/>
    <col min="2559" max="2559" width="41" style="11" bestFit="1" customWidth="1"/>
    <col min="2560" max="2560" width="15.28515625" style="11" customWidth="1"/>
    <col min="2561" max="2561" width="18" style="11" customWidth="1"/>
    <col min="2562" max="2562" width="21.85546875" style="11" customWidth="1"/>
    <col min="2563" max="2563" width="16.5703125" style="11" customWidth="1"/>
    <col min="2564" max="2564" width="21.7109375" style="11" customWidth="1"/>
    <col min="2565" max="2565" width="19.85546875" style="11" customWidth="1"/>
    <col min="2566" max="2566" width="53.140625" style="11" bestFit="1" customWidth="1"/>
    <col min="2567" max="2567" width="15.7109375" style="11" bestFit="1" customWidth="1"/>
    <col min="2568" max="2568" width="48.140625" style="11" bestFit="1" customWidth="1"/>
    <col min="2569" max="2569" width="20.42578125" style="11" bestFit="1" customWidth="1"/>
    <col min="2570" max="2570" width="25.85546875" style="11" bestFit="1" customWidth="1"/>
    <col min="2571" max="2571" width="24.140625" style="11" bestFit="1" customWidth="1"/>
    <col min="2572" max="2572" width="25.85546875" style="11" bestFit="1" customWidth="1"/>
    <col min="2573" max="2573" width="24.140625" style="11" bestFit="1" customWidth="1"/>
    <col min="2574" max="2574" width="25.85546875" style="11" bestFit="1" customWidth="1"/>
    <col min="2575" max="2575" width="69.28515625" style="11" bestFit="1" customWidth="1"/>
    <col min="2576" max="2809" width="9.140625" style="11"/>
    <col min="2810" max="2810" width="6.5703125" style="11" customWidth="1"/>
    <col min="2811" max="2811" width="7.42578125" style="11" customWidth="1"/>
    <col min="2812" max="2812" width="15.5703125" style="11" bestFit="1" customWidth="1"/>
    <col min="2813" max="2813" width="22.5703125" style="11" customWidth="1"/>
    <col min="2814" max="2814" width="22.7109375" style="11" customWidth="1"/>
    <col min="2815" max="2815" width="41" style="11" bestFit="1" customWidth="1"/>
    <col min="2816" max="2816" width="15.28515625" style="11" customWidth="1"/>
    <col min="2817" max="2817" width="18" style="11" customWidth="1"/>
    <col min="2818" max="2818" width="21.85546875" style="11" customWidth="1"/>
    <col min="2819" max="2819" width="16.5703125" style="11" customWidth="1"/>
    <col min="2820" max="2820" width="21.7109375" style="11" customWidth="1"/>
    <col min="2821" max="2821" width="19.85546875" style="11" customWidth="1"/>
    <col min="2822" max="2822" width="53.140625" style="11" bestFit="1" customWidth="1"/>
    <col min="2823" max="2823" width="15.7109375" style="11" bestFit="1" customWidth="1"/>
    <col min="2824" max="2824" width="48.140625" style="11" bestFit="1" customWidth="1"/>
    <col min="2825" max="2825" width="20.42578125" style="11" bestFit="1" customWidth="1"/>
    <col min="2826" max="2826" width="25.85546875" style="11" bestFit="1" customWidth="1"/>
    <col min="2827" max="2827" width="24.140625" style="11" bestFit="1" customWidth="1"/>
    <col min="2828" max="2828" width="25.85546875" style="11" bestFit="1" customWidth="1"/>
    <col min="2829" max="2829" width="24.140625" style="11" bestFit="1" customWidth="1"/>
    <col min="2830" max="2830" width="25.85546875" style="11" bestFit="1" customWidth="1"/>
    <col min="2831" max="2831" width="69.28515625" style="11" bestFit="1" customWidth="1"/>
    <col min="2832" max="3065" width="9.140625" style="11"/>
    <col min="3066" max="3066" width="6.5703125" style="11" customWidth="1"/>
    <col min="3067" max="3067" width="7.42578125" style="11" customWidth="1"/>
    <col min="3068" max="3068" width="15.5703125" style="11" bestFit="1" customWidth="1"/>
    <col min="3069" max="3069" width="22.5703125" style="11" customWidth="1"/>
    <col min="3070" max="3070" width="22.7109375" style="11" customWidth="1"/>
    <col min="3071" max="3071" width="41" style="11" bestFit="1" customWidth="1"/>
    <col min="3072" max="3072" width="15.28515625" style="11" customWidth="1"/>
    <col min="3073" max="3073" width="18" style="11" customWidth="1"/>
    <col min="3074" max="3074" width="21.85546875" style="11" customWidth="1"/>
    <col min="3075" max="3075" width="16.5703125" style="11" customWidth="1"/>
    <col min="3076" max="3076" width="21.7109375" style="11" customWidth="1"/>
    <col min="3077" max="3077" width="19.85546875" style="11" customWidth="1"/>
    <col min="3078" max="3078" width="53.140625" style="11" bestFit="1" customWidth="1"/>
    <col min="3079" max="3079" width="15.7109375" style="11" bestFit="1" customWidth="1"/>
    <col min="3080" max="3080" width="48.140625" style="11" bestFit="1" customWidth="1"/>
    <col min="3081" max="3081" width="20.42578125" style="11" bestFit="1" customWidth="1"/>
    <col min="3082" max="3082" width="25.85546875" style="11" bestFit="1" customWidth="1"/>
    <col min="3083" max="3083" width="24.140625" style="11" bestFit="1" customWidth="1"/>
    <col min="3084" max="3084" width="25.85546875" style="11" bestFit="1" customWidth="1"/>
    <col min="3085" max="3085" width="24.140625" style="11" bestFit="1" customWidth="1"/>
    <col min="3086" max="3086" width="25.85546875" style="11" bestFit="1" customWidth="1"/>
    <col min="3087" max="3087" width="69.28515625" style="11" bestFit="1" customWidth="1"/>
    <col min="3088" max="3321" width="9.140625" style="11"/>
    <col min="3322" max="3322" width="6.5703125" style="11" customWidth="1"/>
    <col min="3323" max="3323" width="7.42578125" style="11" customWidth="1"/>
    <col min="3324" max="3324" width="15.5703125" style="11" bestFit="1" customWidth="1"/>
    <col min="3325" max="3325" width="22.5703125" style="11" customWidth="1"/>
    <col min="3326" max="3326" width="22.7109375" style="11" customWidth="1"/>
    <col min="3327" max="3327" width="41" style="11" bestFit="1" customWidth="1"/>
    <col min="3328" max="3328" width="15.28515625" style="11" customWidth="1"/>
    <col min="3329" max="3329" width="18" style="11" customWidth="1"/>
    <col min="3330" max="3330" width="21.85546875" style="11" customWidth="1"/>
    <col min="3331" max="3331" width="16.5703125" style="11" customWidth="1"/>
    <col min="3332" max="3332" width="21.7109375" style="11" customWidth="1"/>
    <col min="3333" max="3333" width="19.85546875" style="11" customWidth="1"/>
    <col min="3334" max="3334" width="53.140625" style="11" bestFit="1" customWidth="1"/>
    <col min="3335" max="3335" width="15.7109375" style="11" bestFit="1" customWidth="1"/>
    <col min="3336" max="3336" width="48.140625" style="11" bestFit="1" customWidth="1"/>
    <col min="3337" max="3337" width="20.42578125" style="11" bestFit="1" customWidth="1"/>
    <col min="3338" max="3338" width="25.85546875" style="11" bestFit="1" customWidth="1"/>
    <col min="3339" max="3339" width="24.140625" style="11" bestFit="1" customWidth="1"/>
    <col min="3340" max="3340" width="25.85546875" style="11" bestFit="1" customWidth="1"/>
    <col min="3341" max="3341" width="24.140625" style="11" bestFit="1" customWidth="1"/>
    <col min="3342" max="3342" width="25.85546875" style="11" bestFit="1" customWidth="1"/>
    <col min="3343" max="3343" width="69.28515625" style="11" bestFit="1" customWidth="1"/>
    <col min="3344" max="3577" width="9.140625" style="11"/>
    <col min="3578" max="3578" width="6.5703125" style="11" customWidth="1"/>
    <col min="3579" max="3579" width="7.42578125" style="11" customWidth="1"/>
    <col min="3580" max="3580" width="15.5703125" style="11" bestFit="1" customWidth="1"/>
    <col min="3581" max="3581" width="22.5703125" style="11" customWidth="1"/>
    <col min="3582" max="3582" width="22.7109375" style="11" customWidth="1"/>
    <col min="3583" max="3583" width="41" style="11" bestFit="1" customWidth="1"/>
    <col min="3584" max="3584" width="15.28515625" style="11" customWidth="1"/>
    <col min="3585" max="3585" width="18" style="11" customWidth="1"/>
    <col min="3586" max="3586" width="21.85546875" style="11" customWidth="1"/>
    <col min="3587" max="3587" width="16.5703125" style="11" customWidth="1"/>
    <col min="3588" max="3588" width="21.7109375" style="11" customWidth="1"/>
    <col min="3589" max="3589" width="19.85546875" style="11" customWidth="1"/>
    <col min="3590" max="3590" width="53.140625" style="11" bestFit="1" customWidth="1"/>
    <col min="3591" max="3591" width="15.7109375" style="11" bestFit="1" customWidth="1"/>
    <col min="3592" max="3592" width="48.140625" style="11" bestFit="1" customWidth="1"/>
    <col min="3593" max="3593" width="20.42578125" style="11" bestFit="1" customWidth="1"/>
    <col min="3594" max="3594" width="25.85546875" style="11" bestFit="1" customWidth="1"/>
    <col min="3595" max="3595" width="24.140625" style="11" bestFit="1" customWidth="1"/>
    <col min="3596" max="3596" width="25.85546875" style="11" bestFit="1" customWidth="1"/>
    <col min="3597" max="3597" width="24.140625" style="11" bestFit="1" customWidth="1"/>
    <col min="3598" max="3598" width="25.85546875" style="11" bestFit="1" customWidth="1"/>
    <col min="3599" max="3599" width="69.28515625" style="11" bestFit="1" customWidth="1"/>
    <col min="3600" max="3833" width="9.140625" style="11"/>
    <col min="3834" max="3834" width="6.5703125" style="11" customWidth="1"/>
    <col min="3835" max="3835" width="7.42578125" style="11" customWidth="1"/>
    <col min="3836" max="3836" width="15.5703125" style="11" bestFit="1" customWidth="1"/>
    <col min="3837" max="3837" width="22.5703125" style="11" customWidth="1"/>
    <col min="3838" max="3838" width="22.7109375" style="11" customWidth="1"/>
    <col min="3839" max="3839" width="41" style="11" bestFit="1" customWidth="1"/>
    <col min="3840" max="3840" width="15.28515625" style="11" customWidth="1"/>
    <col min="3841" max="3841" width="18" style="11" customWidth="1"/>
    <col min="3842" max="3842" width="21.85546875" style="11" customWidth="1"/>
    <col min="3843" max="3843" width="16.5703125" style="11" customWidth="1"/>
    <col min="3844" max="3844" width="21.7109375" style="11" customWidth="1"/>
    <col min="3845" max="3845" width="19.85546875" style="11" customWidth="1"/>
    <col min="3846" max="3846" width="53.140625" style="11" bestFit="1" customWidth="1"/>
    <col min="3847" max="3847" width="15.7109375" style="11" bestFit="1" customWidth="1"/>
    <col min="3848" max="3848" width="48.140625" style="11" bestFit="1" customWidth="1"/>
    <col min="3849" max="3849" width="20.42578125" style="11" bestFit="1" customWidth="1"/>
    <col min="3850" max="3850" width="25.85546875" style="11" bestFit="1" customWidth="1"/>
    <col min="3851" max="3851" width="24.140625" style="11" bestFit="1" customWidth="1"/>
    <col min="3852" max="3852" width="25.85546875" style="11" bestFit="1" customWidth="1"/>
    <col min="3853" max="3853" width="24.140625" style="11" bestFit="1" customWidth="1"/>
    <col min="3854" max="3854" width="25.85546875" style="11" bestFit="1" customWidth="1"/>
    <col min="3855" max="3855" width="69.28515625" style="11" bestFit="1" customWidth="1"/>
    <col min="3856" max="4089" width="9.140625" style="11"/>
    <col min="4090" max="4090" width="6.5703125" style="11" customWidth="1"/>
    <col min="4091" max="4091" width="7.42578125" style="11" customWidth="1"/>
    <col min="4092" max="4092" width="15.5703125" style="11" bestFit="1" customWidth="1"/>
    <col min="4093" max="4093" width="22.5703125" style="11" customWidth="1"/>
    <col min="4094" max="4094" width="22.7109375" style="11" customWidth="1"/>
    <col min="4095" max="4095" width="41" style="11" bestFit="1" customWidth="1"/>
    <col min="4096" max="4096" width="15.28515625" style="11" customWidth="1"/>
    <col min="4097" max="4097" width="18" style="11" customWidth="1"/>
    <col min="4098" max="4098" width="21.85546875" style="11" customWidth="1"/>
    <col min="4099" max="4099" width="16.5703125" style="11" customWidth="1"/>
    <col min="4100" max="4100" width="21.7109375" style="11" customWidth="1"/>
    <col min="4101" max="4101" width="19.85546875" style="11" customWidth="1"/>
    <col min="4102" max="4102" width="53.140625" style="11" bestFit="1" customWidth="1"/>
    <col min="4103" max="4103" width="15.7109375" style="11" bestFit="1" customWidth="1"/>
    <col min="4104" max="4104" width="48.140625" style="11" bestFit="1" customWidth="1"/>
    <col min="4105" max="4105" width="20.42578125" style="11" bestFit="1" customWidth="1"/>
    <col min="4106" max="4106" width="25.85546875" style="11" bestFit="1" customWidth="1"/>
    <col min="4107" max="4107" width="24.140625" style="11" bestFit="1" customWidth="1"/>
    <col min="4108" max="4108" width="25.85546875" style="11" bestFit="1" customWidth="1"/>
    <col min="4109" max="4109" width="24.140625" style="11" bestFit="1" customWidth="1"/>
    <col min="4110" max="4110" width="25.85546875" style="11" bestFit="1" customWidth="1"/>
    <col min="4111" max="4111" width="69.28515625" style="11" bestFit="1" customWidth="1"/>
    <col min="4112" max="4345" width="9.140625" style="11"/>
    <col min="4346" max="4346" width="6.5703125" style="11" customWidth="1"/>
    <col min="4347" max="4347" width="7.42578125" style="11" customWidth="1"/>
    <col min="4348" max="4348" width="15.5703125" style="11" bestFit="1" customWidth="1"/>
    <col min="4349" max="4349" width="22.5703125" style="11" customWidth="1"/>
    <col min="4350" max="4350" width="22.7109375" style="11" customWidth="1"/>
    <col min="4351" max="4351" width="41" style="11" bestFit="1" customWidth="1"/>
    <col min="4352" max="4352" width="15.28515625" style="11" customWidth="1"/>
    <col min="4353" max="4353" width="18" style="11" customWidth="1"/>
    <col min="4354" max="4354" width="21.85546875" style="11" customWidth="1"/>
    <col min="4355" max="4355" width="16.5703125" style="11" customWidth="1"/>
    <col min="4356" max="4356" width="21.7109375" style="11" customWidth="1"/>
    <col min="4357" max="4357" width="19.85546875" style="11" customWidth="1"/>
    <col min="4358" max="4358" width="53.140625" style="11" bestFit="1" customWidth="1"/>
    <col min="4359" max="4359" width="15.7109375" style="11" bestFit="1" customWidth="1"/>
    <col min="4360" max="4360" width="48.140625" style="11" bestFit="1" customWidth="1"/>
    <col min="4361" max="4361" width="20.42578125" style="11" bestFit="1" customWidth="1"/>
    <col min="4362" max="4362" width="25.85546875" style="11" bestFit="1" customWidth="1"/>
    <col min="4363" max="4363" width="24.140625" style="11" bestFit="1" customWidth="1"/>
    <col min="4364" max="4364" width="25.85546875" style="11" bestFit="1" customWidth="1"/>
    <col min="4365" max="4365" width="24.140625" style="11" bestFit="1" customWidth="1"/>
    <col min="4366" max="4366" width="25.85546875" style="11" bestFit="1" customWidth="1"/>
    <col min="4367" max="4367" width="69.28515625" style="11" bestFit="1" customWidth="1"/>
    <col min="4368" max="4601" width="9.140625" style="11"/>
    <col min="4602" max="4602" width="6.5703125" style="11" customWidth="1"/>
    <col min="4603" max="4603" width="7.42578125" style="11" customWidth="1"/>
    <col min="4604" max="4604" width="15.5703125" style="11" bestFit="1" customWidth="1"/>
    <col min="4605" max="4605" width="22.5703125" style="11" customWidth="1"/>
    <col min="4606" max="4606" width="22.7109375" style="11" customWidth="1"/>
    <col min="4607" max="4607" width="41" style="11" bestFit="1" customWidth="1"/>
    <col min="4608" max="4608" width="15.28515625" style="11" customWidth="1"/>
    <col min="4609" max="4609" width="18" style="11" customWidth="1"/>
    <col min="4610" max="4610" width="21.85546875" style="11" customWidth="1"/>
    <col min="4611" max="4611" width="16.5703125" style="11" customWidth="1"/>
    <col min="4612" max="4612" width="21.7109375" style="11" customWidth="1"/>
    <col min="4613" max="4613" width="19.85546875" style="11" customWidth="1"/>
    <col min="4614" max="4614" width="53.140625" style="11" bestFit="1" customWidth="1"/>
    <col min="4615" max="4615" width="15.7109375" style="11" bestFit="1" customWidth="1"/>
    <col min="4616" max="4616" width="48.140625" style="11" bestFit="1" customWidth="1"/>
    <col min="4617" max="4617" width="20.42578125" style="11" bestFit="1" customWidth="1"/>
    <col min="4618" max="4618" width="25.85546875" style="11" bestFit="1" customWidth="1"/>
    <col min="4619" max="4619" width="24.140625" style="11" bestFit="1" customWidth="1"/>
    <col min="4620" max="4620" width="25.85546875" style="11" bestFit="1" customWidth="1"/>
    <col min="4621" max="4621" width="24.140625" style="11" bestFit="1" customWidth="1"/>
    <col min="4622" max="4622" width="25.85546875" style="11" bestFit="1" customWidth="1"/>
    <col min="4623" max="4623" width="69.28515625" style="11" bestFit="1" customWidth="1"/>
    <col min="4624" max="4857" width="9.140625" style="11"/>
    <col min="4858" max="4858" width="6.5703125" style="11" customWidth="1"/>
    <col min="4859" max="4859" width="7.42578125" style="11" customWidth="1"/>
    <col min="4860" max="4860" width="15.5703125" style="11" bestFit="1" customWidth="1"/>
    <col min="4861" max="4861" width="22.5703125" style="11" customWidth="1"/>
    <col min="4862" max="4862" width="22.7109375" style="11" customWidth="1"/>
    <col min="4863" max="4863" width="41" style="11" bestFit="1" customWidth="1"/>
    <col min="4864" max="4864" width="15.28515625" style="11" customWidth="1"/>
    <col min="4865" max="4865" width="18" style="11" customWidth="1"/>
    <col min="4866" max="4866" width="21.85546875" style="11" customWidth="1"/>
    <col min="4867" max="4867" width="16.5703125" style="11" customWidth="1"/>
    <col min="4868" max="4868" width="21.7109375" style="11" customWidth="1"/>
    <col min="4869" max="4869" width="19.85546875" style="11" customWidth="1"/>
    <col min="4870" max="4870" width="53.140625" style="11" bestFit="1" customWidth="1"/>
    <col min="4871" max="4871" width="15.7109375" style="11" bestFit="1" customWidth="1"/>
    <col min="4872" max="4872" width="48.140625" style="11" bestFit="1" customWidth="1"/>
    <col min="4873" max="4873" width="20.42578125" style="11" bestFit="1" customWidth="1"/>
    <col min="4874" max="4874" width="25.85546875" style="11" bestFit="1" customWidth="1"/>
    <col min="4875" max="4875" width="24.140625" style="11" bestFit="1" customWidth="1"/>
    <col min="4876" max="4876" width="25.85546875" style="11" bestFit="1" customWidth="1"/>
    <col min="4877" max="4877" width="24.140625" style="11" bestFit="1" customWidth="1"/>
    <col min="4878" max="4878" width="25.85546875" style="11" bestFit="1" customWidth="1"/>
    <col min="4879" max="4879" width="69.28515625" style="11" bestFit="1" customWidth="1"/>
    <col min="4880" max="5113" width="9.140625" style="11"/>
    <col min="5114" max="5114" width="6.5703125" style="11" customWidth="1"/>
    <col min="5115" max="5115" width="7.42578125" style="11" customWidth="1"/>
    <col min="5116" max="5116" width="15.5703125" style="11" bestFit="1" customWidth="1"/>
    <col min="5117" max="5117" width="22.5703125" style="11" customWidth="1"/>
    <col min="5118" max="5118" width="22.7109375" style="11" customWidth="1"/>
    <col min="5119" max="5119" width="41" style="11" bestFit="1" customWidth="1"/>
    <col min="5120" max="5120" width="15.28515625" style="11" customWidth="1"/>
    <col min="5121" max="5121" width="18" style="11" customWidth="1"/>
    <col min="5122" max="5122" width="21.85546875" style="11" customWidth="1"/>
    <col min="5123" max="5123" width="16.5703125" style="11" customWidth="1"/>
    <col min="5124" max="5124" width="21.7109375" style="11" customWidth="1"/>
    <col min="5125" max="5125" width="19.85546875" style="11" customWidth="1"/>
    <col min="5126" max="5126" width="53.140625" style="11" bestFit="1" customWidth="1"/>
    <col min="5127" max="5127" width="15.7109375" style="11" bestFit="1" customWidth="1"/>
    <col min="5128" max="5128" width="48.140625" style="11" bestFit="1" customWidth="1"/>
    <col min="5129" max="5129" width="20.42578125" style="11" bestFit="1" customWidth="1"/>
    <col min="5130" max="5130" width="25.85546875" style="11" bestFit="1" customWidth="1"/>
    <col min="5131" max="5131" width="24.140625" style="11" bestFit="1" customWidth="1"/>
    <col min="5132" max="5132" width="25.85546875" style="11" bestFit="1" customWidth="1"/>
    <col min="5133" max="5133" width="24.140625" style="11" bestFit="1" customWidth="1"/>
    <col min="5134" max="5134" width="25.85546875" style="11" bestFit="1" customWidth="1"/>
    <col min="5135" max="5135" width="69.28515625" style="11" bestFit="1" customWidth="1"/>
    <col min="5136" max="5369" width="9.140625" style="11"/>
    <col min="5370" max="5370" width="6.5703125" style="11" customWidth="1"/>
    <col min="5371" max="5371" width="7.42578125" style="11" customWidth="1"/>
    <col min="5372" max="5372" width="15.5703125" style="11" bestFit="1" customWidth="1"/>
    <col min="5373" max="5373" width="22.5703125" style="11" customWidth="1"/>
    <col min="5374" max="5374" width="22.7109375" style="11" customWidth="1"/>
    <col min="5375" max="5375" width="41" style="11" bestFit="1" customWidth="1"/>
    <col min="5376" max="5376" width="15.28515625" style="11" customWidth="1"/>
    <col min="5377" max="5377" width="18" style="11" customWidth="1"/>
    <col min="5378" max="5378" width="21.85546875" style="11" customWidth="1"/>
    <col min="5379" max="5379" width="16.5703125" style="11" customWidth="1"/>
    <col min="5380" max="5380" width="21.7109375" style="11" customWidth="1"/>
    <col min="5381" max="5381" width="19.85546875" style="11" customWidth="1"/>
    <col min="5382" max="5382" width="53.140625" style="11" bestFit="1" customWidth="1"/>
    <col min="5383" max="5383" width="15.7109375" style="11" bestFit="1" customWidth="1"/>
    <col min="5384" max="5384" width="48.140625" style="11" bestFit="1" customWidth="1"/>
    <col min="5385" max="5385" width="20.42578125" style="11" bestFit="1" customWidth="1"/>
    <col min="5386" max="5386" width="25.85546875" style="11" bestFit="1" customWidth="1"/>
    <col min="5387" max="5387" width="24.140625" style="11" bestFit="1" customWidth="1"/>
    <col min="5388" max="5388" width="25.85546875" style="11" bestFit="1" customWidth="1"/>
    <col min="5389" max="5389" width="24.140625" style="11" bestFit="1" customWidth="1"/>
    <col min="5390" max="5390" width="25.85546875" style="11" bestFit="1" customWidth="1"/>
    <col min="5391" max="5391" width="69.28515625" style="11" bestFit="1" customWidth="1"/>
    <col min="5392" max="5625" width="9.140625" style="11"/>
    <col min="5626" max="5626" width="6.5703125" style="11" customWidth="1"/>
    <col min="5627" max="5627" width="7.42578125" style="11" customWidth="1"/>
    <col min="5628" max="5628" width="15.5703125" style="11" bestFit="1" customWidth="1"/>
    <col min="5629" max="5629" width="22.5703125" style="11" customWidth="1"/>
    <col min="5630" max="5630" width="22.7109375" style="11" customWidth="1"/>
    <col min="5631" max="5631" width="41" style="11" bestFit="1" customWidth="1"/>
    <col min="5632" max="5632" width="15.28515625" style="11" customWidth="1"/>
    <col min="5633" max="5633" width="18" style="11" customWidth="1"/>
    <col min="5634" max="5634" width="21.85546875" style="11" customWidth="1"/>
    <col min="5635" max="5635" width="16.5703125" style="11" customWidth="1"/>
    <col min="5636" max="5636" width="21.7109375" style="11" customWidth="1"/>
    <col min="5637" max="5637" width="19.85546875" style="11" customWidth="1"/>
    <col min="5638" max="5638" width="53.140625" style="11" bestFit="1" customWidth="1"/>
    <col min="5639" max="5639" width="15.7109375" style="11" bestFit="1" customWidth="1"/>
    <col min="5640" max="5640" width="48.140625" style="11" bestFit="1" customWidth="1"/>
    <col min="5641" max="5641" width="20.42578125" style="11" bestFit="1" customWidth="1"/>
    <col min="5642" max="5642" width="25.85546875" style="11" bestFit="1" customWidth="1"/>
    <col min="5643" max="5643" width="24.140625" style="11" bestFit="1" customWidth="1"/>
    <col min="5644" max="5644" width="25.85546875" style="11" bestFit="1" customWidth="1"/>
    <col min="5645" max="5645" width="24.140625" style="11" bestFit="1" customWidth="1"/>
    <col min="5646" max="5646" width="25.85546875" style="11" bestFit="1" customWidth="1"/>
    <col min="5647" max="5647" width="69.28515625" style="11" bestFit="1" customWidth="1"/>
    <col min="5648" max="5881" width="9.140625" style="11"/>
    <col min="5882" max="5882" width="6.5703125" style="11" customWidth="1"/>
    <col min="5883" max="5883" width="7.42578125" style="11" customWidth="1"/>
    <col min="5884" max="5884" width="15.5703125" style="11" bestFit="1" customWidth="1"/>
    <col min="5885" max="5885" width="22.5703125" style="11" customWidth="1"/>
    <col min="5886" max="5886" width="22.7109375" style="11" customWidth="1"/>
    <col min="5887" max="5887" width="41" style="11" bestFit="1" customWidth="1"/>
    <col min="5888" max="5888" width="15.28515625" style="11" customWidth="1"/>
    <col min="5889" max="5889" width="18" style="11" customWidth="1"/>
    <col min="5890" max="5890" width="21.85546875" style="11" customWidth="1"/>
    <col min="5891" max="5891" width="16.5703125" style="11" customWidth="1"/>
    <col min="5892" max="5892" width="21.7109375" style="11" customWidth="1"/>
    <col min="5893" max="5893" width="19.85546875" style="11" customWidth="1"/>
    <col min="5894" max="5894" width="53.140625" style="11" bestFit="1" customWidth="1"/>
    <col min="5895" max="5895" width="15.7109375" style="11" bestFit="1" customWidth="1"/>
    <col min="5896" max="5896" width="48.140625" style="11" bestFit="1" customWidth="1"/>
    <col min="5897" max="5897" width="20.42578125" style="11" bestFit="1" customWidth="1"/>
    <col min="5898" max="5898" width="25.85546875" style="11" bestFit="1" customWidth="1"/>
    <col min="5899" max="5899" width="24.140625" style="11" bestFit="1" customWidth="1"/>
    <col min="5900" max="5900" width="25.85546875" style="11" bestFit="1" customWidth="1"/>
    <col min="5901" max="5901" width="24.140625" style="11" bestFit="1" customWidth="1"/>
    <col min="5902" max="5902" width="25.85546875" style="11" bestFit="1" customWidth="1"/>
    <col min="5903" max="5903" width="69.28515625" style="11" bestFit="1" customWidth="1"/>
    <col min="5904" max="6137" width="9.140625" style="11"/>
    <col min="6138" max="6138" width="6.5703125" style="11" customWidth="1"/>
    <col min="6139" max="6139" width="7.42578125" style="11" customWidth="1"/>
    <col min="6140" max="6140" width="15.5703125" style="11" bestFit="1" customWidth="1"/>
    <col min="6141" max="6141" width="22.5703125" style="11" customWidth="1"/>
    <col min="6142" max="6142" width="22.7109375" style="11" customWidth="1"/>
    <col min="6143" max="6143" width="41" style="11" bestFit="1" customWidth="1"/>
    <col min="6144" max="6144" width="15.28515625" style="11" customWidth="1"/>
    <col min="6145" max="6145" width="18" style="11" customWidth="1"/>
    <col min="6146" max="6146" width="21.85546875" style="11" customWidth="1"/>
    <col min="6147" max="6147" width="16.5703125" style="11" customWidth="1"/>
    <col min="6148" max="6148" width="21.7109375" style="11" customWidth="1"/>
    <col min="6149" max="6149" width="19.85546875" style="11" customWidth="1"/>
    <col min="6150" max="6150" width="53.140625" style="11" bestFit="1" customWidth="1"/>
    <col min="6151" max="6151" width="15.7109375" style="11" bestFit="1" customWidth="1"/>
    <col min="6152" max="6152" width="48.140625" style="11" bestFit="1" customWidth="1"/>
    <col min="6153" max="6153" width="20.42578125" style="11" bestFit="1" customWidth="1"/>
    <col min="6154" max="6154" width="25.85546875" style="11" bestFit="1" customWidth="1"/>
    <col min="6155" max="6155" width="24.140625" style="11" bestFit="1" customWidth="1"/>
    <col min="6156" max="6156" width="25.85546875" style="11" bestFit="1" customWidth="1"/>
    <col min="6157" max="6157" width="24.140625" style="11" bestFit="1" customWidth="1"/>
    <col min="6158" max="6158" width="25.85546875" style="11" bestFit="1" customWidth="1"/>
    <col min="6159" max="6159" width="69.28515625" style="11" bestFit="1" customWidth="1"/>
    <col min="6160" max="6393" width="9.140625" style="11"/>
    <col min="6394" max="6394" width="6.5703125" style="11" customWidth="1"/>
    <col min="6395" max="6395" width="7.42578125" style="11" customWidth="1"/>
    <col min="6396" max="6396" width="15.5703125" style="11" bestFit="1" customWidth="1"/>
    <col min="6397" max="6397" width="22.5703125" style="11" customWidth="1"/>
    <col min="6398" max="6398" width="22.7109375" style="11" customWidth="1"/>
    <col min="6399" max="6399" width="41" style="11" bestFit="1" customWidth="1"/>
    <col min="6400" max="6400" width="15.28515625" style="11" customWidth="1"/>
    <col min="6401" max="6401" width="18" style="11" customWidth="1"/>
    <col min="6402" max="6402" width="21.85546875" style="11" customWidth="1"/>
    <col min="6403" max="6403" width="16.5703125" style="11" customWidth="1"/>
    <col min="6404" max="6404" width="21.7109375" style="11" customWidth="1"/>
    <col min="6405" max="6405" width="19.85546875" style="11" customWidth="1"/>
    <col min="6406" max="6406" width="53.140625" style="11" bestFit="1" customWidth="1"/>
    <col min="6407" max="6407" width="15.7109375" style="11" bestFit="1" customWidth="1"/>
    <col min="6408" max="6408" width="48.140625" style="11" bestFit="1" customWidth="1"/>
    <col min="6409" max="6409" width="20.42578125" style="11" bestFit="1" customWidth="1"/>
    <col min="6410" max="6410" width="25.85546875" style="11" bestFit="1" customWidth="1"/>
    <col min="6411" max="6411" width="24.140625" style="11" bestFit="1" customWidth="1"/>
    <col min="6412" max="6412" width="25.85546875" style="11" bestFit="1" customWidth="1"/>
    <col min="6413" max="6413" width="24.140625" style="11" bestFit="1" customWidth="1"/>
    <col min="6414" max="6414" width="25.85546875" style="11" bestFit="1" customWidth="1"/>
    <col min="6415" max="6415" width="69.28515625" style="11" bestFit="1" customWidth="1"/>
    <col min="6416" max="6649" width="9.140625" style="11"/>
    <col min="6650" max="6650" width="6.5703125" style="11" customWidth="1"/>
    <col min="6651" max="6651" width="7.42578125" style="11" customWidth="1"/>
    <col min="6652" max="6652" width="15.5703125" style="11" bestFit="1" customWidth="1"/>
    <col min="6653" max="6653" width="22.5703125" style="11" customWidth="1"/>
    <col min="6654" max="6654" width="22.7109375" style="11" customWidth="1"/>
    <col min="6655" max="6655" width="41" style="11" bestFit="1" customWidth="1"/>
    <col min="6656" max="6656" width="15.28515625" style="11" customWidth="1"/>
    <col min="6657" max="6657" width="18" style="11" customWidth="1"/>
    <col min="6658" max="6658" width="21.85546875" style="11" customWidth="1"/>
    <col min="6659" max="6659" width="16.5703125" style="11" customWidth="1"/>
    <col min="6660" max="6660" width="21.7109375" style="11" customWidth="1"/>
    <col min="6661" max="6661" width="19.85546875" style="11" customWidth="1"/>
    <col min="6662" max="6662" width="53.140625" style="11" bestFit="1" customWidth="1"/>
    <col min="6663" max="6663" width="15.7109375" style="11" bestFit="1" customWidth="1"/>
    <col min="6664" max="6664" width="48.140625" style="11" bestFit="1" customWidth="1"/>
    <col min="6665" max="6665" width="20.42578125" style="11" bestFit="1" customWidth="1"/>
    <col min="6666" max="6666" width="25.85546875" style="11" bestFit="1" customWidth="1"/>
    <col min="6667" max="6667" width="24.140625" style="11" bestFit="1" customWidth="1"/>
    <col min="6668" max="6668" width="25.85546875" style="11" bestFit="1" customWidth="1"/>
    <col min="6669" max="6669" width="24.140625" style="11" bestFit="1" customWidth="1"/>
    <col min="6670" max="6670" width="25.85546875" style="11" bestFit="1" customWidth="1"/>
    <col min="6671" max="6671" width="69.28515625" style="11" bestFit="1" customWidth="1"/>
    <col min="6672" max="6905" width="9.140625" style="11"/>
    <col min="6906" max="6906" width="6.5703125" style="11" customWidth="1"/>
    <col min="6907" max="6907" width="7.42578125" style="11" customWidth="1"/>
    <col min="6908" max="6908" width="15.5703125" style="11" bestFit="1" customWidth="1"/>
    <col min="6909" max="6909" width="22.5703125" style="11" customWidth="1"/>
    <col min="6910" max="6910" width="22.7109375" style="11" customWidth="1"/>
    <col min="6911" max="6911" width="41" style="11" bestFit="1" customWidth="1"/>
    <col min="6912" max="6912" width="15.28515625" style="11" customWidth="1"/>
    <col min="6913" max="6913" width="18" style="11" customWidth="1"/>
    <col min="6914" max="6914" width="21.85546875" style="11" customWidth="1"/>
    <col min="6915" max="6915" width="16.5703125" style="11" customWidth="1"/>
    <col min="6916" max="6916" width="21.7109375" style="11" customWidth="1"/>
    <col min="6917" max="6917" width="19.85546875" style="11" customWidth="1"/>
    <col min="6918" max="6918" width="53.140625" style="11" bestFit="1" customWidth="1"/>
    <col min="6919" max="6919" width="15.7109375" style="11" bestFit="1" customWidth="1"/>
    <col min="6920" max="6920" width="48.140625" style="11" bestFit="1" customWidth="1"/>
    <col min="6921" max="6921" width="20.42578125" style="11" bestFit="1" customWidth="1"/>
    <col min="6922" max="6922" width="25.85546875" style="11" bestFit="1" customWidth="1"/>
    <col min="6923" max="6923" width="24.140625" style="11" bestFit="1" customWidth="1"/>
    <col min="6924" max="6924" width="25.85546875" style="11" bestFit="1" customWidth="1"/>
    <col min="6925" max="6925" width="24.140625" style="11" bestFit="1" customWidth="1"/>
    <col min="6926" max="6926" width="25.85546875" style="11" bestFit="1" customWidth="1"/>
    <col min="6927" max="6927" width="69.28515625" style="11" bestFit="1" customWidth="1"/>
    <col min="6928" max="7161" width="9.140625" style="11"/>
    <col min="7162" max="7162" width="6.5703125" style="11" customWidth="1"/>
    <col min="7163" max="7163" width="7.42578125" style="11" customWidth="1"/>
    <col min="7164" max="7164" width="15.5703125" style="11" bestFit="1" customWidth="1"/>
    <col min="7165" max="7165" width="22.5703125" style="11" customWidth="1"/>
    <col min="7166" max="7166" width="22.7109375" style="11" customWidth="1"/>
    <col min="7167" max="7167" width="41" style="11" bestFit="1" customWidth="1"/>
    <col min="7168" max="7168" width="15.28515625" style="11" customWidth="1"/>
    <col min="7169" max="7169" width="18" style="11" customWidth="1"/>
    <col min="7170" max="7170" width="21.85546875" style="11" customWidth="1"/>
    <col min="7171" max="7171" width="16.5703125" style="11" customWidth="1"/>
    <col min="7172" max="7172" width="21.7109375" style="11" customWidth="1"/>
    <col min="7173" max="7173" width="19.85546875" style="11" customWidth="1"/>
    <col min="7174" max="7174" width="53.140625" style="11" bestFit="1" customWidth="1"/>
    <col min="7175" max="7175" width="15.7109375" style="11" bestFit="1" customWidth="1"/>
    <col min="7176" max="7176" width="48.140625" style="11" bestFit="1" customWidth="1"/>
    <col min="7177" max="7177" width="20.42578125" style="11" bestFit="1" customWidth="1"/>
    <col min="7178" max="7178" width="25.85546875" style="11" bestFit="1" customWidth="1"/>
    <col min="7179" max="7179" width="24.140625" style="11" bestFit="1" customWidth="1"/>
    <col min="7180" max="7180" width="25.85546875" style="11" bestFit="1" customWidth="1"/>
    <col min="7181" max="7181" width="24.140625" style="11" bestFit="1" customWidth="1"/>
    <col min="7182" max="7182" width="25.85546875" style="11" bestFit="1" customWidth="1"/>
    <col min="7183" max="7183" width="69.28515625" style="11" bestFit="1" customWidth="1"/>
    <col min="7184" max="7417" width="9.140625" style="11"/>
    <col min="7418" max="7418" width="6.5703125" style="11" customWidth="1"/>
    <col min="7419" max="7419" width="7.42578125" style="11" customWidth="1"/>
    <col min="7420" max="7420" width="15.5703125" style="11" bestFit="1" customWidth="1"/>
    <col min="7421" max="7421" width="22.5703125" style="11" customWidth="1"/>
    <col min="7422" max="7422" width="22.7109375" style="11" customWidth="1"/>
    <col min="7423" max="7423" width="41" style="11" bestFit="1" customWidth="1"/>
    <col min="7424" max="7424" width="15.28515625" style="11" customWidth="1"/>
    <col min="7425" max="7425" width="18" style="11" customWidth="1"/>
    <col min="7426" max="7426" width="21.85546875" style="11" customWidth="1"/>
    <col min="7427" max="7427" width="16.5703125" style="11" customWidth="1"/>
    <col min="7428" max="7428" width="21.7109375" style="11" customWidth="1"/>
    <col min="7429" max="7429" width="19.85546875" style="11" customWidth="1"/>
    <col min="7430" max="7430" width="53.140625" style="11" bestFit="1" customWidth="1"/>
    <col min="7431" max="7431" width="15.7109375" style="11" bestFit="1" customWidth="1"/>
    <col min="7432" max="7432" width="48.140625" style="11" bestFit="1" customWidth="1"/>
    <col min="7433" max="7433" width="20.42578125" style="11" bestFit="1" customWidth="1"/>
    <col min="7434" max="7434" width="25.85546875" style="11" bestFit="1" customWidth="1"/>
    <col min="7435" max="7435" width="24.140625" style="11" bestFit="1" customWidth="1"/>
    <col min="7436" max="7436" width="25.85546875" style="11" bestFit="1" customWidth="1"/>
    <col min="7437" max="7437" width="24.140625" style="11" bestFit="1" customWidth="1"/>
    <col min="7438" max="7438" width="25.85546875" style="11" bestFit="1" customWidth="1"/>
    <col min="7439" max="7439" width="69.28515625" style="11" bestFit="1" customWidth="1"/>
    <col min="7440" max="7673" width="9.140625" style="11"/>
    <col min="7674" max="7674" width="6.5703125" style="11" customWidth="1"/>
    <col min="7675" max="7675" width="7.42578125" style="11" customWidth="1"/>
    <col min="7676" max="7676" width="15.5703125" style="11" bestFit="1" customWidth="1"/>
    <col min="7677" max="7677" width="22.5703125" style="11" customWidth="1"/>
    <col min="7678" max="7678" width="22.7109375" style="11" customWidth="1"/>
    <col min="7679" max="7679" width="41" style="11" bestFit="1" customWidth="1"/>
    <col min="7680" max="7680" width="15.28515625" style="11" customWidth="1"/>
    <col min="7681" max="7681" width="18" style="11" customWidth="1"/>
    <col min="7682" max="7682" width="21.85546875" style="11" customWidth="1"/>
    <col min="7683" max="7683" width="16.5703125" style="11" customWidth="1"/>
    <col min="7684" max="7684" width="21.7109375" style="11" customWidth="1"/>
    <col min="7685" max="7685" width="19.85546875" style="11" customWidth="1"/>
    <col min="7686" max="7686" width="53.140625" style="11" bestFit="1" customWidth="1"/>
    <col min="7687" max="7687" width="15.7109375" style="11" bestFit="1" customWidth="1"/>
    <col min="7688" max="7688" width="48.140625" style="11" bestFit="1" customWidth="1"/>
    <col min="7689" max="7689" width="20.42578125" style="11" bestFit="1" customWidth="1"/>
    <col min="7690" max="7690" width="25.85546875" style="11" bestFit="1" customWidth="1"/>
    <col min="7691" max="7691" width="24.140625" style="11" bestFit="1" customWidth="1"/>
    <col min="7692" max="7692" width="25.85546875" style="11" bestFit="1" customWidth="1"/>
    <col min="7693" max="7693" width="24.140625" style="11" bestFit="1" customWidth="1"/>
    <col min="7694" max="7694" width="25.85546875" style="11" bestFit="1" customWidth="1"/>
    <col min="7695" max="7695" width="69.28515625" style="11" bestFit="1" customWidth="1"/>
    <col min="7696" max="7929" width="9.140625" style="11"/>
    <col min="7930" max="7930" width="6.5703125" style="11" customWidth="1"/>
    <col min="7931" max="7931" width="7.42578125" style="11" customWidth="1"/>
    <col min="7932" max="7932" width="15.5703125" style="11" bestFit="1" customWidth="1"/>
    <col min="7933" max="7933" width="22.5703125" style="11" customWidth="1"/>
    <col min="7934" max="7934" width="22.7109375" style="11" customWidth="1"/>
    <col min="7935" max="7935" width="41" style="11" bestFit="1" customWidth="1"/>
    <col min="7936" max="7936" width="15.28515625" style="11" customWidth="1"/>
    <col min="7937" max="7937" width="18" style="11" customWidth="1"/>
    <col min="7938" max="7938" width="21.85546875" style="11" customWidth="1"/>
    <col min="7939" max="7939" width="16.5703125" style="11" customWidth="1"/>
    <col min="7940" max="7940" width="21.7109375" style="11" customWidth="1"/>
    <col min="7941" max="7941" width="19.85546875" style="11" customWidth="1"/>
    <col min="7942" max="7942" width="53.140625" style="11" bestFit="1" customWidth="1"/>
    <col min="7943" max="7943" width="15.7109375" style="11" bestFit="1" customWidth="1"/>
    <col min="7944" max="7944" width="48.140625" style="11" bestFit="1" customWidth="1"/>
    <col min="7945" max="7945" width="20.42578125" style="11" bestFit="1" customWidth="1"/>
    <col min="7946" max="7946" width="25.85546875" style="11" bestFit="1" customWidth="1"/>
    <col min="7947" max="7947" width="24.140625" style="11" bestFit="1" customWidth="1"/>
    <col min="7948" max="7948" width="25.85546875" style="11" bestFit="1" customWidth="1"/>
    <col min="7949" max="7949" width="24.140625" style="11" bestFit="1" customWidth="1"/>
    <col min="7950" max="7950" width="25.85546875" style="11" bestFit="1" customWidth="1"/>
    <col min="7951" max="7951" width="69.28515625" style="11" bestFit="1" customWidth="1"/>
    <col min="7952" max="8185" width="9.140625" style="11"/>
    <col min="8186" max="8186" width="6.5703125" style="11" customWidth="1"/>
    <col min="8187" max="8187" width="7.42578125" style="11" customWidth="1"/>
    <col min="8188" max="8188" width="15.5703125" style="11" bestFit="1" customWidth="1"/>
    <col min="8189" max="8189" width="22.5703125" style="11" customWidth="1"/>
    <col min="8190" max="8190" width="22.7109375" style="11" customWidth="1"/>
    <col min="8191" max="8191" width="41" style="11" bestFit="1" customWidth="1"/>
    <col min="8192" max="8192" width="15.28515625" style="11" customWidth="1"/>
    <col min="8193" max="8193" width="18" style="11" customWidth="1"/>
    <col min="8194" max="8194" width="21.85546875" style="11" customWidth="1"/>
    <col min="8195" max="8195" width="16.5703125" style="11" customWidth="1"/>
    <col min="8196" max="8196" width="21.7109375" style="11" customWidth="1"/>
    <col min="8197" max="8197" width="19.85546875" style="11" customWidth="1"/>
    <col min="8198" max="8198" width="53.140625" style="11" bestFit="1" customWidth="1"/>
    <col min="8199" max="8199" width="15.7109375" style="11" bestFit="1" customWidth="1"/>
    <col min="8200" max="8200" width="48.140625" style="11" bestFit="1" customWidth="1"/>
    <col min="8201" max="8201" width="20.42578125" style="11" bestFit="1" customWidth="1"/>
    <col min="8202" max="8202" width="25.85546875" style="11" bestFit="1" customWidth="1"/>
    <col min="8203" max="8203" width="24.140625" style="11" bestFit="1" customWidth="1"/>
    <col min="8204" max="8204" width="25.85546875" style="11" bestFit="1" customWidth="1"/>
    <col min="8205" max="8205" width="24.140625" style="11" bestFit="1" customWidth="1"/>
    <col min="8206" max="8206" width="25.85546875" style="11" bestFit="1" customWidth="1"/>
    <col min="8207" max="8207" width="69.28515625" style="11" bestFit="1" customWidth="1"/>
    <col min="8208" max="8441" width="9.140625" style="11"/>
    <col min="8442" max="8442" width="6.5703125" style="11" customWidth="1"/>
    <col min="8443" max="8443" width="7.42578125" style="11" customWidth="1"/>
    <col min="8444" max="8444" width="15.5703125" style="11" bestFit="1" customWidth="1"/>
    <col min="8445" max="8445" width="22.5703125" style="11" customWidth="1"/>
    <col min="8446" max="8446" width="22.7109375" style="11" customWidth="1"/>
    <col min="8447" max="8447" width="41" style="11" bestFit="1" customWidth="1"/>
    <col min="8448" max="8448" width="15.28515625" style="11" customWidth="1"/>
    <col min="8449" max="8449" width="18" style="11" customWidth="1"/>
    <col min="8450" max="8450" width="21.85546875" style="11" customWidth="1"/>
    <col min="8451" max="8451" width="16.5703125" style="11" customWidth="1"/>
    <col min="8452" max="8452" width="21.7109375" style="11" customWidth="1"/>
    <col min="8453" max="8453" width="19.85546875" style="11" customWidth="1"/>
    <col min="8454" max="8454" width="53.140625" style="11" bestFit="1" customWidth="1"/>
    <col min="8455" max="8455" width="15.7109375" style="11" bestFit="1" customWidth="1"/>
    <col min="8456" max="8456" width="48.140625" style="11" bestFit="1" customWidth="1"/>
    <col min="8457" max="8457" width="20.42578125" style="11" bestFit="1" customWidth="1"/>
    <col min="8458" max="8458" width="25.85546875" style="11" bestFit="1" customWidth="1"/>
    <col min="8459" max="8459" width="24.140625" style="11" bestFit="1" customWidth="1"/>
    <col min="8460" max="8460" width="25.85546875" style="11" bestFit="1" customWidth="1"/>
    <col min="8461" max="8461" width="24.140625" style="11" bestFit="1" customWidth="1"/>
    <col min="8462" max="8462" width="25.85546875" style="11" bestFit="1" customWidth="1"/>
    <col min="8463" max="8463" width="69.28515625" style="11" bestFit="1" customWidth="1"/>
    <col min="8464" max="8697" width="9.140625" style="11"/>
    <col min="8698" max="8698" width="6.5703125" style="11" customWidth="1"/>
    <col min="8699" max="8699" width="7.42578125" style="11" customWidth="1"/>
    <col min="8700" max="8700" width="15.5703125" style="11" bestFit="1" customWidth="1"/>
    <col min="8701" max="8701" width="22.5703125" style="11" customWidth="1"/>
    <col min="8702" max="8702" width="22.7109375" style="11" customWidth="1"/>
    <col min="8703" max="8703" width="41" style="11" bestFit="1" customWidth="1"/>
    <col min="8704" max="8704" width="15.28515625" style="11" customWidth="1"/>
    <col min="8705" max="8705" width="18" style="11" customWidth="1"/>
    <col min="8706" max="8706" width="21.85546875" style="11" customWidth="1"/>
    <col min="8707" max="8707" width="16.5703125" style="11" customWidth="1"/>
    <col min="8708" max="8708" width="21.7109375" style="11" customWidth="1"/>
    <col min="8709" max="8709" width="19.85546875" style="11" customWidth="1"/>
    <col min="8710" max="8710" width="53.140625" style="11" bestFit="1" customWidth="1"/>
    <col min="8711" max="8711" width="15.7109375" style="11" bestFit="1" customWidth="1"/>
    <col min="8712" max="8712" width="48.140625" style="11" bestFit="1" customWidth="1"/>
    <col min="8713" max="8713" width="20.42578125" style="11" bestFit="1" customWidth="1"/>
    <col min="8714" max="8714" width="25.85546875" style="11" bestFit="1" customWidth="1"/>
    <col min="8715" max="8715" width="24.140625" style="11" bestFit="1" customWidth="1"/>
    <col min="8716" max="8716" width="25.85546875" style="11" bestFit="1" customWidth="1"/>
    <col min="8717" max="8717" width="24.140625" style="11" bestFit="1" customWidth="1"/>
    <col min="8718" max="8718" width="25.85546875" style="11" bestFit="1" customWidth="1"/>
    <col min="8719" max="8719" width="69.28515625" style="11" bestFit="1" customWidth="1"/>
    <col min="8720" max="8953" width="9.140625" style="11"/>
    <col min="8954" max="8954" width="6.5703125" style="11" customWidth="1"/>
    <col min="8955" max="8955" width="7.42578125" style="11" customWidth="1"/>
    <col min="8956" max="8956" width="15.5703125" style="11" bestFit="1" customWidth="1"/>
    <col min="8957" max="8957" width="22.5703125" style="11" customWidth="1"/>
    <col min="8958" max="8958" width="22.7109375" style="11" customWidth="1"/>
    <col min="8959" max="8959" width="41" style="11" bestFit="1" customWidth="1"/>
    <col min="8960" max="8960" width="15.28515625" style="11" customWidth="1"/>
    <col min="8961" max="8961" width="18" style="11" customWidth="1"/>
    <col min="8962" max="8962" width="21.85546875" style="11" customWidth="1"/>
    <col min="8963" max="8963" width="16.5703125" style="11" customWidth="1"/>
    <col min="8964" max="8964" width="21.7109375" style="11" customWidth="1"/>
    <col min="8965" max="8965" width="19.85546875" style="11" customWidth="1"/>
    <col min="8966" max="8966" width="53.140625" style="11" bestFit="1" customWidth="1"/>
    <col min="8967" max="8967" width="15.7109375" style="11" bestFit="1" customWidth="1"/>
    <col min="8968" max="8968" width="48.140625" style="11" bestFit="1" customWidth="1"/>
    <col min="8969" max="8969" width="20.42578125" style="11" bestFit="1" customWidth="1"/>
    <col min="8970" max="8970" width="25.85546875" style="11" bestFit="1" customWidth="1"/>
    <col min="8971" max="8971" width="24.140625" style="11" bestFit="1" customWidth="1"/>
    <col min="8972" max="8972" width="25.85546875" style="11" bestFit="1" customWidth="1"/>
    <col min="8973" max="8973" width="24.140625" style="11" bestFit="1" customWidth="1"/>
    <col min="8974" max="8974" width="25.85546875" style="11" bestFit="1" customWidth="1"/>
    <col min="8975" max="8975" width="69.28515625" style="11" bestFit="1" customWidth="1"/>
    <col min="8976" max="9209" width="9.140625" style="11"/>
    <col min="9210" max="9210" width="6.5703125" style="11" customWidth="1"/>
    <col min="9211" max="9211" width="7.42578125" style="11" customWidth="1"/>
    <col min="9212" max="9212" width="15.5703125" style="11" bestFit="1" customWidth="1"/>
    <col min="9213" max="9213" width="22.5703125" style="11" customWidth="1"/>
    <col min="9214" max="9214" width="22.7109375" style="11" customWidth="1"/>
    <col min="9215" max="9215" width="41" style="11" bestFit="1" customWidth="1"/>
    <col min="9216" max="9216" width="15.28515625" style="11" customWidth="1"/>
    <col min="9217" max="9217" width="18" style="11" customWidth="1"/>
    <col min="9218" max="9218" width="21.85546875" style="11" customWidth="1"/>
    <col min="9219" max="9219" width="16.5703125" style="11" customWidth="1"/>
    <col min="9220" max="9220" width="21.7109375" style="11" customWidth="1"/>
    <col min="9221" max="9221" width="19.85546875" style="11" customWidth="1"/>
    <col min="9222" max="9222" width="53.140625" style="11" bestFit="1" customWidth="1"/>
    <col min="9223" max="9223" width="15.7109375" style="11" bestFit="1" customWidth="1"/>
    <col min="9224" max="9224" width="48.140625" style="11" bestFit="1" customWidth="1"/>
    <col min="9225" max="9225" width="20.42578125" style="11" bestFit="1" customWidth="1"/>
    <col min="9226" max="9226" width="25.85546875" style="11" bestFit="1" customWidth="1"/>
    <col min="9227" max="9227" width="24.140625" style="11" bestFit="1" customWidth="1"/>
    <col min="9228" max="9228" width="25.85546875" style="11" bestFit="1" customWidth="1"/>
    <col min="9229" max="9229" width="24.140625" style="11" bestFit="1" customWidth="1"/>
    <col min="9230" max="9230" width="25.85546875" style="11" bestFit="1" customWidth="1"/>
    <col min="9231" max="9231" width="69.28515625" style="11" bestFit="1" customWidth="1"/>
    <col min="9232" max="9465" width="9.140625" style="11"/>
    <col min="9466" max="9466" width="6.5703125" style="11" customWidth="1"/>
    <col min="9467" max="9467" width="7.42578125" style="11" customWidth="1"/>
    <col min="9468" max="9468" width="15.5703125" style="11" bestFit="1" customWidth="1"/>
    <col min="9469" max="9469" width="22.5703125" style="11" customWidth="1"/>
    <col min="9470" max="9470" width="22.7109375" style="11" customWidth="1"/>
    <col min="9471" max="9471" width="41" style="11" bestFit="1" customWidth="1"/>
    <col min="9472" max="9472" width="15.28515625" style="11" customWidth="1"/>
    <col min="9473" max="9473" width="18" style="11" customWidth="1"/>
    <col min="9474" max="9474" width="21.85546875" style="11" customWidth="1"/>
    <col min="9475" max="9475" width="16.5703125" style="11" customWidth="1"/>
    <col min="9476" max="9476" width="21.7109375" style="11" customWidth="1"/>
    <col min="9477" max="9477" width="19.85546875" style="11" customWidth="1"/>
    <col min="9478" max="9478" width="53.140625" style="11" bestFit="1" customWidth="1"/>
    <col min="9479" max="9479" width="15.7109375" style="11" bestFit="1" customWidth="1"/>
    <col min="9480" max="9480" width="48.140625" style="11" bestFit="1" customWidth="1"/>
    <col min="9481" max="9481" width="20.42578125" style="11" bestFit="1" customWidth="1"/>
    <col min="9482" max="9482" width="25.85546875" style="11" bestFit="1" customWidth="1"/>
    <col min="9483" max="9483" width="24.140625" style="11" bestFit="1" customWidth="1"/>
    <col min="9484" max="9484" width="25.85546875" style="11" bestFit="1" customWidth="1"/>
    <col min="9485" max="9485" width="24.140625" style="11" bestFit="1" customWidth="1"/>
    <col min="9486" max="9486" width="25.85546875" style="11" bestFit="1" customWidth="1"/>
    <col min="9487" max="9487" width="69.28515625" style="11" bestFit="1" customWidth="1"/>
    <col min="9488" max="9721" width="9.140625" style="11"/>
    <col min="9722" max="9722" width="6.5703125" style="11" customWidth="1"/>
    <col min="9723" max="9723" width="7.42578125" style="11" customWidth="1"/>
    <col min="9724" max="9724" width="15.5703125" style="11" bestFit="1" customWidth="1"/>
    <col min="9725" max="9725" width="22.5703125" style="11" customWidth="1"/>
    <col min="9726" max="9726" width="22.7109375" style="11" customWidth="1"/>
    <col min="9727" max="9727" width="41" style="11" bestFit="1" customWidth="1"/>
    <col min="9728" max="9728" width="15.28515625" style="11" customWidth="1"/>
    <col min="9729" max="9729" width="18" style="11" customWidth="1"/>
    <col min="9730" max="9730" width="21.85546875" style="11" customWidth="1"/>
    <col min="9731" max="9731" width="16.5703125" style="11" customWidth="1"/>
    <col min="9732" max="9732" width="21.7109375" style="11" customWidth="1"/>
    <col min="9733" max="9733" width="19.85546875" style="11" customWidth="1"/>
    <col min="9734" max="9734" width="53.140625" style="11" bestFit="1" customWidth="1"/>
    <col min="9735" max="9735" width="15.7109375" style="11" bestFit="1" customWidth="1"/>
    <col min="9736" max="9736" width="48.140625" style="11" bestFit="1" customWidth="1"/>
    <col min="9737" max="9737" width="20.42578125" style="11" bestFit="1" customWidth="1"/>
    <col min="9738" max="9738" width="25.85546875" style="11" bestFit="1" customWidth="1"/>
    <col min="9739" max="9739" width="24.140625" style="11" bestFit="1" customWidth="1"/>
    <col min="9740" max="9740" width="25.85546875" style="11" bestFit="1" customWidth="1"/>
    <col min="9741" max="9741" width="24.140625" style="11" bestFit="1" customWidth="1"/>
    <col min="9742" max="9742" width="25.85546875" style="11" bestFit="1" customWidth="1"/>
    <col min="9743" max="9743" width="69.28515625" style="11" bestFit="1" customWidth="1"/>
    <col min="9744" max="9977" width="9.140625" style="11"/>
    <col min="9978" max="9978" width="6.5703125" style="11" customWidth="1"/>
    <col min="9979" max="9979" width="7.42578125" style="11" customWidth="1"/>
    <col min="9980" max="9980" width="15.5703125" style="11" bestFit="1" customWidth="1"/>
    <col min="9981" max="9981" width="22.5703125" style="11" customWidth="1"/>
    <col min="9982" max="9982" width="22.7109375" style="11" customWidth="1"/>
    <col min="9983" max="9983" width="41" style="11" bestFit="1" customWidth="1"/>
    <col min="9984" max="9984" width="15.28515625" style="11" customWidth="1"/>
    <col min="9985" max="9985" width="18" style="11" customWidth="1"/>
    <col min="9986" max="9986" width="21.85546875" style="11" customWidth="1"/>
    <col min="9987" max="9987" width="16.5703125" style="11" customWidth="1"/>
    <col min="9988" max="9988" width="21.7109375" style="11" customWidth="1"/>
    <col min="9989" max="9989" width="19.85546875" style="11" customWidth="1"/>
    <col min="9990" max="9990" width="53.140625" style="11" bestFit="1" customWidth="1"/>
    <col min="9991" max="9991" width="15.7109375" style="11" bestFit="1" customWidth="1"/>
    <col min="9992" max="9992" width="48.140625" style="11" bestFit="1" customWidth="1"/>
    <col min="9993" max="9993" width="20.42578125" style="11" bestFit="1" customWidth="1"/>
    <col min="9994" max="9994" width="25.85546875" style="11" bestFit="1" customWidth="1"/>
    <col min="9995" max="9995" width="24.140625" style="11" bestFit="1" customWidth="1"/>
    <col min="9996" max="9996" width="25.85546875" style="11" bestFit="1" customWidth="1"/>
    <col min="9997" max="9997" width="24.140625" style="11" bestFit="1" customWidth="1"/>
    <col min="9998" max="9998" width="25.85546875" style="11" bestFit="1" customWidth="1"/>
    <col min="9999" max="9999" width="69.28515625" style="11" bestFit="1" customWidth="1"/>
    <col min="10000" max="10233" width="9.140625" style="11"/>
    <col min="10234" max="10234" width="6.5703125" style="11" customWidth="1"/>
    <col min="10235" max="10235" width="7.42578125" style="11" customWidth="1"/>
    <col min="10236" max="10236" width="15.5703125" style="11" bestFit="1" customWidth="1"/>
    <col min="10237" max="10237" width="22.5703125" style="11" customWidth="1"/>
    <col min="10238" max="10238" width="22.7109375" style="11" customWidth="1"/>
    <col min="10239" max="10239" width="41" style="11" bestFit="1" customWidth="1"/>
    <col min="10240" max="10240" width="15.28515625" style="11" customWidth="1"/>
    <col min="10241" max="10241" width="18" style="11" customWidth="1"/>
    <col min="10242" max="10242" width="21.85546875" style="11" customWidth="1"/>
    <col min="10243" max="10243" width="16.5703125" style="11" customWidth="1"/>
    <col min="10244" max="10244" width="21.7109375" style="11" customWidth="1"/>
    <col min="10245" max="10245" width="19.85546875" style="11" customWidth="1"/>
    <col min="10246" max="10246" width="53.140625" style="11" bestFit="1" customWidth="1"/>
    <col min="10247" max="10247" width="15.7109375" style="11" bestFit="1" customWidth="1"/>
    <col min="10248" max="10248" width="48.140625" style="11" bestFit="1" customWidth="1"/>
    <col min="10249" max="10249" width="20.42578125" style="11" bestFit="1" customWidth="1"/>
    <col min="10250" max="10250" width="25.85546875" style="11" bestFit="1" customWidth="1"/>
    <col min="10251" max="10251" width="24.140625" style="11" bestFit="1" customWidth="1"/>
    <col min="10252" max="10252" width="25.85546875" style="11" bestFit="1" customWidth="1"/>
    <col min="10253" max="10253" width="24.140625" style="11" bestFit="1" customWidth="1"/>
    <col min="10254" max="10254" width="25.85546875" style="11" bestFit="1" customWidth="1"/>
    <col min="10255" max="10255" width="69.28515625" style="11" bestFit="1" customWidth="1"/>
    <col min="10256" max="10489" width="9.140625" style="11"/>
    <col min="10490" max="10490" width="6.5703125" style="11" customWidth="1"/>
    <col min="10491" max="10491" width="7.42578125" style="11" customWidth="1"/>
    <col min="10492" max="10492" width="15.5703125" style="11" bestFit="1" customWidth="1"/>
    <col min="10493" max="10493" width="22.5703125" style="11" customWidth="1"/>
    <col min="10494" max="10494" width="22.7109375" style="11" customWidth="1"/>
    <col min="10495" max="10495" width="41" style="11" bestFit="1" customWidth="1"/>
    <col min="10496" max="10496" width="15.28515625" style="11" customWidth="1"/>
    <col min="10497" max="10497" width="18" style="11" customWidth="1"/>
    <col min="10498" max="10498" width="21.85546875" style="11" customWidth="1"/>
    <col min="10499" max="10499" width="16.5703125" style="11" customWidth="1"/>
    <col min="10500" max="10500" width="21.7109375" style="11" customWidth="1"/>
    <col min="10501" max="10501" width="19.85546875" style="11" customWidth="1"/>
    <col min="10502" max="10502" width="53.140625" style="11" bestFit="1" customWidth="1"/>
    <col min="10503" max="10503" width="15.7109375" style="11" bestFit="1" customWidth="1"/>
    <col min="10504" max="10504" width="48.140625" style="11" bestFit="1" customWidth="1"/>
    <col min="10505" max="10505" width="20.42578125" style="11" bestFit="1" customWidth="1"/>
    <col min="10506" max="10506" width="25.85546875" style="11" bestFit="1" customWidth="1"/>
    <col min="10507" max="10507" width="24.140625" style="11" bestFit="1" customWidth="1"/>
    <col min="10508" max="10508" width="25.85546875" style="11" bestFit="1" customWidth="1"/>
    <col min="10509" max="10509" width="24.140625" style="11" bestFit="1" customWidth="1"/>
    <col min="10510" max="10510" width="25.85546875" style="11" bestFit="1" customWidth="1"/>
    <col min="10511" max="10511" width="69.28515625" style="11" bestFit="1" customWidth="1"/>
    <col min="10512" max="10745" width="9.140625" style="11"/>
    <col min="10746" max="10746" width="6.5703125" style="11" customWidth="1"/>
    <col min="10747" max="10747" width="7.42578125" style="11" customWidth="1"/>
    <col min="10748" max="10748" width="15.5703125" style="11" bestFit="1" customWidth="1"/>
    <col min="10749" max="10749" width="22.5703125" style="11" customWidth="1"/>
    <col min="10750" max="10750" width="22.7109375" style="11" customWidth="1"/>
    <col min="10751" max="10751" width="41" style="11" bestFit="1" customWidth="1"/>
    <col min="10752" max="10752" width="15.28515625" style="11" customWidth="1"/>
    <col min="10753" max="10753" width="18" style="11" customWidth="1"/>
    <col min="10754" max="10754" width="21.85546875" style="11" customWidth="1"/>
    <col min="10755" max="10755" width="16.5703125" style="11" customWidth="1"/>
    <col min="10756" max="10756" width="21.7109375" style="11" customWidth="1"/>
    <col min="10757" max="10757" width="19.85546875" style="11" customWidth="1"/>
    <col min="10758" max="10758" width="53.140625" style="11" bestFit="1" customWidth="1"/>
    <col min="10759" max="10759" width="15.7109375" style="11" bestFit="1" customWidth="1"/>
    <col min="10760" max="10760" width="48.140625" style="11" bestFit="1" customWidth="1"/>
    <col min="10761" max="10761" width="20.42578125" style="11" bestFit="1" customWidth="1"/>
    <col min="10762" max="10762" width="25.85546875" style="11" bestFit="1" customWidth="1"/>
    <col min="10763" max="10763" width="24.140625" style="11" bestFit="1" customWidth="1"/>
    <col min="10764" max="10764" width="25.85546875" style="11" bestFit="1" customWidth="1"/>
    <col min="10765" max="10765" width="24.140625" style="11" bestFit="1" customWidth="1"/>
    <col min="10766" max="10766" width="25.85546875" style="11" bestFit="1" customWidth="1"/>
    <col min="10767" max="10767" width="69.28515625" style="11" bestFit="1" customWidth="1"/>
    <col min="10768" max="11001" width="9.140625" style="11"/>
    <col min="11002" max="11002" width="6.5703125" style="11" customWidth="1"/>
    <col min="11003" max="11003" width="7.42578125" style="11" customWidth="1"/>
    <col min="11004" max="11004" width="15.5703125" style="11" bestFit="1" customWidth="1"/>
    <col min="11005" max="11005" width="22.5703125" style="11" customWidth="1"/>
    <col min="11006" max="11006" width="22.7109375" style="11" customWidth="1"/>
    <col min="11007" max="11007" width="41" style="11" bestFit="1" customWidth="1"/>
    <col min="11008" max="11008" width="15.28515625" style="11" customWidth="1"/>
    <col min="11009" max="11009" width="18" style="11" customWidth="1"/>
    <col min="11010" max="11010" width="21.85546875" style="11" customWidth="1"/>
    <col min="11011" max="11011" width="16.5703125" style="11" customWidth="1"/>
    <col min="11012" max="11012" width="21.7109375" style="11" customWidth="1"/>
    <col min="11013" max="11013" width="19.85546875" style="11" customWidth="1"/>
    <col min="11014" max="11014" width="53.140625" style="11" bestFit="1" customWidth="1"/>
    <col min="11015" max="11015" width="15.7109375" style="11" bestFit="1" customWidth="1"/>
    <col min="11016" max="11016" width="48.140625" style="11" bestFit="1" customWidth="1"/>
    <col min="11017" max="11017" width="20.42578125" style="11" bestFit="1" customWidth="1"/>
    <col min="11018" max="11018" width="25.85546875" style="11" bestFit="1" customWidth="1"/>
    <col min="11019" max="11019" width="24.140625" style="11" bestFit="1" customWidth="1"/>
    <col min="11020" max="11020" width="25.85546875" style="11" bestFit="1" customWidth="1"/>
    <col min="11021" max="11021" width="24.140625" style="11" bestFit="1" customWidth="1"/>
    <col min="11022" max="11022" width="25.85546875" style="11" bestFit="1" customWidth="1"/>
    <col min="11023" max="11023" width="69.28515625" style="11" bestFit="1" customWidth="1"/>
    <col min="11024" max="11257" width="9.140625" style="11"/>
    <col min="11258" max="11258" width="6.5703125" style="11" customWidth="1"/>
    <col min="11259" max="11259" width="7.42578125" style="11" customWidth="1"/>
    <col min="11260" max="11260" width="15.5703125" style="11" bestFit="1" customWidth="1"/>
    <col min="11261" max="11261" width="22.5703125" style="11" customWidth="1"/>
    <col min="11262" max="11262" width="22.7109375" style="11" customWidth="1"/>
    <col min="11263" max="11263" width="41" style="11" bestFit="1" customWidth="1"/>
    <col min="11264" max="11264" width="15.28515625" style="11" customWidth="1"/>
    <col min="11265" max="11265" width="18" style="11" customWidth="1"/>
    <col min="11266" max="11266" width="21.85546875" style="11" customWidth="1"/>
    <col min="11267" max="11267" width="16.5703125" style="11" customWidth="1"/>
    <col min="11268" max="11268" width="21.7109375" style="11" customWidth="1"/>
    <col min="11269" max="11269" width="19.85546875" style="11" customWidth="1"/>
    <col min="11270" max="11270" width="53.140625" style="11" bestFit="1" customWidth="1"/>
    <col min="11271" max="11271" width="15.7109375" style="11" bestFit="1" customWidth="1"/>
    <col min="11272" max="11272" width="48.140625" style="11" bestFit="1" customWidth="1"/>
    <col min="11273" max="11273" width="20.42578125" style="11" bestFit="1" customWidth="1"/>
    <col min="11274" max="11274" width="25.85546875" style="11" bestFit="1" customWidth="1"/>
    <col min="11275" max="11275" width="24.140625" style="11" bestFit="1" customWidth="1"/>
    <col min="11276" max="11276" width="25.85546875" style="11" bestFit="1" customWidth="1"/>
    <col min="11277" max="11277" width="24.140625" style="11" bestFit="1" customWidth="1"/>
    <col min="11278" max="11278" width="25.85546875" style="11" bestFit="1" customWidth="1"/>
    <col min="11279" max="11279" width="69.28515625" style="11" bestFit="1" customWidth="1"/>
    <col min="11280" max="11513" width="9.140625" style="11"/>
    <col min="11514" max="11514" width="6.5703125" style="11" customWidth="1"/>
    <col min="11515" max="11515" width="7.42578125" style="11" customWidth="1"/>
    <col min="11516" max="11516" width="15.5703125" style="11" bestFit="1" customWidth="1"/>
    <col min="11517" max="11517" width="22.5703125" style="11" customWidth="1"/>
    <col min="11518" max="11518" width="22.7109375" style="11" customWidth="1"/>
    <col min="11519" max="11519" width="41" style="11" bestFit="1" customWidth="1"/>
    <col min="11520" max="11520" width="15.28515625" style="11" customWidth="1"/>
    <col min="11521" max="11521" width="18" style="11" customWidth="1"/>
    <col min="11522" max="11522" width="21.85546875" style="11" customWidth="1"/>
    <col min="11523" max="11523" width="16.5703125" style="11" customWidth="1"/>
    <col min="11524" max="11524" width="21.7109375" style="11" customWidth="1"/>
    <col min="11525" max="11525" width="19.85546875" style="11" customWidth="1"/>
    <col min="11526" max="11526" width="53.140625" style="11" bestFit="1" customWidth="1"/>
    <col min="11527" max="11527" width="15.7109375" style="11" bestFit="1" customWidth="1"/>
    <col min="11528" max="11528" width="48.140625" style="11" bestFit="1" customWidth="1"/>
    <col min="11529" max="11529" width="20.42578125" style="11" bestFit="1" customWidth="1"/>
    <col min="11530" max="11530" width="25.85546875" style="11" bestFit="1" customWidth="1"/>
    <col min="11531" max="11531" width="24.140625" style="11" bestFit="1" customWidth="1"/>
    <col min="11532" max="11532" width="25.85546875" style="11" bestFit="1" customWidth="1"/>
    <col min="11533" max="11533" width="24.140625" style="11" bestFit="1" customWidth="1"/>
    <col min="11534" max="11534" width="25.85546875" style="11" bestFit="1" customWidth="1"/>
    <col min="11535" max="11535" width="69.28515625" style="11" bestFit="1" customWidth="1"/>
    <col min="11536" max="11769" width="9.140625" style="11"/>
    <col min="11770" max="11770" width="6.5703125" style="11" customWidth="1"/>
    <col min="11771" max="11771" width="7.42578125" style="11" customWidth="1"/>
    <col min="11772" max="11772" width="15.5703125" style="11" bestFit="1" customWidth="1"/>
    <col min="11773" max="11773" width="22.5703125" style="11" customWidth="1"/>
    <col min="11774" max="11774" width="22.7109375" style="11" customWidth="1"/>
    <col min="11775" max="11775" width="41" style="11" bestFit="1" customWidth="1"/>
    <col min="11776" max="11776" width="15.28515625" style="11" customWidth="1"/>
    <col min="11777" max="11777" width="18" style="11" customWidth="1"/>
    <col min="11778" max="11778" width="21.85546875" style="11" customWidth="1"/>
    <col min="11779" max="11779" width="16.5703125" style="11" customWidth="1"/>
    <col min="11780" max="11780" width="21.7109375" style="11" customWidth="1"/>
    <col min="11781" max="11781" width="19.85546875" style="11" customWidth="1"/>
    <col min="11782" max="11782" width="53.140625" style="11" bestFit="1" customWidth="1"/>
    <col min="11783" max="11783" width="15.7109375" style="11" bestFit="1" customWidth="1"/>
    <col min="11784" max="11784" width="48.140625" style="11" bestFit="1" customWidth="1"/>
    <col min="11785" max="11785" width="20.42578125" style="11" bestFit="1" customWidth="1"/>
    <col min="11786" max="11786" width="25.85546875" style="11" bestFit="1" customWidth="1"/>
    <col min="11787" max="11787" width="24.140625" style="11" bestFit="1" customWidth="1"/>
    <col min="11788" max="11788" width="25.85546875" style="11" bestFit="1" customWidth="1"/>
    <col min="11789" max="11789" width="24.140625" style="11" bestFit="1" customWidth="1"/>
    <col min="11790" max="11790" width="25.85546875" style="11" bestFit="1" customWidth="1"/>
    <col min="11791" max="11791" width="69.28515625" style="11" bestFit="1" customWidth="1"/>
    <col min="11792" max="12025" width="9.140625" style="11"/>
    <col min="12026" max="12026" width="6.5703125" style="11" customWidth="1"/>
    <col min="12027" max="12027" width="7.42578125" style="11" customWidth="1"/>
    <col min="12028" max="12028" width="15.5703125" style="11" bestFit="1" customWidth="1"/>
    <col min="12029" max="12029" width="22.5703125" style="11" customWidth="1"/>
    <col min="12030" max="12030" width="22.7109375" style="11" customWidth="1"/>
    <col min="12031" max="12031" width="41" style="11" bestFit="1" customWidth="1"/>
    <col min="12032" max="12032" width="15.28515625" style="11" customWidth="1"/>
    <col min="12033" max="12033" width="18" style="11" customWidth="1"/>
    <col min="12034" max="12034" width="21.85546875" style="11" customWidth="1"/>
    <col min="12035" max="12035" width="16.5703125" style="11" customWidth="1"/>
    <col min="12036" max="12036" width="21.7109375" style="11" customWidth="1"/>
    <col min="12037" max="12037" width="19.85546875" style="11" customWidth="1"/>
    <col min="12038" max="12038" width="53.140625" style="11" bestFit="1" customWidth="1"/>
    <col min="12039" max="12039" width="15.7109375" style="11" bestFit="1" customWidth="1"/>
    <col min="12040" max="12040" width="48.140625" style="11" bestFit="1" customWidth="1"/>
    <col min="12041" max="12041" width="20.42578125" style="11" bestFit="1" customWidth="1"/>
    <col min="12042" max="12042" width="25.85546875" style="11" bestFit="1" customWidth="1"/>
    <col min="12043" max="12043" width="24.140625" style="11" bestFit="1" customWidth="1"/>
    <col min="12044" max="12044" width="25.85546875" style="11" bestFit="1" customWidth="1"/>
    <col min="12045" max="12045" width="24.140625" style="11" bestFit="1" customWidth="1"/>
    <col min="12046" max="12046" width="25.85546875" style="11" bestFit="1" customWidth="1"/>
    <col min="12047" max="12047" width="69.28515625" style="11" bestFit="1" customWidth="1"/>
    <col min="12048" max="12281" width="9.140625" style="11"/>
    <col min="12282" max="12282" width="6.5703125" style="11" customWidth="1"/>
    <col min="12283" max="12283" width="7.42578125" style="11" customWidth="1"/>
    <col min="12284" max="12284" width="15.5703125" style="11" bestFit="1" customWidth="1"/>
    <col min="12285" max="12285" width="22.5703125" style="11" customWidth="1"/>
    <col min="12286" max="12286" width="22.7109375" style="11" customWidth="1"/>
    <col min="12287" max="12287" width="41" style="11" bestFit="1" customWidth="1"/>
    <col min="12288" max="12288" width="15.28515625" style="11" customWidth="1"/>
    <col min="12289" max="12289" width="18" style="11" customWidth="1"/>
    <col min="12290" max="12290" width="21.85546875" style="11" customWidth="1"/>
    <col min="12291" max="12291" width="16.5703125" style="11" customWidth="1"/>
    <col min="12292" max="12292" width="21.7109375" style="11" customWidth="1"/>
    <col min="12293" max="12293" width="19.85546875" style="11" customWidth="1"/>
    <col min="12294" max="12294" width="53.140625" style="11" bestFit="1" customWidth="1"/>
    <col min="12295" max="12295" width="15.7109375" style="11" bestFit="1" customWidth="1"/>
    <col min="12296" max="12296" width="48.140625" style="11" bestFit="1" customWidth="1"/>
    <col min="12297" max="12297" width="20.42578125" style="11" bestFit="1" customWidth="1"/>
    <col min="12298" max="12298" width="25.85546875" style="11" bestFit="1" customWidth="1"/>
    <col min="12299" max="12299" width="24.140625" style="11" bestFit="1" customWidth="1"/>
    <col min="12300" max="12300" width="25.85546875" style="11" bestFit="1" customWidth="1"/>
    <col min="12301" max="12301" width="24.140625" style="11" bestFit="1" customWidth="1"/>
    <col min="12302" max="12302" width="25.85546875" style="11" bestFit="1" customWidth="1"/>
    <col min="12303" max="12303" width="69.28515625" style="11" bestFit="1" customWidth="1"/>
    <col min="12304" max="12537" width="9.140625" style="11"/>
    <col min="12538" max="12538" width="6.5703125" style="11" customWidth="1"/>
    <col min="12539" max="12539" width="7.42578125" style="11" customWidth="1"/>
    <col min="12540" max="12540" width="15.5703125" style="11" bestFit="1" customWidth="1"/>
    <col min="12541" max="12541" width="22.5703125" style="11" customWidth="1"/>
    <col min="12542" max="12542" width="22.7109375" style="11" customWidth="1"/>
    <col min="12543" max="12543" width="41" style="11" bestFit="1" customWidth="1"/>
    <col min="12544" max="12544" width="15.28515625" style="11" customWidth="1"/>
    <col min="12545" max="12545" width="18" style="11" customWidth="1"/>
    <col min="12546" max="12546" width="21.85546875" style="11" customWidth="1"/>
    <col min="12547" max="12547" width="16.5703125" style="11" customWidth="1"/>
    <col min="12548" max="12548" width="21.7109375" style="11" customWidth="1"/>
    <col min="12549" max="12549" width="19.85546875" style="11" customWidth="1"/>
    <col min="12550" max="12550" width="53.140625" style="11" bestFit="1" customWidth="1"/>
    <col min="12551" max="12551" width="15.7109375" style="11" bestFit="1" customWidth="1"/>
    <col min="12552" max="12552" width="48.140625" style="11" bestFit="1" customWidth="1"/>
    <col min="12553" max="12553" width="20.42578125" style="11" bestFit="1" customWidth="1"/>
    <col min="12554" max="12554" width="25.85546875" style="11" bestFit="1" customWidth="1"/>
    <col min="12555" max="12555" width="24.140625" style="11" bestFit="1" customWidth="1"/>
    <col min="12556" max="12556" width="25.85546875" style="11" bestFit="1" customWidth="1"/>
    <col min="12557" max="12557" width="24.140625" style="11" bestFit="1" customWidth="1"/>
    <col min="12558" max="12558" width="25.85546875" style="11" bestFit="1" customWidth="1"/>
    <col min="12559" max="12559" width="69.28515625" style="11" bestFit="1" customWidth="1"/>
    <col min="12560" max="12793" width="9.140625" style="11"/>
    <col min="12794" max="12794" width="6.5703125" style="11" customWidth="1"/>
    <col min="12795" max="12795" width="7.42578125" style="11" customWidth="1"/>
    <col min="12796" max="12796" width="15.5703125" style="11" bestFit="1" customWidth="1"/>
    <col min="12797" max="12797" width="22.5703125" style="11" customWidth="1"/>
    <col min="12798" max="12798" width="22.7109375" style="11" customWidth="1"/>
    <col min="12799" max="12799" width="41" style="11" bestFit="1" customWidth="1"/>
    <col min="12800" max="12800" width="15.28515625" style="11" customWidth="1"/>
    <col min="12801" max="12801" width="18" style="11" customWidth="1"/>
    <col min="12802" max="12802" width="21.85546875" style="11" customWidth="1"/>
    <col min="12803" max="12803" width="16.5703125" style="11" customWidth="1"/>
    <col min="12804" max="12804" width="21.7109375" style="11" customWidth="1"/>
    <col min="12805" max="12805" width="19.85546875" style="11" customWidth="1"/>
    <col min="12806" max="12806" width="53.140625" style="11" bestFit="1" customWidth="1"/>
    <col min="12807" max="12807" width="15.7109375" style="11" bestFit="1" customWidth="1"/>
    <col min="12808" max="12808" width="48.140625" style="11" bestFit="1" customWidth="1"/>
    <col min="12809" max="12809" width="20.42578125" style="11" bestFit="1" customWidth="1"/>
    <col min="12810" max="12810" width="25.85546875" style="11" bestFit="1" customWidth="1"/>
    <col min="12811" max="12811" width="24.140625" style="11" bestFit="1" customWidth="1"/>
    <col min="12812" max="12812" width="25.85546875" style="11" bestFit="1" customWidth="1"/>
    <col min="12813" max="12813" width="24.140625" style="11" bestFit="1" customWidth="1"/>
    <col min="12814" max="12814" width="25.85546875" style="11" bestFit="1" customWidth="1"/>
    <col min="12815" max="12815" width="69.28515625" style="11" bestFit="1" customWidth="1"/>
    <col min="12816" max="13049" width="9.140625" style="11"/>
    <col min="13050" max="13050" width="6.5703125" style="11" customWidth="1"/>
    <col min="13051" max="13051" width="7.42578125" style="11" customWidth="1"/>
    <col min="13052" max="13052" width="15.5703125" style="11" bestFit="1" customWidth="1"/>
    <col min="13053" max="13053" width="22.5703125" style="11" customWidth="1"/>
    <col min="13054" max="13054" width="22.7109375" style="11" customWidth="1"/>
    <col min="13055" max="13055" width="41" style="11" bestFit="1" customWidth="1"/>
    <col min="13056" max="13056" width="15.28515625" style="11" customWidth="1"/>
    <col min="13057" max="13057" width="18" style="11" customWidth="1"/>
    <col min="13058" max="13058" width="21.85546875" style="11" customWidth="1"/>
    <col min="13059" max="13059" width="16.5703125" style="11" customWidth="1"/>
    <col min="13060" max="13060" width="21.7109375" style="11" customWidth="1"/>
    <col min="13061" max="13061" width="19.85546875" style="11" customWidth="1"/>
    <col min="13062" max="13062" width="53.140625" style="11" bestFit="1" customWidth="1"/>
    <col min="13063" max="13063" width="15.7109375" style="11" bestFit="1" customWidth="1"/>
    <col min="13064" max="13064" width="48.140625" style="11" bestFit="1" customWidth="1"/>
    <col min="13065" max="13065" width="20.42578125" style="11" bestFit="1" customWidth="1"/>
    <col min="13066" max="13066" width="25.85546875" style="11" bestFit="1" customWidth="1"/>
    <col min="13067" max="13067" width="24.140625" style="11" bestFit="1" customWidth="1"/>
    <col min="13068" max="13068" width="25.85546875" style="11" bestFit="1" customWidth="1"/>
    <col min="13069" max="13069" width="24.140625" style="11" bestFit="1" customWidth="1"/>
    <col min="13070" max="13070" width="25.85546875" style="11" bestFit="1" customWidth="1"/>
    <col min="13071" max="13071" width="69.28515625" style="11" bestFit="1" customWidth="1"/>
    <col min="13072" max="13305" width="9.140625" style="11"/>
    <col min="13306" max="13306" width="6.5703125" style="11" customWidth="1"/>
    <col min="13307" max="13307" width="7.42578125" style="11" customWidth="1"/>
    <col min="13308" max="13308" width="15.5703125" style="11" bestFit="1" customWidth="1"/>
    <col min="13309" max="13309" width="22.5703125" style="11" customWidth="1"/>
    <col min="13310" max="13310" width="22.7109375" style="11" customWidth="1"/>
    <col min="13311" max="13311" width="41" style="11" bestFit="1" customWidth="1"/>
    <col min="13312" max="13312" width="15.28515625" style="11" customWidth="1"/>
    <col min="13313" max="13313" width="18" style="11" customWidth="1"/>
    <col min="13314" max="13314" width="21.85546875" style="11" customWidth="1"/>
    <col min="13315" max="13315" width="16.5703125" style="11" customWidth="1"/>
    <col min="13316" max="13316" width="21.7109375" style="11" customWidth="1"/>
    <col min="13317" max="13317" width="19.85546875" style="11" customWidth="1"/>
    <col min="13318" max="13318" width="53.140625" style="11" bestFit="1" customWidth="1"/>
    <col min="13319" max="13319" width="15.7109375" style="11" bestFit="1" customWidth="1"/>
    <col min="13320" max="13320" width="48.140625" style="11" bestFit="1" customWidth="1"/>
    <col min="13321" max="13321" width="20.42578125" style="11" bestFit="1" customWidth="1"/>
    <col min="13322" max="13322" width="25.85546875" style="11" bestFit="1" customWidth="1"/>
    <col min="13323" max="13323" width="24.140625" style="11" bestFit="1" customWidth="1"/>
    <col min="13324" max="13324" width="25.85546875" style="11" bestFit="1" customWidth="1"/>
    <col min="13325" max="13325" width="24.140625" style="11" bestFit="1" customWidth="1"/>
    <col min="13326" max="13326" width="25.85546875" style="11" bestFit="1" customWidth="1"/>
    <col min="13327" max="13327" width="69.28515625" style="11" bestFit="1" customWidth="1"/>
    <col min="13328" max="13561" width="9.140625" style="11"/>
    <col min="13562" max="13562" width="6.5703125" style="11" customWidth="1"/>
    <col min="13563" max="13563" width="7.42578125" style="11" customWidth="1"/>
    <col min="13564" max="13564" width="15.5703125" style="11" bestFit="1" customWidth="1"/>
    <col min="13565" max="13565" width="22.5703125" style="11" customWidth="1"/>
    <col min="13566" max="13566" width="22.7109375" style="11" customWidth="1"/>
    <col min="13567" max="13567" width="41" style="11" bestFit="1" customWidth="1"/>
    <col min="13568" max="13568" width="15.28515625" style="11" customWidth="1"/>
    <col min="13569" max="13569" width="18" style="11" customWidth="1"/>
    <col min="13570" max="13570" width="21.85546875" style="11" customWidth="1"/>
    <col min="13571" max="13571" width="16.5703125" style="11" customWidth="1"/>
    <col min="13572" max="13572" width="21.7109375" style="11" customWidth="1"/>
    <col min="13573" max="13573" width="19.85546875" style="11" customWidth="1"/>
    <col min="13574" max="13574" width="53.140625" style="11" bestFit="1" customWidth="1"/>
    <col min="13575" max="13575" width="15.7109375" style="11" bestFit="1" customWidth="1"/>
    <col min="13576" max="13576" width="48.140625" style="11" bestFit="1" customWidth="1"/>
    <col min="13577" max="13577" width="20.42578125" style="11" bestFit="1" customWidth="1"/>
    <col min="13578" max="13578" width="25.85546875" style="11" bestFit="1" customWidth="1"/>
    <col min="13579" max="13579" width="24.140625" style="11" bestFit="1" customWidth="1"/>
    <col min="13580" max="13580" width="25.85546875" style="11" bestFit="1" customWidth="1"/>
    <col min="13581" max="13581" width="24.140625" style="11" bestFit="1" customWidth="1"/>
    <col min="13582" max="13582" width="25.85546875" style="11" bestFit="1" customWidth="1"/>
    <col min="13583" max="13583" width="69.28515625" style="11" bestFit="1" customWidth="1"/>
    <col min="13584" max="13817" width="9.140625" style="11"/>
    <col min="13818" max="13818" width="6.5703125" style="11" customWidth="1"/>
    <col min="13819" max="13819" width="7.42578125" style="11" customWidth="1"/>
    <col min="13820" max="13820" width="15.5703125" style="11" bestFit="1" customWidth="1"/>
    <col min="13821" max="13821" width="22.5703125" style="11" customWidth="1"/>
    <col min="13822" max="13822" width="22.7109375" style="11" customWidth="1"/>
    <col min="13823" max="13823" width="41" style="11" bestFit="1" customWidth="1"/>
    <col min="13824" max="13824" width="15.28515625" style="11" customWidth="1"/>
    <col min="13825" max="13825" width="18" style="11" customWidth="1"/>
    <col min="13826" max="13826" width="21.85546875" style="11" customWidth="1"/>
    <col min="13827" max="13827" width="16.5703125" style="11" customWidth="1"/>
    <col min="13828" max="13828" width="21.7109375" style="11" customWidth="1"/>
    <col min="13829" max="13829" width="19.85546875" style="11" customWidth="1"/>
    <col min="13830" max="13830" width="53.140625" style="11" bestFit="1" customWidth="1"/>
    <col min="13831" max="13831" width="15.7109375" style="11" bestFit="1" customWidth="1"/>
    <col min="13832" max="13832" width="48.140625" style="11" bestFit="1" customWidth="1"/>
    <col min="13833" max="13833" width="20.42578125" style="11" bestFit="1" customWidth="1"/>
    <col min="13834" max="13834" width="25.85546875" style="11" bestFit="1" customWidth="1"/>
    <col min="13835" max="13835" width="24.140625" style="11" bestFit="1" customWidth="1"/>
    <col min="13836" max="13836" width="25.85546875" style="11" bestFit="1" customWidth="1"/>
    <col min="13837" max="13837" width="24.140625" style="11" bestFit="1" customWidth="1"/>
    <col min="13838" max="13838" width="25.85546875" style="11" bestFit="1" customWidth="1"/>
    <col min="13839" max="13839" width="69.28515625" style="11" bestFit="1" customWidth="1"/>
    <col min="13840" max="14073" width="9.140625" style="11"/>
    <col min="14074" max="14074" width="6.5703125" style="11" customWidth="1"/>
    <col min="14075" max="14075" width="7.42578125" style="11" customWidth="1"/>
    <col min="14076" max="14076" width="15.5703125" style="11" bestFit="1" customWidth="1"/>
    <col min="14077" max="14077" width="22.5703125" style="11" customWidth="1"/>
    <col min="14078" max="14078" width="22.7109375" style="11" customWidth="1"/>
    <col min="14079" max="14079" width="41" style="11" bestFit="1" customWidth="1"/>
    <col min="14080" max="14080" width="15.28515625" style="11" customWidth="1"/>
    <col min="14081" max="14081" width="18" style="11" customWidth="1"/>
    <col min="14082" max="14082" width="21.85546875" style="11" customWidth="1"/>
    <col min="14083" max="14083" width="16.5703125" style="11" customWidth="1"/>
    <col min="14084" max="14084" width="21.7109375" style="11" customWidth="1"/>
    <col min="14085" max="14085" width="19.85546875" style="11" customWidth="1"/>
    <col min="14086" max="14086" width="53.140625" style="11" bestFit="1" customWidth="1"/>
    <col min="14087" max="14087" width="15.7109375" style="11" bestFit="1" customWidth="1"/>
    <col min="14088" max="14088" width="48.140625" style="11" bestFit="1" customWidth="1"/>
    <col min="14089" max="14089" width="20.42578125" style="11" bestFit="1" customWidth="1"/>
    <col min="14090" max="14090" width="25.85546875" style="11" bestFit="1" customWidth="1"/>
    <col min="14091" max="14091" width="24.140625" style="11" bestFit="1" customWidth="1"/>
    <col min="14092" max="14092" width="25.85546875" style="11" bestFit="1" customWidth="1"/>
    <col min="14093" max="14093" width="24.140625" style="11" bestFit="1" customWidth="1"/>
    <col min="14094" max="14094" width="25.85546875" style="11" bestFit="1" customWidth="1"/>
    <col min="14095" max="14095" width="69.28515625" style="11" bestFit="1" customWidth="1"/>
    <col min="14096" max="14329" width="9.140625" style="11"/>
    <col min="14330" max="14330" width="6.5703125" style="11" customWidth="1"/>
    <col min="14331" max="14331" width="7.42578125" style="11" customWidth="1"/>
    <col min="14332" max="14332" width="15.5703125" style="11" bestFit="1" customWidth="1"/>
    <col min="14333" max="14333" width="22.5703125" style="11" customWidth="1"/>
    <col min="14334" max="14334" width="22.7109375" style="11" customWidth="1"/>
    <col min="14335" max="14335" width="41" style="11" bestFit="1" customWidth="1"/>
    <col min="14336" max="14336" width="15.28515625" style="11" customWidth="1"/>
    <col min="14337" max="14337" width="18" style="11" customWidth="1"/>
    <col min="14338" max="14338" width="21.85546875" style="11" customWidth="1"/>
    <col min="14339" max="14339" width="16.5703125" style="11" customWidth="1"/>
    <col min="14340" max="14340" width="21.7109375" style="11" customWidth="1"/>
    <col min="14341" max="14341" width="19.85546875" style="11" customWidth="1"/>
    <col min="14342" max="14342" width="53.140625" style="11" bestFit="1" customWidth="1"/>
    <col min="14343" max="14343" width="15.7109375" style="11" bestFit="1" customWidth="1"/>
    <col min="14344" max="14344" width="48.140625" style="11" bestFit="1" customWidth="1"/>
    <col min="14345" max="14345" width="20.42578125" style="11" bestFit="1" customWidth="1"/>
    <col min="14346" max="14346" width="25.85546875" style="11" bestFit="1" customWidth="1"/>
    <col min="14347" max="14347" width="24.140625" style="11" bestFit="1" customWidth="1"/>
    <col min="14348" max="14348" width="25.85546875" style="11" bestFit="1" customWidth="1"/>
    <col min="14349" max="14349" width="24.140625" style="11" bestFit="1" customWidth="1"/>
    <col min="14350" max="14350" width="25.85546875" style="11" bestFit="1" customWidth="1"/>
    <col min="14351" max="14351" width="69.28515625" style="11" bestFit="1" customWidth="1"/>
    <col min="14352" max="14585" width="9.140625" style="11"/>
    <col min="14586" max="14586" width="6.5703125" style="11" customWidth="1"/>
    <col min="14587" max="14587" width="7.42578125" style="11" customWidth="1"/>
    <col min="14588" max="14588" width="15.5703125" style="11" bestFit="1" customWidth="1"/>
    <col min="14589" max="14589" width="22.5703125" style="11" customWidth="1"/>
    <col min="14590" max="14590" width="22.7109375" style="11" customWidth="1"/>
    <col min="14591" max="14591" width="41" style="11" bestFit="1" customWidth="1"/>
    <col min="14592" max="14592" width="15.28515625" style="11" customWidth="1"/>
    <col min="14593" max="14593" width="18" style="11" customWidth="1"/>
    <col min="14594" max="14594" width="21.85546875" style="11" customWidth="1"/>
    <col min="14595" max="14595" width="16.5703125" style="11" customWidth="1"/>
    <col min="14596" max="14596" width="21.7109375" style="11" customWidth="1"/>
    <col min="14597" max="14597" width="19.85546875" style="11" customWidth="1"/>
    <col min="14598" max="14598" width="53.140625" style="11" bestFit="1" customWidth="1"/>
    <col min="14599" max="14599" width="15.7109375" style="11" bestFit="1" customWidth="1"/>
    <col min="14600" max="14600" width="48.140625" style="11" bestFit="1" customWidth="1"/>
    <col min="14601" max="14601" width="20.42578125" style="11" bestFit="1" customWidth="1"/>
    <col min="14602" max="14602" width="25.85546875" style="11" bestFit="1" customWidth="1"/>
    <col min="14603" max="14603" width="24.140625" style="11" bestFit="1" customWidth="1"/>
    <col min="14604" max="14604" width="25.85546875" style="11" bestFit="1" customWidth="1"/>
    <col min="14605" max="14605" width="24.140625" style="11" bestFit="1" customWidth="1"/>
    <col min="14606" max="14606" width="25.85546875" style="11" bestFit="1" customWidth="1"/>
    <col min="14607" max="14607" width="69.28515625" style="11" bestFit="1" customWidth="1"/>
    <col min="14608" max="14841" width="9.140625" style="11"/>
    <col min="14842" max="14842" width="6.5703125" style="11" customWidth="1"/>
    <col min="14843" max="14843" width="7.42578125" style="11" customWidth="1"/>
    <col min="14844" max="14844" width="15.5703125" style="11" bestFit="1" customWidth="1"/>
    <col min="14845" max="14845" width="22.5703125" style="11" customWidth="1"/>
    <col min="14846" max="14846" width="22.7109375" style="11" customWidth="1"/>
    <col min="14847" max="14847" width="41" style="11" bestFit="1" customWidth="1"/>
    <col min="14848" max="14848" width="15.28515625" style="11" customWidth="1"/>
    <col min="14849" max="14849" width="18" style="11" customWidth="1"/>
    <col min="14850" max="14850" width="21.85546875" style="11" customWidth="1"/>
    <col min="14851" max="14851" width="16.5703125" style="11" customWidth="1"/>
    <col min="14852" max="14852" width="21.7109375" style="11" customWidth="1"/>
    <col min="14853" max="14853" width="19.85546875" style="11" customWidth="1"/>
    <col min="14854" max="14854" width="53.140625" style="11" bestFit="1" customWidth="1"/>
    <col min="14855" max="14855" width="15.7109375" style="11" bestFit="1" customWidth="1"/>
    <col min="14856" max="14856" width="48.140625" style="11" bestFit="1" customWidth="1"/>
    <col min="14857" max="14857" width="20.42578125" style="11" bestFit="1" customWidth="1"/>
    <col min="14858" max="14858" width="25.85546875" style="11" bestFit="1" customWidth="1"/>
    <col min="14859" max="14859" width="24.140625" style="11" bestFit="1" customWidth="1"/>
    <col min="14860" max="14860" width="25.85546875" style="11" bestFit="1" customWidth="1"/>
    <col min="14861" max="14861" width="24.140625" style="11" bestFit="1" customWidth="1"/>
    <col min="14862" max="14862" width="25.85546875" style="11" bestFit="1" customWidth="1"/>
    <col min="14863" max="14863" width="69.28515625" style="11" bestFit="1" customWidth="1"/>
    <col min="14864" max="15097" width="9.140625" style="11"/>
    <col min="15098" max="15098" width="6.5703125" style="11" customWidth="1"/>
    <col min="15099" max="15099" width="7.42578125" style="11" customWidth="1"/>
    <col min="15100" max="15100" width="15.5703125" style="11" bestFit="1" customWidth="1"/>
    <col min="15101" max="15101" width="22.5703125" style="11" customWidth="1"/>
    <col min="15102" max="15102" width="22.7109375" style="11" customWidth="1"/>
    <col min="15103" max="15103" width="41" style="11" bestFit="1" customWidth="1"/>
    <col min="15104" max="15104" width="15.28515625" style="11" customWidth="1"/>
    <col min="15105" max="15105" width="18" style="11" customWidth="1"/>
    <col min="15106" max="15106" width="21.85546875" style="11" customWidth="1"/>
    <col min="15107" max="15107" width="16.5703125" style="11" customWidth="1"/>
    <col min="15108" max="15108" width="21.7109375" style="11" customWidth="1"/>
    <col min="15109" max="15109" width="19.85546875" style="11" customWidth="1"/>
    <col min="15110" max="15110" width="53.140625" style="11" bestFit="1" customWidth="1"/>
    <col min="15111" max="15111" width="15.7109375" style="11" bestFit="1" customWidth="1"/>
    <col min="15112" max="15112" width="48.140625" style="11" bestFit="1" customWidth="1"/>
    <col min="15113" max="15113" width="20.42578125" style="11" bestFit="1" customWidth="1"/>
    <col min="15114" max="15114" width="25.85546875" style="11" bestFit="1" customWidth="1"/>
    <col min="15115" max="15115" width="24.140625" style="11" bestFit="1" customWidth="1"/>
    <col min="15116" max="15116" width="25.85546875" style="11" bestFit="1" customWidth="1"/>
    <col min="15117" max="15117" width="24.140625" style="11" bestFit="1" customWidth="1"/>
    <col min="15118" max="15118" width="25.85546875" style="11" bestFit="1" customWidth="1"/>
    <col min="15119" max="15119" width="69.28515625" style="11" bestFit="1" customWidth="1"/>
    <col min="15120" max="15353" width="9.140625" style="11"/>
    <col min="15354" max="15354" width="6.5703125" style="11" customWidth="1"/>
    <col min="15355" max="15355" width="7.42578125" style="11" customWidth="1"/>
    <col min="15356" max="15356" width="15.5703125" style="11" bestFit="1" customWidth="1"/>
    <col min="15357" max="15357" width="22.5703125" style="11" customWidth="1"/>
    <col min="15358" max="15358" width="22.7109375" style="11" customWidth="1"/>
    <col min="15359" max="15359" width="41" style="11" bestFit="1" customWidth="1"/>
    <col min="15360" max="15360" width="15.28515625" style="11" customWidth="1"/>
    <col min="15361" max="15361" width="18" style="11" customWidth="1"/>
    <col min="15362" max="15362" width="21.85546875" style="11" customWidth="1"/>
    <col min="15363" max="15363" width="16.5703125" style="11" customWidth="1"/>
    <col min="15364" max="15364" width="21.7109375" style="11" customWidth="1"/>
    <col min="15365" max="15365" width="19.85546875" style="11" customWidth="1"/>
    <col min="15366" max="15366" width="53.140625" style="11" bestFit="1" customWidth="1"/>
    <col min="15367" max="15367" width="15.7109375" style="11" bestFit="1" customWidth="1"/>
    <col min="15368" max="15368" width="48.140625" style="11" bestFit="1" customWidth="1"/>
    <col min="15369" max="15369" width="20.42578125" style="11" bestFit="1" customWidth="1"/>
    <col min="15370" max="15370" width="25.85546875" style="11" bestFit="1" customWidth="1"/>
    <col min="15371" max="15371" width="24.140625" style="11" bestFit="1" customWidth="1"/>
    <col min="15372" max="15372" width="25.85546875" style="11" bestFit="1" customWidth="1"/>
    <col min="15373" max="15373" width="24.140625" style="11" bestFit="1" customWidth="1"/>
    <col min="15374" max="15374" width="25.85546875" style="11" bestFit="1" customWidth="1"/>
    <col min="15375" max="15375" width="69.28515625" style="11" bestFit="1" customWidth="1"/>
    <col min="15376" max="15609" width="9.140625" style="11"/>
    <col min="15610" max="15610" width="6.5703125" style="11" customWidth="1"/>
    <col min="15611" max="15611" width="7.42578125" style="11" customWidth="1"/>
    <col min="15612" max="15612" width="15.5703125" style="11" bestFit="1" customWidth="1"/>
    <col min="15613" max="15613" width="22.5703125" style="11" customWidth="1"/>
    <col min="15614" max="15614" width="22.7109375" style="11" customWidth="1"/>
    <col min="15615" max="15615" width="41" style="11" bestFit="1" customWidth="1"/>
    <col min="15616" max="15616" width="15.28515625" style="11" customWidth="1"/>
    <col min="15617" max="15617" width="18" style="11" customWidth="1"/>
    <col min="15618" max="15618" width="21.85546875" style="11" customWidth="1"/>
    <col min="15619" max="15619" width="16.5703125" style="11" customWidth="1"/>
    <col min="15620" max="15620" width="21.7109375" style="11" customWidth="1"/>
    <col min="15621" max="15621" width="19.85546875" style="11" customWidth="1"/>
    <col min="15622" max="15622" width="53.140625" style="11" bestFit="1" customWidth="1"/>
    <col min="15623" max="15623" width="15.7109375" style="11" bestFit="1" customWidth="1"/>
    <col min="15624" max="15624" width="48.140625" style="11" bestFit="1" customWidth="1"/>
    <col min="15625" max="15625" width="20.42578125" style="11" bestFit="1" customWidth="1"/>
    <col min="15626" max="15626" width="25.85546875" style="11" bestFit="1" customWidth="1"/>
    <col min="15627" max="15627" width="24.140625" style="11" bestFit="1" customWidth="1"/>
    <col min="15628" max="15628" width="25.85546875" style="11" bestFit="1" customWidth="1"/>
    <col min="15629" max="15629" width="24.140625" style="11" bestFit="1" customWidth="1"/>
    <col min="15630" max="15630" width="25.85546875" style="11" bestFit="1" customWidth="1"/>
    <col min="15631" max="15631" width="69.28515625" style="11" bestFit="1" customWidth="1"/>
    <col min="15632" max="15865" width="9.140625" style="11"/>
    <col min="15866" max="15866" width="6.5703125" style="11" customWidth="1"/>
    <col min="15867" max="15867" width="7.42578125" style="11" customWidth="1"/>
    <col min="15868" max="15868" width="15.5703125" style="11" bestFit="1" customWidth="1"/>
    <col min="15869" max="15869" width="22.5703125" style="11" customWidth="1"/>
    <col min="15870" max="15870" width="22.7109375" style="11" customWidth="1"/>
    <col min="15871" max="15871" width="41" style="11" bestFit="1" customWidth="1"/>
    <col min="15872" max="15872" width="15.28515625" style="11" customWidth="1"/>
    <col min="15873" max="15873" width="18" style="11" customWidth="1"/>
    <col min="15874" max="15874" width="21.85546875" style="11" customWidth="1"/>
    <col min="15875" max="15875" width="16.5703125" style="11" customWidth="1"/>
    <col min="15876" max="15876" width="21.7109375" style="11" customWidth="1"/>
    <col min="15877" max="15877" width="19.85546875" style="11" customWidth="1"/>
    <col min="15878" max="15878" width="53.140625" style="11" bestFit="1" customWidth="1"/>
    <col min="15879" max="15879" width="15.7109375" style="11" bestFit="1" customWidth="1"/>
    <col min="15880" max="15880" width="48.140625" style="11" bestFit="1" customWidth="1"/>
    <col min="15881" max="15881" width="20.42578125" style="11" bestFit="1" customWidth="1"/>
    <col min="15882" max="15882" width="25.85546875" style="11" bestFit="1" customWidth="1"/>
    <col min="15883" max="15883" width="24.140625" style="11" bestFit="1" customWidth="1"/>
    <col min="15884" max="15884" width="25.85546875" style="11" bestFit="1" customWidth="1"/>
    <col min="15885" max="15885" width="24.140625" style="11" bestFit="1" customWidth="1"/>
    <col min="15886" max="15886" width="25.85546875" style="11" bestFit="1" customWidth="1"/>
    <col min="15887" max="15887" width="69.28515625" style="11" bestFit="1" customWidth="1"/>
    <col min="15888" max="16121" width="9.140625" style="11"/>
    <col min="16122" max="16122" width="6.5703125" style="11" customWidth="1"/>
    <col min="16123" max="16123" width="7.42578125" style="11" customWidth="1"/>
    <col min="16124" max="16124" width="15.5703125" style="11" bestFit="1" customWidth="1"/>
    <col min="16125" max="16125" width="22.5703125" style="11" customWidth="1"/>
    <col min="16126" max="16126" width="22.7109375" style="11" customWidth="1"/>
    <col min="16127" max="16127" width="41" style="11" bestFit="1" customWidth="1"/>
    <col min="16128" max="16128" width="15.28515625" style="11" customWidth="1"/>
    <col min="16129" max="16129" width="18" style="11" customWidth="1"/>
    <col min="16130" max="16130" width="21.85546875" style="11" customWidth="1"/>
    <col min="16131" max="16131" width="16.5703125" style="11" customWidth="1"/>
    <col min="16132" max="16132" width="21.7109375" style="11" customWidth="1"/>
    <col min="16133" max="16133" width="19.85546875" style="11" customWidth="1"/>
    <col min="16134" max="16134" width="53.140625" style="11" bestFit="1" customWidth="1"/>
    <col min="16135" max="16135" width="15.7109375" style="11" bestFit="1" customWidth="1"/>
    <col min="16136" max="16136" width="48.140625" style="11" bestFit="1" customWidth="1"/>
    <col min="16137" max="16137" width="20.42578125" style="11" bestFit="1" customWidth="1"/>
    <col min="16138" max="16138" width="25.85546875" style="11" bestFit="1" customWidth="1"/>
    <col min="16139" max="16139" width="24.140625" style="11" bestFit="1" customWidth="1"/>
    <col min="16140" max="16140" width="25.85546875" style="11" bestFit="1" customWidth="1"/>
    <col min="16141" max="16141" width="24.140625" style="11" bestFit="1" customWidth="1"/>
    <col min="16142" max="16142" width="25.85546875" style="11" bestFit="1" customWidth="1"/>
    <col min="16143" max="16143" width="69.28515625" style="11" bestFit="1" customWidth="1"/>
    <col min="16144" max="16384" width="9.140625" style="11"/>
  </cols>
  <sheetData>
    <row r="1" spans="1:15" s="22" customFormat="1" x14ac:dyDescent="0.25">
      <c r="A1" s="361" t="s">
        <v>1699</v>
      </c>
      <c r="B1" s="361" t="s">
        <v>1700</v>
      </c>
      <c r="C1" s="362" t="s">
        <v>1701</v>
      </c>
      <c r="D1" s="362" t="s">
        <v>1702</v>
      </c>
      <c r="E1" s="362" t="s">
        <v>1703</v>
      </c>
      <c r="F1" s="363" t="s">
        <v>1704</v>
      </c>
      <c r="G1" s="363" t="s">
        <v>1705</v>
      </c>
      <c r="H1" s="362" t="s">
        <v>1706</v>
      </c>
      <c r="I1" s="364" t="s">
        <v>1707</v>
      </c>
      <c r="J1" s="364" t="s">
        <v>1708</v>
      </c>
      <c r="K1" s="364" t="s">
        <v>1709</v>
      </c>
      <c r="L1" s="364" t="s">
        <v>1710</v>
      </c>
      <c r="M1" s="364" t="s">
        <v>2632</v>
      </c>
      <c r="N1" s="363" t="s">
        <v>1711</v>
      </c>
      <c r="O1" s="363" t="s">
        <v>1712</v>
      </c>
    </row>
    <row r="2" spans="1:15" x14ac:dyDescent="0.25">
      <c r="A2" s="23">
        <v>0</v>
      </c>
      <c r="B2" s="12">
        <v>0</v>
      </c>
      <c r="C2" s="48" t="s">
        <v>1713</v>
      </c>
      <c r="D2" s="97" t="s">
        <v>1713</v>
      </c>
      <c r="E2" s="365"/>
      <c r="F2" s="325"/>
      <c r="G2" s="97" t="s">
        <v>1713</v>
      </c>
      <c r="H2" s="48" t="s">
        <v>137</v>
      </c>
      <c r="I2" s="366">
        <v>0</v>
      </c>
      <c r="J2" s="68">
        <v>0</v>
      </c>
      <c r="K2" s="68">
        <v>0</v>
      </c>
      <c r="L2" s="48" t="s">
        <v>1713</v>
      </c>
      <c r="M2" s="48" t="s">
        <v>1713</v>
      </c>
      <c r="N2" s="48" t="s">
        <v>1713</v>
      </c>
      <c r="O2" s="23">
        <v>200</v>
      </c>
    </row>
    <row r="3" spans="1:15" x14ac:dyDescent="0.25">
      <c r="A3" s="23">
        <v>1</v>
      </c>
      <c r="B3" s="12">
        <v>8</v>
      </c>
      <c r="C3" s="48" t="s">
        <v>1714</v>
      </c>
      <c r="D3" s="97" t="s">
        <v>1713</v>
      </c>
      <c r="E3" s="365" t="s">
        <v>1715</v>
      </c>
      <c r="F3" s="325">
        <v>1</v>
      </c>
      <c r="G3" s="97" t="s">
        <v>1713</v>
      </c>
      <c r="H3" s="48" t="s">
        <v>137</v>
      </c>
      <c r="I3" s="366">
        <v>500</v>
      </c>
      <c r="J3" s="68">
        <v>5</v>
      </c>
      <c r="K3" s="383">
        <v>10</v>
      </c>
      <c r="L3" s="48" t="s">
        <v>1716</v>
      </c>
      <c r="M3" s="48" t="s">
        <v>1716</v>
      </c>
      <c r="N3" s="48" t="s">
        <v>1713</v>
      </c>
      <c r="O3" s="23">
        <v>200</v>
      </c>
    </row>
    <row r="4" spans="1:15" x14ac:dyDescent="0.25">
      <c r="A4" s="23">
        <v>2</v>
      </c>
      <c r="B4" s="367">
        <v>5</v>
      </c>
      <c r="C4" s="48" t="s">
        <v>1713</v>
      </c>
      <c r="D4" s="97" t="s">
        <v>1713</v>
      </c>
      <c r="E4" s="97" t="s">
        <v>1717</v>
      </c>
      <c r="F4" s="325"/>
      <c r="G4" s="97" t="s">
        <v>1718</v>
      </c>
      <c r="H4" s="48" t="s">
        <v>137</v>
      </c>
      <c r="I4" s="366">
        <v>200</v>
      </c>
      <c r="J4" s="68">
        <v>5</v>
      </c>
      <c r="K4" s="68">
        <v>0</v>
      </c>
      <c r="L4" s="48" t="s">
        <v>1713</v>
      </c>
      <c r="M4" s="48" t="s">
        <v>1713</v>
      </c>
      <c r="N4" s="48" t="s">
        <v>1713</v>
      </c>
      <c r="O4" s="23">
        <v>200</v>
      </c>
    </row>
    <row r="5" spans="1:15" x14ac:dyDescent="0.25">
      <c r="A5" s="23">
        <v>3</v>
      </c>
      <c r="B5" s="367">
        <v>6</v>
      </c>
      <c r="C5" s="48" t="s">
        <v>1713</v>
      </c>
      <c r="D5" s="97" t="s">
        <v>1713</v>
      </c>
      <c r="E5" s="97"/>
      <c r="F5" s="325"/>
      <c r="G5" s="97" t="s">
        <v>1713</v>
      </c>
      <c r="H5" s="48" t="s">
        <v>1452</v>
      </c>
      <c r="I5" s="366">
        <v>250</v>
      </c>
      <c r="J5" s="68">
        <v>5</v>
      </c>
      <c r="K5" s="68">
        <v>0</v>
      </c>
      <c r="L5" s="48" t="s">
        <v>1719</v>
      </c>
      <c r="M5" s="48" t="s">
        <v>1719</v>
      </c>
      <c r="N5" s="48" t="s">
        <v>1713</v>
      </c>
      <c r="O5" s="23">
        <v>200</v>
      </c>
    </row>
    <row r="6" spans="1:15" x14ac:dyDescent="0.25">
      <c r="A6" s="23">
        <v>4</v>
      </c>
      <c r="B6" s="367">
        <v>10</v>
      </c>
      <c r="C6" s="48" t="s">
        <v>1713</v>
      </c>
      <c r="D6" s="97" t="s">
        <v>1713</v>
      </c>
      <c r="E6" s="97"/>
      <c r="F6" s="325"/>
      <c r="G6" s="97" t="s">
        <v>1713</v>
      </c>
      <c r="H6" s="48" t="s">
        <v>1452</v>
      </c>
      <c r="I6" s="366">
        <v>250</v>
      </c>
      <c r="J6" s="68">
        <v>5</v>
      </c>
      <c r="K6" s="68">
        <v>0</v>
      </c>
      <c r="L6" s="48" t="s">
        <v>1720</v>
      </c>
      <c r="M6" s="48" t="s">
        <v>1720</v>
      </c>
      <c r="N6" s="48" t="s">
        <v>1713</v>
      </c>
      <c r="O6" s="23">
        <v>200</v>
      </c>
    </row>
    <row r="7" spans="1:15" x14ac:dyDescent="0.25">
      <c r="A7" s="23">
        <v>5</v>
      </c>
      <c r="B7" s="367">
        <v>21</v>
      </c>
      <c r="C7" s="48" t="s">
        <v>1713</v>
      </c>
      <c r="D7" s="97" t="s">
        <v>1713</v>
      </c>
      <c r="E7" s="97"/>
      <c r="F7" s="325">
        <v>2</v>
      </c>
      <c r="G7" s="97" t="s">
        <v>1713</v>
      </c>
      <c r="H7" s="48" t="s">
        <v>1449</v>
      </c>
      <c r="I7" s="366">
        <v>250</v>
      </c>
      <c r="J7" s="68">
        <v>5</v>
      </c>
      <c r="K7" s="68">
        <v>0</v>
      </c>
      <c r="L7" s="48" t="s">
        <v>1721</v>
      </c>
      <c r="M7" s="48" t="s">
        <v>1721</v>
      </c>
      <c r="N7" s="48" t="s">
        <v>1713</v>
      </c>
      <c r="O7" s="23">
        <v>200</v>
      </c>
    </row>
    <row r="8" spans="1:15" x14ac:dyDescent="0.25">
      <c r="A8" s="23">
        <v>6</v>
      </c>
      <c r="B8" s="367">
        <v>42</v>
      </c>
      <c r="C8" s="48" t="s">
        <v>2616</v>
      </c>
      <c r="D8" s="97" t="s">
        <v>1713</v>
      </c>
      <c r="E8" s="97" t="s">
        <v>1722</v>
      </c>
      <c r="F8" s="325"/>
      <c r="G8" s="97" t="s">
        <v>1723</v>
      </c>
      <c r="H8" s="48" t="s">
        <v>1449</v>
      </c>
      <c r="I8" s="366">
        <v>250</v>
      </c>
      <c r="J8" s="68">
        <v>5</v>
      </c>
      <c r="K8" s="383">
        <v>5</v>
      </c>
      <c r="L8" s="48" t="s">
        <v>1719</v>
      </c>
      <c r="M8" s="48" t="s">
        <v>1719</v>
      </c>
      <c r="N8" s="48" t="s">
        <v>1713</v>
      </c>
      <c r="O8" s="23">
        <v>200</v>
      </c>
    </row>
    <row r="9" spans="1:15" x14ac:dyDescent="0.25">
      <c r="A9" s="23">
        <v>7</v>
      </c>
      <c r="B9" s="367">
        <v>75.600000000000009</v>
      </c>
      <c r="C9" s="48" t="s">
        <v>1713</v>
      </c>
      <c r="D9" s="97" t="s">
        <v>1713</v>
      </c>
      <c r="E9" s="97"/>
      <c r="F9" s="325">
        <v>3</v>
      </c>
      <c r="G9" s="97" t="s">
        <v>1713</v>
      </c>
      <c r="H9" s="48" t="s">
        <v>1449</v>
      </c>
      <c r="I9" s="366">
        <v>250</v>
      </c>
      <c r="J9" s="68">
        <v>5</v>
      </c>
      <c r="K9" s="383">
        <v>5</v>
      </c>
      <c r="L9" s="48" t="s">
        <v>1724</v>
      </c>
      <c r="M9" s="48" t="s">
        <v>1724</v>
      </c>
      <c r="N9" s="48" t="s">
        <v>1713</v>
      </c>
      <c r="O9" s="23">
        <v>200</v>
      </c>
    </row>
    <row r="10" spans="1:15" x14ac:dyDescent="0.25">
      <c r="A10" s="23">
        <v>8</v>
      </c>
      <c r="B10" s="367">
        <v>151.20000000000002</v>
      </c>
      <c r="C10" s="48" t="s">
        <v>1713</v>
      </c>
      <c r="D10" s="97" t="s">
        <v>1713</v>
      </c>
      <c r="E10" s="365" t="s">
        <v>1725</v>
      </c>
      <c r="F10" s="325"/>
      <c r="G10" s="365" t="s">
        <v>1713</v>
      </c>
      <c r="H10" s="48" t="s">
        <v>645</v>
      </c>
      <c r="I10" s="366">
        <v>250</v>
      </c>
      <c r="J10" s="68">
        <v>5</v>
      </c>
      <c r="K10" s="383">
        <v>5</v>
      </c>
      <c r="L10" s="48" t="s">
        <v>1713</v>
      </c>
      <c r="M10" s="48" t="s">
        <v>1713</v>
      </c>
      <c r="N10" s="48" t="s">
        <v>1713</v>
      </c>
      <c r="O10" s="23">
        <v>200</v>
      </c>
    </row>
    <row r="11" spans="1:15" x14ac:dyDescent="0.25">
      <c r="A11" s="23">
        <v>9</v>
      </c>
      <c r="B11" s="367">
        <v>408.24000000000007</v>
      </c>
      <c r="C11" s="48" t="s">
        <v>2617</v>
      </c>
      <c r="D11" s="97" t="s">
        <v>1713</v>
      </c>
      <c r="E11" s="97" t="s">
        <v>1727</v>
      </c>
      <c r="F11" s="325"/>
      <c r="G11" s="365" t="s">
        <v>1728</v>
      </c>
      <c r="H11" s="48" t="s">
        <v>1444</v>
      </c>
      <c r="I11" s="366">
        <v>300</v>
      </c>
      <c r="J11" s="68">
        <v>5</v>
      </c>
      <c r="K11" s="383">
        <v>5</v>
      </c>
      <c r="L11" s="48" t="s">
        <v>1729</v>
      </c>
      <c r="M11" s="48" t="s">
        <v>1729</v>
      </c>
      <c r="N11" s="48" t="s">
        <v>1713</v>
      </c>
      <c r="O11" s="23">
        <v>200</v>
      </c>
    </row>
    <row r="12" spans="1:15" x14ac:dyDescent="0.25">
      <c r="A12" s="23">
        <v>10</v>
      </c>
      <c r="B12" s="367">
        <v>898.12800000000027</v>
      </c>
      <c r="C12" s="48" t="s">
        <v>1713</v>
      </c>
      <c r="D12" s="97" t="s">
        <v>1713</v>
      </c>
      <c r="E12" s="97"/>
      <c r="F12" s="325"/>
      <c r="G12" s="97" t="s">
        <v>1713</v>
      </c>
      <c r="H12" s="48" t="s">
        <v>1229</v>
      </c>
      <c r="I12" s="366">
        <v>300</v>
      </c>
      <c r="J12" s="68">
        <v>10</v>
      </c>
      <c r="K12" s="383">
        <v>5</v>
      </c>
      <c r="L12" s="48" t="s">
        <v>1713</v>
      </c>
      <c r="M12" s="48" t="s">
        <v>1713</v>
      </c>
      <c r="N12" s="48" t="s">
        <v>1713</v>
      </c>
      <c r="O12" s="23">
        <v>200</v>
      </c>
    </row>
    <row r="13" spans="1:15" x14ac:dyDescent="0.25">
      <c r="A13" s="23">
        <v>11</v>
      </c>
      <c r="B13" s="367">
        <v>1122.6600000000003</v>
      </c>
      <c r="C13" s="48" t="s">
        <v>1713</v>
      </c>
      <c r="D13" s="97" t="s">
        <v>1713</v>
      </c>
      <c r="E13" s="365"/>
      <c r="F13" s="325"/>
      <c r="G13" s="97" t="s">
        <v>1713</v>
      </c>
      <c r="H13" s="48" t="s">
        <v>1229</v>
      </c>
      <c r="I13" s="366">
        <v>300</v>
      </c>
      <c r="J13" s="68">
        <v>10</v>
      </c>
      <c r="K13" s="383">
        <v>5</v>
      </c>
      <c r="L13" s="368" t="s">
        <v>1730</v>
      </c>
      <c r="M13" s="368" t="s">
        <v>1730</v>
      </c>
      <c r="N13" s="48" t="s">
        <v>1713</v>
      </c>
      <c r="O13" s="23">
        <v>200</v>
      </c>
    </row>
    <row r="14" spans="1:15" x14ac:dyDescent="0.25">
      <c r="A14" s="23">
        <v>12</v>
      </c>
      <c r="B14" s="367">
        <v>1459.4580000000005</v>
      </c>
      <c r="C14" s="48" t="s">
        <v>2618</v>
      </c>
      <c r="D14" s="97" t="s">
        <v>1713</v>
      </c>
      <c r="E14" s="365" t="s">
        <v>1732</v>
      </c>
      <c r="F14" s="325"/>
      <c r="G14" s="97" t="s">
        <v>1713</v>
      </c>
      <c r="H14" s="48" t="s">
        <v>1229</v>
      </c>
      <c r="I14" s="366">
        <v>300</v>
      </c>
      <c r="J14" s="68">
        <v>10</v>
      </c>
      <c r="K14" s="383">
        <v>5</v>
      </c>
      <c r="L14" s="48" t="s">
        <v>1713</v>
      </c>
      <c r="M14" s="48" t="s">
        <v>1713</v>
      </c>
      <c r="N14" s="48" t="s">
        <v>1713</v>
      </c>
      <c r="O14" s="23">
        <v>200</v>
      </c>
    </row>
    <row r="15" spans="1:15" x14ac:dyDescent="0.25">
      <c r="A15" s="23">
        <v>13</v>
      </c>
      <c r="B15" s="367">
        <v>1897.2954000000007</v>
      </c>
      <c r="C15" s="48" t="s">
        <v>1713</v>
      </c>
      <c r="D15" s="97" t="s">
        <v>1713</v>
      </c>
      <c r="E15" s="97" t="s">
        <v>1733</v>
      </c>
      <c r="F15" s="325"/>
      <c r="G15" s="97" t="s">
        <v>1713</v>
      </c>
      <c r="H15" s="48" t="s">
        <v>1229</v>
      </c>
      <c r="I15" s="366">
        <v>300</v>
      </c>
      <c r="J15" s="68">
        <v>10</v>
      </c>
      <c r="K15" s="383">
        <v>5</v>
      </c>
      <c r="L15" s="48" t="s">
        <v>1713</v>
      </c>
      <c r="M15" s="48" t="s">
        <v>1713</v>
      </c>
      <c r="N15" s="48" t="s">
        <v>1713</v>
      </c>
      <c r="O15" s="23">
        <v>200</v>
      </c>
    </row>
    <row r="16" spans="1:15" x14ac:dyDescent="0.25">
      <c r="A16" s="23">
        <v>14</v>
      </c>
      <c r="B16" s="367">
        <v>2656.2135600000006</v>
      </c>
      <c r="C16" s="48" t="s">
        <v>1713</v>
      </c>
      <c r="D16" s="97" t="s">
        <v>1713</v>
      </c>
      <c r="E16" s="97" t="s">
        <v>1734</v>
      </c>
      <c r="F16" s="325"/>
      <c r="G16" s="97" t="s">
        <v>1713</v>
      </c>
      <c r="H16" s="48" t="s">
        <v>646</v>
      </c>
      <c r="I16" s="366">
        <v>300</v>
      </c>
      <c r="J16" s="68">
        <v>10</v>
      </c>
      <c r="K16" s="383">
        <v>5</v>
      </c>
      <c r="L16" s="48" t="s">
        <v>1713</v>
      </c>
      <c r="M16" s="48" t="s">
        <v>1713</v>
      </c>
      <c r="N16" s="48" t="s">
        <v>1713</v>
      </c>
      <c r="O16" s="23">
        <v>200</v>
      </c>
    </row>
    <row r="17" spans="1:15" x14ac:dyDescent="0.25">
      <c r="A17" s="23">
        <v>15</v>
      </c>
      <c r="B17" s="367">
        <v>3718.6989840000006</v>
      </c>
      <c r="C17" s="48" t="s">
        <v>2619</v>
      </c>
      <c r="D17" s="97" t="s">
        <v>1713</v>
      </c>
      <c r="E17" s="97"/>
      <c r="F17" s="325"/>
      <c r="G17" s="97" t="s">
        <v>1713</v>
      </c>
      <c r="H17" s="48" t="s">
        <v>646</v>
      </c>
      <c r="I17" s="366">
        <v>500</v>
      </c>
      <c r="J17" s="68">
        <v>10</v>
      </c>
      <c r="K17" s="383">
        <v>5</v>
      </c>
      <c r="L17" s="379" t="s">
        <v>2620</v>
      </c>
      <c r="M17" s="582" t="s">
        <v>2633</v>
      </c>
      <c r="N17" s="48" t="s">
        <v>1713</v>
      </c>
      <c r="O17" s="23">
        <v>200</v>
      </c>
    </row>
    <row r="18" spans="1:15" x14ac:dyDescent="0.25">
      <c r="A18" s="23">
        <v>16</v>
      </c>
      <c r="B18" s="367">
        <v>5206.1785776000006</v>
      </c>
      <c r="C18" s="48" t="s">
        <v>1713</v>
      </c>
      <c r="D18" s="97" t="s">
        <v>1713</v>
      </c>
      <c r="E18" s="97" t="s">
        <v>1736</v>
      </c>
      <c r="F18" s="325"/>
      <c r="G18" s="97" t="s">
        <v>1713</v>
      </c>
      <c r="H18" s="48" t="s">
        <v>1230</v>
      </c>
      <c r="I18" s="366">
        <v>500</v>
      </c>
      <c r="J18" s="68">
        <v>10</v>
      </c>
      <c r="K18" s="383">
        <v>5</v>
      </c>
      <c r="L18" s="48"/>
      <c r="M18" s="583" t="s">
        <v>1273</v>
      </c>
      <c r="N18" s="48" t="s">
        <v>1713</v>
      </c>
      <c r="O18" s="23">
        <v>200</v>
      </c>
    </row>
    <row r="19" spans="1:15" x14ac:dyDescent="0.25">
      <c r="A19" s="23">
        <v>17</v>
      </c>
      <c r="B19" s="367">
        <v>6247.4142931200004</v>
      </c>
      <c r="C19" s="48" t="s">
        <v>844</v>
      </c>
      <c r="D19" s="97" t="s">
        <v>1713</v>
      </c>
      <c r="F19" s="325">
        <v>4</v>
      </c>
      <c r="G19" s="97" t="s">
        <v>1713</v>
      </c>
      <c r="H19" s="48" t="s">
        <v>1228</v>
      </c>
      <c r="I19" s="366">
        <v>500</v>
      </c>
      <c r="J19" s="68">
        <v>10</v>
      </c>
      <c r="K19" s="383">
        <v>5</v>
      </c>
      <c r="L19" s="48" t="s">
        <v>1737</v>
      </c>
      <c r="M19" s="583" t="s">
        <v>2634</v>
      </c>
      <c r="N19" s="48" t="s">
        <v>1713</v>
      </c>
      <c r="O19" s="23">
        <v>200</v>
      </c>
    </row>
    <row r="20" spans="1:15" x14ac:dyDescent="0.25">
      <c r="A20" s="23">
        <v>18</v>
      </c>
      <c r="B20" s="367">
        <v>8121.6385810560005</v>
      </c>
      <c r="C20" s="48" t="s">
        <v>1713</v>
      </c>
      <c r="D20" s="97" t="s">
        <v>1713</v>
      </c>
      <c r="E20" s="97" t="s">
        <v>1738</v>
      </c>
      <c r="F20" s="325"/>
      <c r="G20" s="97" t="s">
        <v>1713</v>
      </c>
      <c r="H20" s="48" t="s">
        <v>1228</v>
      </c>
      <c r="I20" s="366">
        <v>500</v>
      </c>
      <c r="J20" s="68">
        <v>10</v>
      </c>
      <c r="K20" s="383">
        <v>5</v>
      </c>
      <c r="L20" s="48" t="s">
        <v>1713</v>
      </c>
      <c r="M20" s="583" t="s">
        <v>2635</v>
      </c>
      <c r="N20" s="48" t="s">
        <v>1713</v>
      </c>
      <c r="O20" s="23">
        <v>200</v>
      </c>
    </row>
    <row r="21" spans="1:15" x14ac:dyDescent="0.25">
      <c r="A21" s="23">
        <v>19</v>
      </c>
      <c r="B21" s="367">
        <v>8933.8024391616018</v>
      </c>
      <c r="C21" s="48" t="s">
        <v>1713</v>
      </c>
      <c r="D21" s="97" t="s">
        <v>1713</v>
      </c>
      <c r="E21" s="97" t="s">
        <v>1739</v>
      </c>
      <c r="F21" s="325"/>
      <c r="G21" s="97" t="s">
        <v>1713</v>
      </c>
      <c r="H21" s="48" t="s">
        <v>1228</v>
      </c>
      <c r="I21" s="366">
        <v>1000</v>
      </c>
      <c r="J21" s="68">
        <v>10</v>
      </c>
      <c r="K21" s="383">
        <v>5</v>
      </c>
      <c r="L21" s="48" t="s">
        <v>1713</v>
      </c>
      <c r="M21" s="583" t="s">
        <v>2636</v>
      </c>
      <c r="N21" s="48" t="s">
        <v>1713</v>
      </c>
      <c r="O21" s="23">
        <v>200</v>
      </c>
    </row>
    <row r="22" spans="1:15" x14ac:dyDescent="0.25">
      <c r="A22" s="23">
        <v>20</v>
      </c>
      <c r="B22" s="367">
        <v>10720.562926993922</v>
      </c>
      <c r="C22" s="48" t="s">
        <v>1740</v>
      </c>
      <c r="D22" s="97" t="s">
        <v>1713</v>
      </c>
      <c r="E22" s="97" t="s">
        <v>1741</v>
      </c>
      <c r="F22" s="325"/>
      <c r="G22" s="97" t="s">
        <v>1713</v>
      </c>
      <c r="H22" s="48" t="s">
        <v>1228</v>
      </c>
      <c r="I22" s="68">
        <v>1000</v>
      </c>
      <c r="J22" s="68">
        <v>10</v>
      </c>
      <c r="K22" s="383">
        <v>5</v>
      </c>
      <c r="L22" s="374" t="s">
        <v>2621</v>
      </c>
      <c r="M22" s="583" t="s">
        <v>2637</v>
      </c>
      <c r="N22" s="48" t="s">
        <v>1713</v>
      </c>
      <c r="O22" s="23">
        <v>200</v>
      </c>
    </row>
    <row r="23" spans="1:15" x14ac:dyDescent="0.25">
      <c r="A23" s="23">
        <v>21</v>
      </c>
      <c r="B23" s="367">
        <v>9125.4545454545441</v>
      </c>
      <c r="C23" s="48" t="s">
        <v>1713</v>
      </c>
      <c r="D23" s="97" t="s">
        <v>1713</v>
      </c>
      <c r="E23" s="97"/>
      <c r="F23" s="325"/>
      <c r="G23" s="97" t="s">
        <v>1713</v>
      </c>
      <c r="H23" s="48" t="s">
        <v>1228</v>
      </c>
      <c r="I23" s="366">
        <v>1000</v>
      </c>
      <c r="J23" s="68">
        <v>10</v>
      </c>
      <c r="K23" s="68">
        <v>0</v>
      </c>
      <c r="L23" s="48" t="s">
        <v>1713</v>
      </c>
      <c r="M23" s="583" t="s">
        <v>2638</v>
      </c>
      <c r="N23" s="48" t="s">
        <v>1713</v>
      </c>
      <c r="O23" s="23">
        <v>200</v>
      </c>
    </row>
    <row r="24" spans="1:15" x14ac:dyDescent="0.25">
      <c r="A24" s="23">
        <v>22</v>
      </c>
      <c r="B24" s="367">
        <v>11444.545454545454</v>
      </c>
      <c r="C24" s="48" t="s">
        <v>1713</v>
      </c>
      <c r="D24" s="97" t="s">
        <v>1713</v>
      </c>
      <c r="E24" s="97"/>
      <c r="F24" s="325"/>
      <c r="G24" s="97" t="s">
        <v>1713</v>
      </c>
      <c r="H24" s="48" t="s">
        <v>1228</v>
      </c>
      <c r="I24" s="68">
        <v>1500</v>
      </c>
      <c r="J24" s="68">
        <v>10</v>
      </c>
      <c r="K24" s="68">
        <v>0</v>
      </c>
      <c r="L24" s="48" t="s">
        <v>1713</v>
      </c>
      <c r="M24" s="583" t="s">
        <v>2639</v>
      </c>
      <c r="N24" s="48" t="s">
        <v>1713</v>
      </c>
      <c r="O24" s="23">
        <v>200</v>
      </c>
    </row>
    <row r="25" spans="1:15" x14ac:dyDescent="0.25">
      <c r="A25" s="23">
        <v>23</v>
      </c>
      <c r="B25" s="367">
        <v>14989.999999999998</v>
      </c>
      <c r="C25" s="48" t="s">
        <v>1713</v>
      </c>
      <c r="D25" s="97" t="s">
        <v>1713</v>
      </c>
      <c r="E25" s="97" t="s">
        <v>1139</v>
      </c>
      <c r="F25" s="325"/>
      <c r="G25" s="97" t="s">
        <v>1742</v>
      </c>
      <c r="H25" s="48" t="s">
        <v>1228</v>
      </c>
      <c r="I25" s="68">
        <v>1500</v>
      </c>
      <c r="J25" s="68">
        <v>10</v>
      </c>
      <c r="K25" s="68">
        <v>0</v>
      </c>
      <c r="L25" s="48" t="s">
        <v>1743</v>
      </c>
      <c r="M25" s="583" t="s">
        <v>2640</v>
      </c>
      <c r="N25" s="48" t="s">
        <v>1713</v>
      </c>
      <c r="O25" s="23">
        <v>200</v>
      </c>
    </row>
    <row r="26" spans="1:15" x14ac:dyDescent="0.25">
      <c r="A26" s="23">
        <v>24</v>
      </c>
      <c r="B26" s="367">
        <v>19533.63636363636</v>
      </c>
      <c r="C26" s="48" t="s">
        <v>1713</v>
      </c>
      <c r="D26" s="97" t="s">
        <v>1713</v>
      </c>
      <c r="E26" s="97" t="s">
        <v>1744</v>
      </c>
      <c r="F26" s="325"/>
      <c r="G26" s="97" t="s">
        <v>1713</v>
      </c>
      <c r="H26" s="48" t="s">
        <v>1228</v>
      </c>
      <c r="I26" s="68">
        <v>1500</v>
      </c>
      <c r="J26" s="68">
        <v>10</v>
      </c>
      <c r="K26" s="68">
        <v>0</v>
      </c>
      <c r="L26" s="48" t="s">
        <v>1713</v>
      </c>
      <c r="M26" s="583" t="s">
        <v>2641</v>
      </c>
      <c r="N26" s="48" t="s">
        <v>1713</v>
      </c>
      <c r="O26" s="23">
        <v>200</v>
      </c>
    </row>
    <row r="27" spans="1:15" x14ac:dyDescent="0.25">
      <c r="A27" s="23">
        <v>25</v>
      </c>
      <c r="B27" s="367">
        <v>25340.909090909088</v>
      </c>
      <c r="C27" s="48" t="s">
        <v>849</v>
      </c>
      <c r="D27" s="97" t="s">
        <v>1713</v>
      </c>
      <c r="E27" s="97" t="s">
        <v>1142</v>
      </c>
      <c r="F27" s="325"/>
      <c r="G27" s="97" t="s">
        <v>1713</v>
      </c>
      <c r="H27" s="48" t="s">
        <v>1228</v>
      </c>
      <c r="I27" s="68">
        <v>2000</v>
      </c>
      <c r="J27" s="68">
        <v>10</v>
      </c>
      <c r="K27" s="68">
        <v>0</v>
      </c>
      <c r="L27" s="374" t="s">
        <v>2622</v>
      </c>
      <c r="M27" s="374" t="s">
        <v>2622</v>
      </c>
      <c r="N27" s="48" t="s">
        <v>1713</v>
      </c>
      <c r="O27" s="23">
        <v>200</v>
      </c>
    </row>
    <row r="28" spans="1:15" x14ac:dyDescent="0.25">
      <c r="A28" s="23">
        <v>26</v>
      </c>
      <c r="B28" s="367">
        <v>30350.909090909088</v>
      </c>
      <c r="C28" s="48" t="s">
        <v>1713</v>
      </c>
      <c r="D28" s="97" t="s">
        <v>1713</v>
      </c>
      <c r="E28" s="97"/>
      <c r="F28" s="325"/>
      <c r="G28" s="97" t="s">
        <v>1713</v>
      </c>
      <c r="H28" s="48" t="s">
        <v>1228</v>
      </c>
      <c r="I28" s="68">
        <v>2000</v>
      </c>
      <c r="J28" s="68">
        <v>10</v>
      </c>
      <c r="K28" s="68">
        <v>0</v>
      </c>
      <c r="L28" s="48" t="s">
        <v>1713</v>
      </c>
      <c r="M28" s="48" t="s">
        <v>1713</v>
      </c>
      <c r="N28" s="48" t="s">
        <v>1713</v>
      </c>
      <c r="O28" s="23">
        <v>200</v>
      </c>
    </row>
    <row r="29" spans="1:15" x14ac:dyDescent="0.25">
      <c r="A29" s="23">
        <v>27</v>
      </c>
      <c r="B29" s="367">
        <v>39139.090909090904</v>
      </c>
      <c r="C29" s="48" t="s">
        <v>1713</v>
      </c>
      <c r="D29" s="97" t="s">
        <v>1713</v>
      </c>
      <c r="E29" s="97" t="s">
        <v>1222</v>
      </c>
      <c r="F29" s="325"/>
      <c r="G29" s="97" t="s">
        <v>1713</v>
      </c>
      <c r="H29" s="48" t="s">
        <v>1228</v>
      </c>
      <c r="I29" s="68">
        <v>2500</v>
      </c>
      <c r="J29" s="68">
        <v>10</v>
      </c>
      <c r="K29" s="68">
        <v>0</v>
      </c>
      <c r="L29" s="48" t="s">
        <v>1713</v>
      </c>
      <c r="M29" s="48" t="s">
        <v>1713</v>
      </c>
      <c r="N29" s="48" t="s">
        <v>1713</v>
      </c>
      <c r="O29" s="23">
        <v>200</v>
      </c>
    </row>
    <row r="30" spans="1:15" x14ac:dyDescent="0.25">
      <c r="A30" s="23">
        <v>28</v>
      </c>
      <c r="B30" s="367">
        <v>45129.999999999993</v>
      </c>
      <c r="C30" s="48" t="s">
        <v>1713</v>
      </c>
      <c r="D30" s="97" t="s">
        <v>1713</v>
      </c>
      <c r="E30" s="97" t="s">
        <v>1746</v>
      </c>
      <c r="F30" s="325"/>
      <c r="G30" s="97" t="s">
        <v>1713</v>
      </c>
      <c r="H30" s="48" t="s">
        <v>1228</v>
      </c>
      <c r="I30" s="68">
        <v>2500</v>
      </c>
      <c r="J30" s="68">
        <v>10</v>
      </c>
      <c r="K30" s="68">
        <v>0</v>
      </c>
      <c r="L30" s="48" t="s">
        <v>1713</v>
      </c>
      <c r="M30" s="48" t="s">
        <v>1713</v>
      </c>
      <c r="N30" s="48" t="s">
        <v>1713</v>
      </c>
      <c r="O30" s="23">
        <v>200</v>
      </c>
    </row>
    <row r="31" spans="1:15" x14ac:dyDescent="0.25">
      <c r="A31" s="23">
        <v>29</v>
      </c>
      <c r="B31" s="367">
        <v>54266.363636363632</v>
      </c>
      <c r="C31" s="48" t="s">
        <v>1713</v>
      </c>
      <c r="D31" s="97" t="s">
        <v>1713</v>
      </c>
      <c r="E31" s="97" t="s">
        <v>1747</v>
      </c>
      <c r="F31" s="325"/>
      <c r="G31" s="97" t="s">
        <v>1713</v>
      </c>
      <c r="H31" s="48" t="s">
        <v>1228</v>
      </c>
      <c r="I31" s="68">
        <v>2500</v>
      </c>
      <c r="J31" s="68">
        <v>10</v>
      </c>
      <c r="K31" s="68">
        <v>0</v>
      </c>
      <c r="L31" s="48" t="s">
        <v>1713</v>
      </c>
      <c r="M31" s="48" t="s">
        <v>1713</v>
      </c>
      <c r="N31" s="48" t="s">
        <v>1713</v>
      </c>
      <c r="O31" s="23">
        <v>200</v>
      </c>
    </row>
    <row r="32" spans="1:15" x14ac:dyDescent="0.25">
      <c r="A32" s="23">
        <v>30</v>
      </c>
      <c r="B32" s="367">
        <v>63513.63636363636</v>
      </c>
      <c r="C32" s="48" t="s">
        <v>1713</v>
      </c>
      <c r="D32" s="97" t="s">
        <v>1713</v>
      </c>
      <c r="E32" s="97" t="s">
        <v>1748</v>
      </c>
      <c r="F32" s="325"/>
      <c r="G32" s="97" t="s">
        <v>1713</v>
      </c>
      <c r="H32" s="48" t="s">
        <v>1228</v>
      </c>
      <c r="I32" s="68">
        <v>3000</v>
      </c>
      <c r="J32" s="68">
        <v>15</v>
      </c>
      <c r="K32" s="68">
        <v>0</v>
      </c>
      <c r="L32" s="374" t="s">
        <v>2623</v>
      </c>
      <c r="M32" s="374" t="s">
        <v>2623</v>
      </c>
      <c r="N32" s="48" t="s">
        <v>1713</v>
      </c>
      <c r="O32" s="23">
        <v>200</v>
      </c>
    </row>
    <row r="33" spans="1:15" x14ac:dyDescent="0.25">
      <c r="A33" s="23">
        <v>31</v>
      </c>
      <c r="B33" s="367">
        <v>103758.375</v>
      </c>
      <c r="C33" s="48" t="s">
        <v>1713</v>
      </c>
      <c r="D33" s="97" t="s">
        <v>1713</v>
      </c>
      <c r="E33" s="97"/>
      <c r="F33" s="325"/>
      <c r="G33" s="97" t="s">
        <v>1713</v>
      </c>
      <c r="H33" s="48" t="s">
        <v>1228</v>
      </c>
      <c r="I33" s="68">
        <v>3000</v>
      </c>
      <c r="J33" s="68">
        <v>15</v>
      </c>
      <c r="K33" s="68">
        <v>0</v>
      </c>
      <c r="L33" s="48" t="s">
        <v>1713</v>
      </c>
      <c r="M33" s="48" t="s">
        <v>1713</v>
      </c>
      <c r="N33" s="48" t="s">
        <v>1713</v>
      </c>
      <c r="O33" s="23">
        <v>500</v>
      </c>
    </row>
    <row r="34" spans="1:15" x14ac:dyDescent="0.25">
      <c r="A34" s="23">
        <v>32</v>
      </c>
      <c r="B34" s="367">
        <v>117219.375</v>
      </c>
      <c r="C34" s="48" t="s">
        <v>1713</v>
      </c>
      <c r="D34" s="97" t="s">
        <v>1713</v>
      </c>
      <c r="E34" s="97"/>
      <c r="F34" s="325">
        <v>5</v>
      </c>
      <c r="G34" s="97" t="s">
        <v>1713</v>
      </c>
      <c r="H34" s="48" t="s">
        <v>1228</v>
      </c>
      <c r="I34" s="68">
        <v>3000</v>
      </c>
      <c r="J34" s="68">
        <v>15</v>
      </c>
      <c r="K34" s="68">
        <v>0</v>
      </c>
      <c r="L34" s="48" t="s">
        <v>1713</v>
      </c>
      <c r="M34" s="48" t="s">
        <v>1713</v>
      </c>
      <c r="N34" s="48" t="s">
        <v>1713</v>
      </c>
      <c r="O34" s="23">
        <v>500</v>
      </c>
    </row>
    <row r="35" spans="1:15" x14ac:dyDescent="0.25">
      <c r="A35" s="23">
        <v>33</v>
      </c>
      <c r="B35" s="367">
        <v>127048.6875</v>
      </c>
      <c r="C35" s="48" t="s">
        <v>850</v>
      </c>
      <c r="D35" s="97" t="s">
        <v>1713</v>
      </c>
      <c r="E35" s="97" t="s">
        <v>1145</v>
      </c>
      <c r="F35" s="325"/>
      <c r="G35" s="97" t="s">
        <v>1713</v>
      </c>
      <c r="H35" s="48" t="s">
        <v>1228</v>
      </c>
      <c r="I35" s="68">
        <v>3500</v>
      </c>
      <c r="J35" s="68">
        <v>15</v>
      </c>
      <c r="K35" s="68">
        <v>0</v>
      </c>
      <c r="L35" s="48" t="s">
        <v>1713</v>
      </c>
      <c r="M35" s="48" t="s">
        <v>1713</v>
      </c>
      <c r="N35" s="48" t="s">
        <v>1713</v>
      </c>
      <c r="O35" s="23">
        <v>500</v>
      </c>
    </row>
    <row r="36" spans="1:15" x14ac:dyDescent="0.25">
      <c r="A36" s="23">
        <v>34</v>
      </c>
      <c r="B36" s="367">
        <v>141108.1875</v>
      </c>
      <c r="C36" s="48" t="s">
        <v>1713</v>
      </c>
      <c r="D36" s="97" t="s">
        <v>1713</v>
      </c>
      <c r="E36" s="97" t="s">
        <v>1749</v>
      </c>
      <c r="F36" s="325"/>
      <c r="G36" s="97" t="s">
        <v>1713</v>
      </c>
      <c r="H36" s="48" t="s">
        <v>1228</v>
      </c>
      <c r="I36" s="68">
        <v>3500</v>
      </c>
      <c r="J36" s="68">
        <v>15</v>
      </c>
      <c r="K36" s="68">
        <v>0</v>
      </c>
      <c r="L36" s="48" t="s">
        <v>1713</v>
      </c>
      <c r="M36" s="48" t="s">
        <v>1713</v>
      </c>
      <c r="N36" s="48" t="s">
        <v>1713</v>
      </c>
      <c r="O36" s="23">
        <v>500</v>
      </c>
    </row>
    <row r="37" spans="1:15" x14ac:dyDescent="0.25">
      <c r="A37" s="23">
        <v>35</v>
      </c>
      <c r="B37" s="367">
        <v>151621.3125</v>
      </c>
      <c r="C37" s="48" t="s">
        <v>851</v>
      </c>
      <c r="D37" s="97" t="s">
        <v>1713</v>
      </c>
      <c r="E37" s="97" t="s">
        <v>1750</v>
      </c>
      <c r="F37" s="325"/>
      <c r="G37" s="97" t="s">
        <v>1713</v>
      </c>
      <c r="H37" s="48" t="s">
        <v>1228</v>
      </c>
      <c r="I37" s="68">
        <v>4000</v>
      </c>
      <c r="J37" s="68">
        <v>15</v>
      </c>
      <c r="K37" s="68">
        <v>0</v>
      </c>
      <c r="L37" s="48" t="s">
        <v>1713</v>
      </c>
      <c r="M37" s="48" t="s">
        <v>1713</v>
      </c>
      <c r="N37" s="48" t="s">
        <v>1713</v>
      </c>
      <c r="O37" s="23">
        <v>500</v>
      </c>
    </row>
    <row r="38" spans="1:15" x14ac:dyDescent="0.25">
      <c r="A38" s="23">
        <v>36</v>
      </c>
      <c r="B38" s="367">
        <v>166427.625</v>
      </c>
      <c r="C38" s="48" t="s">
        <v>1713</v>
      </c>
      <c r="D38" s="97" t="s">
        <v>1713</v>
      </c>
      <c r="E38" s="97"/>
      <c r="F38" s="325"/>
      <c r="G38" s="97" t="s">
        <v>1713</v>
      </c>
      <c r="H38" s="48" t="s">
        <v>1228</v>
      </c>
      <c r="I38" s="68">
        <v>4000</v>
      </c>
      <c r="J38" s="68">
        <v>15</v>
      </c>
      <c r="K38" s="68">
        <v>0</v>
      </c>
      <c r="L38" s="48" t="s">
        <v>1713</v>
      </c>
      <c r="M38" s="48" t="s">
        <v>1713</v>
      </c>
      <c r="N38" s="48" t="s">
        <v>1713</v>
      </c>
      <c r="O38" s="23">
        <v>500</v>
      </c>
    </row>
    <row r="39" spans="1:15" x14ac:dyDescent="0.25">
      <c r="A39" s="23">
        <v>37</v>
      </c>
      <c r="B39" s="367">
        <v>178257.1875</v>
      </c>
      <c r="C39" s="48" t="s">
        <v>854</v>
      </c>
      <c r="D39" s="97" t="s">
        <v>1713</v>
      </c>
      <c r="E39" s="97" t="s">
        <v>1752</v>
      </c>
      <c r="F39" s="325"/>
      <c r="G39" s="97" t="s">
        <v>1713</v>
      </c>
      <c r="H39" s="48" t="s">
        <v>1228</v>
      </c>
      <c r="I39" s="68">
        <v>4500</v>
      </c>
      <c r="J39" s="68">
        <v>15</v>
      </c>
      <c r="K39" s="68">
        <v>0</v>
      </c>
      <c r="L39" s="48" t="s">
        <v>1713</v>
      </c>
      <c r="M39" s="48" t="s">
        <v>1713</v>
      </c>
      <c r="N39" s="48" t="s">
        <v>1713</v>
      </c>
      <c r="O39" s="23">
        <v>500</v>
      </c>
    </row>
    <row r="40" spans="1:15" x14ac:dyDescent="0.25">
      <c r="A40" s="23">
        <v>38</v>
      </c>
      <c r="B40" s="367">
        <v>202329.85500000001</v>
      </c>
      <c r="C40" s="48" t="s">
        <v>1713</v>
      </c>
      <c r="D40" s="97" t="s">
        <v>1713</v>
      </c>
      <c r="E40" s="580" t="s">
        <v>2624</v>
      </c>
      <c r="F40" s="325"/>
      <c r="G40" s="97" t="s">
        <v>1754</v>
      </c>
      <c r="H40" s="48" t="s">
        <v>1228</v>
      </c>
      <c r="I40" s="68">
        <v>4500</v>
      </c>
      <c r="J40" s="68">
        <v>15</v>
      </c>
      <c r="K40" s="68">
        <v>0</v>
      </c>
      <c r="L40" s="48" t="s">
        <v>1713</v>
      </c>
      <c r="M40" s="48" t="s">
        <v>1713</v>
      </c>
      <c r="N40" s="48" t="s">
        <v>1713</v>
      </c>
      <c r="O40" s="23">
        <v>500</v>
      </c>
    </row>
    <row r="41" spans="1:15" x14ac:dyDescent="0.25">
      <c r="A41" s="23">
        <v>39</v>
      </c>
      <c r="B41" s="367">
        <v>216049.47</v>
      </c>
      <c r="C41" s="48" t="s">
        <v>1713</v>
      </c>
      <c r="D41" s="97" t="s">
        <v>1713</v>
      </c>
      <c r="E41" s="97"/>
      <c r="F41" s="325"/>
      <c r="G41" s="97" t="s">
        <v>1713</v>
      </c>
      <c r="H41" s="48" t="s">
        <v>1228</v>
      </c>
      <c r="I41" s="68">
        <v>4500</v>
      </c>
      <c r="J41" s="68">
        <v>15</v>
      </c>
      <c r="K41" s="68">
        <v>0</v>
      </c>
      <c r="L41" s="48" t="s">
        <v>1713</v>
      </c>
      <c r="M41" s="48" t="s">
        <v>1713</v>
      </c>
      <c r="N41" s="48" t="s">
        <v>1713</v>
      </c>
      <c r="O41" s="23">
        <v>500</v>
      </c>
    </row>
    <row r="42" spans="1:15" x14ac:dyDescent="0.25">
      <c r="A42" s="23">
        <v>40</v>
      </c>
      <c r="B42" s="367">
        <v>236951.71500000003</v>
      </c>
      <c r="C42" s="48" t="s">
        <v>858</v>
      </c>
      <c r="D42" s="97" t="s">
        <v>1713</v>
      </c>
      <c r="E42" s="580" t="s">
        <v>2625</v>
      </c>
      <c r="F42" s="325"/>
      <c r="G42" s="97" t="s">
        <v>1713</v>
      </c>
      <c r="H42" s="48" t="s">
        <v>1228</v>
      </c>
      <c r="I42" s="68">
        <v>5000</v>
      </c>
      <c r="J42" s="68">
        <v>15</v>
      </c>
      <c r="K42" s="68">
        <v>0</v>
      </c>
      <c r="L42" s="374" t="s">
        <v>1849</v>
      </c>
      <c r="M42" s="374" t="s">
        <v>1849</v>
      </c>
      <c r="N42" s="48" t="s">
        <v>1713</v>
      </c>
      <c r="O42" s="23">
        <v>500</v>
      </c>
    </row>
    <row r="43" spans="1:15" x14ac:dyDescent="0.25">
      <c r="A43" s="23">
        <v>41</v>
      </c>
      <c r="B43" s="367">
        <v>252174.19500000001</v>
      </c>
      <c r="C43" s="48" t="s">
        <v>1713</v>
      </c>
      <c r="D43" s="97" t="s">
        <v>1713</v>
      </c>
      <c r="E43" s="97" t="s">
        <v>1146</v>
      </c>
      <c r="F43" s="325"/>
      <c r="G43" s="97" t="s">
        <v>1713</v>
      </c>
      <c r="H43" s="48" t="s">
        <v>1228</v>
      </c>
      <c r="I43" s="68">
        <v>6000</v>
      </c>
      <c r="J43" s="68">
        <v>15</v>
      </c>
      <c r="K43" s="68">
        <v>0</v>
      </c>
      <c r="L43" s="48" t="s">
        <v>1713</v>
      </c>
      <c r="M43" s="48" t="s">
        <v>1713</v>
      </c>
      <c r="N43" s="48" t="s">
        <v>1713</v>
      </c>
      <c r="O43" s="23">
        <v>500</v>
      </c>
    </row>
    <row r="44" spans="1:15" x14ac:dyDescent="0.25">
      <c r="A44" s="23">
        <v>42</v>
      </c>
      <c r="B44" s="367">
        <v>269557.47000000003</v>
      </c>
      <c r="C44" s="48" t="s">
        <v>1713</v>
      </c>
      <c r="D44" s="97" t="s">
        <v>1713</v>
      </c>
      <c r="E44" s="97" t="s">
        <v>1756</v>
      </c>
      <c r="F44" s="325"/>
      <c r="G44" s="97" t="s">
        <v>1713</v>
      </c>
      <c r="H44" s="48" t="s">
        <v>1228</v>
      </c>
      <c r="I44" s="68">
        <v>6000</v>
      </c>
      <c r="J44" s="68">
        <v>15</v>
      </c>
      <c r="K44" s="68">
        <v>0</v>
      </c>
      <c r="L44" s="48" t="s">
        <v>1713</v>
      </c>
      <c r="M44" s="48" t="s">
        <v>1713</v>
      </c>
      <c r="N44" s="48" t="s">
        <v>1713</v>
      </c>
      <c r="O44" s="23">
        <v>500</v>
      </c>
    </row>
    <row r="45" spans="1:15" x14ac:dyDescent="0.25">
      <c r="A45" s="23">
        <v>43</v>
      </c>
      <c r="B45" s="367">
        <v>285388.74000000005</v>
      </c>
      <c r="C45" s="48" t="s">
        <v>1713</v>
      </c>
      <c r="D45" s="97" t="s">
        <v>1713</v>
      </c>
      <c r="E45" s="97" t="s">
        <v>1757</v>
      </c>
      <c r="F45" s="325"/>
      <c r="G45" s="97" t="s">
        <v>1713</v>
      </c>
      <c r="H45" s="48" t="s">
        <v>1228</v>
      </c>
      <c r="I45" s="366">
        <v>8000</v>
      </c>
      <c r="J45" s="68">
        <v>15</v>
      </c>
      <c r="K45" s="68">
        <v>0</v>
      </c>
      <c r="L45" s="48" t="s">
        <v>1713</v>
      </c>
      <c r="M45" s="48" t="s">
        <v>1713</v>
      </c>
      <c r="N45" s="48" t="s">
        <v>1713</v>
      </c>
      <c r="O45" s="23">
        <v>500</v>
      </c>
    </row>
    <row r="46" spans="1:15" x14ac:dyDescent="0.25">
      <c r="A46" s="23">
        <v>44</v>
      </c>
      <c r="B46" s="367">
        <v>306124.45500000002</v>
      </c>
      <c r="C46" s="48" t="s">
        <v>1713</v>
      </c>
      <c r="D46" s="97" t="s">
        <v>1713</v>
      </c>
      <c r="E46" s="97" t="s">
        <v>1758</v>
      </c>
      <c r="F46" s="325"/>
      <c r="G46" s="97" t="s">
        <v>1713</v>
      </c>
      <c r="H46" s="48" t="s">
        <v>1228</v>
      </c>
      <c r="I46" s="68">
        <v>8000</v>
      </c>
      <c r="J46" s="68">
        <v>15</v>
      </c>
      <c r="K46" s="68">
        <v>0</v>
      </c>
      <c r="L46" s="48" t="s">
        <v>1713</v>
      </c>
      <c r="M46" s="48" t="s">
        <v>1713</v>
      </c>
      <c r="N46" s="48" t="s">
        <v>1713</v>
      </c>
      <c r="O46" s="23">
        <v>500</v>
      </c>
    </row>
    <row r="47" spans="1:15" x14ac:dyDescent="0.25">
      <c r="A47" s="23">
        <v>45</v>
      </c>
      <c r="B47" s="367">
        <v>322703.74500000005</v>
      </c>
      <c r="C47" s="48" t="s">
        <v>1713</v>
      </c>
      <c r="D47" s="97" t="s">
        <v>1713</v>
      </c>
      <c r="E47" s="97"/>
      <c r="F47" s="325">
        <v>6</v>
      </c>
      <c r="G47" s="97" t="s">
        <v>1713</v>
      </c>
      <c r="H47" s="48" t="s">
        <v>1228</v>
      </c>
      <c r="I47" s="68">
        <v>10000</v>
      </c>
      <c r="J47" s="68">
        <v>15</v>
      </c>
      <c r="K47" s="68">
        <v>0</v>
      </c>
      <c r="L47" s="48" t="s">
        <v>1713</v>
      </c>
      <c r="M47" s="48" t="s">
        <v>1713</v>
      </c>
      <c r="N47" s="48" t="s">
        <v>1713</v>
      </c>
      <c r="O47" s="23">
        <v>500</v>
      </c>
    </row>
    <row r="48" spans="1:15" x14ac:dyDescent="0.25">
      <c r="A48" s="23">
        <v>46</v>
      </c>
      <c r="B48" s="367">
        <v>344273.47500000003</v>
      </c>
      <c r="C48" s="48" t="s">
        <v>881</v>
      </c>
      <c r="D48" s="97" t="s">
        <v>1713</v>
      </c>
      <c r="E48" s="97"/>
      <c r="F48" s="325"/>
      <c r="G48" s="97" t="s">
        <v>1713</v>
      </c>
      <c r="H48" s="48" t="s">
        <v>1228</v>
      </c>
      <c r="I48" s="68">
        <v>10000</v>
      </c>
      <c r="J48" s="68">
        <v>15</v>
      </c>
      <c r="K48" s="68">
        <v>0</v>
      </c>
      <c r="L48" s="48" t="s">
        <v>1713</v>
      </c>
      <c r="M48" s="48" t="s">
        <v>1713</v>
      </c>
      <c r="N48" s="48" t="s">
        <v>1713</v>
      </c>
      <c r="O48" s="23">
        <v>500</v>
      </c>
    </row>
    <row r="49" spans="1:15" x14ac:dyDescent="0.25">
      <c r="A49" s="23">
        <v>47</v>
      </c>
      <c r="B49" s="367">
        <v>361467.01500000001</v>
      </c>
      <c r="C49" s="48" t="s">
        <v>1713</v>
      </c>
      <c r="D49" s="97" t="s">
        <v>1713</v>
      </c>
      <c r="E49" s="97"/>
      <c r="F49" s="325"/>
      <c r="G49" s="97" t="s">
        <v>1713</v>
      </c>
      <c r="H49" s="48" t="s">
        <v>1228</v>
      </c>
      <c r="I49" s="366">
        <v>12000</v>
      </c>
      <c r="J49" s="68">
        <v>15</v>
      </c>
      <c r="K49" s="68">
        <v>0</v>
      </c>
      <c r="L49" s="48" t="s">
        <v>1713</v>
      </c>
      <c r="M49" s="48" t="s">
        <v>1713</v>
      </c>
      <c r="N49" s="48" t="s">
        <v>1713</v>
      </c>
      <c r="O49" s="23">
        <v>500</v>
      </c>
    </row>
    <row r="50" spans="1:15" x14ac:dyDescent="0.25">
      <c r="A50" s="23">
        <v>48</v>
      </c>
      <c r="B50" s="367">
        <v>383873.49</v>
      </c>
      <c r="C50" s="48" t="s">
        <v>1713</v>
      </c>
      <c r="D50" s="97" t="s">
        <v>1713</v>
      </c>
      <c r="E50" s="97" t="s">
        <v>1759</v>
      </c>
      <c r="F50" s="325"/>
      <c r="G50" s="97" t="s">
        <v>1713</v>
      </c>
      <c r="H50" s="48" t="s">
        <v>1228</v>
      </c>
      <c r="I50" s="68">
        <v>12000</v>
      </c>
      <c r="J50" s="68">
        <v>15</v>
      </c>
      <c r="K50" s="68">
        <v>0</v>
      </c>
      <c r="L50" s="48" t="s">
        <v>1713</v>
      </c>
      <c r="M50" s="48" t="s">
        <v>1713</v>
      </c>
      <c r="N50" s="48" t="s">
        <v>1713</v>
      </c>
      <c r="O50" s="23">
        <v>500</v>
      </c>
    </row>
    <row r="51" spans="1:15" x14ac:dyDescent="0.25">
      <c r="A51" s="23">
        <v>49</v>
      </c>
      <c r="B51" s="367">
        <v>401819.14500000002</v>
      </c>
      <c r="C51" s="48" t="s">
        <v>862</v>
      </c>
      <c r="D51" s="97" t="s">
        <v>1713</v>
      </c>
      <c r="E51" s="97" t="s">
        <v>1760</v>
      </c>
      <c r="F51" s="325"/>
      <c r="G51" s="97" t="s">
        <v>1713</v>
      </c>
      <c r="H51" s="48" t="s">
        <v>1228</v>
      </c>
      <c r="I51" s="68">
        <v>12000</v>
      </c>
      <c r="J51" s="68">
        <v>15</v>
      </c>
      <c r="K51" s="68">
        <v>0</v>
      </c>
      <c r="L51" s="48" t="s">
        <v>1713</v>
      </c>
      <c r="M51" s="48" t="s">
        <v>1713</v>
      </c>
      <c r="N51" s="48" t="s">
        <v>1713</v>
      </c>
      <c r="O51" s="23">
        <v>500</v>
      </c>
    </row>
    <row r="52" spans="1:15" x14ac:dyDescent="0.25">
      <c r="A52" s="23">
        <v>50</v>
      </c>
      <c r="B52" s="367">
        <v>459185.36999999994</v>
      </c>
      <c r="C52" s="48" t="s">
        <v>1713</v>
      </c>
      <c r="D52" s="97" t="s">
        <v>1713</v>
      </c>
      <c r="E52" s="580" t="s">
        <v>2626</v>
      </c>
      <c r="F52" s="325"/>
      <c r="G52" s="97" t="s">
        <v>1762</v>
      </c>
      <c r="H52" s="48" t="s">
        <v>647</v>
      </c>
      <c r="I52" s="68">
        <v>15000</v>
      </c>
      <c r="J52" s="68">
        <v>20</v>
      </c>
      <c r="K52" s="68">
        <v>0</v>
      </c>
      <c r="L52" s="374" t="s">
        <v>1850</v>
      </c>
      <c r="M52" s="374" t="s">
        <v>1850</v>
      </c>
      <c r="N52" s="48" t="s">
        <v>1713</v>
      </c>
      <c r="O52" s="23">
        <v>500</v>
      </c>
    </row>
    <row r="53" spans="1:15" x14ac:dyDescent="0.25">
      <c r="A53" s="23">
        <v>51</v>
      </c>
      <c r="B53" s="367">
        <v>456549.8</v>
      </c>
      <c r="C53" s="48" t="s">
        <v>1713</v>
      </c>
      <c r="D53" s="97" t="s">
        <v>1713</v>
      </c>
      <c r="E53" s="97"/>
      <c r="F53" s="325"/>
      <c r="G53" s="97" t="s">
        <v>1713</v>
      </c>
      <c r="H53" s="48" t="s">
        <v>647</v>
      </c>
      <c r="I53" s="366">
        <v>15000</v>
      </c>
      <c r="J53" s="68">
        <v>20</v>
      </c>
      <c r="K53" s="68">
        <v>0</v>
      </c>
      <c r="L53" s="48" t="s">
        <v>1713</v>
      </c>
      <c r="M53" s="48" t="s">
        <v>1713</v>
      </c>
      <c r="N53" s="48" t="s">
        <v>1713</v>
      </c>
      <c r="O53" s="23">
        <v>500</v>
      </c>
    </row>
    <row r="54" spans="1:15" x14ac:dyDescent="0.25">
      <c r="A54" s="23">
        <v>52</v>
      </c>
      <c r="B54" s="367">
        <v>577610.88</v>
      </c>
      <c r="C54" s="48" t="s">
        <v>1713</v>
      </c>
      <c r="D54" s="97" t="s">
        <v>1713</v>
      </c>
      <c r="E54" s="97" t="s">
        <v>1764</v>
      </c>
      <c r="F54" s="325"/>
      <c r="G54" s="97" t="s">
        <v>1713</v>
      </c>
      <c r="H54" s="48" t="s">
        <v>647</v>
      </c>
      <c r="I54" s="68">
        <v>18000</v>
      </c>
      <c r="J54" s="68">
        <v>20</v>
      </c>
      <c r="K54" s="68">
        <v>0</v>
      </c>
      <c r="L54" s="48" t="s">
        <v>1713</v>
      </c>
      <c r="M54" s="48" t="s">
        <v>1713</v>
      </c>
      <c r="N54" s="48" t="s">
        <v>1713</v>
      </c>
      <c r="O54" s="23">
        <v>500</v>
      </c>
    </row>
    <row r="55" spans="1:15" x14ac:dyDescent="0.25">
      <c r="A55" s="23">
        <v>53</v>
      </c>
      <c r="B55" s="367">
        <v>601638.23999999987</v>
      </c>
      <c r="C55" s="48" t="s">
        <v>1713</v>
      </c>
      <c r="D55" s="97" t="s">
        <v>1713</v>
      </c>
      <c r="E55" s="97" t="s">
        <v>1147</v>
      </c>
      <c r="F55" s="325"/>
      <c r="G55" s="97" t="s">
        <v>1713</v>
      </c>
      <c r="H55" s="48" t="s">
        <v>647</v>
      </c>
      <c r="I55" s="68">
        <v>18000</v>
      </c>
      <c r="J55" s="68">
        <v>20</v>
      </c>
      <c r="K55" s="68">
        <v>0</v>
      </c>
      <c r="L55" s="48" t="s">
        <v>1713</v>
      </c>
      <c r="M55" s="48" t="s">
        <v>1713</v>
      </c>
      <c r="N55" s="48" t="s">
        <v>1713</v>
      </c>
      <c r="O55" s="23">
        <v>500</v>
      </c>
    </row>
    <row r="56" spans="1:15" x14ac:dyDescent="0.25">
      <c r="A56" s="23">
        <v>54</v>
      </c>
      <c r="B56" s="367">
        <v>632457.84</v>
      </c>
      <c r="C56" s="48" t="s">
        <v>1713</v>
      </c>
      <c r="D56" s="97" t="s">
        <v>1713</v>
      </c>
      <c r="E56" s="97" t="s">
        <v>1765</v>
      </c>
      <c r="F56" s="325"/>
      <c r="G56" s="97" t="s">
        <v>1713</v>
      </c>
      <c r="H56" s="48" t="s">
        <v>647</v>
      </c>
      <c r="I56" s="68">
        <v>18000</v>
      </c>
      <c r="J56" s="68">
        <v>20</v>
      </c>
      <c r="K56" s="68">
        <v>0</v>
      </c>
      <c r="L56" s="48" t="s">
        <v>1713</v>
      </c>
      <c r="M56" s="48" t="s">
        <v>1713</v>
      </c>
      <c r="N56" s="48" t="s">
        <v>1713</v>
      </c>
      <c r="O56" s="23">
        <v>500</v>
      </c>
    </row>
    <row r="57" spans="1:15" x14ac:dyDescent="0.25">
      <c r="A57" s="23">
        <v>55</v>
      </c>
      <c r="B57" s="367">
        <v>660873.35999999987</v>
      </c>
      <c r="C57" s="48" t="s">
        <v>1713</v>
      </c>
      <c r="D57" s="97" t="s">
        <v>1713</v>
      </c>
      <c r="E57" s="97" t="s">
        <v>1140</v>
      </c>
      <c r="F57" s="325"/>
      <c r="G57" s="97" t="s">
        <v>1713</v>
      </c>
      <c r="H57" s="48" t="s">
        <v>647</v>
      </c>
      <c r="I57" s="366">
        <v>20000</v>
      </c>
      <c r="J57" s="68">
        <v>20</v>
      </c>
      <c r="K57" s="68">
        <v>0</v>
      </c>
      <c r="L57" s="48" t="s">
        <v>1713</v>
      </c>
      <c r="M57" s="48" t="s">
        <v>1713</v>
      </c>
      <c r="N57" s="48" t="s">
        <v>1713</v>
      </c>
      <c r="O57" s="23">
        <v>500</v>
      </c>
    </row>
    <row r="58" spans="1:15" x14ac:dyDescent="0.25">
      <c r="A58" s="23">
        <v>56</v>
      </c>
      <c r="B58" s="367">
        <v>692801.75999999989</v>
      </c>
      <c r="C58" s="48" t="s">
        <v>1713</v>
      </c>
      <c r="D58" s="97" t="s">
        <v>1713</v>
      </c>
      <c r="E58" s="97" t="s">
        <v>1766</v>
      </c>
      <c r="F58" s="325"/>
      <c r="G58" s="97" t="s">
        <v>1713</v>
      </c>
      <c r="H58" s="48" t="s">
        <v>647</v>
      </c>
      <c r="I58" s="366">
        <v>20000</v>
      </c>
      <c r="J58" s="68">
        <v>20</v>
      </c>
      <c r="K58" s="68">
        <v>0</v>
      </c>
      <c r="L58" s="48" t="s">
        <v>1713</v>
      </c>
      <c r="M58" s="48" t="s">
        <v>1713</v>
      </c>
      <c r="N58" s="48" t="s">
        <v>1713</v>
      </c>
      <c r="O58" s="23">
        <v>500</v>
      </c>
    </row>
    <row r="59" spans="1:15" x14ac:dyDescent="0.25">
      <c r="A59" s="23">
        <v>57</v>
      </c>
      <c r="B59" s="367">
        <v>718793.03999999992</v>
      </c>
      <c r="C59" s="48" t="s">
        <v>1713</v>
      </c>
      <c r="D59" s="97" t="s">
        <v>1713</v>
      </c>
      <c r="E59" s="97"/>
      <c r="F59" s="325">
        <v>7</v>
      </c>
      <c r="G59" s="97" t="s">
        <v>1713</v>
      </c>
      <c r="H59" s="48" t="s">
        <v>647</v>
      </c>
      <c r="I59" s="68">
        <v>22000</v>
      </c>
      <c r="J59" s="68">
        <v>20</v>
      </c>
      <c r="K59" s="68">
        <v>0</v>
      </c>
      <c r="L59" s="48" t="s">
        <v>1713</v>
      </c>
      <c r="M59" s="48" t="s">
        <v>1713</v>
      </c>
      <c r="N59" s="48" t="s">
        <v>1713</v>
      </c>
      <c r="O59" s="23">
        <v>500</v>
      </c>
    </row>
    <row r="60" spans="1:15" x14ac:dyDescent="0.25">
      <c r="A60" s="23">
        <v>58</v>
      </c>
      <c r="B60" s="367">
        <v>751826.87999999989</v>
      </c>
      <c r="C60" s="48" t="s">
        <v>869</v>
      </c>
      <c r="D60" s="97" t="s">
        <v>1713</v>
      </c>
      <c r="E60" s="97"/>
      <c r="F60" s="325"/>
      <c r="G60" s="97" t="s">
        <v>1713</v>
      </c>
      <c r="H60" s="48" t="s">
        <v>647</v>
      </c>
      <c r="I60" s="68">
        <v>22000</v>
      </c>
      <c r="J60" s="68">
        <v>20</v>
      </c>
      <c r="K60" s="68">
        <v>0</v>
      </c>
      <c r="L60" s="48" t="s">
        <v>1713</v>
      </c>
      <c r="M60" s="48" t="s">
        <v>1713</v>
      </c>
      <c r="N60" s="48" t="s">
        <v>1713</v>
      </c>
      <c r="O60" s="23">
        <v>500</v>
      </c>
    </row>
    <row r="61" spans="1:15" x14ac:dyDescent="0.25">
      <c r="A61" s="23">
        <v>59</v>
      </c>
      <c r="B61" s="367">
        <v>774390.96</v>
      </c>
      <c r="C61" s="48" t="s">
        <v>1713</v>
      </c>
      <c r="D61" s="97" t="s">
        <v>1713</v>
      </c>
      <c r="E61" s="97" t="s">
        <v>1767</v>
      </c>
      <c r="F61" s="325"/>
      <c r="G61" s="97" t="s">
        <v>1713</v>
      </c>
      <c r="H61" s="48" t="s">
        <v>647</v>
      </c>
      <c r="I61" s="68">
        <v>22000</v>
      </c>
      <c r="J61" s="68">
        <v>20</v>
      </c>
      <c r="K61" s="68">
        <v>0</v>
      </c>
      <c r="L61" s="48" t="s">
        <v>1713</v>
      </c>
      <c r="M61" s="48" t="s">
        <v>1713</v>
      </c>
      <c r="N61" s="48" t="s">
        <v>1713</v>
      </c>
      <c r="O61" s="23">
        <v>500</v>
      </c>
    </row>
    <row r="62" spans="1:15" x14ac:dyDescent="0.25">
      <c r="A62" s="23">
        <v>60</v>
      </c>
      <c r="B62" s="367">
        <v>817545.11999999988</v>
      </c>
      <c r="C62" s="48" t="s">
        <v>1713</v>
      </c>
      <c r="D62" s="97" t="s">
        <v>1713</v>
      </c>
      <c r="E62" s="97" t="s">
        <v>1768</v>
      </c>
      <c r="F62" s="325"/>
      <c r="G62" s="97" t="s">
        <v>1713</v>
      </c>
      <c r="H62" s="48" t="s">
        <v>647</v>
      </c>
      <c r="I62" s="68">
        <v>25000</v>
      </c>
      <c r="J62" s="68">
        <v>20</v>
      </c>
      <c r="K62" s="68">
        <v>0</v>
      </c>
      <c r="L62" s="48" t="s">
        <v>1713</v>
      </c>
      <c r="M62" s="48" t="s">
        <v>1713</v>
      </c>
      <c r="N62" s="48" t="s">
        <v>1713</v>
      </c>
      <c r="O62" s="23">
        <v>500</v>
      </c>
    </row>
    <row r="63" spans="1:15" x14ac:dyDescent="0.25">
      <c r="A63" s="23">
        <v>61</v>
      </c>
      <c r="B63" s="367">
        <v>855057.84</v>
      </c>
      <c r="C63" s="48" t="s">
        <v>1713</v>
      </c>
      <c r="D63" s="97" t="s">
        <v>1713</v>
      </c>
      <c r="E63" s="97" t="s">
        <v>1769</v>
      </c>
      <c r="F63" s="325"/>
      <c r="G63" s="97" t="s">
        <v>1713</v>
      </c>
      <c r="H63" s="48" t="s">
        <v>647</v>
      </c>
      <c r="I63" s="68">
        <v>25000</v>
      </c>
      <c r="J63" s="68">
        <v>20</v>
      </c>
      <c r="K63" s="68">
        <v>0</v>
      </c>
      <c r="L63" s="48" t="s">
        <v>1713</v>
      </c>
      <c r="M63" s="48" t="s">
        <v>1713</v>
      </c>
      <c r="N63" s="48" t="s">
        <v>1713</v>
      </c>
      <c r="O63" s="23">
        <v>500</v>
      </c>
    </row>
    <row r="64" spans="1:15" x14ac:dyDescent="0.25">
      <c r="A64" s="23">
        <v>62</v>
      </c>
      <c r="B64" s="367">
        <v>900515.27999999991</v>
      </c>
      <c r="C64" s="48" t="s">
        <v>1770</v>
      </c>
      <c r="D64" s="97" t="s">
        <v>1713</v>
      </c>
      <c r="E64" s="97"/>
      <c r="F64" s="325"/>
      <c r="G64" s="97" t="s">
        <v>1713</v>
      </c>
      <c r="H64" s="48" t="s">
        <v>647</v>
      </c>
      <c r="I64" s="68">
        <v>27000</v>
      </c>
      <c r="J64" s="68">
        <v>20</v>
      </c>
      <c r="K64" s="68">
        <v>0</v>
      </c>
      <c r="L64" s="48" t="s">
        <v>1713</v>
      </c>
      <c r="M64" s="48" t="s">
        <v>1713</v>
      </c>
      <c r="N64" s="48" t="s">
        <v>1713</v>
      </c>
      <c r="O64" s="23">
        <v>500</v>
      </c>
    </row>
    <row r="65" spans="1:15" x14ac:dyDescent="0.25">
      <c r="A65" s="23">
        <v>63</v>
      </c>
      <c r="B65" s="367">
        <v>999235.79999999993</v>
      </c>
      <c r="C65" s="48" t="s">
        <v>1713</v>
      </c>
      <c r="D65" s="97" t="s">
        <v>1713</v>
      </c>
      <c r="E65" s="97" t="s">
        <v>1771</v>
      </c>
      <c r="F65" s="325"/>
      <c r="G65" s="97" t="s">
        <v>1772</v>
      </c>
      <c r="H65" s="48" t="s">
        <v>647</v>
      </c>
      <c r="I65" s="68">
        <v>27000</v>
      </c>
      <c r="J65" s="68">
        <v>20</v>
      </c>
      <c r="K65" s="68">
        <v>0</v>
      </c>
      <c r="L65" s="48" t="s">
        <v>1713</v>
      </c>
      <c r="M65" s="48" t="s">
        <v>1713</v>
      </c>
      <c r="N65" s="48" t="s">
        <v>1713</v>
      </c>
      <c r="O65" s="23">
        <v>500</v>
      </c>
    </row>
    <row r="66" spans="1:15" x14ac:dyDescent="0.25">
      <c r="A66" s="23">
        <v>64</v>
      </c>
      <c r="B66" s="367">
        <v>1041937.2</v>
      </c>
      <c r="C66" s="48" t="s">
        <v>1713</v>
      </c>
      <c r="D66" s="97" t="s">
        <v>1713</v>
      </c>
      <c r="E66" s="97"/>
      <c r="F66" s="325"/>
      <c r="G66" s="97" t="s">
        <v>1713</v>
      </c>
      <c r="H66" s="48" t="s">
        <v>647</v>
      </c>
      <c r="I66" s="68">
        <v>27000</v>
      </c>
      <c r="J66" s="68">
        <v>20</v>
      </c>
      <c r="K66" s="68">
        <v>0</v>
      </c>
      <c r="L66" s="48" t="s">
        <v>1713</v>
      </c>
      <c r="M66" s="48" t="s">
        <v>1713</v>
      </c>
      <c r="N66" s="48" t="s">
        <v>1713</v>
      </c>
      <c r="O66" s="23">
        <v>500</v>
      </c>
    </row>
    <row r="67" spans="1:15" x14ac:dyDescent="0.25">
      <c r="A67" s="23">
        <v>65</v>
      </c>
      <c r="B67" s="367">
        <v>1077732</v>
      </c>
      <c r="C67" s="48" t="s">
        <v>1713</v>
      </c>
      <c r="D67" s="97" t="s">
        <v>1713</v>
      </c>
      <c r="E67" s="97" t="s">
        <v>1773</v>
      </c>
      <c r="F67" s="325"/>
      <c r="G67" s="97" t="s">
        <v>1713</v>
      </c>
      <c r="H67" s="48" t="s">
        <v>647</v>
      </c>
      <c r="I67" s="68">
        <v>30000</v>
      </c>
      <c r="J67" s="68">
        <v>20</v>
      </c>
      <c r="K67" s="68">
        <v>0</v>
      </c>
      <c r="L67" s="48" t="s">
        <v>1713</v>
      </c>
      <c r="M67" s="48" t="s">
        <v>1713</v>
      </c>
      <c r="N67" s="48" t="s">
        <v>1713</v>
      </c>
      <c r="O67" s="23">
        <v>500</v>
      </c>
    </row>
    <row r="68" spans="1:15" x14ac:dyDescent="0.25">
      <c r="A68" s="23">
        <v>66</v>
      </c>
      <c r="B68" s="367">
        <v>1121999.3999999999</v>
      </c>
      <c r="C68" s="48" t="s">
        <v>1713</v>
      </c>
      <c r="D68" s="97" t="s">
        <v>1713</v>
      </c>
      <c r="E68" s="97" t="s">
        <v>1774</v>
      </c>
      <c r="F68" s="325"/>
      <c r="G68" s="97" t="s">
        <v>1713</v>
      </c>
      <c r="H68" s="48" t="s">
        <v>647</v>
      </c>
      <c r="I68" s="68">
        <v>30000</v>
      </c>
      <c r="J68" s="68">
        <v>20</v>
      </c>
      <c r="K68" s="68">
        <v>0</v>
      </c>
      <c r="L68" s="48" t="s">
        <v>1713</v>
      </c>
      <c r="M68" s="48" t="s">
        <v>1713</v>
      </c>
      <c r="N68" s="48" t="s">
        <v>1713</v>
      </c>
      <c r="O68" s="23">
        <v>500</v>
      </c>
    </row>
    <row r="69" spans="1:15" x14ac:dyDescent="0.25">
      <c r="A69" s="23">
        <v>67</v>
      </c>
      <c r="B69" s="367">
        <v>1159207.2</v>
      </c>
      <c r="C69" s="48" t="s">
        <v>1713</v>
      </c>
      <c r="D69" s="97" t="s">
        <v>1713</v>
      </c>
      <c r="E69" s="97"/>
      <c r="F69" s="325"/>
      <c r="G69" s="97" t="s">
        <v>1713</v>
      </c>
      <c r="H69" s="48" t="s">
        <v>647</v>
      </c>
      <c r="I69" s="68">
        <v>35000</v>
      </c>
      <c r="J69" s="68">
        <v>20</v>
      </c>
      <c r="K69" s="68">
        <v>0</v>
      </c>
      <c r="L69" s="48" t="s">
        <v>1713</v>
      </c>
      <c r="M69" s="48" t="s">
        <v>1713</v>
      </c>
      <c r="N69" s="48" t="s">
        <v>1713</v>
      </c>
      <c r="O69" s="23">
        <v>500</v>
      </c>
    </row>
    <row r="70" spans="1:15" x14ac:dyDescent="0.25">
      <c r="A70" s="23">
        <v>68</v>
      </c>
      <c r="B70" s="367">
        <v>1205166.6000000001</v>
      </c>
      <c r="C70" s="48" t="s">
        <v>1713</v>
      </c>
      <c r="D70" s="97" t="s">
        <v>1713</v>
      </c>
      <c r="E70" s="97"/>
      <c r="F70" s="325">
        <v>8</v>
      </c>
      <c r="G70" s="97" t="s">
        <v>1713</v>
      </c>
      <c r="H70" s="48" t="s">
        <v>647</v>
      </c>
      <c r="I70" s="68">
        <v>35000</v>
      </c>
      <c r="J70" s="68">
        <v>20</v>
      </c>
      <c r="K70" s="68">
        <v>0</v>
      </c>
      <c r="L70" s="48" t="s">
        <v>1713</v>
      </c>
      <c r="M70" s="48" t="s">
        <v>1713</v>
      </c>
      <c r="N70" s="48" t="s">
        <v>1713</v>
      </c>
      <c r="O70" s="23">
        <v>500</v>
      </c>
    </row>
    <row r="71" spans="1:15" x14ac:dyDescent="0.25">
      <c r="A71" s="23">
        <v>69</v>
      </c>
      <c r="B71" s="367">
        <v>1243915.2</v>
      </c>
      <c r="C71" s="48" t="s">
        <v>1713</v>
      </c>
      <c r="D71" s="97" t="s">
        <v>1713</v>
      </c>
      <c r="E71" s="97" t="s">
        <v>1775</v>
      </c>
      <c r="F71" s="325"/>
      <c r="G71" s="97" t="s">
        <v>1713</v>
      </c>
      <c r="H71" s="48" t="s">
        <v>647</v>
      </c>
      <c r="I71" s="68">
        <v>35000</v>
      </c>
      <c r="J71" s="68">
        <v>20</v>
      </c>
      <c r="K71" s="68">
        <v>0</v>
      </c>
      <c r="L71" s="48" t="s">
        <v>1713</v>
      </c>
      <c r="M71" s="48" t="s">
        <v>1713</v>
      </c>
      <c r="N71" s="48" t="s">
        <v>1713</v>
      </c>
      <c r="O71" s="23">
        <v>500</v>
      </c>
    </row>
    <row r="72" spans="1:15" x14ac:dyDescent="0.25">
      <c r="A72" s="23">
        <v>70</v>
      </c>
      <c r="B72" s="367">
        <v>1286294.3999999999</v>
      </c>
      <c r="C72" s="48" t="s">
        <v>1713</v>
      </c>
      <c r="D72" s="97" t="s">
        <v>1713</v>
      </c>
      <c r="E72" s="97" t="s">
        <v>1776</v>
      </c>
      <c r="F72" s="325"/>
      <c r="G72" s="97" t="s">
        <v>1713</v>
      </c>
      <c r="H72" s="48" t="s">
        <v>647</v>
      </c>
      <c r="I72" s="68">
        <v>40000</v>
      </c>
      <c r="J72" s="68">
        <v>20</v>
      </c>
      <c r="K72" s="68">
        <v>0</v>
      </c>
      <c r="L72" s="374" t="s">
        <v>1828</v>
      </c>
      <c r="M72" s="374" t="s">
        <v>1828</v>
      </c>
      <c r="N72" s="48" t="s">
        <v>1713</v>
      </c>
      <c r="O72" s="23">
        <v>500</v>
      </c>
    </row>
    <row r="73" spans="1:15" x14ac:dyDescent="0.25">
      <c r="A73" s="23">
        <v>71</v>
      </c>
      <c r="B73" s="367">
        <v>1333015.2</v>
      </c>
      <c r="C73" s="48" t="s">
        <v>1713</v>
      </c>
      <c r="D73" s="97" t="s">
        <v>1713</v>
      </c>
      <c r="E73" s="97"/>
      <c r="F73" s="325"/>
      <c r="G73" s="97" t="s">
        <v>1713</v>
      </c>
      <c r="H73" s="48" t="s">
        <v>647</v>
      </c>
      <c r="I73" s="68">
        <v>40000</v>
      </c>
      <c r="J73" s="68">
        <v>20</v>
      </c>
      <c r="K73" s="68">
        <v>0</v>
      </c>
      <c r="L73" s="48" t="s">
        <v>1713</v>
      </c>
      <c r="M73" s="48" t="s">
        <v>1713</v>
      </c>
      <c r="N73" s="48" t="s">
        <v>1713</v>
      </c>
      <c r="O73" s="23">
        <v>500</v>
      </c>
    </row>
    <row r="74" spans="1:15" x14ac:dyDescent="0.25">
      <c r="A74" s="23">
        <v>72</v>
      </c>
      <c r="B74" s="367">
        <v>1389128.4</v>
      </c>
      <c r="C74" s="48" t="s">
        <v>1713</v>
      </c>
      <c r="D74" s="97" t="s">
        <v>1713</v>
      </c>
      <c r="E74" s="97"/>
      <c r="F74" s="325"/>
      <c r="G74" s="97" t="s">
        <v>1713</v>
      </c>
      <c r="H74" s="48" t="s">
        <v>647</v>
      </c>
      <c r="I74" s="68">
        <v>45000</v>
      </c>
      <c r="J74" s="68">
        <v>20</v>
      </c>
      <c r="K74" s="68">
        <v>0</v>
      </c>
      <c r="L74" s="48" t="s">
        <v>1713</v>
      </c>
      <c r="M74" s="48" t="s">
        <v>1713</v>
      </c>
      <c r="N74" s="48" t="s">
        <v>1713</v>
      </c>
      <c r="O74" s="23">
        <v>500</v>
      </c>
    </row>
    <row r="75" spans="1:15" x14ac:dyDescent="0.25">
      <c r="A75" s="23">
        <v>73</v>
      </c>
      <c r="B75" s="367">
        <v>1533893.76</v>
      </c>
      <c r="C75" s="48" t="s">
        <v>1713</v>
      </c>
      <c r="D75" s="97" t="s">
        <v>1713</v>
      </c>
      <c r="E75" s="97" t="s">
        <v>1777</v>
      </c>
      <c r="F75" s="325"/>
      <c r="G75" s="97" t="s">
        <v>1778</v>
      </c>
      <c r="H75" s="48" t="s">
        <v>647</v>
      </c>
      <c r="I75" s="68">
        <v>45000</v>
      </c>
      <c r="J75" s="68">
        <v>20</v>
      </c>
      <c r="K75" s="68">
        <v>0</v>
      </c>
      <c r="L75" s="48" t="s">
        <v>1713</v>
      </c>
      <c r="M75" s="48" t="s">
        <v>1713</v>
      </c>
      <c r="N75" s="48" t="s">
        <v>1713</v>
      </c>
      <c r="O75" s="23">
        <v>500</v>
      </c>
    </row>
    <row r="76" spans="1:15" x14ac:dyDescent="0.25">
      <c r="A76" s="23">
        <v>74</v>
      </c>
      <c r="B76" s="367">
        <v>1600110.72</v>
      </c>
      <c r="C76" s="48" t="s">
        <v>877</v>
      </c>
      <c r="D76" s="97" t="s">
        <v>1713</v>
      </c>
      <c r="E76" s="97" t="s">
        <v>1779</v>
      </c>
      <c r="F76" s="325"/>
      <c r="G76" s="97" t="s">
        <v>1713</v>
      </c>
      <c r="H76" s="48" t="s">
        <v>647</v>
      </c>
      <c r="I76" s="68">
        <v>45000</v>
      </c>
      <c r="J76" s="68">
        <v>20</v>
      </c>
      <c r="K76" s="68">
        <v>0</v>
      </c>
      <c r="L76" s="48" t="s">
        <v>1713</v>
      </c>
      <c r="M76" s="48" t="s">
        <v>1713</v>
      </c>
      <c r="N76" s="48" t="s">
        <v>1713</v>
      </c>
      <c r="O76" s="23">
        <v>500</v>
      </c>
    </row>
    <row r="77" spans="1:15" x14ac:dyDescent="0.25">
      <c r="A77" s="23">
        <v>75</v>
      </c>
      <c r="B77" s="367">
        <v>1643184</v>
      </c>
      <c r="C77" s="48" t="s">
        <v>1713</v>
      </c>
      <c r="D77" s="97" t="s">
        <v>1713</v>
      </c>
      <c r="E77" s="97"/>
      <c r="F77" s="325"/>
      <c r="G77" s="97" t="s">
        <v>1713</v>
      </c>
      <c r="H77" s="48" t="s">
        <v>647</v>
      </c>
      <c r="I77" s="68">
        <v>50000</v>
      </c>
      <c r="J77" s="68">
        <v>20</v>
      </c>
      <c r="K77" s="68">
        <v>0</v>
      </c>
      <c r="L77" s="48" t="s">
        <v>1713</v>
      </c>
      <c r="M77" s="48" t="s">
        <v>1713</v>
      </c>
      <c r="N77" s="48" t="s">
        <v>1713</v>
      </c>
      <c r="O77" s="23">
        <v>500</v>
      </c>
    </row>
    <row r="78" spans="1:15" x14ac:dyDescent="0.25">
      <c r="A78" s="23">
        <v>76</v>
      </c>
      <c r="B78" s="367">
        <v>1696350.72</v>
      </c>
      <c r="C78" s="48" t="s">
        <v>1713</v>
      </c>
      <c r="D78" s="97" t="s">
        <v>1713</v>
      </c>
      <c r="E78" s="97" t="s">
        <v>1780</v>
      </c>
      <c r="F78" s="325"/>
      <c r="G78" s="97" t="s">
        <v>1713</v>
      </c>
      <c r="H78" s="48" t="s">
        <v>647</v>
      </c>
      <c r="I78" s="68">
        <v>50000</v>
      </c>
      <c r="J78" s="68">
        <v>20</v>
      </c>
      <c r="K78" s="68">
        <v>0</v>
      </c>
      <c r="L78" s="48" t="s">
        <v>1713</v>
      </c>
      <c r="M78" s="48" t="s">
        <v>1713</v>
      </c>
      <c r="N78" s="48" t="s">
        <v>1713</v>
      </c>
      <c r="O78" s="23">
        <v>500</v>
      </c>
    </row>
    <row r="79" spans="1:15" x14ac:dyDescent="0.25">
      <c r="A79" s="23">
        <v>77</v>
      </c>
      <c r="B79" s="367">
        <v>1740931.2000000002</v>
      </c>
      <c r="C79" s="48" t="s">
        <v>1713</v>
      </c>
      <c r="D79" s="97" t="s">
        <v>1713</v>
      </c>
      <c r="E79" s="97" t="s">
        <v>1781</v>
      </c>
      <c r="F79" s="325"/>
      <c r="G79" s="97" t="s">
        <v>1713</v>
      </c>
      <c r="H79" s="48" t="s">
        <v>647</v>
      </c>
      <c r="I79" s="68">
        <v>55000</v>
      </c>
      <c r="J79" s="68">
        <v>20</v>
      </c>
      <c r="K79" s="68">
        <v>0</v>
      </c>
      <c r="L79" s="48" t="s">
        <v>1713</v>
      </c>
      <c r="M79" s="48" t="s">
        <v>1713</v>
      </c>
      <c r="N79" s="48" t="s">
        <v>1713</v>
      </c>
      <c r="O79" s="23">
        <v>500</v>
      </c>
    </row>
    <row r="80" spans="1:15" x14ac:dyDescent="0.25">
      <c r="A80" s="23">
        <v>78</v>
      </c>
      <c r="B80" s="367">
        <v>1795747.2000000002</v>
      </c>
      <c r="C80" s="48" t="s">
        <v>1713</v>
      </c>
      <c r="D80" s="97" t="s">
        <v>1713</v>
      </c>
      <c r="E80" s="97"/>
      <c r="F80" s="325"/>
      <c r="G80" s="97" t="s">
        <v>1713</v>
      </c>
      <c r="H80" s="48" t="s">
        <v>647</v>
      </c>
      <c r="I80" s="68">
        <v>55000</v>
      </c>
      <c r="J80" s="68">
        <v>20</v>
      </c>
      <c r="K80" s="68">
        <v>0</v>
      </c>
      <c r="L80" s="48" t="s">
        <v>1713</v>
      </c>
      <c r="M80" s="48" t="s">
        <v>1713</v>
      </c>
      <c r="N80" s="48" t="s">
        <v>1713</v>
      </c>
      <c r="O80" s="23">
        <v>500</v>
      </c>
    </row>
    <row r="81" spans="1:15" x14ac:dyDescent="0.25">
      <c r="A81" s="23">
        <v>79</v>
      </c>
      <c r="B81" s="367">
        <v>1846043.52</v>
      </c>
      <c r="C81" s="48" t="s">
        <v>1713</v>
      </c>
      <c r="D81" s="97" t="s">
        <v>1713</v>
      </c>
      <c r="E81" s="97"/>
      <c r="F81" s="325"/>
      <c r="G81" s="97" t="s">
        <v>1713</v>
      </c>
      <c r="H81" s="48" t="s">
        <v>647</v>
      </c>
      <c r="I81" s="68">
        <v>55000</v>
      </c>
      <c r="J81" s="68">
        <v>20</v>
      </c>
      <c r="K81" s="68">
        <v>0</v>
      </c>
      <c r="L81" s="48" t="s">
        <v>1713</v>
      </c>
      <c r="M81" s="48" t="s">
        <v>1713</v>
      </c>
      <c r="N81" s="48" t="s">
        <v>1713</v>
      </c>
      <c r="O81" s="23">
        <v>500</v>
      </c>
    </row>
    <row r="82" spans="1:15" x14ac:dyDescent="0.25">
      <c r="A82" s="23">
        <v>80</v>
      </c>
      <c r="B82" s="367">
        <v>1906919.04</v>
      </c>
      <c r="C82" s="48" t="s">
        <v>1713</v>
      </c>
      <c r="D82" s="97" t="s">
        <v>1713</v>
      </c>
      <c r="E82" s="97" t="s">
        <v>1782</v>
      </c>
      <c r="F82" s="325">
        <v>9</v>
      </c>
      <c r="G82" s="97" t="s">
        <v>1713</v>
      </c>
      <c r="H82" s="48" t="s">
        <v>647</v>
      </c>
      <c r="I82" s="68">
        <v>60000</v>
      </c>
      <c r="J82" s="68">
        <v>30</v>
      </c>
      <c r="K82" s="68">
        <v>0</v>
      </c>
      <c r="L82" s="48" t="s">
        <v>1713</v>
      </c>
      <c r="M82" s="48" t="s">
        <v>1713</v>
      </c>
      <c r="N82" s="48" t="s">
        <v>1713</v>
      </c>
      <c r="O82" s="23">
        <v>500</v>
      </c>
    </row>
    <row r="83" spans="1:15" x14ac:dyDescent="0.25">
      <c r="A83" s="23">
        <v>81</v>
      </c>
      <c r="B83" s="367">
        <v>1636222.4000000001</v>
      </c>
      <c r="C83" s="48" t="s">
        <v>1713</v>
      </c>
      <c r="D83" s="97" t="s">
        <v>1713</v>
      </c>
      <c r="E83" s="97" t="s">
        <v>1783</v>
      </c>
      <c r="F83" s="325"/>
      <c r="G83" s="97" t="s">
        <v>1713</v>
      </c>
      <c r="H83" s="48" t="s">
        <v>647</v>
      </c>
      <c r="I83" s="68">
        <v>60000</v>
      </c>
      <c r="J83" s="68">
        <v>30</v>
      </c>
      <c r="K83" s="68">
        <v>0</v>
      </c>
      <c r="L83" s="48" t="s">
        <v>1713</v>
      </c>
      <c r="M83" s="48" t="s">
        <v>1713</v>
      </c>
      <c r="N83" s="48" t="s">
        <v>1713</v>
      </c>
      <c r="O83" s="23">
        <v>500</v>
      </c>
    </row>
    <row r="84" spans="1:15" x14ac:dyDescent="0.25">
      <c r="A84" s="23">
        <v>82</v>
      </c>
      <c r="B84" s="367">
        <v>1681324.8</v>
      </c>
      <c r="C84" s="48" t="s">
        <v>1713</v>
      </c>
      <c r="D84" s="97" t="s">
        <v>1713</v>
      </c>
      <c r="E84" s="97" t="s">
        <v>1784</v>
      </c>
      <c r="F84" s="325"/>
      <c r="G84" s="97" t="s">
        <v>1713</v>
      </c>
      <c r="H84" s="48" t="s">
        <v>647</v>
      </c>
      <c r="I84" s="68">
        <v>65000</v>
      </c>
      <c r="J84" s="68">
        <v>30</v>
      </c>
      <c r="K84" s="68">
        <v>0</v>
      </c>
      <c r="L84" s="48" t="s">
        <v>1713</v>
      </c>
      <c r="M84" s="48" t="s">
        <v>1713</v>
      </c>
      <c r="N84" s="48" t="s">
        <v>1713</v>
      </c>
      <c r="O84" s="23">
        <v>500</v>
      </c>
    </row>
    <row r="85" spans="1:15" x14ac:dyDescent="0.25">
      <c r="A85" s="23">
        <v>83</v>
      </c>
      <c r="B85" s="367">
        <v>1718771.2000000002</v>
      </c>
      <c r="C85" s="48" t="s">
        <v>889</v>
      </c>
      <c r="D85" s="97" t="s">
        <v>1713</v>
      </c>
      <c r="E85" s="97"/>
      <c r="F85" s="325"/>
      <c r="G85" s="97" t="s">
        <v>1713</v>
      </c>
      <c r="H85" s="48" t="s">
        <v>647</v>
      </c>
      <c r="I85" s="68">
        <v>65000</v>
      </c>
      <c r="J85" s="68">
        <v>30</v>
      </c>
      <c r="K85" s="68">
        <v>0</v>
      </c>
      <c r="L85" s="48" t="s">
        <v>1713</v>
      </c>
      <c r="M85" s="48" t="s">
        <v>1713</v>
      </c>
      <c r="N85" s="48" t="s">
        <v>1713</v>
      </c>
      <c r="O85" s="23">
        <v>500</v>
      </c>
    </row>
    <row r="86" spans="1:15" x14ac:dyDescent="0.25">
      <c r="A86" s="23">
        <v>84</v>
      </c>
      <c r="B86" s="367">
        <v>1764990.4000000001</v>
      </c>
      <c r="C86" s="48" t="s">
        <v>1713</v>
      </c>
      <c r="D86" s="97" t="s">
        <v>1713</v>
      </c>
      <c r="E86" s="97" t="s">
        <v>1785</v>
      </c>
      <c r="F86" s="325"/>
      <c r="G86" s="97" t="s">
        <v>1713</v>
      </c>
      <c r="H86" s="48" t="s">
        <v>647</v>
      </c>
      <c r="I86" s="68">
        <v>65000</v>
      </c>
      <c r="J86" s="68">
        <v>30</v>
      </c>
      <c r="K86" s="68">
        <v>0</v>
      </c>
      <c r="L86" s="48" t="s">
        <v>1713</v>
      </c>
      <c r="M86" s="48" t="s">
        <v>1713</v>
      </c>
      <c r="N86" s="48" t="s">
        <v>1713</v>
      </c>
      <c r="O86" s="23">
        <v>500</v>
      </c>
    </row>
    <row r="87" spans="1:15" x14ac:dyDescent="0.25">
      <c r="A87" s="23">
        <v>85</v>
      </c>
      <c r="B87" s="367">
        <v>1920875.9</v>
      </c>
      <c r="C87" s="48" t="s">
        <v>1713</v>
      </c>
      <c r="D87" s="97" t="s">
        <v>1713</v>
      </c>
      <c r="E87" s="97" t="s">
        <v>1786</v>
      </c>
      <c r="F87" s="325"/>
      <c r="G87" s="97" t="s">
        <v>1787</v>
      </c>
      <c r="H87" s="48" t="s">
        <v>647</v>
      </c>
      <c r="I87" s="68">
        <v>70000</v>
      </c>
      <c r="J87" s="68">
        <v>30</v>
      </c>
      <c r="K87" s="68">
        <v>0</v>
      </c>
      <c r="L87" s="48" t="s">
        <v>1713</v>
      </c>
      <c r="M87" s="48" t="s">
        <v>1713</v>
      </c>
      <c r="N87" s="48" t="s">
        <v>1713</v>
      </c>
      <c r="O87" s="23">
        <v>500</v>
      </c>
    </row>
    <row r="88" spans="1:15" x14ac:dyDescent="0.25">
      <c r="A88" s="23">
        <v>86</v>
      </c>
      <c r="B88" s="367">
        <v>1971335.3</v>
      </c>
      <c r="C88" s="48" t="s">
        <v>1713</v>
      </c>
      <c r="D88" s="97" t="s">
        <v>1713</v>
      </c>
      <c r="E88" s="97"/>
      <c r="F88" s="325"/>
      <c r="G88" s="97" t="s">
        <v>1713</v>
      </c>
      <c r="H88" s="48" t="s">
        <v>647</v>
      </c>
      <c r="I88" s="68">
        <v>70000</v>
      </c>
      <c r="J88" s="68">
        <v>30</v>
      </c>
      <c r="K88" s="68">
        <v>0</v>
      </c>
      <c r="L88" s="48" t="s">
        <v>1713</v>
      </c>
      <c r="M88" s="48" t="s">
        <v>1713</v>
      </c>
      <c r="N88" s="48" t="s">
        <v>1713</v>
      </c>
      <c r="O88" s="23">
        <v>500</v>
      </c>
    </row>
    <row r="89" spans="1:15" x14ac:dyDescent="0.25">
      <c r="A89" s="23">
        <v>87</v>
      </c>
      <c r="B89" s="367">
        <v>2013522.5</v>
      </c>
      <c r="C89" s="48" t="s">
        <v>1713</v>
      </c>
      <c r="D89" s="97" t="s">
        <v>1713</v>
      </c>
      <c r="E89" s="97" t="s">
        <v>1788</v>
      </c>
      <c r="F89" s="325"/>
      <c r="G89" s="97" t="s">
        <v>1713</v>
      </c>
      <c r="H89" s="48" t="s">
        <v>647</v>
      </c>
      <c r="I89" s="68">
        <v>75000</v>
      </c>
      <c r="J89" s="68">
        <v>30</v>
      </c>
      <c r="K89" s="68">
        <v>0</v>
      </c>
      <c r="L89" s="48" t="s">
        <v>1713</v>
      </c>
      <c r="M89" s="48" t="s">
        <v>1713</v>
      </c>
      <c r="N89" s="48" t="s">
        <v>1713</v>
      </c>
      <c r="O89" s="23">
        <v>500</v>
      </c>
    </row>
    <row r="90" spans="1:15" x14ac:dyDescent="0.25">
      <c r="A90" s="23">
        <v>88</v>
      </c>
      <c r="B90" s="367">
        <v>2065330</v>
      </c>
      <c r="C90" s="48" t="s">
        <v>1713</v>
      </c>
      <c r="D90" s="97" t="s">
        <v>1713</v>
      </c>
      <c r="E90" s="97" t="s">
        <v>1789</v>
      </c>
      <c r="F90" s="325"/>
      <c r="G90" s="97" t="s">
        <v>1713</v>
      </c>
      <c r="H90" s="48" t="s">
        <v>647</v>
      </c>
      <c r="I90" s="68">
        <v>75000</v>
      </c>
      <c r="J90" s="68">
        <v>30</v>
      </c>
      <c r="K90" s="68">
        <v>0</v>
      </c>
      <c r="L90" s="48" t="s">
        <v>1713</v>
      </c>
      <c r="M90" s="48" t="s">
        <v>1713</v>
      </c>
      <c r="N90" s="48" t="s">
        <v>1713</v>
      </c>
      <c r="O90" s="23">
        <v>500</v>
      </c>
    </row>
    <row r="91" spans="1:15" x14ac:dyDescent="0.25">
      <c r="A91" s="23">
        <v>89</v>
      </c>
      <c r="B91" s="367">
        <v>2108797.2999999998</v>
      </c>
      <c r="C91" s="48" t="s">
        <v>1713</v>
      </c>
      <c r="D91" s="97" t="s">
        <v>1713</v>
      </c>
      <c r="E91" s="97" t="s">
        <v>1790</v>
      </c>
      <c r="F91" s="325"/>
      <c r="G91" s="97" t="s">
        <v>1713</v>
      </c>
      <c r="H91" s="48" t="s">
        <v>647</v>
      </c>
      <c r="I91" s="68">
        <v>75000</v>
      </c>
      <c r="J91" s="68">
        <v>30</v>
      </c>
      <c r="K91" s="68">
        <v>0</v>
      </c>
      <c r="L91" s="48" t="s">
        <v>1713</v>
      </c>
      <c r="M91" s="48" t="s">
        <v>1713</v>
      </c>
      <c r="N91" s="48" t="s">
        <v>1713</v>
      </c>
      <c r="O91" s="23">
        <v>500</v>
      </c>
    </row>
    <row r="92" spans="1:15" x14ac:dyDescent="0.25">
      <c r="A92" s="23">
        <v>90</v>
      </c>
      <c r="B92" s="367">
        <v>2166590.5</v>
      </c>
      <c r="C92" s="48" t="s">
        <v>1713</v>
      </c>
      <c r="D92" s="97" t="s">
        <v>1713</v>
      </c>
      <c r="E92" s="97" t="s">
        <v>2627</v>
      </c>
      <c r="F92" s="325"/>
      <c r="G92" s="97" t="s">
        <v>1713</v>
      </c>
      <c r="H92" s="48" t="s">
        <v>647</v>
      </c>
      <c r="I92" s="68">
        <v>80000</v>
      </c>
      <c r="J92" s="68">
        <v>30</v>
      </c>
      <c r="K92" s="68">
        <v>0</v>
      </c>
      <c r="L92" s="374" t="s">
        <v>2628</v>
      </c>
      <c r="M92" s="374" t="s">
        <v>2628</v>
      </c>
      <c r="N92" s="48" t="s">
        <v>1713</v>
      </c>
      <c r="O92" s="23">
        <v>500</v>
      </c>
    </row>
    <row r="93" spans="1:15" x14ac:dyDescent="0.25">
      <c r="A93" s="23">
        <v>91</v>
      </c>
      <c r="B93" s="367">
        <v>2216125.1</v>
      </c>
      <c r="C93" s="48" t="s">
        <v>1713</v>
      </c>
      <c r="D93" s="97" t="s">
        <v>1713</v>
      </c>
      <c r="E93" s="97" t="s">
        <v>1792</v>
      </c>
      <c r="F93" s="325"/>
      <c r="G93" s="97" t="s">
        <v>1713</v>
      </c>
      <c r="H93" s="48" t="s">
        <v>647</v>
      </c>
      <c r="I93" s="68">
        <v>80000</v>
      </c>
      <c r="J93" s="68">
        <v>30</v>
      </c>
      <c r="K93" s="68">
        <v>0</v>
      </c>
      <c r="L93" s="48" t="s">
        <v>1713</v>
      </c>
      <c r="M93" s="48" t="s">
        <v>1713</v>
      </c>
      <c r="N93" s="48" t="s">
        <v>1713</v>
      </c>
      <c r="O93" s="23">
        <v>500</v>
      </c>
    </row>
    <row r="94" spans="1:15" x14ac:dyDescent="0.25">
      <c r="A94" s="23">
        <v>92</v>
      </c>
      <c r="B94" s="367">
        <v>2275664.1999999997</v>
      </c>
      <c r="C94" s="48" t="s">
        <v>1713</v>
      </c>
      <c r="D94" s="97" t="s">
        <v>1713</v>
      </c>
      <c r="E94" s="97"/>
      <c r="F94" s="325">
        <v>10</v>
      </c>
      <c r="G94" s="97" t="s">
        <v>1713</v>
      </c>
      <c r="H94" s="48" t="s">
        <v>647</v>
      </c>
      <c r="I94" s="68">
        <v>85000</v>
      </c>
      <c r="J94" s="68">
        <v>30</v>
      </c>
      <c r="K94" s="68">
        <v>0</v>
      </c>
      <c r="L94" s="48" t="s">
        <v>1713</v>
      </c>
      <c r="M94" s="48" t="s">
        <v>1713</v>
      </c>
      <c r="N94" s="48" t="s">
        <v>1713</v>
      </c>
      <c r="O94" s="23">
        <v>500</v>
      </c>
    </row>
    <row r="95" spans="1:15" x14ac:dyDescent="0.25">
      <c r="A95" s="23">
        <v>93</v>
      </c>
      <c r="B95" s="367">
        <v>2317135.6999999997</v>
      </c>
      <c r="C95" s="48" t="s">
        <v>1713</v>
      </c>
      <c r="D95" s="97" t="s">
        <v>1713</v>
      </c>
      <c r="E95" s="97"/>
      <c r="F95" s="325"/>
      <c r="G95" s="97" t="s">
        <v>1713</v>
      </c>
      <c r="H95" s="48" t="s">
        <v>647</v>
      </c>
      <c r="I95" s="68">
        <v>85000</v>
      </c>
      <c r="J95" s="68">
        <v>30</v>
      </c>
      <c r="K95" s="68">
        <v>0</v>
      </c>
      <c r="L95" s="48" t="s">
        <v>1713</v>
      </c>
      <c r="M95" s="48" t="s">
        <v>1713</v>
      </c>
      <c r="N95" s="48" t="s">
        <v>1713</v>
      </c>
      <c r="O95" s="23">
        <v>500</v>
      </c>
    </row>
    <row r="96" spans="1:15" x14ac:dyDescent="0.25">
      <c r="A96" s="23">
        <v>94</v>
      </c>
      <c r="B96" s="367">
        <v>2368355</v>
      </c>
      <c r="C96" s="48" t="s">
        <v>1713</v>
      </c>
      <c r="D96" s="97" t="s">
        <v>1713</v>
      </c>
      <c r="E96" s="97" t="s">
        <v>1793</v>
      </c>
      <c r="F96" s="325"/>
      <c r="G96" s="97" t="s">
        <v>1713</v>
      </c>
      <c r="H96" s="48" t="s">
        <v>647</v>
      </c>
      <c r="I96" s="68">
        <v>85000</v>
      </c>
      <c r="J96" s="68">
        <v>30</v>
      </c>
      <c r="K96" s="68">
        <v>0</v>
      </c>
      <c r="L96" s="48" t="s">
        <v>1713</v>
      </c>
      <c r="M96" s="48" t="s">
        <v>1713</v>
      </c>
      <c r="N96" s="48" t="s">
        <v>1713</v>
      </c>
      <c r="O96" s="23">
        <v>500</v>
      </c>
    </row>
    <row r="97" spans="1:15" x14ac:dyDescent="0.25">
      <c r="A97" s="23">
        <v>95</v>
      </c>
      <c r="B97" s="367">
        <v>2410861.7999999998</v>
      </c>
      <c r="C97" s="48" t="s">
        <v>897</v>
      </c>
      <c r="D97" s="97" t="s">
        <v>1713</v>
      </c>
      <c r="E97" s="97"/>
      <c r="F97" s="325"/>
      <c r="G97" s="97" t="s">
        <v>1713</v>
      </c>
      <c r="H97" s="48" t="s">
        <v>647</v>
      </c>
      <c r="I97" s="68">
        <v>90000</v>
      </c>
      <c r="J97" s="68">
        <v>30</v>
      </c>
      <c r="K97" s="68">
        <v>0</v>
      </c>
      <c r="L97" s="48" t="s">
        <v>1713</v>
      </c>
      <c r="M97" s="48" t="s">
        <v>1713</v>
      </c>
      <c r="N97" s="48" t="s">
        <v>1713</v>
      </c>
      <c r="O97" s="23">
        <v>500</v>
      </c>
    </row>
    <row r="98" spans="1:15" x14ac:dyDescent="0.25">
      <c r="A98" s="23">
        <v>96</v>
      </c>
      <c r="B98" s="367">
        <v>2463160.6</v>
      </c>
      <c r="C98" s="48" t="s">
        <v>1713</v>
      </c>
      <c r="D98" s="97" t="s">
        <v>1713</v>
      </c>
      <c r="E98" s="97" t="s">
        <v>2629</v>
      </c>
      <c r="F98" s="325"/>
      <c r="G98" s="97" t="s">
        <v>1713</v>
      </c>
      <c r="H98" s="48" t="s">
        <v>647</v>
      </c>
      <c r="I98" s="68">
        <v>90000</v>
      </c>
      <c r="J98" s="68">
        <v>30</v>
      </c>
      <c r="K98" s="68">
        <v>0</v>
      </c>
      <c r="L98" s="48" t="s">
        <v>1713</v>
      </c>
      <c r="M98" s="48" t="s">
        <v>1713</v>
      </c>
      <c r="N98" s="48" t="s">
        <v>1713</v>
      </c>
      <c r="O98" s="23">
        <v>500</v>
      </c>
    </row>
    <row r="99" spans="1:15" x14ac:dyDescent="0.25">
      <c r="A99" s="23">
        <v>97</v>
      </c>
      <c r="B99" s="367">
        <v>2506711.1999999997</v>
      </c>
      <c r="C99" s="48" t="s">
        <v>1713</v>
      </c>
      <c r="D99" s="97" t="s">
        <v>1713</v>
      </c>
      <c r="E99" s="97" t="s">
        <v>1794</v>
      </c>
      <c r="F99" s="325"/>
      <c r="G99" s="97" t="s">
        <v>1713</v>
      </c>
      <c r="H99" s="48" t="s">
        <v>647</v>
      </c>
      <c r="I99" s="68">
        <v>95000</v>
      </c>
      <c r="J99" s="68">
        <v>30</v>
      </c>
      <c r="K99" s="68">
        <v>0</v>
      </c>
      <c r="L99" s="48" t="s">
        <v>1713</v>
      </c>
      <c r="M99" s="48" t="s">
        <v>1713</v>
      </c>
      <c r="N99" s="48" t="s">
        <v>1713</v>
      </c>
      <c r="O99" s="23">
        <v>500</v>
      </c>
    </row>
    <row r="100" spans="1:15" x14ac:dyDescent="0.25">
      <c r="A100" s="23">
        <v>98</v>
      </c>
      <c r="B100" s="367">
        <v>2560096.2999999998</v>
      </c>
      <c r="C100" s="48" t="s">
        <v>1713</v>
      </c>
      <c r="D100" s="97" t="s">
        <v>1713</v>
      </c>
      <c r="E100" s="97" t="s">
        <v>1795</v>
      </c>
      <c r="F100" s="325"/>
      <c r="G100" s="97" t="s">
        <v>1713</v>
      </c>
      <c r="H100" s="48" t="s">
        <v>647</v>
      </c>
      <c r="I100" s="68">
        <v>95000</v>
      </c>
      <c r="J100" s="68">
        <v>30</v>
      </c>
      <c r="K100" s="68">
        <v>0</v>
      </c>
      <c r="L100" s="48" t="s">
        <v>1713</v>
      </c>
      <c r="M100" s="48" t="s">
        <v>1713</v>
      </c>
      <c r="N100" s="48" t="s">
        <v>1713</v>
      </c>
      <c r="O100" s="23">
        <v>500</v>
      </c>
    </row>
    <row r="101" spans="1:15" x14ac:dyDescent="0.25">
      <c r="A101" s="23">
        <v>99</v>
      </c>
      <c r="B101" s="367">
        <v>2609617.2999999998</v>
      </c>
      <c r="C101" s="48" t="s">
        <v>1713</v>
      </c>
      <c r="D101" s="97" t="s">
        <v>1713</v>
      </c>
      <c r="E101" s="97"/>
      <c r="F101" s="325"/>
      <c r="G101" s="97" t="s">
        <v>1713</v>
      </c>
      <c r="H101" s="48" t="s">
        <v>647</v>
      </c>
      <c r="I101" s="68">
        <v>95000</v>
      </c>
      <c r="J101" s="68">
        <v>30</v>
      </c>
      <c r="K101" s="68">
        <v>0</v>
      </c>
      <c r="L101" s="48" t="s">
        <v>1713</v>
      </c>
      <c r="M101" s="48" t="s">
        <v>1713</v>
      </c>
      <c r="N101" s="48" t="s">
        <v>1713</v>
      </c>
      <c r="O101" s="23">
        <v>500</v>
      </c>
    </row>
    <row r="102" spans="1:15" x14ac:dyDescent="0.25">
      <c r="A102" s="23">
        <v>100</v>
      </c>
      <c r="B102" s="367">
        <v>2664107.4</v>
      </c>
      <c r="C102" s="48" t="s">
        <v>1713</v>
      </c>
      <c r="D102" s="97" t="s">
        <v>1713</v>
      </c>
      <c r="E102" s="97" t="s">
        <v>1796</v>
      </c>
      <c r="F102" s="325"/>
      <c r="G102" s="97" t="s">
        <v>1713</v>
      </c>
      <c r="H102" s="48" t="s">
        <v>647</v>
      </c>
      <c r="I102" s="68">
        <v>100000</v>
      </c>
      <c r="J102" s="68">
        <v>50</v>
      </c>
      <c r="K102" s="68">
        <v>0</v>
      </c>
      <c r="L102" s="374" t="s">
        <v>2630</v>
      </c>
      <c r="M102" s="374" t="s">
        <v>2630</v>
      </c>
      <c r="N102" s="48" t="s">
        <v>1713</v>
      </c>
      <c r="O102" s="23">
        <v>500</v>
      </c>
    </row>
    <row r="103" spans="1:15" x14ac:dyDescent="0.25">
      <c r="A103" s="23">
        <v>101</v>
      </c>
      <c r="B103" s="367">
        <v>2795247</v>
      </c>
      <c r="C103" s="48" t="s">
        <v>1713</v>
      </c>
      <c r="D103" s="97" t="s">
        <v>1713</v>
      </c>
      <c r="E103" s="97" t="s">
        <v>1797</v>
      </c>
      <c r="F103" s="325"/>
      <c r="G103" s="97" t="s">
        <v>1798</v>
      </c>
      <c r="H103" s="48" t="s">
        <v>647</v>
      </c>
      <c r="I103" s="68">
        <v>100000</v>
      </c>
      <c r="J103" s="68">
        <v>50</v>
      </c>
      <c r="K103" s="68">
        <v>0</v>
      </c>
      <c r="L103" s="48" t="s">
        <v>1713</v>
      </c>
      <c r="M103" s="48" t="s">
        <v>1713</v>
      </c>
      <c r="N103" s="48" t="s">
        <v>1713</v>
      </c>
      <c r="O103" s="23">
        <v>1000</v>
      </c>
    </row>
    <row r="104" spans="1:15" x14ac:dyDescent="0.25">
      <c r="A104" s="23">
        <v>102</v>
      </c>
      <c r="B104" s="367">
        <v>2858455.25</v>
      </c>
      <c r="C104" s="48" t="s">
        <v>1713</v>
      </c>
      <c r="D104" s="97" t="s">
        <v>1713</v>
      </c>
      <c r="E104" s="97" t="s">
        <v>1799</v>
      </c>
      <c r="F104" s="325"/>
      <c r="G104" s="97" t="s">
        <v>1713</v>
      </c>
      <c r="H104" s="48" t="s">
        <v>647</v>
      </c>
      <c r="I104" s="68">
        <v>100000</v>
      </c>
      <c r="J104" s="68">
        <v>50</v>
      </c>
      <c r="K104" s="68">
        <v>0</v>
      </c>
      <c r="L104" s="48" t="s">
        <v>1713</v>
      </c>
      <c r="M104" s="48" t="s">
        <v>1713</v>
      </c>
      <c r="N104" s="48" t="s">
        <v>1713</v>
      </c>
      <c r="O104" s="23">
        <v>1000</v>
      </c>
    </row>
    <row r="105" spans="1:15" x14ac:dyDescent="0.25">
      <c r="A105" s="23">
        <v>103</v>
      </c>
      <c r="B105" s="367">
        <v>2912931</v>
      </c>
      <c r="C105" s="48" t="s">
        <v>1713</v>
      </c>
      <c r="D105" s="97" t="s">
        <v>1713</v>
      </c>
      <c r="E105" s="97" t="s">
        <v>1800</v>
      </c>
      <c r="F105" s="325"/>
      <c r="G105" s="97" t="s">
        <v>1713</v>
      </c>
      <c r="H105" s="48" t="s">
        <v>647</v>
      </c>
      <c r="I105" s="68">
        <v>100000</v>
      </c>
      <c r="J105" s="68">
        <v>50</v>
      </c>
      <c r="K105" s="68">
        <v>0</v>
      </c>
      <c r="L105" s="48" t="s">
        <v>1713</v>
      </c>
      <c r="M105" s="48" t="s">
        <v>1713</v>
      </c>
      <c r="N105" s="48" t="s">
        <v>1713</v>
      </c>
      <c r="O105" s="23">
        <v>1000</v>
      </c>
    </row>
    <row r="106" spans="1:15" x14ac:dyDescent="0.25">
      <c r="A106" s="23">
        <v>104</v>
      </c>
      <c r="B106" s="367">
        <v>2977920.75</v>
      </c>
      <c r="C106" s="48" t="s">
        <v>1713</v>
      </c>
      <c r="D106" s="97" t="s">
        <v>1713</v>
      </c>
      <c r="E106" s="97" t="s">
        <v>1801</v>
      </c>
      <c r="F106" s="325">
        <v>0</v>
      </c>
      <c r="G106" s="97" t="s">
        <v>1713</v>
      </c>
      <c r="H106" s="48" t="s">
        <v>647</v>
      </c>
      <c r="I106" s="68">
        <v>100000</v>
      </c>
      <c r="J106" s="68">
        <v>50</v>
      </c>
      <c r="K106" s="68">
        <v>0</v>
      </c>
      <c r="L106" s="48" t="s">
        <v>1713</v>
      </c>
      <c r="M106" s="48" t="s">
        <v>1713</v>
      </c>
      <c r="N106" s="48" t="s">
        <v>1713</v>
      </c>
      <c r="O106" s="23">
        <v>1000</v>
      </c>
    </row>
    <row r="107" spans="1:15" x14ac:dyDescent="0.25">
      <c r="A107" s="23">
        <v>105</v>
      </c>
      <c r="B107" s="367">
        <v>3034109.75</v>
      </c>
      <c r="C107" s="48" t="s">
        <v>1713</v>
      </c>
      <c r="D107" s="97" t="s">
        <v>1713</v>
      </c>
      <c r="E107" s="97" t="s">
        <v>1802</v>
      </c>
      <c r="F107" s="325"/>
      <c r="G107" s="97" t="s">
        <v>1713</v>
      </c>
      <c r="H107" s="48" t="s">
        <v>647</v>
      </c>
      <c r="I107" s="68">
        <v>120000</v>
      </c>
      <c r="J107" s="68">
        <v>50</v>
      </c>
      <c r="K107" s="68">
        <v>0</v>
      </c>
      <c r="L107" s="48" t="s">
        <v>1713</v>
      </c>
      <c r="M107" s="48" t="s">
        <v>1713</v>
      </c>
      <c r="N107" s="48" t="s">
        <v>1713</v>
      </c>
      <c r="O107" s="23">
        <v>1000</v>
      </c>
    </row>
    <row r="108" spans="1:15" x14ac:dyDescent="0.25">
      <c r="A108" s="23">
        <v>106</v>
      </c>
      <c r="B108" s="367">
        <v>3132228.75</v>
      </c>
      <c r="C108" s="48" t="s">
        <v>1803</v>
      </c>
      <c r="D108" s="97" t="s">
        <v>1713</v>
      </c>
      <c r="E108" s="97" t="s">
        <v>1804</v>
      </c>
      <c r="F108" s="325"/>
      <c r="G108" s="97" t="s">
        <v>1713</v>
      </c>
      <c r="H108" s="48" t="s">
        <v>647</v>
      </c>
      <c r="I108" s="68">
        <v>120000</v>
      </c>
      <c r="J108" s="68">
        <v>50</v>
      </c>
      <c r="K108" s="68">
        <v>0</v>
      </c>
      <c r="L108" s="48" t="s">
        <v>1713</v>
      </c>
      <c r="M108" s="48" t="s">
        <v>1713</v>
      </c>
      <c r="N108" s="48" t="s">
        <v>1713</v>
      </c>
      <c r="O108" s="23">
        <v>1000</v>
      </c>
    </row>
    <row r="109" spans="1:15" x14ac:dyDescent="0.25">
      <c r="A109" s="23">
        <v>107</v>
      </c>
      <c r="B109" s="367">
        <v>3177903.75</v>
      </c>
      <c r="C109" s="48" t="s">
        <v>1713</v>
      </c>
      <c r="D109" s="97" t="s">
        <v>1713</v>
      </c>
      <c r="E109" s="97" t="s">
        <v>1805</v>
      </c>
      <c r="F109" s="325"/>
      <c r="G109" s="97" t="s">
        <v>1713</v>
      </c>
      <c r="H109" s="48" t="s">
        <v>647</v>
      </c>
      <c r="I109" s="68">
        <v>120000</v>
      </c>
      <c r="J109" s="68">
        <v>50</v>
      </c>
      <c r="K109" s="68">
        <v>0</v>
      </c>
      <c r="L109" s="48" t="s">
        <v>1713</v>
      </c>
      <c r="M109" s="48" t="s">
        <v>1713</v>
      </c>
      <c r="N109" s="48" t="s">
        <v>1713</v>
      </c>
      <c r="O109" s="23">
        <v>1000</v>
      </c>
    </row>
    <row r="110" spans="1:15" x14ac:dyDescent="0.25">
      <c r="A110" s="23">
        <v>108</v>
      </c>
      <c r="B110" s="367">
        <v>3233930</v>
      </c>
      <c r="C110" s="48" t="s">
        <v>1713</v>
      </c>
      <c r="D110" s="97" t="s">
        <v>1713</v>
      </c>
      <c r="E110" s="97"/>
      <c r="F110" s="325"/>
      <c r="G110" s="97" t="s">
        <v>1713</v>
      </c>
      <c r="H110" s="48" t="s">
        <v>647</v>
      </c>
      <c r="I110" s="68">
        <v>120000</v>
      </c>
      <c r="J110" s="68">
        <v>50</v>
      </c>
      <c r="K110" s="68">
        <v>0</v>
      </c>
      <c r="L110" s="48" t="s">
        <v>1713</v>
      </c>
      <c r="M110" s="48" t="s">
        <v>1713</v>
      </c>
      <c r="N110" s="48" t="s">
        <v>1713</v>
      </c>
      <c r="O110" s="23">
        <v>1000</v>
      </c>
    </row>
    <row r="111" spans="1:15" x14ac:dyDescent="0.25">
      <c r="A111" s="23">
        <v>109</v>
      </c>
      <c r="B111" s="367">
        <v>3280593.75</v>
      </c>
      <c r="C111" s="48" t="s">
        <v>1713</v>
      </c>
      <c r="D111" s="97" t="s">
        <v>1713</v>
      </c>
      <c r="E111" s="97" t="s">
        <v>1806</v>
      </c>
      <c r="F111" s="325"/>
      <c r="G111" s="97" t="s">
        <v>1713</v>
      </c>
      <c r="H111" s="48" t="s">
        <v>647</v>
      </c>
      <c r="I111" s="68">
        <v>120000</v>
      </c>
      <c r="J111" s="68">
        <v>50</v>
      </c>
      <c r="K111" s="68">
        <v>0</v>
      </c>
      <c r="L111" s="48" t="s">
        <v>1713</v>
      </c>
      <c r="M111" s="48" t="s">
        <v>1713</v>
      </c>
      <c r="N111" s="48" t="s">
        <v>1713</v>
      </c>
      <c r="O111" s="23">
        <v>1000</v>
      </c>
    </row>
    <row r="112" spans="1:15" x14ac:dyDescent="0.25">
      <c r="A112" s="23">
        <v>110</v>
      </c>
      <c r="B112" s="367">
        <v>3342858.75</v>
      </c>
      <c r="C112" s="48" t="s">
        <v>1713</v>
      </c>
      <c r="D112" s="97" t="s">
        <v>1713</v>
      </c>
      <c r="E112" s="97"/>
      <c r="F112" s="325"/>
      <c r="G112" s="97" t="s">
        <v>1713</v>
      </c>
      <c r="H112" s="48" t="s">
        <v>647</v>
      </c>
      <c r="I112" s="68">
        <v>150000</v>
      </c>
      <c r="J112" s="68">
        <v>50</v>
      </c>
      <c r="K112" s="68">
        <v>0</v>
      </c>
      <c r="L112" s="48" t="s">
        <v>1713</v>
      </c>
      <c r="M112" s="48" t="s">
        <v>1713</v>
      </c>
      <c r="N112" s="48" t="s">
        <v>1713</v>
      </c>
      <c r="O112" s="23">
        <v>1000</v>
      </c>
    </row>
    <row r="113" spans="1:15" x14ac:dyDescent="0.25">
      <c r="A113" s="23">
        <v>111</v>
      </c>
      <c r="B113" s="367">
        <v>3390511.25</v>
      </c>
      <c r="C113" s="48" t="s">
        <v>1713</v>
      </c>
      <c r="D113" s="97" t="s">
        <v>1713</v>
      </c>
      <c r="E113" s="97" t="s">
        <v>1807</v>
      </c>
      <c r="F113" s="325"/>
      <c r="G113" s="97" t="s">
        <v>1713</v>
      </c>
      <c r="H113" s="48" t="s">
        <v>647</v>
      </c>
      <c r="I113" s="68">
        <v>150000</v>
      </c>
      <c r="J113" s="68">
        <v>50</v>
      </c>
      <c r="K113" s="68">
        <v>0</v>
      </c>
      <c r="L113" s="48" t="s">
        <v>1713</v>
      </c>
      <c r="M113" s="48" t="s">
        <v>1713</v>
      </c>
      <c r="N113" s="48" t="s">
        <v>1713</v>
      </c>
      <c r="O113" s="23">
        <v>1000</v>
      </c>
    </row>
    <row r="114" spans="1:15" x14ac:dyDescent="0.25">
      <c r="A114" s="23">
        <v>112</v>
      </c>
      <c r="B114" s="367">
        <v>3448515</v>
      </c>
      <c r="C114" s="48" t="s">
        <v>1713</v>
      </c>
      <c r="D114" s="97" t="s">
        <v>1713</v>
      </c>
      <c r="E114" s="97"/>
      <c r="F114" s="325"/>
      <c r="G114" s="97" t="s">
        <v>1713</v>
      </c>
      <c r="H114" s="48" t="s">
        <v>647</v>
      </c>
      <c r="I114" s="68">
        <v>150000</v>
      </c>
      <c r="J114" s="68">
        <v>50</v>
      </c>
      <c r="K114" s="68">
        <v>0</v>
      </c>
      <c r="L114" s="48" t="s">
        <v>1713</v>
      </c>
      <c r="M114" s="48" t="s">
        <v>1713</v>
      </c>
      <c r="N114" s="48" t="s">
        <v>1713</v>
      </c>
      <c r="O114" s="23">
        <v>1000</v>
      </c>
    </row>
    <row r="115" spans="1:15" x14ac:dyDescent="0.25">
      <c r="A115" s="23">
        <v>113</v>
      </c>
      <c r="B115" s="367">
        <v>3497156.25</v>
      </c>
      <c r="C115" s="48" t="s">
        <v>1713</v>
      </c>
      <c r="D115" s="97" t="s">
        <v>1713</v>
      </c>
      <c r="E115" s="97" t="s">
        <v>1808</v>
      </c>
      <c r="F115" s="325"/>
      <c r="G115" s="97" t="s">
        <v>1713</v>
      </c>
      <c r="H115" s="48" t="s">
        <v>647</v>
      </c>
      <c r="I115" s="68">
        <v>150000</v>
      </c>
      <c r="J115" s="68">
        <v>50</v>
      </c>
      <c r="K115" s="68">
        <v>0</v>
      </c>
      <c r="L115" s="48" t="s">
        <v>1713</v>
      </c>
      <c r="M115" s="48" t="s">
        <v>1713</v>
      </c>
      <c r="N115" s="48" t="s">
        <v>1713</v>
      </c>
      <c r="O115" s="23">
        <v>1000</v>
      </c>
    </row>
    <row r="116" spans="1:15" x14ac:dyDescent="0.25">
      <c r="A116" s="23">
        <v>114</v>
      </c>
      <c r="B116" s="367">
        <v>3556148.75</v>
      </c>
      <c r="C116" s="48" t="s">
        <v>1713</v>
      </c>
      <c r="D116" s="97" t="s">
        <v>1713</v>
      </c>
      <c r="E116" s="97" t="s">
        <v>1809</v>
      </c>
      <c r="F116" s="325"/>
      <c r="G116" s="97" t="s">
        <v>1713</v>
      </c>
      <c r="H116" s="48" t="s">
        <v>647</v>
      </c>
      <c r="I116" s="68">
        <v>150000</v>
      </c>
      <c r="J116" s="68">
        <v>50</v>
      </c>
      <c r="K116" s="68">
        <v>0</v>
      </c>
      <c r="L116" s="48" t="s">
        <v>1713</v>
      </c>
      <c r="M116" s="48" t="s">
        <v>1713</v>
      </c>
      <c r="N116" s="48" t="s">
        <v>1713</v>
      </c>
      <c r="O116" s="23">
        <v>1000</v>
      </c>
    </row>
    <row r="117" spans="1:15" x14ac:dyDescent="0.25">
      <c r="A117" s="23">
        <v>115</v>
      </c>
      <c r="B117" s="367">
        <v>3605778.75</v>
      </c>
      <c r="C117" s="48" t="s">
        <v>1713</v>
      </c>
      <c r="D117" s="97" t="s">
        <v>1713</v>
      </c>
      <c r="E117" s="97" t="s">
        <v>1810</v>
      </c>
      <c r="F117" s="325"/>
      <c r="G117" s="97" t="s">
        <v>1713</v>
      </c>
      <c r="H117" s="48" t="s">
        <v>647</v>
      </c>
      <c r="I117" s="68">
        <v>150000</v>
      </c>
      <c r="J117" s="68">
        <v>50</v>
      </c>
      <c r="K117" s="68">
        <v>0</v>
      </c>
      <c r="L117" s="48" t="s">
        <v>1713</v>
      </c>
      <c r="M117" s="48" t="s">
        <v>1713</v>
      </c>
      <c r="N117" s="48" t="s">
        <v>1713</v>
      </c>
      <c r="O117" s="23">
        <v>1000</v>
      </c>
    </row>
    <row r="118" spans="1:15" x14ac:dyDescent="0.25">
      <c r="A118" s="23">
        <v>116</v>
      </c>
      <c r="B118" s="367">
        <v>3665760</v>
      </c>
      <c r="C118" s="48" t="s">
        <v>1713</v>
      </c>
      <c r="D118" s="97" t="s">
        <v>1713</v>
      </c>
      <c r="E118" s="97"/>
      <c r="F118" s="325"/>
      <c r="G118" s="97" t="s">
        <v>1713</v>
      </c>
      <c r="H118" s="48" t="s">
        <v>647</v>
      </c>
      <c r="I118" s="68">
        <v>150000</v>
      </c>
      <c r="J118" s="68">
        <v>50</v>
      </c>
      <c r="K118" s="68">
        <v>0</v>
      </c>
      <c r="L118" s="48" t="s">
        <v>1713</v>
      </c>
      <c r="M118" s="48" t="s">
        <v>1713</v>
      </c>
      <c r="N118" s="48" t="s">
        <v>1713</v>
      </c>
      <c r="O118" s="23">
        <v>1000</v>
      </c>
    </row>
    <row r="119" spans="1:15" x14ac:dyDescent="0.25">
      <c r="A119" s="23">
        <v>117</v>
      </c>
      <c r="B119" s="367">
        <v>3716798.75</v>
      </c>
      <c r="C119" s="48" t="s">
        <v>1713</v>
      </c>
      <c r="D119" s="97" t="s">
        <v>1713</v>
      </c>
      <c r="E119" s="97" t="s">
        <v>1811</v>
      </c>
      <c r="F119" s="325"/>
      <c r="G119" s="97" t="s">
        <v>1713</v>
      </c>
      <c r="H119" s="48" t="s">
        <v>647</v>
      </c>
      <c r="I119" s="68">
        <v>150000</v>
      </c>
      <c r="J119" s="68">
        <v>50</v>
      </c>
      <c r="K119" s="68">
        <v>0</v>
      </c>
      <c r="L119" s="48" t="s">
        <v>1713</v>
      </c>
      <c r="M119" s="48" t="s">
        <v>1713</v>
      </c>
      <c r="N119" s="48" t="s">
        <v>1713</v>
      </c>
      <c r="O119" s="23">
        <v>1000</v>
      </c>
    </row>
    <row r="120" spans="1:15" x14ac:dyDescent="0.25">
      <c r="A120" s="23">
        <v>118</v>
      </c>
      <c r="B120" s="367">
        <v>3778188.75</v>
      </c>
      <c r="C120" s="48" t="s">
        <v>1713</v>
      </c>
      <c r="D120" s="97" t="s">
        <v>1713</v>
      </c>
      <c r="E120" s="97"/>
      <c r="F120" s="325"/>
      <c r="G120" s="97" t="s">
        <v>1713</v>
      </c>
      <c r="H120" s="48" t="s">
        <v>647</v>
      </c>
      <c r="I120" s="68">
        <v>150000</v>
      </c>
      <c r="J120" s="68">
        <v>50</v>
      </c>
      <c r="K120" s="68">
        <v>0</v>
      </c>
      <c r="L120" s="48" t="s">
        <v>1713</v>
      </c>
      <c r="M120" s="48" t="s">
        <v>1713</v>
      </c>
      <c r="N120" s="48" t="s">
        <v>1713</v>
      </c>
      <c r="O120" s="23">
        <v>1000</v>
      </c>
    </row>
    <row r="121" spans="1:15" x14ac:dyDescent="0.25">
      <c r="A121" s="23">
        <v>119</v>
      </c>
      <c r="B121" s="367">
        <v>3830636.25</v>
      </c>
      <c r="C121" s="48" t="s">
        <v>1713</v>
      </c>
      <c r="D121" s="97" t="s">
        <v>1713</v>
      </c>
      <c r="E121" s="97"/>
      <c r="F121" s="325"/>
      <c r="G121" s="97" t="s">
        <v>1713</v>
      </c>
      <c r="H121" s="48" t="s">
        <v>647</v>
      </c>
      <c r="I121" s="68">
        <v>150000</v>
      </c>
      <c r="J121" s="68">
        <v>50</v>
      </c>
      <c r="K121" s="68">
        <v>0</v>
      </c>
      <c r="L121" s="48" t="s">
        <v>1713</v>
      </c>
      <c r="M121" s="48" t="s">
        <v>1713</v>
      </c>
      <c r="N121" s="48" t="s">
        <v>1713</v>
      </c>
      <c r="O121" s="23">
        <v>1000</v>
      </c>
    </row>
    <row r="122" spans="1:15" x14ac:dyDescent="0.25">
      <c r="A122" s="23">
        <v>120</v>
      </c>
      <c r="B122" s="367">
        <v>4004676</v>
      </c>
      <c r="C122" s="48" t="s">
        <v>1713</v>
      </c>
      <c r="D122" s="97" t="s">
        <v>1713</v>
      </c>
      <c r="E122" s="97" t="s">
        <v>1812</v>
      </c>
      <c r="F122" s="325"/>
      <c r="G122" s="97" t="s">
        <v>1713</v>
      </c>
      <c r="H122" s="48" t="s">
        <v>647</v>
      </c>
      <c r="I122" s="68">
        <v>150000</v>
      </c>
      <c r="J122" s="68">
        <v>50</v>
      </c>
      <c r="K122" s="68">
        <v>0</v>
      </c>
      <c r="L122" s="374" t="s">
        <v>2631</v>
      </c>
      <c r="M122" s="374" t="s">
        <v>2631</v>
      </c>
      <c r="N122" s="48" t="s">
        <v>1713</v>
      </c>
      <c r="O122" s="23">
        <v>1000</v>
      </c>
    </row>
    <row r="123" spans="1:15" x14ac:dyDescent="0.25">
      <c r="A123" s="23">
        <v>121</v>
      </c>
      <c r="B123" s="367">
        <v>4060071</v>
      </c>
      <c r="C123" s="48" t="s">
        <v>1713</v>
      </c>
      <c r="D123" s="97" t="s">
        <v>1713</v>
      </c>
      <c r="E123" s="97"/>
      <c r="F123" s="325"/>
      <c r="G123" s="97" t="s">
        <v>1713</v>
      </c>
      <c r="H123" s="48" t="s">
        <v>647</v>
      </c>
      <c r="I123" s="68">
        <v>150000</v>
      </c>
      <c r="J123" s="68">
        <v>50</v>
      </c>
      <c r="K123" s="68">
        <v>0</v>
      </c>
      <c r="L123" s="48" t="s">
        <v>1713</v>
      </c>
      <c r="M123" s="48" t="s">
        <v>1713</v>
      </c>
      <c r="N123" s="48" t="s">
        <v>1713</v>
      </c>
      <c r="O123" s="23">
        <v>1000</v>
      </c>
    </row>
    <row r="124" spans="1:15" x14ac:dyDescent="0.25">
      <c r="A124" s="23">
        <v>122</v>
      </c>
      <c r="B124" s="367">
        <v>4126113</v>
      </c>
      <c r="C124" s="48" t="s">
        <v>1713</v>
      </c>
      <c r="D124" s="97" t="s">
        <v>1713</v>
      </c>
      <c r="E124" s="97"/>
      <c r="F124" s="325"/>
      <c r="G124" s="97" t="s">
        <v>1713</v>
      </c>
      <c r="H124" s="48" t="s">
        <v>647</v>
      </c>
      <c r="I124" s="68">
        <v>150000</v>
      </c>
      <c r="J124" s="68">
        <v>50</v>
      </c>
      <c r="K124" s="68">
        <v>0</v>
      </c>
      <c r="L124" s="48" t="s">
        <v>1713</v>
      </c>
      <c r="M124" s="48" t="s">
        <v>1713</v>
      </c>
      <c r="N124" s="48" t="s">
        <v>1713</v>
      </c>
      <c r="O124" s="23">
        <v>1000</v>
      </c>
    </row>
    <row r="125" spans="1:15" x14ac:dyDescent="0.25">
      <c r="A125" s="23">
        <v>123</v>
      </c>
      <c r="B125" s="367">
        <v>4182957</v>
      </c>
      <c r="C125" s="48" t="s">
        <v>1713</v>
      </c>
      <c r="D125" s="97" t="s">
        <v>1713</v>
      </c>
      <c r="E125" s="97"/>
      <c r="F125" s="325"/>
      <c r="G125" s="97" t="s">
        <v>1713</v>
      </c>
      <c r="H125" s="48" t="s">
        <v>647</v>
      </c>
      <c r="I125" s="68">
        <v>150000</v>
      </c>
      <c r="J125" s="68">
        <v>50</v>
      </c>
      <c r="K125" s="68">
        <v>0</v>
      </c>
      <c r="L125" s="48" t="s">
        <v>1713</v>
      </c>
      <c r="M125" s="48" t="s">
        <v>1713</v>
      </c>
      <c r="N125" s="48" t="s">
        <v>1713</v>
      </c>
      <c r="O125" s="23">
        <v>1000</v>
      </c>
    </row>
    <row r="126" spans="1:15" x14ac:dyDescent="0.25">
      <c r="A126" s="23">
        <v>124</v>
      </c>
      <c r="B126" s="367">
        <v>4250448</v>
      </c>
      <c r="C126" s="48" t="s">
        <v>1713</v>
      </c>
      <c r="D126" s="97" t="s">
        <v>1713</v>
      </c>
      <c r="E126" s="97" t="s">
        <v>1813</v>
      </c>
      <c r="F126" s="325"/>
      <c r="G126" s="97" t="s">
        <v>1713</v>
      </c>
      <c r="H126" s="48" t="s">
        <v>647</v>
      </c>
      <c r="I126" s="68">
        <v>150000</v>
      </c>
      <c r="J126" s="68">
        <v>50</v>
      </c>
      <c r="K126" s="68">
        <v>0</v>
      </c>
      <c r="L126" s="48" t="s">
        <v>1713</v>
      </c>
      <c r="M126" s="48" t="s">
        <v>1713</v>
      </c>
      <c r="N126" s="48" t="s">
        <v>1713</v>
      </c>
      <c r="O126" s="23">
        <v>1000</v>
      </c>
    </row>
    <row r="127" spans="1:15" x14ac:dyDescent="0.25">
      <c r="A127" s="23">
        <v>125</v>
      </c>
      <c r="B127" s="367">
        <v>4308741</v>
      </c>
      <c r="C127" s="48" t="s">
        <v>1713</v>
      </c>
      <c r="D127" s="97" t="s">
        <v>1713</v>
      </c>
      <c r="E127" s="97"/>
      <c r="F127" s="325"/>
      <c r="G127" s="97" t="s">
        <v>1713</v>
      </c>
      <c r="H127" s="48" t="s">
        <v>647</v>
      </c>
      <c r="I127" s="68">
        <v>150000</v>
      </c>
      <c r="J127" s="68">
        <v>50</v>
      </c>
      <c r="K127" s="68">
        <v>0</v>
      </c>
      <c r="L127" s="48" t="s">
        <v>1713</v>
      </c>
      <c r="M127" s="48" t="s">
        <v>1713</v>
      </c>
      <c r="N127" s="48" t="s">
        <v>1713</v>
      </c>
      <c r="O127" s="23">
        <v>1000</v>
      </c>
    </row>
    <row r="128" spans="1:15" x14ac:dyDescent="0.25">
      <c r="A128" s="23">
        <v>126</v>
      </c>
      <c r="B128" s="367">
        <v>4377681</v>
      </c>
      <c r="C128" s="48" t="s">
        <v>1713</v>
      </c>
      <c r="D128" s="97" t="s">
        <v>1713</v>
      </c>
      <c r="E128" s="97" t="s">
        <v>1814</v>
      </c>
      <c r="F128" s="325"/>
      <c r="G128" s="97" t="s">
        <v>1713</v>
      </c>
      <c r="H128" s="48" t="s">
        <v>647</v>
      </c>
      <c r="I128" s="68">
        <v>150000</v>
      </c>
      <c r="J128" s="68">
        <v>50</v>
      </c>
      <c r="K128" s="68">
        <v>0</v>
      </c>
      <c r="L128" s="48" t="s">
        <v>1713</v>
      </c>
      <c r="M128" s="48" t="s">
        <v>1713</v>
      </c>
      <c r="N128" s="48" t="s">
        <v>1713</v>
      </c>
      <c r="O128" s="23">
        <v>1000</v>
      </c>
    </row>
    <row r="129" spans="1:15" x14ac:dyDescent="0.25">
      <c r="A129" s="23">
        <v>127</v>
      </c>
      <c r="B129" s="367">
        <v>4437423</v>
      </c>
      <c r="C129" s="48" t="s">
        <v>1713</v>
      </c>
      <c r="D129" s="97" t="s">
        <v>1713</v>
      </c>
      <c r="E129" s="97"/>
      <c r="F129" s="325"/>
      <c r="G129" s="97" t="s">
        <v>1713</v>
      </c>
      <c r="H129" s="48" t="s">
        <v>647</v>
      </c>
      <c r="I129" s="68">
        <v>150000</v>
      </c>
      <c r="J129" s="68">
        <v>50</v>
      </c>
      <c r="K129" s="68">
        <v>0</v>
      </c>
      <c r="L129" s="48" t="s">
        <v>1713</v>
      </c>
      <c r="M129" s="48" t="s">
        <v>1713</v>
      </c>
      <c r="N129" s="48" t="s">
        <v>1713</v>
      </c>
      <c r="O129" s="23">
        <v>1000</v>
      </c>
    </row>
    <row r="130" spans="1:15" x14ac:dyDescent="0.25">
      <c r="A130" s="23">
        <v>128</v>
      </c>
      <c r="B130" s="367">
        <v>4507812</v>
      </c>
      <c r="C130" s="48" t="s">
        <v>1713</v>
      </c>
      <c r="D130" s="97" t="s">
        <v>1713</v>
      </c>
      <c r="E130" s="97" t="s">
        <v>1815</v>
      </c>
      <c r="F130" s="325"/>
      <c r="G130" s="97" t="s">
        <v>1713</v>
      </c>
      <c r="H130" s="48" t="s">
        <v>647</v>
      </c>
      <c r="I130" s="68">
        <v>150000</v>
      </c>
      <c r="J130" s="68">
        <v>50</v>
      </c>
      <c r="K130" s="68">
        <v>0</v>
      </c>
      <c r="L130" s="48" t="s">
        <v>1713</v>
      </c>
      <c r="M130" s="48" t="s">
        <v>1713</v>
      </c>
      <c r="N130" s="48" t="s">
        <v>1713</v>
      </c>
      <c r="O130" s="23">
        <v>1000</v>
      </c>
    </row>
    <row r="131" spans="1:15" x14ac:dyDescent="0.25">
      <c r="A131" s="23">
        <v>129</v>
      </c>
      <c r="B131" s="367">
        <v>4569003</v>
      </c>
      <c r="C131" s="48" t="s">
        <v>1713</v>
      </c>
      <c r="D131" s="97" t="s">
        <v>1713</v>
      </c>
      <c r="E131" s="97"/>
      <c r="F131" s="325"/>
      <c r="G131" s="97" t="s">
        <v>1713</v>
      </c>
      <c r="H131" s="48" t="s">
        <v>647</v>
      </c>
      <c r="I131" s="68">
        <v>150000</v>
      </c>
      <c r="J131" s="68">
        <v>50</v>
      </c>
      <c r="K131" s="68">
        <v>0</v>
      </c>
      <c r="L131" s="48" t="s">
        <v>1713</v>
      </c>
      <c r="M131" s="48" t="s">
        <v>1713</v>
      </c>
      <c r="N131" s="48" t="s">
        <v>1713</v>
      </c>
      <c r="O131" s="23">
        <v>1000</v>
      </c>
    </row>
    <row r="132" spans="1:15" x14ac:dyDescent="0.25">
      <c r="A132" s="23">
        <v>130</v>
      </c>
      <c r="B132" s="367">
        <v>4640841</v>
      </c>
      <c r="C132" s="48" t="s">
        <v>1713</v>
      </c>
      <c r="D132" s="97" t="s">
        <v>1713</v>
      </c>
      <c r="E132" s="97"/>
      <c r="F132" s="325"/>
      <c r="G132" s="97" t="s">
        <v>1713</v>
      </c>
      <c r="H132" s="48" t="s">
        <v>647</v>
      </c>
      <c r="I132" s="68">
        <v>150000</v>
      </c>
      <c r="J132" s="68">
        <v>50</v>
      </c>
      <c r="K132" s="68">
        <v>0</v>
      </c>
      <c r="L132" s="48" t="s">
        <v>1713</v>
      </c>
      <c r="M132" s="48" t="s">
        <v>1713</v>
      </c>
      <c r="N132" s="48" t="s">
        <v>1713</v>
      </c>
      <c r="O132" s="23">
        <v>1000</v>
      </c>
    </row>
    <row r="133" spans="1:15" x14ac:dyDescent="0.25">
      <c r="A133" s="23">
        <v>131</v>
      </c>
      <c r="B133" s="367">
        <v>4703481</v>
      </c>
      <c r="C133" s="48" t="s">
        <v>1713</v>
      </c>
      <c r="D133" s="97" t="s">
        <v>1713</v>
      </c>
      <c r="E133" s="97"/>
      <c r="F133" s="325"/>
      <c r="G133" s="97" t="s">
        <v>1713</v>
      </c>
      <c r="H133" s="48" t="s">
        <v>647</v>
      </c>
      <c r="I133" s="68">
        <v>200000</v>
      </c>
      <c r="J133" s="68">
        <v>50</v>
      </c>
      <c r="K133" s="68">
        <v>0</v>
      </c>
      <c r="L133" s="48" t="s">
        <v>1713</v>
      </c>
      <c r="M133" s="48" t="s">
        <v>1713</v>
      </c>
      <c r="N133" s="48" t="s">
        <v>1713</v>
      </c>
      <c r="O133" s="23">
        <v>1000</v>
      </c>
    </row>
    <row r="134" spans="1:15" x14ac:dyDescent="0.25">
      <c r="A134" s="23">
        <v>132</v>
      </c>
      <c r="B134" s="367">
        <v>4776768</v>
      </c>
      <c r="C134" s="48" t="s">
        <v>1713</v>
      </c>
      <c r="D134" s="97" t="s">
        <v>1713</v>
      </c>
      <c r="E134" s="97"/>
      <c r="F134" s="325"/>
      <c r="G134" s="97" t="s">
        <v>1713</v>
      </c>
      <c r="H134" s="48" t="s">
        <v>647</v>
      </c>
      <c r="I134" s="68">
        <v>200000</v>
      </c>
      <c r="J134" s="68">
        <v>50</v>
      </c>
      <c r="K134" s="68">
        <v>0</v>
      </c>
      <c r="L134" s="48" t="s">
        <v>1713</v>
      </c>
      <c r="M134" s="48" t="s">
        <v>1713</v>
      </c>
      <c r="N134" s="48" t="s">
        <v>1713</v>
      </c>
      <c r="O134" s="23">
        <v>1000</v>
      </c>
    </row>
    <row r="135" spans="1:15" x14ac:dyDescent="0.25">
      <c r="A135" s="23">
        <v>133</v>
      </c>
      <c r="B135" s="367">
        <v>4840857</v>
      </c>
      <c r="C135" s="48" t="s">
        <v>1713</v>
      </c>
      <c r="D135" s="97" t="s">
        <v>1713</v>
      </c>
      <c r="E135" s="97"/>
      <c r="F135" s="325"/>
      <c r="G135" s="97" t="s">
        <v>1713</v>
      </c>
      <c r="H135" s="48" t="s">
        <v>647</v>
      </c>
      <c r="I135" s="68">
        <v>200000</v>
      </c>
      <c r="J135" s="68">
        <v>50</v>
      </c>
      <c r="K135" s="68">
        <v>0</v>
      </c>
      <c r="L135" s="48" t="s">
        <v>1713</v>
      </c>
      <c r="M135" s="48" t="s">
        <v>1713</v>
      </c>
      <c r="N135" s="48" t="s">
        <v>1713</v>
      </c>
      <c r="O135" s="23">
        <v>1000</v>
      </c>
    </row>
    <row r="136" spans="1:15" x14ac:dyDescent="0.25">
      <c r="A136" s="23">
        <v>134</v>
      </c>
      <c r="B136" s="367">
        <v>4915593</v>
      </c>
      <c r="C136" s="48" t="s">
        <v>1713</v>
      </c>
      <c r="D136" s="97" t="s">
        <v>1713</v>
      </c>
      <c r="E136" s="97"/>
      <c r="F136" s="325"/>
      <c r="G136" s="97" t="s">
        <v>1713</v>
      </c>
      <c r="H136" s="48" t="s">
        <v>647</v>
      </c>
      <c r="I136" s="68">
        <v>200000</v>
      </c>
      <c r="J136" s="68">
        <v>50</v>
      </c>
      <c r="K136" s="68">
        <v>0</v>
      </c>
      <c r="L136" s="48" t="s">
        <v>1713</v>
      </c>
      <c r="M136" s="48" t="s">
        <v>1713</v>
      </c>
      <c r="N136" s="48" t="s">
        <v>1713</v>
      </c>
      <c r="O136" s="23">
        <v>1000</v>
      </c>
    </row>
    <row r="137" spans="1:15" x14ac:dyDescent="0.25">
      <c r="A137" s="23">
        <v>135</v>
      </c>
      <c r="B137" s="367">
        <v>4981248</v>
      </c>
      <c r="C137" s="48" t="s">
        <v>1713</v>
      </c>
      <c r="D137" s="97" t="s">
        <v>1713</v>
      </c>
      <c r="E137" s="97" t="s">
        <v>1816</v>
      </c>
      <c r="F137" s="325"/>
      <c r="G137" s="97" t="s">
        <v>1713</v>
      </c>
      <c r="H137" s="48" t="s">
        <v>647</v>
      </c>
      <c r="I137" s="68">
        <v>200000</v>
      </c>
      <c r="J137" s="68">
        <v>50</v>
      </c>
      <c r="K137" s="68">
        <v>0</v>
      </c>
      <c r="L137" s="48" t="s">
        <v>1713</v>
      </c>
      <c r="M137" s="48" t="s">
        <v>1713</v>
      </c>
      <c r="N137" s="48" t="s">
        <v>1713</v>
      </c>
      <c r="O137" s="23">
        <v>1000</v>
      </c>
    </row>
    <row r="138" spans="1:15" x14ac:dyDescent="0.25">
      <c r="A138" s="23">
        <v>136</v>
      </c>
      <c r="B138" s="367">
        <v>5057550</v>
      </c>
      <c r="C138" s="48" t="s">
        <v>1713</v>
      </c>
      <c r="D138" s="97" t="s">
        <v>1713</v>
      </c>
      <c r="E138" s="97"/>
      <c r="F138" s="325"/>
      <c r="G138" s="97" t="s">
        <v>1713</v>
      </c>
      <c r="H138" s="48" t="s">
        <v>647</v>
      </c>
      <c r="I138" s="68">
        <v>200000</v>
      </c>
      <c r="J138" s="68">
        <v>50</v>
      </c>
      <c r="K138" s="68">
        <v>0</v>
      </c>
      <c r="L138" s="48" t="s">
        <v>1713</v>
      </c>
      <c r="M138" s="48" t="s">
        <v>1713</v>
      </c>
      <c r="N138" s="48" t="s">
        <v>1713</v>
      </c>
      <c r="O138" s="23">
        <v>1000</v>
      </c>
    </row>
    <row r="139" spans="1:15" x14ac:dyDescent="0.25">
      <c r="A139" s="23">
        <v>137</v>
      </c>
      <c r="B139" s="367">
        <v>5124771</v>
      </c>
      <c r="C139" s="48" t="s">
        <v>1713</v>
      </c>
      <c r="D139" s="97" t="s">
        <v>1713</v>
      </c>
      <c r="E139" s="97"/>
      <c r="F139" s="325"/>
      <c r="G139" s="97" t="s">
        <v>1713</v>
      </c>
      <c r="H139" s="48" t="s">
        <v>647</v>
      </c>
      <c r="I139" s="68">
        <v>200000</v>
      </c>
      <c r="J139" s="68">
        <v>50</v>
      </c>
      <c r="K139" s="68">
        <v>0</v>
      </c>
      <c r="L139" s="48" t="s">
        <v>1713</v>
      </c>
      <c r="M139" s="48" t="s">
        <v>1713</v>
      </c>
      <c r="N139" s="48" t="s">
        <v>1713</v>
      </c>
      <c r="O139" s="23">
        <v>1000</v>
      </c>
    </row>
    <row r="140" spans="1:15" x14ac:dyDescent="0.25">
      <c r="A140" s="23">
        <v>138</v>
      </c>
      <c r="B140" s="367">
        <v>5202639</v>
      </c>
      <c r="C140" s="48" t="s">
        <v>1713</v>
      </c>
      <c r="D140" s="97" t="s">
        <v>1713</v>
      </c>
      <c r="E140" s="97"/>
      <c r="F140" s="325"/>
      <c r="G140" s="97" t="s">
        <v>1713</v>
      </c>
      <c r="H140" s="48" t="s">
        <v>647</v>
      </c>
      <c r="I140" s="68">
        <v>200000</v>
      </c>
      <c r="J140" s="68">
        <v>50</v>
      </c>
      <c r="K140" s="68">
        <v>0</v>
      </c>
      <c r="L140" s="48" t="s">
        <v>1713</v>
      </c>
      <c r="M140" s="48" t="s">
        <v>1713</v>
      </c>
      <c r="N140" s="48" t="s">
        <v>1713</v>
      </c>
      <c r="O140" s="23">
        <v>1000</v>
      </c>
    </row>
    <row r="141" spans="1:15" x14ac:dyDescent="0.25">
      <c r="A141" s="23">
        <v>139</v>
      </c>
      <c r="B141" s="367">
        <v>5271426</v>
      </c>
      <c r="C141" s="48" t="s">
        <v>1713</v>
      </c>
      <c r="D141" s="97" t="s">
        <v>1713</v>
      </c>
      <c r="E141" s="97"/>
      <c r="F141" s="325"/>
      <c r="G141" s="97" t="s">
        <v>1713</v>
      </c>
      <c r="H141" s="48" t="s">
        <v>647</v>
      </c>
      <c r="I141" s="68">
        <v>200000</v>
      </c>
      <c r="J141" s="68">
        <v>50</v>
      </c>
      <c r="K141" s="68">
        <v>0</v>
      </c>
      <c r="L141" s="48" t="s">
        <v>1713</v>
      </c>
      <c r="M141" s="48" t="s">
        <v>1713</v>
      </c>
      <c r="N141" s="48" t="s">
        <v>1713</v>
      </c>
      <c r="O141" s="23">
        <v>1000</v>
      </c>
    </row>
    <row r="142" spans="1:15" x14ac:dyDescent="0.25">
      <c r="A142" s="23">
        <v>140</v>
      </c>
      <c r="B142" s="367">
        <v>5350860</v>
      </c>
      <c r="C142" s="48" t="s">
        <v>1713</v>
      </c>
      <c r="D142" s="97" t="s">
        <v>1713</v>
      </c>
      <c r="E142" s="97"/>
      <c r="F142" s="325"/>
      <c r="G142" s="97" t="s">
        <v>1713</v>
      </c>
      <c r="H142" s="48" t="s">
        <v>647</v>
      </c>
      <c r="I142" s="68">
        <v>200000</v>
      </c>
      <c r="J142" s="68">
        <v>50</v>
      </c>
      <c r="K142" s="68">
        <v>0</v>
      </c>
      <c r="L142" s="48" t="s">
        <v>1713</v>
      </c>
      <c r="M142" s="48" t="s">
        <v>1713</v>
      </c>
      <c r="N142" s="48" t="s">
        <v>1713</v>
      </c>
      <c r="O142" s="23">
        <v>1000</v>
      </c>
    </row>
    <row r="143" spans="1:15" x14ac:dyDescent="0.25">
      <c r="A143" s="23">
        <v>141</v>
      </c>
      <c r="B143" s="367">
        <v>5421213</v>
      </c>
      <c r="C143" s="48" t="s">
        <v>1713</v>
      </c>
      <c r="D143" s="97" t="s">
        <v>1713</v>
      </c>
      <c r="E143" s="97"/>
      <c r="F143" s="325"/>
      <c r="G143" s="97" t="s">
        <v>1713</v>
      </c>
      <c r="H143" s="48" t="s">
        <v>647</v>
      </c>
      <c r="I143" s="68">
        <v>200000</v>
      </c>
      <c r="J143" s="68">
        <v>50</v>
      </c>
      <c r="K143" s="68">
        <v>0</v>
      </c>
      <c r="L143" s="48" t="s">
        <v>1713</v>
      </c>
      <c r="M143" s="48" t="s">
        <v>1713</v>
      </c>
      <c r="N143" s="48" t="s">
        <v>1713</v>
      </c>
      <c r="O143" s="23">
        <v>1000</v>
      </c>
    </row>
    <row r="144" spans="1:15" x14ac:dyDescent="0.25">
      <c r="A144" s="23">
        <v>142</v>
      </c>
      <c r="B144" s="367">
        <v>5502213</v>
      </c>
      <c r="C144" s="48" t="s">
        <v>1713</v>
      </c>
      <c r="D144" s="97" t="s">
        <v>1713</v>
      </c>
      <c r="E144" s="97"/>
      <c r="F144" s="325"/>
      <c r="G144" s="97" t="s">
        <v>1713</v>
      </c>
      <c r="H144" s="48" t="s">
        <v>647</v>
      </c>
      <c r="I144" s="68">
        <v>200000</v>
      </c>
      <c r="J144" s="68">
        <v>50</v>
      </c>
      <c r="K144" s="68">
        <v>0</v>
      </c>
      <c r="L144" s="48" t="s">
        <v>1713</v>
      </c>
      <c r="M144" s="48" t="s">
        <v>1713</v>
      </c>
      <c r="N144" s="48" t="s">
        <v>1713</v>
      </c>
      <c r="O144" s="23">
        <v>1000</v>
      </c>
    </row>
    <row r="145" spans="1:15" x14ac:dyDescent="0.25">
      <c r="A145" s="23">
        <v>143</v>
      </c>
      <c r="B145" s="367">
        <v>5574132</v>
      </c>
      <c r="C145" s="48" t="s">
        <v>1713</v>
      </c>
      <c r="D145" s="97" t="s">
        <v>1713</v>
      </c>
      <c r="E145" s="97"/>
      <c r="F145" s="325"/>
      <c r="G145" s="97" t="s">
        <v>1713</v>
      </c>
      <c r="H145" s="48" t="s">
        <v>647</v>
      </c>
      <c r="I145" s="68">
        <v>200000</v>
      </c>
      <c r="J145" s="68">
        <v>50</v>
      </c>
      <c r="K145" s="68">
        <v>0</v>
      </c>
      <c r="L145" s="48" t="s">
        <v>1713</v>
      </c>
      <c r="M145" s="48" t="s">
        <v>1713</v>
      </c>
      <c r="N145" s="48" t="s">
        <v>1713</v>
      </c>
      <c r="O145" s="23">
        <v>1000</v>
      </c>
    </row>
    <row r="146" spans="1:15" x14ac:dyDescent="0.25">
      <c r="A146" s="23">
        <v>144</v>
      </c>
      <c r="B146" s="367">
        <v>5656698</v>
      </c>
      <c r="C146" s="48" t="s">
        <v>1713</v>
      </c>
      <c r="D146" s="97" t="s">
        <v>1713</v>
      </c>
      <c r="E146" s="97"/>
      <c r="F146" s="325"/>
      <c r="G146" s="97" t="s">
        <v>1713</v>
      </c>
      <c r="H146" s="48" t="s">
        <v>647</v>
      </c>
      <c r="I146" s="68">
        <v>200000</v>
      </c>
      <c r="J146" s="68">
        <v>50</v>
      </c>
      <c r="K146" s="68">
        <v>0</v>
      </c>
      <c r="L146" s="48" t="s">
        <v>1713</v>
      </c>
      <c r="M146" s="48" t="s">
        <v>1713</v>
      </c>
      <c r="N146" s="48" t="s">
        <v>1713</v>
      </c>
      <c r="O146" s="23">
        <v>1000</v>
      </c>
    </row>
    <row r="147" spans="1:15" x14ac:dyDescent="0.25">
      <c r="A147" s="23">
        <v>145</v>
      </c>
      <c r="B147" s="367">
        <v>5730183</v>
      </c>
      <c r="C147" s="48" t="s">
        <v>1713</v>
      </c>
      <c r="D147" s="97" t="s">
        <v>1713</v>
      </c>
      <c r="E147" s="97"/>
      <c r="F147" s="325"/>
      <c r="G147" s="97" t="s">
        <v>1713</v>
      </c>
      <c r="H147" s="48" t="s">
        <v>647</v>
      </c>
      <c r="I147" s="68">
        <v>200000</v>
      </c>
      <c r="J147" s="68">
        <v>50</v>
      </c>
      <c r="K147" s="68">
        <v>0</v>
      </c>
      <c r="L147" s="48" t="s">
        <v>1713</v>
      </c>
      <c r="M147" s="48" t="s">
        <v>1713</v>
      </c>
      <c r="N147" s="48" t="s">
        <v>1713</v>
      </c>
      <c r="O147" s="23">
        <v>1000</v>
      </c>
    </row>
    <row r="148" spans="1:15" x14ac:dyDescent="0.25">
      <c r="A148" s="23">
        <v>146</v>
      </c>
      <c r="B148" s="367">
        <v>5814315</v>
      </c>
      <c r="C148" s="48" t="s">
        <v>1713</v>
      </c>
      <c r="D148" s="97" t="s">
        <v>1713</v>
      </c>
      <c r="E148" s="97"/>
      <c r="F148" s="325"/>
      <c r="G148" s="97" t="s">
        <v>1713</v>
      </c>
      <c r="H148" s="48" t="s">
        <v>647</v>
      </c>
      <c r="I148" s="68">
        <v>200000</v>
      </c>
      <c r="J148" s="68">
        <v>50</v>
      </c>
      <c r="K148" s="68">
        <v>0</v>
      </c>
      <c r="L148" s="48" t="s">
        <v>1713</v>
      </c>
      <c r="M148" s="48" t="s">
        <v>1713</v>
      </c>
      <c r="N148" s="48" t="s">
        <v>1713</v>
      </c>
      <c r="O148" s="23">
        <v>1000</v>
      </c>
    </row>
    <row r="149" spans="1:15" x14ac:dyDescent="0.25">
      <c r="A149" s="23">
        <v>147</v>
      </c>
      <c r="B149" s="367">
        <v>5889366</v>
      </c>
      <c r="C149" s="48" t="s">
        <v>1713</v>
      </c>
      <c r="D149" s="97" t="s">
        <v>1713</v>
      </c>
      <c r="E149" s="97"/>
      <c r="F149" s="325"/>
      <c r="G149" s="97" t="s">
        <v>1713</v>
      </c>
      <c r="H149" s="48" t="s">
        <v>647</v>
      </c>
      <c r="I149" s="68">
        <v>200000</v>
      </c>
      <c r="J149" s="68">
        <v>50</v>
      </c>
      <c r="K149" s="68">
        <v>0</v>
      </c>
      <c r="L149" s="48" t="s">
        <v>1713</v>
      </c>
      <c r="M149" s="48" t="s">
        <v>1713</v>
      </c>
      <c r="N149" s="48" t="s">
        <v>1713</v>
      </c>
      <c r="O149" s="23">
        <v>1000</v>
      </c>
    </row>
    <row r="150" spans="1:15" x14ac:dyDescent="0.25">
      <c r="A150" s="23">
        <v>148</v>
      </c>
      <c r="B150" s="367">
        <v>5975064</v>
      </c>
      <c r="C150" s="48" t="s">
        <v>1713</v>
      </c>
      <c r="D150" s="97" t="s">
        <v>1713</v>
      </c>
      <c r="E150" s="97"/>
      <c r="F150" s="325"/>
      <c r="G150" s="97" t="s">
        <v>1713</v>
      </c>
      <c r="H150" s="48" t="s">
        <v>647</v>
      </c>
      <c r="I150" s="68">
        <v>200000</v>
      </c>
      <c r="J150" s="68">
        <v>50</v>
      </c>
      <c r="K150" s="68">
        <v>0</v>
      </c>
      <c r="L150" s="48" t="s">
        <v>1713</v>
      </c>
      <c r="M150" s="48" t="s">
        <v>1713</v>
      </c>
      <c r="N150" s="48" t="s">
        <v>1713</v>
      </c>
      <c r="O150" s="23">
        <v>1000</v>
      </c>
    </row>
    <row r="151" spans="1:15" x14ac:dyDescent="0.25">
      <c r="A151" s="23">
        <v>149</v>
      </c>
      <c r="B151" s="367">
        <v>6051681</v>
      </c>
      <c r="C151" s="48" t="s">
        <v>1713</v>
      </c>
      <c r="D151" s="97" t="s">
        <v>1713</v>
      </c>
      <c r="E151" s="97"/>
      <c r="F151" s="325"/>
      <c r="G151" s="97" t="s">
        <v>1713</v>
      </c>
      <c r="H151" s="48" t="s">
        <v>647</v>
      </c>
      <c r="I151" s="68">
        <v>200000</v>
      </c>
      <c r="J151" s="68">
        <v>50</v>
      </c>
      <c r="K151" s="68">
        <v>0</v>
      </c>
      <c r="L151" s="48" t="s">
        <v>1713</v>
      </c>
      <c r="M151" s="48" t="s">
        <v>1713</v>
      </c>
      <c r="N151" s="48" t="s">
        <v>1713</v>
      </c>
      <c r="O151" s="23">
        <v>1000</v>
      </c>
    </row>
    <row r="152" spans="1:15" x14ac:dyDescent="0.25">
      <c r="A152" s="23">
        <v>150</v>
      </c>
      <c r="B152" s="367">
        <v>6138945</v>
      </c>
      <c r="C152" s="48" t="s">
        <v>1713</v>
      </c>
      <c r="D152" s="97" t="s">
        <v>1713</v>
      </c>
      <c r="E152" s="97"/>
      <c r="F152" s="325"/>
      <c r="G152" s="97" t="s">
        <v>1713</v>
      </c>
      <c r="H152" s="48" t="s">
        <v>647</v>
      </c>
      <c r="I152" s="68">
        <v>200000</v>
      </c>
      <c r="J152" s="68">
        <v>100</v>
      </c>
      <c r="K152" s="68">
        <v>0</v>
      </c>
      <c r="L152" s="48" t="s">
        <v>1713</v>
      </c>
      <c r="M152" s="48" t="s">
        <v>1713</v>
      </c>
      <c r="N152" s="48" t="s">
        <v>1713</v>
      </c>
      <c r="O152" s="23">
        <v>1000</v>
      </c>
    </row>
    <row r="153" spans="1:15" x14ac:dyDescent="0.25">
      <c r="A153" s="23">
        <v>151</v>
      </c>
      <c r="B153" s="367">
        <v>6217128</v>
      </c>
      <c r="C153" s="48" t="s">
        <v>1713</v>
      </c>
      <c r="D153" s="97" t="s">
        <v>1713</v>
      </c>
      <c r="E153" s="97"/>
      <c r="F153" s="325"/>
      <c r="G153" s="97" t="s">
        <v>1713</v>
      </c>
      <c r="H153" s="48" t="s">
        <v>647</v>
      </c>
      <c r="I153" s="68">
        <v>250000</v>
      </c>
      <c r="J153" s="68">
        <v>100</v>
      </c>
      <c r="K153" s="68">
        <v>0</v>
      </c>
      <c r="L153" s="48" t="s">
        <v>1713</v>
      </c>
      <c r="M153" s="48" t="s">
        <v>1713</v>
      </c>
      <c r="N153" s="48" t="s">
        <v>1713</v>
      </c>
      <c r="O153" s="23">
        <v>1000</v>
      </c>
    </row>
    <row r="154" spans="1:15" x14ac:dyDescent="0.25">
      <c r="A154" s="23">
        <v>152</v>
      </c>
      <c r="B154" s="367">
        <v>6305958</v>
      </c>
      <c r="C154" s="48" t="s">
        <v>1713</v>
      </c>
      <c r="D154" s="97" t="s">
        <v>1713</v>
      </c>
      <c r="E154" s="97"/>
      <c r="F154" s="325"/>
      <c r="G154" s="97" t="s">
        <v>1713</v>
      </c>
      <c r="H154" s="48" t="s">
        <v>647</v>
      </c>
      <c r="I154" s="68">
        <v>250000</v>
      </c>
      <c r="J154" s="68">
        <v>100</v>
      </c>
      <c r="K154" s="68">
        <v>0</v>
      </c>
      <c r="L154" s="48" t="s">
        <v>1713</v>
      </c>
      <c r="M154" s="48" t="s">
        <v>1713</v>
      </c>
      <c r="N154" s="48" t="s">
        <v>1713</v>
      </c>
      <c r="O154" s="23">
        <v>1000</v>
      </c>
    </row>
    <row r="155" spans="1:15" x14ac:dyDescent="0.25">
      <c r="A155" s="23">
        <v>153</v>
      </c>
      <c r="B155" s="367">
        <v>6385707</v>
      </c>
      <c r="C155" s="48" t="s">
        <v>1713</v>
      </c>
      <c r="D155" s="97" t="s">
        <v>1713</v>
      </c>
      <c r="E155" s="97"/>
      <c r="F155" s="325"/>
      <c r="G155" s="97" t="s">
        <v>1713</v>
      </c>
      <c r="H155" s="48" t="s">
        <v>647</v>
      </c>
      <c r="I155" s="68">
        <v>250000</v>
      </c>
      <c r="J155" s="68">
        <v>100</v>
      </c>
      <c r="K155" s="68">
        <v>0</v>
      </c>
      <c r="L155" s="48" t="s">
        <v>1713</v>
      </c>
      <c r="M155" s="48" t="s">
        <v>1713</v>
      </c>
      <c r="N155" s="48" t="s">
        <v>1713</v>
      </c>
      <c r="O155" s="23">
        <v>1000</v>
      </c>
    </row>
    <row r="156" spans="1:15" x14ac:dyDescent="0.25">
      <c r="A156" s="23">
        <v>154</v>
      </c>
      <c r="B156" s="367">
        <v>6476103</v>
      </c>
      <c r="C156" s="48" t="s">
        <v>1713</v>
      </c>
      <c r="D156" s="97" t="s">
        <v>1713</v>
      </c>
      <c r="E156" s="97"/>
      <c r="F156" s="325"/>
      <c r="G156" s="97" t="s">
        <v>1713</v>
      </c>
      <c r="H156" s="48" t="s">
        <v>647</v>
      </c>
      <c r="I156" s="68">
        <v>250000</v>
      </c>
      <c r="J156" s="68">
        <v>100</v>
      </c>
      <c r="K156" s="68">
        <v>0</v>
      </c>
      <c r="L156" s="48" t="s">
        <v>1713</v>
      </c>
      <c r="M156" s="48" t="s">
        <v>1713</v>
      </c>
      <c r="N156" s="48" t="s">
        <v>1713</v>
      </c>
      <c r="O156" s="23">
        <v>1000</v>
      </c>
    </row>
    <row r="157" spans="1:15" x14ac:dyDescent="0.25">
      <c r="A157" s="23">
        <v>155</v>
      </c>
      <c r="B157" s="367">
        <v>6557418</v>
      </c>
      <c r="C157" s="48" t="s">
        <v>1713</v>
      </c>
      <c r="D157" s="97" t="s">
        <v>1713</v>
      </c>
      <c r="E157" s="97"/>
      <c r="F157" s="325"/>
      <c r="G157" s="97" t="s">
        <v>1713</v>
      </c>
      <c r="H157" s="48" t="s">
        <v>647</v>
      </c>
      <c r="I157" s="68">
        <v>250000</v>
      </c>
      <c r="J157" s="68">
        <v>100</v>
      </c>
      <c r="K157" s="68">
        <v>0</v>
      </c>
      <c r="L157" s="48" t="s">
        <v>1713</v>
      </c>
      <c r="M157" s="48" t="s">
        <v>1713</v>
      </c>
      <c r="N157" s="48" t="s">
        <v>1713</v>
      </c>
      <c r="O157" s="23">
        <v>1000</v>
      </c>
    </row>
    <row r="158" spans="1:15" x14ac:dyDescent="0.25">
      <c r="A158" s="23">
        <v>156</v>
      </c>
      <c r="B158" s="367">
        <v>6649380</v>
      </c>
      <c r="C158" s="48" t="s">
        <v>1713</v>
      </c>
      <c r="D158" s="97" t="s">
        <v>1713</v>
      </c>
      <c r="E158" s="97"/>
      <c r="F158" s="325"/>
      <c r="G158" s="97" t="s">
        <v>1713</v>
      </c>
      <c r="H158" s="48" t="s">
        <v>647</v>
      </c>
      <c r="I158" s="68">
        <v>250000</v>
      </c>
      <c r="J158" s="68">
        <v>100</v>
      </c>
      <c r="K158" s="68">
        <v>0</v>
      </c>
      <c r="L158" s="48" t="s">
        <v>1713</v>
      </c>
      <c r="M158" s="48" t="s">
        <v>1713</v>
      </c>
      <c r="N158" s="48" t="s">
        <v>1713</v>
      </c>
      <c r="O158" s="23">
        <v>1000</v>
      </c>
    </row>
    <row r="159" spans="1:15" x14ac:dyDescent="0.25">
      <c r="A159" s="23">
        <v>157</v>
      </c>
      <c r="B159" s="367">
        <v>6732261</v>
      </c>
      <c r="C159" s="48" t="s">
        <v>1713</v>
      </c>
      <c r="D159" s="97" t="s">
        <v>1713</v>
      </c>
      <c r="E159" s="97"/>
      <c r="F159" s="325"/>
      <c r="G159" s="97" t="s">
        <v>1713</v>
      </c>
      <c r="H159" s="48" t="s">
        <v>647</v>
      </c>
      <c r="I159" s="68">
        <v>250000</v>
      </c>
      <c r="J159" s="68">
        <v>100</v>
      </c>
      <c r="K159" s="68">
        <v>0</v>
      </c>
      <c r="L159" s="48" t="s">
        <v>1713</v>
      </c>
      <c r="M159" s="48" t="s">
        <v>1713</v>
      </c>
      <c r="N159" s="48" t="s">
        <v>1713</v>
      </c>
      <c r="O159" s="23">
        <v>1000</v>
      </c>
    </row>
    <row r="160" spans="1:15" x14ac:dyDescent="0.25">
      <c r="A160" s="23">
        <v>158</v>
      </c>
      <c r="B160" s="367">
        <v>6825789</v>
      </c>
      <c r="C160" s="48" t="s">
        <v>1713</v>
      </c>
      <c r="D160" s="97" t="s">
        <v>1713</v>
      </c>
      <c r="E160" s="97"/>
      <c r="F160" s="325"/>
      <c r="G160" s="97" t="s">
        <v>1713</v>
      </c>
      <c r="H160" s="48" t="s">
        <v>647</v>
      </c>
      <c r="I160" s="68">
        <v>250000</v>
      </c>
      <c r="J160" s="68">
        <v>100</v>
      </c>
      <c r="K160" s="68">
        <v>0</v>
      </c>
      <c r="L160" s="48" t="s">
        <v>1713</v>
      </c>
      <c r="M160" s="48" t="s">
        <v>1713</v>
      </c>
      <c r="N160" s="48" t="s">
        <v>1713</v>
      </c>
      <c r="O160" s="23">
        <v>1000</v>
      </c>
    </row>
    <row r="161" spans="1:15" x14ac:dyDescent="0.25">
      <c r="A161" s="23">
        <v>159</v>
      </c>
      <c r="B161" s="367">
        <v>6910236</v>
      </c>
      <c r="C161" s="48" t="s">
        <v>1713</v>
      </c>
      <c r="D161" s="97" t="s">
        <v>1713</v>
      </c>
      <c r="E161" s="97"/>
      <c r="F161" s="325"/>
      <c r="G161" s="97" t="s">
        <v>1713</v>
      </c>
      <c r="H161" s="48" t="s">
        <v>647</v>
      </c>
      <c r="I161" s="68">
        <v>250000</v>
      </c>
      <c r="J161" s="68">
        <v>100</v>
      </c>
      <c r="K161" s="68">
        <v>0</v>
      </c>
      <c r="L161" s="48" t="s">
        <v>1713</v>
      </c>
      <c r="M161" s="48" t="s">
        <v>1713</v>
      </c>
      <c r="N161" s="48" t="s">
        <v>1713</v>
      </c>
      <c r="O161" s="23">
        <v>1000</v>
      </c>
    </row>
    <row r="162" spans="1:15" x14ac:dyDescent="0.25">
      <c r="A162" s="23">
        <v>160</v>
      </c>
      <c r="B162" s="367">
        <v>7005330</v>
      </c>
      <c r="C162" s="48" t="s">
        <v>1713</v>
      </c>
      <c r="D162" s="97" t="s">
        <v>1713</v>
      </c>
      <c r="E162" s="97"/>
      <c r="F162" s="325"/>
      <c r="G162" s="97" t="s">
        <v>1713</v>
      </c>
      <c r="H162" s="48" t="s">
        <v>647</v>
      </c>
      <c r="I162" s="68">
        <v>250000</v>
      </c>
      <c r="J162" s="68">
        <v>100</v>
      </c>
      <c r="K162" s="68">
        <v>0</v>
      </c>
      <c r="L162" s="48" t="s">
        <v>1713</v>
      </c>
      <c r="M162" s="48" t="s">
        <v>1713</v>
      </c>
      <c r="N162" s="48" t="s">
        <v>1713</v>
      </c>
      <c r="O162" s="23">
        <v>1000</v>
      </c>
    </row>
    <row r="163" spans="1:15" x14ac:dyDescent="0.25">
      <c r="A163" s="23">
        <v>161</v>
      </c>
      <c r="B163" s="367">
        <v>7091343</v>
      </c>
      <c r="C163" s="48" t="s">
        <v>1713</v>
      </c>
      <c r="D163" s="97" t="s">
        <v>1713</v>
      </c>
      <c r="E163" s="97"/>
      <c r="F163" s="325"/>
      <c r="G163" s="97" t="s">
        <v>1713</v>
      </c>
      <c r="H163" s="48" t="s">
        <v>647</v>
      </c>
      <c r="I163" s="68">
        <v>250000</v>
      </c>
      <c r="J163" s="68">
        <v>100</v>
      </c>
      <c r="K163" s="68">
        <v>0</v>
      </c>
      <c r="L163" s="48" t="s">
        <v>1713</v>
      </c>
      <c r="M163" s="48" t="s">
        <v>1713</v>
      </c>
      <c r="N163" s="48" t="s">
        <v>1713</v>
      </c>
      <c r="O163" s="23">
        <v>1000</v>
      </c>
    </row>
    <row r="164" spans="1:15" x14ac:dyDescent="0.25">
      <c r="A164" s="23">
        <v>162</v>
      </c>
      <c r="B164" s="367">
        <v>7188003</v>
      </c>
      <c r="C164" s="48" t="s">
        <v>1713</v>
      </c>
      <c r="D164" s="97" t="s">
        <v>1713</v>
      </c>
      <c r="E164" s="97"/>
      <c r="F164" s="325"/>
      <c r="G164" s="97" t="s">
        <v>1713</v>
      </c>
      <c r="H164" s="48" t="s">
        <v>647</v>
      </c>
      <c r="I164" s="68">
        <v>250000</v>
      </c>
      <c r="J164" s="68">
        <v>100</v>
      </c>
      <c r="K164" s="68">
        <v>0</v>
      </c>
      <c r="L164" s="48" t="s">
        <v>1713</v>
      </c>
      <c r="M164" s="48" t="s">
        <v>1713</v>
      </c>
      <c r="N164" s="48" t="s">
        <v>1713</v>
      </c>
      <c r="O164" s="23">
        <v>1000</v>
      </c>
    </row>
    <row r="165" spans="1:15" x14ac:dyDescent="0.25">
      <c r="A165" s="23">
        <v>163</v>
      </c>
      <c r="B165" s="367">
        <v>7275582</v>
      </c>
      <c r="C165" s="48" t="s">
        <v>1713</v>
      </c>
      <c r="D165" s="97" t="s">
        <v>1713</v>
      </c>
      <c r="E165" s="97"/>
      <c r="F165" s="325"/>
      <c r="G165" s="97" t="s">
        <v>1713</v>
      </c>
      <c r="H165" s="48" t="s">
        <v>647</v>
      </c>
      <c r="I165" s="68">
        <v>250000</v>
      </c>
      <c r="J165" s="68">
        <v>100</v>
      </c>
      <c r="K165" s="68">
        <v>0</v>
      </c>
      <c r="L165" s="48" t="s">
        <v>1713</v>
      </c>
      <c r="M165" s="48" t="s">
        <v>1713</v>
      </c>
      <c r="N165" s="48" t="s">
        <v>1713</v>
      </c>
      <c r="O165" s="23">
        <v>1000</v>
      </c>
    </row>
    <row r="166" spans="1:15" x14ac:dyDescent="0.25">
      <c r="A166" s="23">
        <v>164</v>
      </c>
      <c r="B166" s="367">
        <v>7373808</v>
      </c>
      <c r="C166" s="48" t="s">
        <v>1713</v>
      </c>
      <c r="D166" s="97" t="s">
        <v>1713</v>
      </c>
      <c r="E166" s="97"/>
      <c r="F166" s="325"/>
      <c r="G166" s="97" t="s">
        <v>1713</v>
      </c>
      <c r="H166" s="48" t="s">
        <v>647</v>
      </c>
      <c r="I166" s="68">
        <v>250000</v>
      </c>
      <c r="J166" s="68">
        <v>100</v>
      </c>
      <c r="K166" s="68">
        <v>0</v>
      </c>
      <c r="L166" s="48" t="s">
        <v>1713</v>
      </c>
      <c r="M166" s="48" t="s">
        <v>1713</v>
      </c>
      <c r="N166" s="48" t="s">
        <v>1713</v>
      </c>
      <c r="O166" s="23">
        <v>1000</v>
      </c>
    </row>
    <row r="167" spans="1:15" x14ac:dyDescent="0.25">
      <c r="A167" s="23">
        <v>165</v>
      </c>
      <c r="B167" s="367">
        <v>7462953</v>
      </c>
      <c r="C167" s="48" t="s">
        <v>1713</v>
      </c>
      <c r="D167" s="97" t="s">
        <v>1713</v>
      </c>
      <c r="E167" s="97"/>
      <c r="F167" s="325"/>
      <c r="G167" s="97" t="s">
        <v>1713</v>
      </c>
      <c r="H167" s="48" t="s">
        <v>647</v>
      </c>
      <c r="I167" s="68">
        <v>250000</v>
      </c>
      <c r="J167" s="68">
        <v>100</v>
      </c>
      <c r="K167" s="68">
        <v>0</v>
      </c>
      <c r="L167" s="48" t="s">
        <v>1713</v>
      </c>
      <c r="M167" s="48" t="s">
        <v>1713</v>
      </c>
      <c r="N167" s="48" t="s">
        <v>1713</v>
      </c>
      <c r="O167" s="23">
        <v>1000</v>
      </c>
    </row>
    <row r="168" spans="1:15" x14ac:dyDescent="0.25">
      <c r="A168" s="23">
        <v>166</v>
      </c>
      <c r="B168" s="367">
        <v>7562745</v>
      </c>
      <c r="C168" s="48" t="s">
        <v>1713</v>
      </c>
      <c r="D168" s="97" t="s">
        <v>1713</v>
      </c>
      <c r="E168" s="97"/>
      <c r="F168" s="325"/>
      <c r="G168" s="97" t="s">
        <v>1713</v>
      </c>
      <c r="H168" s="48" t="s">
        <v>647</v>
      </c>
      <c r="I168" s="68">
        <v>250000</v>
      </c>
      <c r="J168" s="68">
        <v>100</v>
      </c>
      <c r="K168" s="68">
        <v>0</v>
      </c>
      <c r="L168" s="48" t="s">
        <v>1713</v>
      </c>
      <c r="M168" s="48" t="s">
        <v>1713</v>
      </c>
      <c r="N168" s="48" t="s">
        <v>1713</v>
      </c>
      <c r="O168" s="23">
        <v>1000</v>
      </c>
    </row>
    <row r="169" spans="1:15" x14ac:dyDescent="0.25">
      <c r="A169" s="23">
        <v>167</v>
      </c>
      <c r="B169" s="367">
        <v>7653456</v>
      </c>
      <c r="C169" s="48" t="s">
        <v>1713</v>
      </c>
      <c r="D169" s="97" t="s">
        <v>1713</v>
      </c>
      <c r="E169" s="97"/>
      <c r="F169" s="325"/>
      <c r="G169" s="97" t="s">
        <v>1713</v>
      </c>
      <c r="H169" s="48" t="s">
        <v>647</v>
      </c>
      <c r="I169" s="68">
        <v>250000</v>
      </c>
      <c r="J169" s="68">
        <v>100</v>
      </c>
      <c r="K169" s="68">
        <v>0</v>
      </c>
      <c r="L169" s="48" t="s">
        <v>1713</v>
      </c>
      <c r="M169" s="48" t="s">
        <v>1713</v>
      </c>
      <c r="N169" s="48" t="s">
        <v>1713</v>
      </c>
      <c r="O169" s="23">
        <v>1000</v>
      </c>
    </row>
    <row r="170" spans="1:15" x14ac:dyDescent="0.25">
      <c r="A170" s="23">
        <v>168</v>
      </c>
      <c r="B170" s="367">
        <v>7754814</v>
      </c>
      <c r="C170" s="48" t="s">
        <v>1713</v>
      </c>
      <c r="D170" s="97" t="s">
        <v>1713</v>
      </c>
      <c r="E170" s="97"/>
      <c r="F170" s="325"/>
      <c r="G170" s="97" t="s">
        <v>1713</v>
      </c>
      <c r="H170" s="48" t="s">
        <v>647</v>
      </c>
      <c r="I170" s="68">
        <v>250000</v>
      </c>
      <c r="J170" s="68">
        <v>100</v>
      </c>
      <c r="K170" s="68">
        <v>0</v>
      </c>
      <c r="L170" s="48" t="s">
        <v>1713</v>
      </c>
      <c r="M170" s="48" t="s">
        <v>1713</v>
      </c>
      <c r="N170" s="48" t="s">
        <v>1713</v>
      </c>
      <c r="O170" s="23">
        <v>1000</v>
      </c>
    </row>
    <row r="171" spans="1:15" x14ac:dyDescent="0.25">
      <c r="A171" s="23">
        <v>169</v>
      </c>
      <c r="B171" s="367">
        <v>7847091</v>
      </c>
      <c r="C171" s="48" t="s">
        <v>1713</v>
      </c>
      <c r="D171" s="97" t="s">
        <v>1713</v>
      </c>
      <c r="E171" s="97"/>
      <c r="F171" s="325"/>
      <c r="G171" s="97" t="s">
        <v>1713</v>
      </c>
      <c r="H171" s="48" t="s">
        <v>647</v>
      </c>
      <c r="I171" s="68">
        <v>250000</v>
      </c>
      <c r="J171" s="68">
        <v>100</v>
      </c>
      <c r="K171" s="68">
        <v>0</v>
      </c>
      <c r="L171" s="48" t="s">
        <v>1713</v>
      </c>
      <c r="M171" s="48" t="s">
        <v>1713</v>
      </c>
      <c r="N171" s="48" t="s">
        <v>1713</v>
      </c>
      <c r="O171" s="23">
        <v>1000</v>
      </c>
    </row>
    <row r="172" spans="1:15" x14ac:dyDescent="0.25">
      <c r="A172" s="23">
        <v>170</v>
      </c>
      <c r="B172" s="367">
        <v>7950015</v>
      </c>
      <c r="C172" s="48" t="s">
        <v>1713</v>
      </c>
      <c r="D172" s="97" t="s">
        <v>1713</v>
      </c>
      <c r="E172" s="97"/>
      <c r="F172" s="325"/>
      <c r="G172" s="97" t="s">
        <v>1713</v>
      </c>
      <c r="H172" s="48" t="s">
        <v>647</v>
      </c>
      <c r="I172" s="68">
        <v>250000</v>
      </c>
      <c r="J172" s="68">
        <v>100</v>
      </c>
      <c r="K172" s="68">
        <v>0</v>
      </c>
      <c r="L172" s="48" t="s">
        <v>1713</v>
      </c>
      <c r="M172" s="48" t="s">
        <v>1713</v>
      </c>
      <c r="N172" s="48" t="s">
        <v>1713</v>
      </c>
      <c r="O172" s="23">
        <v>1000</v>
      </c>
    </row>
    <row r="173" spans="1:15" x14ac:dyDescent="0.25">
      <c r="A173" s="23">
        <v>171</v>
      </c>
      <c r="B173" s="367">
        <v>8043858</v>
      </c>
      <c r="C173" s="48" t="s">
        <v>1713</v>
      </c>
      <c r="D173" s="97" t="s">
        <v>1713</v>
      </c>
      <c r="E173" s="97"/>
      <c r="F173" s="325"/>
      <c r="G173" s="97" t="s">
        <v>1713</v>
      </c>
      <c r="H173" s="48" t="s">
        <v>647</v>
      </c>
      <c r="I173" s="68">
        <v>300000</v>
      </c>
      <c r="J173" s="68">
        <v>100</v>
      </c>
      <c r="K173" s="68">
        <v>0</v>
      </c>
      <c r="L173" s="48" t="s">
        <v>1713</v>
      </c>
      <c r="M173" s="48" t="s">
        <v>1713</v>
      </c>
      <c r="N173" s="48" t="s">
        <v>1713</v>
      </c>
      <c r="O173" s="23">
        <v>1000</v>
      </c>
    </row>
    <row r="174" spans="1:15" x14ac:dyDescent="0.25">
      <c r="A174" s="23">
        <v>172</v>
      </c>
      <c r="B174" s="367">
        <v>8148348</v>
      </c>
      <c r="C174" s="48" t="s">
        <v>1713</v>
      </c>
      <c r="D174" s="97" t="s">
        <v>1713</v>
      </c>
      <c r="E174" s="97"/>
      <c r="F174" s="325"/>
      <c r="G174" s="97" t="s">
        <v>1713</v>
      </c>
      <c r="H174" s="48" t="s">
        <v>647</v>
      </c>
      <c r="I174" s="68">
        <v>300000</v>
      </c>
      <c r="J174" s="68">
        <v>100</v>
      </c>
      <c r="K174" s="68">
        <v>0</v>
      </c>
      <c r="L174" s="48" t="s">
        <v>1713</v>
      </c>
      <c r="M174" s="48" t="s">
        <v>1713</v>
      </c>
      <c r="N174" s="48" t="s">
        <v>1713</v>
      </c>
      <c r="O174" s="23">
        <v>1000</v>
      </c>
    </row>
    <row r="175" spans="1:15" x14ac:dyDescent="0.25">
      <c r="A175" s="23">
        <v>173</v>
      </c>
      <c r="B175" s="367">
        <v>8243757</v>
      </c>
      <c r="C175" s="48" t="s">
        <v>1713</v>
      </c>
      <c r="D175" s="97" t="s">
        <v>1713</v>
      </c>
      <c r="E175" s="97"/>
      <c r="F175" s="325"/>
      <c r="G175" s="97" t="s">
        <v>1713</v>
      </c>
      <c r="H175" s="48" t="s">
        <v>647</v>
      </c>
      <c r="I175" s="68">
        <v>300000</v>
      </c>
      <c r="J175" s="68">
        <v>100</v>
      </c>
      <c r="K175" s="68">
        <v>0</v>
      </c>
      <c r="L175" s="48" t="s">
        <v>1713</v>
      </c>
      <c r="M175" s="48" t="s">
        <v>1713</v>
      </c>
      <c r="N175" s="48" t="s">
        <v>1713</v>
      </c>
      <c r="O175" s="23">
        <v>1000</v>
      </c>
    </row>
    <row r="176" spans="1:15" x14ac:dyDescent="0.25">
      <c r="A176" s="23">
        <v>174</v>
      </c>
      <c r="B176" s="367">
        <v>8349813</v>
      </c>
      <c r="C176" s="48" t="s">
        <v>1713</v>
      </c>
      <c r="D176" s="97" t="s">
        <v>1713</v>
      </c>
      <c r="E176" s="97"/>
      <c r="F176" s="325"/>
      <c r="G176" s="97" t="s">
        <v>1713</v>
      </c>
      <c r="H176" s="48" t="s">
        <v>647</v>
      </c>
      <c r="I176" s="68">
        <v>300000</v>
      </c>
      <c r="J176" s="68">
        <v>100</v>
      </c>
      <c r="K176" s="68">
        <v>0</v>
      </c>
      <c r="L176" s="48" t="s">
        <v>1713</v>
      </c>
      <c r="M176" s="48" t="s">
        <v>1713</v>
      </c>
      <c r="N176" s="48" t="s">
        <v>1713</v>
      </c>
      <c r="O176" s="23">
        <v>1000</v>
      </c>
    </row>
    <row r="177" spans="1:15" x14ac:dyDescent="0.25">
      <c r="A177" s="23">
        <v>175</v>
      </c>
      <c r="B177" s="367">
        <v>8446788</v>
      </c>
      <c r="C177" s="48" t="s">
        <v>1713</v>
      </c>
      <c r="D177" s="97" t="s">
        <v>1713</v>
      </c>
      <c r="E177" s="97"/>
      <c r="F177" s="325"/>
      <c r="G177" s="97" t="s">
        <v>1713</v>
      </c>
      <c r="H177" s="48" t="s">
        <v>647</v>
      </c>
      <c r="I177" s="68">
        <v>300000</v>
      </c>
      <c r="J177" s="68">
        <v>100</v>
      </c>
      <c r="K177" s="68">
        <v>0</v>
      </c>
      <c r="L177" s="48" t="s">
        <v>1713</v>
      </c>
      <c r="M177" s="48" t="s">
        <v>1713</v>
      </c>
      <c r="N177" s="48" t="s">
        <v>1713</v>
      </c>
      <c r="O177" s="23">
        <v>1000</v>
      </c>
    </row>
    <row r="178" spans="1:15" x14ac:dyDescent="0.25">
      <c r="A178" s="23">
        <v>176</v>
      </c>
      <c r="B178" s="367">
        <v>8554410</v>
      </c>
      <c r="C178" s="48" t="s">
        <v>1713</v>
      </c>
      <c r="D178" s="97" t="s">
        <v>1713</v>
      </c>
      <c r="E178" s="97"/>
      <c r="F178" s="325"/>
      <c r="G178" s="97" t="s">
        <v>1713</v>
      </c>
      <c r="H178" s="48" t="s">
        <v>647</v>
      </c>
      <c r="I178" s="68">
        <v>300000</v>
      </c>
      <c r="J178" s="68">
        <v>100</v>
      </c>
      <c r="K178" s="68">
        <v>0</v>
      </c>
      <c r="L178" s="48" t="s">
        <v>1713</v>
      </c>
      <c r="M178" s="48" t="s">
        <v>1713</v>
      </c>
      <c r="N178" s="48" t="s">
        <v>1713</v>
      </c>
      <c r="O178" s="23">
        <v>1000</v>
      </c>
    </row>
    <row r="179" spans="1:15" x14ac:dyDescent="0.25">
      <c r="A179" s="23">
        <v>177</v>
      </c>
      <c r="B179" s="367">
        <v>8652951</v>
      </c>
      <c r="C179" s="48" t="s">
        <v>1713</v>
      </c>
      <c r="D179" s="97" t="s">
        <v>1713</v>
      </c>
      <c r="E179" s="97"/>
      <c r="F179" s="325"/>
      <c r="G179" s="97" t="s">
        <v>1713</v>
      </c>
      <c r="H179" s="48" t="s">
        <v>647</v>
      </c>
      <c r="I179" s="68">
        <v>300000</v>
      </c>
      <c r="J179" s="68">
        <v>100</v>
      </c>
      <c r="K179" s="68">
        <v>0</v>
      </c>
      <c r="L179" s="48" t="s">
        <v>1713</v>
      </c>
      <c r="M179" s="48" t="s">
        <v>1713</v>
      </c>
      <c r="N179" s="48" t="s">
        <v>1713</v>
      </c>
      <c r="O179" s="23">
        <v>1000</v>
      </c>
    </row>
    <row r="180" spans="1:15" x14ac:dyDescent="0.25">
      <c r="A180" s="23">
        <v>178</v>
      </c>
      <c r="B180" s="367">
        <v>8762688</v>
      </c>
      <c r="C180" s="48" t="s">
        <v>1713</v>
      </c>
      <c r="D180" s="97" t="s">
        <v>1713</v>
      </c>
      <c r="E180" s="97"/>
      <c r="F180" s="325"/>
      <c r="G180" s="97" t="s">
        <v>1713</v>
      </c>
      <c r="H180" s="48" t="s">
        <v>647</v>
      </c>
      <c r="I180" s="68">
        <v>300000</v>
      </c>
      <c r="J180" s="68">
        <v>100</v>
      </c>
      <c r="K180" s="68">
        <v>0</v>
      </c>
      <c r="L180" s="48" t="s">
        <v>1713</v>
      </c>
      <c r="M180" s="48" t="s">
        <v>1713</v>
      </c>
      <c r="N180" s="48" t="s">
        <v>1713</v>
      </c>
      <c r="O180" s="23">
        <v>1000</v>
      </c>
    </row>
    <row r="181" spans="1:15" x14ac:dyDescent="0.25">
      <c r="A181" s="23">
        <v>179</v>
      </c>
      <c r="B181" s="367">
        <v>8863344</v>
      </c>
      <c r="C181" s="48" t="s">
        <v>1713</v>
      </c>
      <c r="D181" s="97" t="s">
        <v>1713</v>
      </c>
      <c r="E181" s="97"/>
      <c r="F181" s="325"/>
      <c r="G181" s="97" t="s">
        <v>1713</v>
      </c>
      <c r="H181" s="48" t="s">
        <v>647</v>
      </c>
      <c r="I181" s="68">
        <v>300000</v>
      </c>
      <c r="J181" s="68">
        <v>100</v>
      </c>
      <c r="K181" s="68">
        <v>0</v>
      </c>
      <c r="L181" s="48" t="s">
        <v>1713</v>
      </c>
      <c r="M181" s="48" t="s">
        <v>1713</v>
      </c>
      <c r="N181" s="48" t="s">
        <v>1713</v>
      </c>
      <c r="O181" s="23">
        <v>1000</v>
      </c>
    </row>
    <row r="182" spans="1:15" x14ac:dyDescent="0.25">
      <c r="A182" s="23">
        <v>180</v>
      </c>
      <c r="B182" s="367">
        <v>8975196</v>
      </c>
      <c r="C182" s="48" t="s">
        <v>1713</v>
      </c>
      <c r="D182" s="97" t="s">
        <v>1713</v>
      </c>
      <c r="E182" s="97"/>
      <c r="F182" s="325"/>
      <c r="G182" s="97" t="s">
        <v>1713</v>
      </c>
      <c r="H182" s="48" t="s">
        <v>647</v>
      </c>
      <c r="I182" s="68">
        <v>300000</v>
      </c>
      <c r="J182" s="68">
        <v>100</v>
      </c>
      <c r="K182" s="68">
        <v>0</v>
      </c>
      <c r="L182" s="48" t="s">
        <v>1713</v>
      </c>
      <c r="M182" s="48" t="s">
        <v>1713</v>
      </c>
      <c r="N182" s="48" t="s">
        <v>1713</v>
      </c>
      <c r="O182" s="23">
        <v>1000</v>
      </c>
    </row>
    <row r="183" spans="1:15" x14ac:dyDescent="0.25">
      <c r="A183" s="23">
        <v>181</v>
      </c>
      <c r="B183" s="367">
        <v>9077967</v>
      </c>
      <c r="C183" s="48" t="s">
        <v>1713</v>
      </c>
      <c r="D183" s="97" t="s">
        <v>1713</v>
      </c>
      <c r="E183" s="97"/>
      <c r="F183" s="325"/>
      <c r="G183" s="97" t="s">
        <v>1713</v>
      </c>
      <c r="H183" s="48" t="s">
        <v>647</v>
      </c>
      <c r="I183" s="68">
        <v>300000</v>
      </c>
      <c r="J183" s="68">
        <v>100</v>
      </c>
      <c r="K183" s="68">
        <v>0</v>
      </c>
      <c r="L183" s="48" t="s">
        <v>1713</v>
      </c>
      <c r="M183" s="48" t="s">
        <v>1713</v>
      </c>
      <c r="N183" s="48" t="s">
        <v>1713</v>
      </c>
      <c r="O183" s="23">
        <v>1000</v>
      </c>
    </row>
    <row r="184" spans="1:15" x14ac:dyDescent="0.25">
      <c r="A184" s="23">
        <v>182</v>
      </c>
      <c r="B184" s="367">
        <v>9191934</v>
      </c>
      <c r="C184" s="48" t="s">
        <v>1713</v>
      </c>
      <c r="D184" s="97" t="s">
        <v>1713</v>
      </c>
      <c r="E184" s="97"/>
      <c r="F184" s="325"/>
      <c r="G184" s="97" t="s">
        <v>1713</v>
      </c>
      <c r="H184" s="48" t="s">
        <v>647</v>
      </c>
      <c r="I184" s="68">
        <v>300000</v>
      </c>
      <c r="J184" s="68">
        <v>100</v>
      </c>
      <c r="K184" s="68">
        <v>0</v>
      </c>
      <c r="L184" s="48" t="s">
        <v>1713</v>
      </c>
      <c r="M184" s="48" t="s">
        <v>1713</v>
      </c>
      <c r="N184" s="48" t="s">
        <v>1713</v>
      </c>
      <c r="O184" s="23">
        <v>1000</v>
      </c>
    </row>
    <row r="185" spans="1:15" x14ac:dyDescent="0.25">
      <c r="A185" s="23">
        <v>183</v>
      </c>
      <c r="B185" s="367">
        <v>9296820</v>
      </c>
      <c r="C185" s="48" t="s">
        <v>1713</v>
      </c>
      <c r="D185" s="97" t="s">
        <v>1713</v>
      </c>
      <c r="E185" s="97"/>
      <c r="F185" s="325"/>
      <c r="G185" s="97" t="s">
        <v>1713</v>
      </c>
      <c r="H185" s="48" t="s">
        <v>647</v>
      </c>
      <c r="I185" s="68">
        <v>300000</v>
      </c>
      <c r="J185" s="68">
        <v>100</v>
      </c>
      <c r="K185" s="68">
        <v>0</v>
      </c>
      <c r="L185" s="48" t="s">
        <v>1713</v>
      </c>
      <c r="M185" s="48" t="s">
        <v>1713</v>
      </c>
      <c r="N185" s="48" t="s">
        <v>1713</v>
      </c>
      <c r="O185" s="23">
        <v>1000</v>
      </c>
    </row>
    <row r="186" spans="1:15" x14ac:dyDescent="0.25">
      <c r="A186" s="23">
        <v>184</v>
      </c>
      <c r="B186" s="367">
        <v>9413829</v>
      </c>
      <c r="C186" s="48" t="s">
        <v>1713</v>
      </c>
      <c r="D186" s="97" t="s">
        <v>1713</v>
      </c>
      <c r="E186" s="97"/>
      <c r="F186" s="325"/>
      <c r="G186" s="97" t="s">
        <v>1713</v>
      </c>
      <c r="H186" s="48" t="s">
        <v>647</v>
      </c>
      <c r="I186" s="68">
        <v>300000</v>
      </c>
      <c r="J186" s="68">
        <v>100</v>
      </c>
      <c r="K186" s="68">
        <v>0</v>
      </c>
      <c r="L186" s="48" t="s">
        <v>1713</v>
      </c>
      <c r="M186" s="48" t="s">
        <v>1713</v>
      </c>
      <c r="N186" s="48" t="s">
        <v>1713</v>
      </c>
      <c r="O186" s="23">
        <v>1000</v>
      </c>
    </row>
    <row r="187" spans="1:15" x14ac:dyDescent="0.25">
      <c r="A187" s="23">
        <v>185</v>
      </c>
      <c r="B187" s="367">
        <v>9521757</v>
      </c>
      <c r="C187" s="48" t="s">
        <v>1713</v>
      </c>
      <c r="D187" s="97" t="s">
        <v>1713</v>
      </c>
      <c r="E187" s="97"/>
      <c r="F187" s="325"/>
      <c r="G187" s="97" t="s">
        <v>1713</v>
      </c>
      <c r="H187" s="48" t="s">
        <v>647</v>
      </c>
      <c r="I187" s="68">
        <v>300000</v>
      </c>
      <c r="J187" s="68">
        <v>100</v>
      </c>
      <c r="K187" s="68">
        <v>0</v>
      </c>
      <c r="L187" s="48" t="s">
        <v>1713</v>
      </c>
      <c r="M187" s="48" t="s">
        <v>1713</v>
      </c>
      <c r="N187" s="48" t="s">
        <v>1713</v>
      </c>
      <c r="O187" s="23">
        <v>1000</v>
      </c>
    </row>
    <row r="188" spans="1:15" x14ac:dyDescent="0.25">
      <c r="A188" s="23">
        <v>186</v>
      </c>
      <c r="B188" s="367">
        <v>9641808</v>
      </c>
      <c r="C188" s="48" t="s">
        <v>1713</v>
      </c>
      <c r="D188" s="97" t="s">
        <v>1713</v>
      </c>
      <c r="E188" s="97"/>
      <c r="F188" s="325"/>
      <c r="G188" s="97" t="s">
        <v>1713</v>
      </c>
      <c r="H188" s="48" t="s">
        <v>647</v>
      </c>
      <c r="I188" s="68">
        <v>300000</v>
      </c>
      <c r="J188" s="68">
        <v>100</v>
      </c>
      <c r="K188" s="68">
        <v>0</v>
      </c>
      <c r="L188" s="48" t="s">
        <v>1713</v>
      </c>
      <c r="M188" s="48" t="s">
        <v>1713</v>
      </c>
      <c r="N188" s="48" t="s">
        <v>1713</v>
      </c>
      <c r="O188" s="23">
        <v>1000</v>
      </c>
    </row>
    <row r="189" spans="1:15" x14ac:dyDescent="0.25">
      <c r="A189" s="23">
        <v>187</v>
      </c>
      <c r="B189" s="367">
        <v>9752778</v>
      </c>
      <c r="C189" s="48" t="s">
        <v>1713</v>
      </c>
      <c r="D189" s="97" t="s">
        <v>1713</v>
      </c>
      <c r="E189" s="97"/>
      <c r="F189" s="325"/>
      <c r="G189" s="97" t="s">
        <v>1713</v>
      </c>
      <c r="H189" s="48" t="s">
        <v>647</v>
      </c>
      <c r="I189" s="68">
        <v>300000</v>
      </c>
      <c r="J189" s="68">
        <v>100</v>
      </c>
      <c r="K189" s="68">
        <v>0</v>
      </c>
      <c r="L189" s="48" t="s">
        <v>1713</v>
      </c>
      <c r="M189" s="48" t="s">
        <v>1713</v>
      </c>
      <c r="N189" s="48" t="s">
        <v>1713</v>
      </c>
      <c r="O189" s="23">
        <v>1000</v>
      </c>
    </row>
    <row r="190" spans="1:15" x14ac:dyDescent="0.25">
      <c r="A190" s="23">
        <v>188</v>
      </c>
      <c r="B190" s="367">
        <v>9875871</v>
      </c>
      <c r="C190" s="48" t="s">
        <v>1713</v>
      </c>
      <c r="D190" s="97" t="s">
        <v>1713</v>
      </c>
      <c r="E190" s="97"/>
      <c r="F190" s="325"/>
      <c r="G190" s="97" t="s">
        <v>1713</v>
      </c>
      <c r="H190" s="48" t="s">
        <v>647</v>
      </c>
      <c r="I190" s="68">
        <v>300000</v>
      </c>
      <c r="J190" s="68">
        <v>100</v>
      </c>
      <c r="K190" s="68">
        <v>0</v>
      </c>
      <c r="L190" s="48" t="s">
        <v>1713</v>
      </c>
      <c r="M190" s="48" t="s">
        <v>1713</v>
      </c>
      <c r="N190" s="48" t="s">
        <v>1713</v>
      </c>
      <c r="O190" s="23">
        <v>1000</v>
      </c>
    </row>
    <row r="191" spans="1:15" x14ac:dyDescent="0.25">
      <c r="A191" s="23">
        <v>189</v>
      </c>
      <c r="B191" s="367">
        <v>9935883</v>
      </c>
      <c r="C191" s="48" t="s">
        <v>1713</v>
      </c>
      <c r="D191" s="97" t="s">
        <v>1713</v>
      </c>
      <c r="E191" s="97"/>
      <c r="F191" s="325"/>
      <c r="G191" s="97" t="s">
        <v>1713</v>
      </c>
      <c r="H191" s="48" t="s">
        <v>647</v>
      </c>
      <c r="I191" s="68">
        <v>300000</v>
      </c>
      <c r="J191" s="68">
        <v>100</v>
      </c>
      <c r="K191" s="68">
        <v>0</v>
      </c>
      <c r="L191" s="48" t="s">
        <v>1713</v>
      </c>
      <c r="M191" s="48" t="s">
        <v>1713</v>
      </c>
      <c r="N191" s="48" t="s">
        <v>1713</v>
      </c>
      <c r="O191" s="23">
        <v>1000</v>
      </c>
    </row>
    <row r="192" spans="1:15" x14ac:dyDescent="0.25">
      <c r="A192" s="23">
        <v>190</v>
      </c>
      <c r="B192" s="367">
        <v>10062018</v>
      </c>
      <c r="C192" s="48" t="s">
        <v>1713</v>
      </c>
      <c r="D192" s="97" t="s">
        <v>1713</v>
      </c>
      <c r="E192" s="97"/>
      <c r="F192" s="325"/>
      <c r="G192" s="97" t="s">
        <v>1713</v>
      </c>
      <c r="H192" s="48" t="s">
        <v>647</v>
      </c>
      <c r="I192" s="68">
        <v>300000</v>
      </c>
      <c r="J192" s="68">
        <v>100</v>
      </c>
      <c r="K192" s="68">
        <v>0</v>
      </c>
      <c r="L192" s="48" t="s">
        <v>1713</v>
      </c>
      <c r="M192" s="48" t="s">
        <v>1713</v>
      </c>
      <c r="N192" s="48" t="s">
        <v>1713</v>
      </c>
      <c r="O192" s="23">
        <v>1000</v>
      </c>
    </row>
    <row r="193" spans="1:15" x14ac:dyDescent="0.25">
      <c r="A193" s="23">
        <v>191</v>
      </c>
      <c r="B193" s="367">
        <v>10180881</v>
      </c>
      <c r="C193" s="48" t="s">
        <v>1713</v>
      </c>
      <c r="D193" s="97" t="s">
        <v>1713</v>
      </c>
      <c r="E193" s="97"/>
      <c r="F193" s="325"/>
      <c r="G193" s="97" t="s">
        <v>1713</v>
      </c>
      <c r="H193" s="48" t="s">
        <v>647</v>
      </c>
      <c r="I193" s="68">
        <v>300000</v>
      </c>
      <c r="J193" s="68">
        <v>100</v>
      </c>
      <c r="K193" s="68">
        <v>0</v>
      </c>
      <c r="L193" s="48" t="s">
        <v>1713</v>
      </c>
      <c r="M193" s="48" t="s">
        <v>1713</v>
      </c>
      <c r="N193" s="48" t="s">
        <v>1713</v>
      </c>
      <c r="O193" s="23">
        <v>1000</v>
      </c>
    </row>
    <row r="194" spans="1:15" x14ac:dyDescent="0.25">
      <c r="A194" s="23">
        <v>192</v>
      </c>
      <c r="B194" s="367">
        <v>10312650</v>
      </c>
      <c r="C194" s="48" t="s">
        <v>1713</v>
      </c>
      <c r="D194" s="97" t="s">
        <v>1713</v>
      </c>
      <c r="E194" s="97"/>
      <c r="F194" s="325"/>
      <c r="G194" s="97" t="s">
        <v>1713</v>
      </c>
      <c r="H194" s="48" t="s">
        <v>647</v>
      </c>
      <c r="I194" s="68">
        <v>300000</v>
      </c>
      <c r="J194" s="68">
        <v>100</v>
      </c>
      <c r="K194" s="68">
        <v>0</v>
      </c>
      <c r="L194" s="48" t="s">
        <v>1713</v>
      </c>
      <c r="M194" s="48" t="s">
        <v>1713</v>
      </c>
      <c r="N194" s="48" t="s">
        <v>1713</v>
      </c>
      <c r="O194" s="23">
        <v>1000</v>
      </c>
    </row>
    <row r="195" spans="1:15" x14ac:dyDescent="0.25">
      <c r="A195" s="23">
        <v>193</v>
      </c>
      <c r="B195" s="367">
        <v>10437147</v>
      </c>
      <c r="C195" s="48" t="s">
        <v>1713</v>
      </c>
      <c r="D195" s="97" t="s">
        <v>1713</v>
      </c>
      <c r="E195" s="97"/>
      <c r="F195" s="325"/>
      <c r="G195" s="97" t="s">
        <v>1713</v>
      </c>
      <c r="H195" s="48" t="s">
        <v>647</v>
      </c>
      <c r="I195" s="68">
        <v>300000</v>
      </c>
      <c r="J195" s="68">
        <v>100</v>
      </c>
      <c r="K195" s="68">
        <v>0</v>
      </c>
      <c r="L195" s="48" t="s">
        <v>1713</v>
      </c>
      <c r="M195" s="48" t="s">
        <v>1713</v>
      </c>
      <c r="N195" s="48" t="s">
        <v>1713</v>
      </c>
      <c r="O195" s="23">
        <v>1000</v>
      </c>
    </row>
    <row r="196" spans="1:15" x14ac:dyDescent="0.25">
      <c r="A196" s="23">
        <v>194</v>
      </c>
      <c r="B196" s="367">
        <v>10574550</v>
      </c>
      <c r="C196" s="48" t="s">
        <v>1713</v>
      </c>
      <c r="D196" s="97" t="s">
        <v>1713</v>
      </c>
      <c r="E196" s="97"/>
      <c r="F196" s="325"/>
      <c r="G196" s="97" t="s">
        <v>1713</v>
      </c>
      <c r="H196" s="48" t="s">
        <v>647</v>
      </c>
      <c r="I196" s="68">
        <v>300000</v>
      </c>
      <c r="J196" s="68">
        <v>100</v>
      </c>
      <c r="K196" s="68">
        <v>0</v>
      </c>
      <c r="L196" s="48" t="s">
        <v>1713</v>
      </c>
      <c r="M196" s="48" t="s">
        <v>1713</v>
      </c>
      <c r="N196" s="48" t="s">
        <v>1713</v>
      </c>
      <c r="O196" s="23">
        <v>1000</v>
      </c>
    </row>
    <row r="197" spans="1:15" x14ac:dyDescent="0.25">
      <c r="A197" s="23">
        <v>195</v>
      </c>
      <c r="B197" s="367">
        <v>10704681</v>
      </c>
      <c r="C197" s="48" t="s">
        <v>1713</v>
      </c>
      <c r="D197" s="97" t="s">
        <v>1713</v>
      </c>
      <c r="E197" s="97"/>
      <c r="F197" s="325"/>
      <c r="G197" s="97" t="s">
        <v>1713</v>
      </c>
      <c r="H197" s="48" t="s">
        <v>647</v>
      </c>
      <c r="I197" s="68">
        <v>300000</v>
      </c>
      <c r="J197" s="68">
        <v>100</v>
      </c>
      <c r="K197" s="68">
        <v>0</v>
      </c>
      <c r="L197" s="48" t="s">
        <v>1713</v>
      </c>
      <c r="M197" s="48" t="s">
        <v>1713</v>
      </c>
      <c r="N197" s="48" t="s">
        <v>1713</v>
      </c>
      <c r="O197" s="23">
        <v>1000</v>
      </c>
    </row>
    <row r="198" spans="1:15" x14ac:dyDescent="0.25">
      <c r="A198" s="23">
        <v>196</v>
      </c>
      <c r="B198" s="367">
        <v>10848924</v>
      </c>
      <c r="C198" s="48" t="s">
        <v>1713</v>
      </c>
      <c r="D198" s="97" t="s">
        <v>1713</v>
      </c>
      <c r="E198" s="97"/>
      <c r="F198" s="325"/>
      <c r="G198" s="97" t="s">
        <v>1713</v>
      </c>
      <c r="H198" s="48" t="s">
        <v>647</v>
      </c>
      <c r="I198" s="68">
        <v>300000</v>
      </c>
      <c r="J198" s="68">
        <v>100</v>
      </c>
      <c r="K198" s="68">
        <v>0</v>
      </c>
      <c r="L198" s="48" t="s">
        <v>1713</v>
      </c>
      <c r="M198" s="48" t="s">
        <v>1713</v>
      </c>
      <c r="N198" s="48" t="s">
        <v>1713</v>
      </c>
      <c r="O198" s="23">
        <v>1000</v>
      </c>
    </row>
    <row r="199" spans="1:15" x14ac:dyDescent="0.25">
      <c r="A199" s="23">
        <v>197</v>
      </c>
      <c r="B199" s="367">
        <v>10985895</v>
      </c>
      <c r="C199" s="48" t="s">
        <v>1713</v>
      </c>
      <c r="D199" s="97" t="s">
        <v>1713</v>
      </c>
      <c r="E199" s="97"/>
      <c r="F199" s="325"/>
      <c r="G199" s="97" t="s">
        <v>1713</v>
      </c>
      <c r="H199" s="48" t="s">
        <v>647</v>
      </c>
      <c r="I199" s="68">
        <v>300000</v>
      </c>
      <c r="J199" s="68">
        <v>100</v>
      </c>
      <c r="K199" s="68">
        <v>0</v>
      </c>
      <c r="L199" s="48" t="s">
        <v>1713</v>
      </c>
      <c r="M199" s="48" t="s">
        <v>1713</v>
      </c>
      <c r="N199" s="48" t="s">
        <v>1713</v>
      </c>
      <c r="O199" s="23">
        <v>1000</v>
      </c>
    </row>
    <row r="200" spans="1:15" x14ac:dyDescent="0.25">
      <c r="A200" s="23">
        <v>198</v>
      </c>
      <c r="B200" s="367">
        <v>11179818</v>
      </c>
      <c r="C200" s="48" t="s">
        <v>1713</v>
      </c>
      <c r="D200" s="97" t="s">
        <v>1713</v>
      </c>
      <c r="E200" s="97"/>
      <c r="F200" s="325"/>
      <c r="G200" s="97" t="s">
        <v>1713</v>
      </c>
      <c r="H200" s="48" t="s">
        <v>647</v>
      </c>
      <c r="I200" s="68">
        <v>300000</v>
      </c>
      <c r="J200" s="68">
        <v>100</v>
      </c>
      <c r="K200" s="68">
        <v>0</v>
      </c>
      <c r="L200" s="48" t="s">
        <v>1713</v>
      </c>
      <c r="M200" s="48" t="s">
        <v>1713</v>
      </c>
      <c r="N200" s="48" t="s">
        <v>1713</v>
      </c>
      <c r="O200" s="23">
        <v>1000</v>
      </c>
    </row>
    <row r="201" spans="1:15" x14ac:dyDescent="0.25">
      <c r="A201" s="23">
        <v>199</v>
      </c>
      <c r="B201" s="367">
        <v>11366469</v>
      </c>
      <c r="C201" s="48" t="s">
        <v>1713</v>
      </c>
      <c r="D201" s="97" t="s">
        <v>1713</v>
      </c>
      <c r="E201" s="97"/>
      <c r="F201" s="325"/>
      <c r="G201" s="97" t="s">
        <v>1713</v>
      </c>
      <c r="H201" s="48" t="s">
        <v>647</v>
      </c>
      <c r="I201" s="68">
        <v>300000</v>
      </c>
      <c r="J201" s="68">
        <v>100</v>
      </c>
      <c r="K201" s="68">
        <v>0</v>
      </c>
      <c r="L201" s="48" t="s">
        <v>1713</v>
      </c>
      <c r="M201" s="48" t="s">
        <v>1713</v>
      </c>
      <c r="N201" s="48" t="s">
        <v>1713</v>
      </c>
      <c r="O201" s="23">
        <v>1000</v>
      </c>
    </row>
    <row r="202" spans="1:15" x14ac:dyDescent="0.25">
      <c r="A202" s="23">
        <v>200</v>
      </c>
      <c r="B202" s="367">
        <v>11593798.380000001</v>
      </c>
      <c r="C202" s="48" t="s">
        <v>1713</v>
      </c>
      <c r="D202" s="97" t="s">
        <v>1713</v>
      </c>
      <c r="E202" s="97"/>
      <c r="F202" s="325"/>
      <c r="G202" s="97" t="s">
        <v>1713</v>
      </c>
      <c r="H202" s="48" t="s">
        <v>647</v>
      </c>
      <c r="I202" s="68">
        <v>300000</v>
      </c>
      <c r="J202" s="68">
        <v>150</v>
      </c>
      <c r="K202" s="68">
        <v>0</v>
      </c>
      <c r="L202" s="48" t="s">
        <v>1713</v>
      </c>
      <c r="M202" s="48" t="s">
        <v>1713</v>
      </c>
      <c r="N202" s="48" t="s">
        <v>1713</v>
      </c>
      <c r="O202" s="23">
        <v>1000</v>
      </c>
    </row>
    <row r="203" spans="1:15" x14ac:dyDescent="0.25">
      <c r="A203" s="23">
        <v>201</v>
      </c>
      <c r="B203" s="367">
        <v>11825674.347600002</v>
      </c>
      <c r="C203" s="48" t="s">
        <v>1713</v>
      </c>
      <c r="D203" s="97" t="s">
        <v>1713</v>
      </c>
      <c r="E203" s="97"/>
      <c r="F203" s="325"/>
      <c r="G203" s="97" t="s">
        <v>1713</v>
      </c>
      <c r="H203" s="48" t="s">
        <v>647</v>
      </c>
      <c r="I203" s="68">
        <v>300000</v>
      </c>
      <c r="J203" s="68">
        <v>150</v>
      </c>
      <c r="K203" s="68">
        <v>0</v>
      </c>
      <c r="L203" s="48" t="s">
        <v>1713</v>
      </c>
      <c r="M203" s="48" t="s">
        <v>1713</v>
      </c>
      <c r="N203" s="48" t="s">
        <v>1713</v>
      </c>
      <c r="O203" s="23">
        <v>1000</v>
      </c>
    </row>
    <row r="204" spans="1:15" x14ac:dyDescent="0.25">
      <c r="A204" s="23">
        <v>202</v>
      </c>
      <c r="B204" s="581">
        <v>12062187.834552001</v>
      </c>
      <c r="C204" s="48" t="s">
        <v>1713</v>
      </c>
      <c r="D204" s="371" t="s">
        <v>1713</v>
      </c>
      <c r="E204" s="97"/>
      <c r="F204" s="325"/>
      <c r="G204" s="97" t="s">
        <v>1713</v>
      </c>
      <c r="H204" s="48" t="s">
        <v>647</v>
      </c>
      <c r="I204" s="69">
        <v>350000</v>
      </c>
      <c r="J204" s="68">
        <v>150</v>
      </c>
      <c r="K204" s="68">
        <v>0</v>
      </c>
      <c r="L204" s="48" t="s">
        <v>1713</v>
      </c>
      <c r="M204" s="48" t="s">
        <v>1713</v>
      </c>
      <c r="N204" s="48" t="s">
        <v>1713</v>
      </c>
      <c r="O204" s="23">
        <v>1000</v>
      </c>
    </row>
    <row r="205" spans="1:15" x14ac:dyDescent="0.25">
      <c r="A205" s="23">
        <v>203</v>
      </c>
      <c r="B205" s="581">
        <v>12303431.591243042</v>
      </c>
      <c r="C205" s="48" t="s">
        <v>1713</v>
      </c>
      <c r="D205" s="371" t="s">
        <v>1713</v>
      </c>
      <c r="E205" s="97"/>
      <c r="F205" s="325"/>
      <c r="G205" s="97" t="s">
        <v>1713</v>
      </c>
      <c r="H205" s="48" t="s">
        <v>647</v>
      </c>
      <c r="I205" s="69">
        <v>350000</v>
      </c>
      <c r="J205" s="68">
        <v>150</v>
      </c>
      <c r="K205" s="68">
        <v>0</v>
      </c>
      <c r="L205" s="48" t="s">
        <v>1713</v>
      </c>
      <c r="M205" s="48" t="s">
        <v>1713</v>
      </c>
      <c r="N205" s="48" t="s">
        <v>1713</v>
      </c>
      <c r="O205" s="23">
        <v>1000</v>
      </c>
    </row>
    <row r="206" spans="1:15" x14ac:dyDescent="0.25">
      <c r="A206" s="23">
        <v>204</v>
      </c>
      <c r="B206" s="581">
        <v>12549500.223067904</v>
      </c>
      <c r="C206" s="48" t="s">
        <v>1713</v>
      </c>
      <c r="D206" s="371" t="s">
        <v>1713</v>
      </c>
      <c r="E206" s="97"/>
      <c r="F206" s="325"/>
      <c r="G206" s="97" t="s">
        <v>1713</v>
      </c>
      <c r="H206" s="48" t="s">
        <v>647</v>
      </c>
      <c r="I206" s="69">
        <v>350000</v>
      </c>
      <c r="J206" s="68">
        <v>150</v>
      </c>
      <c r="K206" s="68">
        <v>0</v>
      </c>
      <c r="L206" s="48" t="s">
        <v>1713</v>
      </c>
      <c r="M206" s="48" t="s">
        <v>1713</v>
      </c>
      <c r="N206" s="48" t="s">
        <v>1713</v>
      </c>
      <c r="O206" s="23">
        <v>1000</v>
      </c>
    </row>
    <row r="207" spans="1:15" x14ac:dyDescent="0.25">
      <c r="A207" s="23">
        <v>205</v>
      </c>
      <c r="B207" s="581">
        <v>12800490.227529263</v>
      </c>
      <c r="C207" s="48" t="s">
        <v>1713</v>
      </c>
      <c r="D207" s="371" t="s">
        <v>1713</v>
      </c>
      <c r="E207" s="97"/>
      <c r="F207" s="325"/>
      <c r="G207" s="97" t="s">
        <v>1713</v>
      </c>
      <c r="H207" s="48" t="s">
        <v>647</v>
      </c>
      <c r="I207" s="69">
        <v>350000</v>
      </c>
      <c r="J207" s="68">
        <v>150</v>
      </c>
      <c r="K207" s="68">
        <v>0</v>
      </c>
      <c r="L207" s="48" t="s">
        <v>1713</v>
      </c>
      <c r="M207" s="48" t="s">
        <v>1713</v>
      </c>
      <c r="N207" s="48" t="s">
        <v>1713</v>
      </c>
      <c r="O207" s="23">
        <v>1000</v>
      </c>
    </row>
    <row r="208" spans="1:15" x14ac:dyDescent="0.25">
      <c r="A208" s="23">
        <v>206</v>
      </c>
      <c r="B208" s="581">
        <v>13056500.032079849</v>
      </c>
      <c r="C208" s="48" t="s">
        <v>1713</v>
      </c>
      <c r="D208" s="371" t="s">
        <v>1713</v>
      </c>
      <c r="E208" s="97"/>
      <c r="F208" s="325"/>
      <c r="G208" s="97" t="s">
        <v>1713</v>
      </c>
      <c r="H208" s="48" t="s">
        <v>647</v>
      </c>
      <c r="I208" s="69">
        <v>350000</v>
      </c>
      <c r="J208" s="68">
        <v>150</v>
      </c>
      <c r="K208" s="68">
        <v>0</v>
      </c>
      <c r="L208" s="48" t="s">
        <v>1713</v>
      </c>
      <c r="M208" s="48" t="s">
        <v>1713</v>
      </c>
      <c r="N208" s="48" t="s">
        <v>1713</v>
      </c>
      <c r="O208" s="23">
        <v>1000</v>
      </c>
    </row>
    <row r="209" spans="1:15" x14ac:dyDescent="0.25">
      <c r="A209" s="23">
        <v>207</v>
      </c>
      <c r="B209" s="581">
        <v>13317630.032721447</v>
      </c>
      <c r="C209" s="48" t="s">
        <v>1713</v>
      </c>
      <c r="D209" s="371" t="s">
        <v>1713</v>
      </c>
      <c r="E209" s="97"/>
      <c r="F209" s="325"/>
      <c r="G209" s="97" t="s">
        <v>1713</v>
      </c>
      <c r="H209" s="48" t="s">
        <v>647</v>
      </c>
      <c r="I209" s="69">
        <v>350000</v>
      </c>
      <c r="J209" s="68">
        <v>150</v>
      </c>
      <c r="K209" s="68">
        <v>0</v>
      </c>
      <c r="L209" s="48" t="s">
        <v>1713</v>
      </c>
      <c r="M209" s="48" t="s">
        <v>1713</v>
      </c>
      <c r="N209" s="48" t="s">
        <v>1713</v>
      </c>
      <c r="O209" s="23">
        <v>1000</v>
      </c>
    </row>
    <row r="210" spans="1:15" x14ac:dyDescent="0.25">
      <c r="A210" s="23">
        <v>208</v>
      </c>
      <c r="B210" s="581">
        <v>13583982.633375876</v>
      </c>
      <c r="C210" s="48" t="s">
        <v>1713</v>
      </c>
      <c r="D210" s="371" t="s">
        <v>1713</v>
      </c>
      <c r="E210" s="97"/>
      <c r="F210" s="325"/>
      <c r="G210" s="97" t="s">
        <v>1713</v>
      </c>
      <c r="H210" s="48" t="s">
        <v>647</v>
      </c>
      <c r="I210" s="69">
        <v>350000</v>
      </c>
      <c r="J210" s="68">
        <v>150</v>
      </c>
      <c r="K210" s="68">
        <v>0</v>
      </c>
      <c r="L210" s="48" t="s">
        <v>1713</v>
      </c>
      <c r="M210" s="48" t="s">
        <v>1713</v>
      </c>
      <c r="N210" s="48" t="s">
        <v>1713</v>
      </c>
      <c r="O210" s="23">
        <v>1000</v>
      </c>
    </row>
    <row r="211" spans="1:15" x14ac:dyDescent="0.25">
      <c r="A211" s="23">
        <v>209</v>
      </c>
      <c r="B211" s="581">
        <v>13855662.286043392</v>
      </c>
      <c r="C211" s="48" t="s">
        <v>1713</v>
      </c>
      <c r="D211" s="371" t="s">
        <v>1713</v>
      </c>
      <c r="E211" s="97"/>
      <c r="F211" s="325"/>
      <c r="G211" s="97" t="s">
        <v>1713</v>
      </c>
      <c r="H211" s="48" t="s">
        <v>647</v>
      </c>
      <c r="I211" s="69">
        <v>350000</v>
      </c>
      <c r="J211" s="68">
        <v>150</v>
      </c>
      <c r="K211" s="68">
        <v>0</v>
      </c>
      <c r="L211" s="48" t="s">
        <v>1713</v>
      </c>
      <c r="M211" s="48" t="s">
        <v>1713</v>
      </c>
      <c r="N211" s="48" t="s">
        <v>1713</v>
      </c>
      <c r="O211" s="23">
        <v>1000</v>
      </c>
    </row>
    <row r="212" spans="1:15" x14ac:dyDescent="0.25">
      <c r="A212" s="23">
        <v>210</v>
      </c>
      <c r="B212" s="581">
        <v>14132775.531764261</v>
      </c>
      <c r="C212" s="48" t="s">
        <v>1713</v>
      </c>
      <c r="D212" s="371" t="s">
        <v>1713</v>
      </c>
      <c r="E212" s="97"/>
      <c r="F212" s="325"/>
      <c r="G212" s="97" t="s">
        <v>1713</v>
      </c>
      <c r="H212" s="48" t="s">
        <v>647</v>
      </c>
      <c r="I212" s="69">
        <v>350000</v>
      </c>
      <c r="J212" s="68">
        <v>150</v>
      </c>
      <c r="K212" s="68">
        <v>0</v>
      </c>
      <c r="L212" s="48" t="s">
        <v>1713</v>
      </c>
      <c r="M212" s="48" t="s">
        <v>1713</v>
      </c>
      <c r="N212" s="48" t="s">
        <v>1713</v>
      </c>
      <c r="O212" s="23">
        <v>1000</v>
      </c>
    </row>
    <row r="213" spans="1:15" x14ac:dyDescent="0.25">
      <c r="A213" s="23">
        <v>211</v>
      </c>
      <c r="B213" s="581">
        <v>14415431.042399546</v>
      </c>
      <c r="C213" s="48" t="s">
        <v>1713</v>
      </c>
      <c r="D213" s="371" t="s">
        <v>1713</v>
      </c>
      <c r="E213" s="97"/>
      <c r="F213" s="325"/>
      <c r="G213" s="97" t="s">
        <v>1713</v>
      </c>
      <c r="H213" s="48" t="s">
        <v>647</v>
      </c>
      <c r="I213" s="69">
        <v>350000</v>
      </c>
      <c r="J213" s="68">
        <v>150</v>
      </c>
      <c r="K213" s="68">
        <v>0</v>
      </c>
      <c r="L213" s="48" t="s">
        <v>1713</v>
      </c>
      <c r="M213" s="48" t="s">
        <v>1713</v>
      </c>
      <c r="N213" s="48" t="s">
        <v>1713</v>
      </c>
      <c r="O213" s="23">
        <v>1000</v>
      </c>
    </row>
    <row r="214" spans="1:15" x14ac:dyDescent="0.25">
      <c r="A214" s="23">
        <v>212</v>
      </c>
      <c r="B214" s="581">
        <v>14703739.663247539</v>
      </c>
      <c r="C214" s="48" t="s">
        <v>1713</v>
      </c>
      <c r="D214" s="371" t="s">
        <v>1713</v>
      </c>
      <c r="E214" s="97"/>
      <c r="F214" s="325"/>
      <c r="G214" s="97" t="s">
        <v>1713</v>
      </c>
      <c r="H214" s="48" t="s">
        <v>647</v>
      </c>
      <c r="I214" s="69">
        <v>350000</v>
      </c>
      <c r="J214" s="68">
        <v>150</v>
      </c>
      <c r="K214" s="68">
        <v>0</v>
      </c>
      <c r="L214" s="48" t="s">
        <v>1713</v>
      </c>
      <c r="M214" s="48" t="s">
        <v>1713</v>
      </c>
      <c r="N214" s="48" t="s">
        <v>1713</v>
      </c>
      <c r="O214" s="23">
        <v>1000</v>
      </c>
    </row>
    <row r="215" spans="1:15" x14ac:dyDescent="0.25">
      <c r="A215" s="23">
        <v>213</v>
      </c>
      <c r="B215" s="581">
        <v>14997814.45651249</v>
      </c>
      <c r="C215" s="48" t="s">
        <v>1713</v>
      </c>
      <c r="D215" s="371" t="s">
        <v>1713</v>
      </c>
      <c r="E215" s="97"/>
      <c r="F215" s="325"/>
      <c r="G215" s="97" t="s">
        <v>1713</v>
      </c>
      <c r="H215" s="48" t="s">
        <v>647</v>
      </c>
      <c r="I215" s="69">
        <v>350000</v>
      </c>
      <c r="J215" s="68">
        <v>150</v>
      </c>
      <c r="K215" s="68">
        <v>0</v>
      </c>
      <c r="L215" s="48" t="s">
        <v>1713</v>
      </c>
      <c r="M215" s="48" t="s">
        <v>1713</v>
      </c>
      <c r="N215" s="48" t="s">
        <v>1713</v>
      </c>
      <c r="O215" s="23">
        <v>1000</v>
      </c>
    </row>
    <row r="216" spans="1:15" x14ac:dyDescent="0.25">
      <c r="A216" s="23">
        <v>214</v>
      </c>
      <c r="B216" s="581">
        <v>15297770.745642738</v>
      </c>
      <c r="C216" s="48" t="s">
        <v>1713</v>
      </c>
      <c r="D216" s="371" t="s">
        <v>1713</v>
      </c>
      <c r="E216" s="97"/>
      <c r="F216" s="325"/>
      <c r="G216" s="97" t="s">
        <v>1713</v>
      </c>
      <c r="H216" s="48" t="s">
        <v>647</v>
      </c>
      <c r="I216" s="69">
        <v>350000</v>
      </c>
      <c r="J216" s="68">
        <v>150</v>
      </c>
      <c r="K216" s="68">
        <v>0</v>
      </c>
      <c r="L216" s="48" t="s">
        <v>1713</v>
      </c>
      <c r="M216" s="48" t="s">
        <v>1713</v>
      </c>
      <c r="N216" s="48" t="s">
        <v>1713</v>
      </c>
      <c r="O216" s="23">
        <v>1000</v>
      </c>
    </row>
    <row r="217" spans="1:15" x14ac:dyDescent="0.25">
      <c r="A217" s="23">
        <v>215</v>
      </c>
      <c r="B217" s="581">
        <v>15603726.160555592</v>
      </c>
      <c r="C217" s="48" t="s">
        <v>1713</v>
      </c>
      <c r="D217" s="371" t="s">
        <v>1713</v>
      </c>
      <c r="E217" s="97"/>
      <c r="F217" s="325"/>
      <c r="G217" s="97" t="s">
        <v>1713</v>
      </c>
      <c r="H217" s="48" t="s">
        <v>647</v>
      </c>
      <c r="I217" s="69">
        <v>350000</v>
      </c>
      <c r="J217" s="68">
        <v>150</v>
      </c>
      <c r="K217" s="68">
        <v>0</v>
      </c>
      <c r="L217" s="48" t="s">
        <v>1713</v>
      </c>
      <c r="M217" s="48" t="s">
        <v>1713</v>
      </c>
      <c r="N217" s="48" t="s">
        <v>1713</v>
      </c>
      <c r="O217" s="23">
        <v>1000</v>
      </c>
    </row>
    <row r="218" spans="1:15" x14ac:dyDescent="0.25">
      <c r="A218" s="23">
        <v>216</v>
      </c>
      <c r="B218" s="581">
        <v>15915800.683766704</v>
      </c>
      <c r="C218" s="48" t="s">
        <v>1713</v>
      </c>
      <c r="D218" s="371" t="s">
        <v>1713</v>
      </c>
      <c r="E218" s="97"/>
      <c r="F218" s="325"/>
      <c r="G218" s="97" t="s">
        <v>1713</v>
      </c>
      <c r="H218" s="48" t="s">
        <v>647</v>
      </c>
      <c r="I218" s="69">
        <v>350000</v>
      </c>
      <c r="J218" s="68">
        <v>150</v>
      </c>
      <c r="K218" s="68">
        <v>0</v>
      </c>
      <c r="L218" s="48" t="s">
        <v>1713</v>
      </c>
      <c r="M218" s="48" t="s">
        <v>1713</v>
      </c>
      <c r="N218" s="48" t="s">
        <v>1713</v>
      </c>
      <c r="O218" s="23">
        <v>1000</v>
      </c>
    </row>
    <row r="219" spans="1:15" x14ac:dyDescent="0.25">
      <c r="A219" s="23">
        <v>217</v>
      </c>
      <c r="B219" s="581">
        <v>16234116.697442038</v>
      </c>
      <c r="C219" s="48" t="s">
        <v>1713</v>
      </c>
      <c r="D219" s="371" t="s">
        <v>1713</v>
      </c>
      <c r="E219" s="97"/>
      <c r="F219" s="325"/>
      <c r="G219" s="97" t="s">
        <v>1713</v>
      </c>
      <c r="H219" s="48" t="s">
        <v>647</v>
      </c>
      <c r="I219" s="69">
        <v>350000</v>
      </c>
      <c r="J219" s="68">
        <v>150</v>
      </c>
      <c r="K219" s="68">
        <v>0</v>
      </c>
      <c r="L219" s="48" t="s">
        <v>1713</v>
      </c>
      <c r="M219" s="48" t="s">
        <v>1713</v>
      </c>
      <c r="N219" s="48" t="s">
        <v>1713</v>
      </c>
      <c r="O219" s="23">
        <v>1000</v>
      </c>
    </row>
    <row r="220" spans="1:15" x14ac:dyDescent="0.25">
      <c r="A220" s="23">
        <v>218</v>
      </c>
      <c r="B220" s="581">
        <v>16558799.031390879</v>
      </c>
      <c r="C220" s="48" t="s">
        <v>1713</v>
      </c>
      <c r="D220" s="371" t="s">
        <v>1713</v>
      </c>
      <c r="E220" s="97"/>
      <c r="F220" s="325"/>
      <c r="G220" s="97" t="s">
        <v>1713</v>
      </c>
      <c r="H220" s="48" t="s">
        <v>647</v>
      </c>
      <c r="I220" s="69">
        <v>350000</v>
      </c>
      <c r="J220" s="68">
        <v>150</v>
      </c>
      <c r="K220" s="68">
        <v>0</v>
      </c>
      <c r="L220" s="48" t="s">
        <v>1713</v>
      </c>
      <c r="M220" s="48" t="s">
        <v>1713</v>
      </c>
      <c r="N220" s="48" t="s">
        <v>1713</v>
      </c>
      <c r="O220" s="23">
        <v>1000</v>
      </c>
    </row>
    <row r="221" spans="1:15" x14ac:dyDescent="0.25">
      <c r="A221" s="23">
        <v>219</v>
      </c>
      <c r="B221" s="581">
        <v>16889975.012018695</v>
      </c>
      <c r="C221" s="48" t="s">
        <v>1713</v>
      </c>
      <c r="D221" s="371" t="s">
        <v>1713</v>
      </c>
      <c r="E221" s="97"/>
      <c r="F221" s="325"/>
      <c r="G221" s="97" t="s">
        <v>1713</v>
      </c>
      <c r="H221" s="48" t="s">
        <v>647</v>
      </c>
      <c r="I221" s="69">
        <v>350000</v>
      </c>
      <c r="J221" s="68">
        <v>150</v>
      </c>
      <c r="K221" s="68">
        <v>0</v>
      </c>
      <c r="L221" s="48" t="s">
        <v>1713</v>
      </c>
      <c r="M221" s="48" t="s">
        <v>1713</v>
      </c>
      <c r="N221" s="48" t="s">
        <v>1713</v>
      </c>
      <c r="O221" s="23">
        <v>1000</v>
      </c>
    </row>
    <row r="222" spans="1:15" x14ac:dyDescent="0.25">
      <c r="A222" s="23">
        <v>220</v>
      </c>
      <c r="B222" s="581">
        <v>17227774.51225907</v>
      </c>
      <c r="C222" s="48" t="s">
        <v>1713</v>
      </c>
      <c r="D222" s="371" t="s">
        <v>1713</v>
      </c>
      <c r="E222" s="97"/>
      <c r="F222" s="325"/>
      <c r="G222" s="97" t="s">
        <v>1713</v>
      </c>
      <c r="H222" s="48" t="s">
        <v>647</v>
      </c>
      <c r="I222" s="69">
        <v>350000</v>
      </c>
      <c r="J222" s="68">
        <v>150</v>
      </c>
      <c r="K222" s="68">
        <v>0</v>
      </c>
      <c r="L222" s="48" t="s">
        <v>1713</v>
      </c>
      <c r="M222" s="48" t="s">
        <v>1713</v>
      </c>
      <c r="N222" s="48" t="s">
        <v>1713</v>
      </c>
      <c r="O222" s="23">
        <v>1000</v>
      </c>
    </row>
    <row r="223" spans="1:15" x14ac:dyDescent="0.25">
      <c r="A223" s="23">
        <v>221</v>
      </c>
      <c r="B223" s="581">
        <v>17572330.002504252</v>
      </c>
      <c r="C223" s="48" t="s">
        <v>1713</v>
      </c>
      <c r="D223" s="371" t="s">
        <v>1713</v>
      </c>
      <c r="E223" s="97"/>
      <c r="F223" s="325"/>
      <c r="G223" s="97" t="s">
        <v>1713</v>
      </c>
      <c r="H223" s="48" t="s">
        <v>647</v>
      </c>
      <c r="I223" s="69">
        <v>350000</v>
      </c>
      <c r="J223" s="68">
        <v>150</v>
      </c>
      <c r="K223" s="68">
        <v>0</v>
      </c>
      <c r="L223" s="48" t="s">
        <v>1713</v>
      </c>
      <c r="M223" s="48" t="s">
        <v>1713</v>
      </c>
      <c r="N223" s="48" t="s">
        <v>1713</v>
      </c>
      <c r="O223" s="23">
        <v>1000</v>
      </c>
    </row>
    <row r="224" spans="1:15" x14ac:dyDescent="0.25">
      <c r="A224" s="23">
        <v>222</v>
      </c>
      <c r="B224" s="581">
        <v>17923776.602554336</v>
      </c>
      <c r="C224" s="48" t="s">
        <v>1713</v>
      </c>
      <c r="D224" s="371" t="s">
        <v>1713</v>
      </c>
      <c r="E224" s="97"/>
      <c r="F224" s="325"/>
      <c r="G224" s="97" t="s">
        <v>1713</v>
      </c>
      <c r="H224" s="48" t="s">
        <v>647</v>
      </c>
      <c r="I224" s="69">
        <v>350000</v>
      </c>
      <c r="J224" s="68">
        <v>150</v>
      </c>
      <c r="K224" s="68">
        <v>0</v>
      </c>
      <c r="L224" s="48" t="s">
        <v>1713</v>
      </c>
      <c r="M224" s="48" t="s">
        <v>1713</v>
      </c>
      <c r="N224" s="48" t="s">
        <v>1713</v>
      </c>
      <c r="O224" s="23">
        <v>1000</v>
      </c>
    </row>
    <row r="225" spans="1:15" x14ac:dyDescent="0.25">
      <c r="A225" s="23">
        <v>223</v>
      </c>
      <c r="B225" s="581">
        <v>18282252.134605426</v>
      </c>
      <c r="C225" s="48" t="s">
        <v>1713</v>
      </c>
      <c r="D225" s="371" t="s">
        <v>1713</v>
      </c>
      <c r="E225" s="97"/>
      <c r="F225" s="325"/>
      <c r="G225" s="97" t="s">
        <v>1713</v>
      </c>
      <c r="H225" s="48" t="s">
        <v>647</v>
      </c>
      <c r="I225" s="69">
        <v>350000</v>
      </c>
      <c r="J225" s="68">
        <v>150</v>
      </c>
      <c r="K225" s="68">
        <v>0</v>
      </c>
      <c r="L225" s="48" t="s">
        <v>1713</v>
      </c>
      <c r="M225" s="48" t="s">
        <v>1713</v>
      </c>
      <c r="N225" s="48" t="s">
        <v>1713</v>
      </c>
      <c r="O225" s="23">
        <v>1000</v>
      </c>
    </row>
    <row r="226" spans="1:15" x14ac:dyDescent="0.25">
      <c r="A226" s="23">
        <v>224</v>
      </c>
      <c r="B226" s="581">
        <v>18647897.177297533</v>
      </c>
      <c r="C226" s="48" t="s">
        <v>1713</v>
      </c>
      <c r="D226" s="371" t="s">
        <v>1713</v>
      </c>
      <c r="E226" s="97"/>
      <c r="F226" s="325"/>
      <c r="G226" s="97" t="s">
        <v>1713</v>
      </c>
      <c r="H226" s="48" t="s">
        <v>647</v>
      </c>
      <c r="I226" s="69">
        <v>350000</v>
      </c>
      <c r="J226" s="68">
        <v>150</v>
      </c>
      <c r="K226" s="68">
        <v>0</v>
      </c>
      <c r="L226" s="48" t="s">
        <v>1713</v>
      </c>
      <c r="M226" s="48" t="s">
        <v>1713</v>
      </c>
      <c r="N226" s="48" t="s">
        <v>1713</v>
      </c>
      <c r="O226" s="23">
        <v>1000</v>
      </c>
    </row>
    <row r="227" spans="1:15" x14ac:dyDescent="0.25">
      <c r="A227" s="23">
        <v>225</v>
      </c>
      <c r="B227" s="581">
        <v>19020855.120843485</v>
      </c>
      <c r="C227" s="48" t="s">
        <v>1713</v>
      </c>
      <c r="D227" s="371" t="s">
        <v>1713</v>
      </c>
      <c r="E227" s="97"/>
      <c r="F227" s="325"/>
      <c r="G227" s="97" t="s">
        <v>1713</v>
      </c>
      <c r="H227" s="48" t="s">
        <v>647</v>
      </c>
      <c r="I227" s="69">
        <v>350000</v>
      </c>
      <c r="J227" s="68">
        <v>150</v>
      </c>
      <c r="K227" s="68">
        <v>0</v>
      </c>
      <c r="L227" s="48" t="s">
        <v>1713</v>
      </c>
      <c r="M227" s="48" t="s">
        <v>1713</v>
      </c>
      <c r="N227" s="48" t="s">
        <v>1713</v>
      </c>
      <c r="O227" s="23">
        <v>1000</v>
      </c>
    </row>
    <row r="228" spans="1:15" x14ac:dyDescent="0.25">
      <c r="A228" s="23">
        <v>226</v>
      </c>
      <c r="B228" s="581">
        <v>19401272.223260354</v>
      </c>
      <c r="C228" s="48" t="s">
        <v>1713</v>
      </c>
      <c r="D228" s="371" t="s">
        <v>1713</v>
      </c>
      <c r="E228" s="97"/>
      <c r="F228" s="325"/>
      <c r="G228" s="97" t="s">
        <v>1713</v>
      </c>
      <c r="H228" s="48" t="s">
        <v>647</v>
      </c>
      <c r="I228" s="69">
        <v>350000</v>
      </c>
      <c r="J228" s="68">
        <v>150</v>
      </c>
      <c r="K228" s="68">
        <v>0</v>
      </c>
      <c r="L228" s="48" t="s">
        <v>1713</v>
      </c>
      <c r="M228" s="48" t="s">
        <v>1713</v>
      </c>
      <c r="N228" s="48" t="s">
        <v>1713</v>
      </c>
      <c r="O228" s="23">
        <v>1000</v>
      </c>
    </row>
    <row r="229" spans="1:15" x14ac:dyDescent="0.25">
      <c r="A229" s="23">
        <v>227</v>
      </c>
      <c r="B229" s="581">
        <v>19789297.667725559</v>
      </c>
      <c r="C229" s="48" t="s">
        <v>1713</v>
      </c>
      <c r="D229" s="371" t="s">
        <v>1713</v>
      </c>
      <c r="E229" s="97"/>
      <c r="F229" s="325"/>
      <c r="G229" s="97" t="s">
        <v>1713</v>
      </c>
      <c r="H229" s="48" t="s">
        <v>647</v>
      </c>
      <c r="I229" s="69">
        <v>350000</v>
      </c>
      <c r="J229" s="68">
        <v>150</v>
      </c>
      <c r="K229" s="68">
        <v>0</v>
      </c>
      <c r="L229" s="48" t="s">
        <v>1713</v>
      </c>
      <c r="M229" s="48" t="s">
        <v>1713</v>
      </c>
      <c r="N229" s="48" t="s">
        <v>1713</v>
      </c>
      <c r="O229" s="23">
        <v>1000</v>
      </c>
    </row>
    <row r="230" spans="1:15" x14ac:dyDescent="0.25">
      <c r="A230" s="23">
        <v>228</v>
      </c>
      <c r="B230" s="581">
        <v>20185083.621080071</v>
      </c>
      <c r="C230" s="48" t="s">
        <v>1713</v>
      </c>
      <c r="D230" s="371" t="s">
        <v>1713</v>
      </c>
      <c r="E230" s="97"/>
      <c r="F230" s="325"/>
      <c r="G230" s="97" t="s">
        <v>1713</v>
      </c>
      <c r="H230" s="48" t="s">
        <v>647</v>
      </c>
      <c r="I230" s="69">
        <v>350000</v>
      </c>
      <c r="J230" s="68">
        <v>150</v>
      </c>
      <c r="K230" s="68">
        <v>0</v>
      </c>
      <c r="L230" s="48" t="s">
        <v>1713</v>
      </c>
      <c r="M230" s="48" t="s">
        <v>1713</v>
      </c>
      <c r="N230" s="48" t="s">
        <v>1713</v>
      </c>
      <c r="O230" s="23">
        <v>1000</v>
      </c>
    </row>
    <row r="231" spans="1:15" x14ac:dyDescent="0.25">
      <c r="A231" s="23">
        <v>229</v>
      </c>
      <c r="B231" s="581">
        <v>20588785.293501671</v>
      </c>
      <c r="C231" s="48" t="s">
        <v>1713</v>
      </c>
      <c r="D231" s="371" t="s">
        <v>1713</v>
      </c>
      <c r="E231" s="97"/>
      <c r="F231" s="325"/>
      <c r="G231" s="97" t="s">
        <v>1713</v>
      </c>
      <c r="H231" s="48" t="s">
        <v>647</v>
      </c>
      <c r="I231" s="69">
        <v>350000</v>
      </c>
      <c r="J231" s="68">
        <v>150</v>
      </c>
      <c r="K231" s="68">
        <v>0</v>
      </c>
      <c r="L231" s="48" t="s">
        <v>1713</v>
      </c>
      <c r="M231" s="48" t="s">
        <v>1713</v>
      </c>
      <c r="N231" s="48" t="s">
        <v>1713</v>
      </c>
      <c r="O231" s="23">
        <v>1000</v>
      </c>
    </row>
    <row r="232" spans="1:15" x14ac:dyDescent="0.25">
      <c r="A232" s="23">
        <v>230</v>
      </c>
      <c r="B232" s="581">
        <v>21000560.999371707</v>
      </c>
      <c r="C232" s="48" t="s">
        <v>1713</v>
      </c>
      <c r="D232" s="371" t="s">
        <v>1713</v>
      </c>
      <c r="E232" s="97"/>
      <c r="F232" s="325"/>
      <c r="G232" s="97" t="s">
        <v>1713</v>
      </c>
      <c r="H232" s="48" t="s">
        <v>647</v>
      </c>
      <c r="I232" s="69">
        <v>350000</v>
      </c>
      <c r="J232" s="68">
        <v>150</v>
      </c>
      <c r="K232" s="68">
        <v>0</v>
      </c>
      <c r="L232" s="48" t="s">
        <v>1713</v>
      </c>
      <c r="M232" s="48" t="s">
        <v>1713</v>
      </c>
      <c r="N232" s="48" t="s">
        <v>1713</v>
      </c>
      <c r="O232" s="23">
        <v>1000</v>
      </c>
    </row>
    <row r="233" spans="1:15" x14ac:dyDescent="0.25">
      <c r="A233" s="23">
        <v>231</v>
      </c>
      <c r="B233" s="581">
        <v>21420572.219359141</v>
      </c>
      <c r="C233" s="48" t="s">
        <v>1713</v>
      </c>
      <c r="D233" s="371" t="s">
        <v>1713</v>
      </c>
      <c r="E233" s="97"/>
      <c r="F233" s="325"/>
      <c r="G233" s="97" t="s">
        <v>1713</v>
      </c>
      <c r="H233" s="48" t="s">
        <v>647</v>
      </c>
      <c r="I233" s="69">
        <v>350000</v>
      </c>
      <c r="J233" s="68">
        <v>150</v>
      </c>
      <c r="K233" s="68">
        <v>0</v>
      </c>
      <c r="L233" s="48" t="s">
        <v>1713</v>
      </c>
      <c r="M233" s="48" t="s">
        <v>1713</v>
      </c>
      <c r="N233" s="48" t="s">
        <v>1713</v>
      </c>
      <c r="O233" s="23">
        <v>1000</v>
      </c>
    </row>
    <row r="234" spans="1:15" x14ac:dyDescent="0.25">
      <c r="A234" s="23">
        <v>232</v>
      </c>
      <c r="B234" s="581">
        <v>21848983.663746323</v>
      </c>
      <c r="C234" s="48" t="s">
        <v>1713</v>
      </c>
      <c r="D234" s="371" t="s">
        <v>1713</v>
      </c>
      <c r="E234" s="97"/>
      <c r="F234" s="325"/>
      <c r="G234" s="97" t="s">
        <v>1713</v>
      </c>
      <c r="H234" s="48" t="s">
        <v>647</v>
      </c>
      <c r="I234" s="69">
        <v>350000</v>
      </c>
      <c r="J234" s="68">
        <v>150</v>
      </c>
      <c r="K234" s="68">
        <v>0</v>
      </c>
      <c r="L234" s="48" t="s">
        <v>1713</v>
      </c>
      <c r="M234" s="48" t="s">
        <v>1713</v>
      </c>
      <c r="N234" s="48" t="s">
        <v>1713</v>
      </c>
      <c r="O234" s="23">
        <v>1000</v>
      </c>
    </row>
    <row r="235" spans="1:15" x14ac:dyDescent="0.25">
      <c r="A235" s="23">
        <v>233</v>
      </c>
      <c r="B235" s="581">
        <v>22285963.33702125</v>
      </c>
      <c r="C235" s="48" t="s">
        <v>1713</v>
      </c>
      <c r="D235" s="371" t="s">
        <v>1713</v>
      </c>
      <c r="E235" s="97"/>
      <c r="F235" s="325"/>
      <c r="G235" s="97" t="s">
        <v>1713</v>
      </c>
      <c r="H235" s="48" t="s">
        <v>647</v>
      </c>
      <c r="I235" s="69">
        <v>350000</v>
      </c>
      <c r="J235" s="68">
        <v>150</v>
      </c>
      <c r="K235" s="68">
        <v>0</v>
      </c>
      <c r="L235" s="48" t="s">
        <v>1713</v>
      </c>
      <c r="M235" s="48" t="s">
        <v>1713</v>
      </c>
      <c r="N235" s="48" t="s">
        <v>1713</v>
      </c>
      <c r="O235" s="23">
        <v>1000</v>
      </c>
    </row>
    <row r="236" spans="1:15" x14ac:dyDescent="0.25">
      <c r="A236" s="23">
        <v>234</v>
      </c>
      <c r="B236" s="581">
        <v>22731682.603761677</v>
      </c>
      <c r="C236" s="48" t="s">
        <v>1713</v>
      </c>
      <c r="D236" s="371" t="s">
        <v>1713</v>
      </c>
      <c r="E236" s="97"/>
      <c r="F236" s="325"/>
      <c r="G236" s="97" t="s">
        <v>1713</v>
      </c>
      <c r="H236" s="48" t="s">
        <v>647</v>
      </c>
      <c r="I236" s="69">
        <v>350000</v>
      </c>
      <c r="J236" s="68">
        <v>150</v>
      </c>
      <c r="K236" s="68">
        <v>0</v>
      </c>
      <c r="L236" s="48" t="s">
        <v>1713</v>
      </c>
      <c r="M236" s="48" t="s">
        <v>1713</v>
      </c>
      <c r="N236" s="48" t="s">
        <v>1713</v>
      </c>
      <c r="O236" s="23">
        <v>1000</v>
      </c>
    </row>
    <row r="237" spans="1:15" x14ac:dyDescent="0.25">
      <c r="A237" s="23">
        <v>235</v>
      </c>
      <c r="B237" s="581">
        <v>23186316.255836911</v>
      </c>
      <c r="C237" s="48" t="s">
        <v>1713</v>
      </c>
      <c r="D237" s="371" t="s">
        <v>1713</v>
      </c>
      <c r="E237" s="97"/>
      <c r="F237" s="325"/>
      <c r="G237" s="97" t="s">
        <v>1713</v>
      </c>
      <c r="H237" s="48" t="s">
        <v>647</v>
      </c>
      <c r="I237" s="69">
        <v>350000</v>
      </c>
      <c r="J237" s="68">
        <v>150</v>
      </c>
      <c r="K237" s="68">
        <v>0</v>
      </c>
      <c r="L237" s="48" t="s">
        <v>1713</v>
      </c>
      <c r="M237" s="48" t="s">
        <v>1713</v>
      </c>
      <c r="N237" s="48" t="s">
        <v>1713</v>
      </c>
      <c r="O237" s="23">
        <v>1000</v>
      </c>
    </row>
    <row r="238" spans="1:15" x14ac:dyDescent="0.25">
      <c r="A238" s="23">
        <v>236</v>
      </c>
      <c r="B238" s="581">
        <v>23650042.58095365</v>
      </c>
      <c r="C238" s="48" t="s">
        <v>1713</v>
      </c>
      <c r="D238" s="371" t="s">
        <v>1713</v>
      </c>
      <c r="E238" s="97"/>
      <c r="F238" s="325"/>
      <c r="G238" s="97" t="s">
        <v>1713</v>
      </c>
      <c r="H238" s="48" t="s">
        <v>647</v>
      </c>
      <c r="I238" s="69">
        <v>350000</v>
      </c>
      <c r="J238" s="68">
        <v>150</v>
      </c>
      <c r="K238" s="68">
        <v>0</v>
      </c>
      <c r="L238" s="48" t="s">
        <v>1713</v>
      </c>
      <c r="M238" s="48" t="s">
        <v>1713</v>
      </c>
      <c r="N238" s="48" t="s">
        <v>1713</v>
      </c>
      <c r="O238" s="23">
        <v>1000</v>
      </c>
    </row>
    <row r="239" spans="1:15" x14ac:dyDescent="0.25">
      <c r="A239" s="23">
        <v>237</v>
      </c>
      <c r="B239" s="581">
        <v>24123043.432572719</v>
      </c>
      <c r="C239" s="48" t="s">
        <v>1713</v>
      </c>
      <c r="D239" s="371" t="s">
        <v>1713</v>
      </c>
      <c r="E239" s="97"/>
      <c r="F239" s="325"/>
      <c r="G239" s="97" t="s">
        <v>1713</v>
      </c>
      <c r="H239" s="48" t="s">
        <v>647</v>
      </c>
      <c r="I239" s="69">
        <v>350000</v>
      </c>
      <c r="J239" s="68">
        <v>150</v>
      </c>
      <c r="K239" s="68">
        <v>0</v>
      </c>
      <c r="L239" s="48" t="s">
        <v>1713</v>
      </c>
      <c r="M239" s="48" t="s">
        <v>1713</v>
      </c>
      <c r="N239" s="48" t="s">
        <v>1713</v>
      </c>
      <c r="O239" s="23">
        <v>1000</v>
      </c>
    </row>
    <row r="240" spans="1:15" x14ac:dyDescent="0.25">
      <c r="A240" s="23">
        <v>238</v>
      </c>
      <c r="B240" s="581">
        <v>24605504.301224176</v>
      </c>
      <c r="C240" s="48" t="s">
        <v>1713</v>
      </c>
      <c r="D240" s="371" t="s">
        <v>1713</v>
      </c>
      <c r="E240" s="97"/>
      <c r="F240" s="325"/>
      <c r="G240" s="97" t="s">
        <v>1713</v>
      </c>
      <c r="H240" s="48" t="s">
        <v>647</v>
      </c>
      <c r="I240" s="69">
        <v>350000</v>
      </c>
      <c r="J240" s="68">
        <v>150</v>
      </c>
      <c r="K240" s="68">
        <v>0</v>
      </c>
      <c r="L240" s="48" t="s">
        <v>1713</v>
      </c>
      <c r="M240" s="48" t="s">
        <v>1713</v>
      </c>
      <c r="N240" s="48" t="s">
        <v>1713</v>
      </c>
      <c r="O240" s="23">
        <v>1000</v>
      </c>
    </row>
    <row r="241" spans="1:15" x14ac:dyDescent="0.25">
      <c r="A241" s="23">
        <v>239</v>
      </c>
      <c r="B241" s="581">
        <v>25097614.387248661</v>
      </c>
      <c r="C241" s="48" t="s">
        <v>1713</v>
      </c>
      <c r="D241" s="371" t="s">
        <v>1713</v>
      </c>
      <c r="E241" s="97"/>
      <c r="F241" s="325"/>
      <c r="G241" s="97" t="s">
        <v>1713</v>
      </c>
      <c r="H241" s="48" t="s">
        <v>647</v>
      </c>
      <c r="I241" s="69">
        <v>350000</v>
      </c>
      <c r="J241" s="68">
        <v>150</v>
      </c>
      <c r="K241" s="68">
        <v>0</v>
      </c>
      <c r="L241" s="48" t="s">
        <v>1713</v>
      </c>
      <c r="M241" s="48" t="s">
        <v>1713</v>
      </c>
      <c r="N241" s="48" t="s">
        <v>1713</v>
      </c>
      <c r="O241" s="23">
        <v>1000</v>
      </c>
    </row>
    <row r="242" spans="1:15" x14ac:dyDescent="0.25">
      <c r="A242" s="23">
        <v>240</v>
      </c>
      <c r="B242" s="581">
        <v>25599566.67499363</v>
      </c>
      <c r="C242" s="48" t="s">
        <v>1713</v>
      </c>
      <c r="D242" s="371" t="s">
        <v>1713</v>
      </c>
      <c r="E242" s="97"/>
      <c r="F242" s="325"/>
      <c r="G242" s="97" t="s">
        <v>1713</v>
      </c>
      <c r="H242" s="48" t="s">
        <v>647</v>
      </c>
      <c r="I242" s="69">
        <v>350000</v>
      </c>
      <c r="J242" s="68">
        <v>150</v>
      </c>
      <c r="K242" s="68">
        <v>0</v>
      </c>
      <c r="L242" s="48" t="s">
        <v>1713</v>
      </c>
      <c r="M242" s="48" t="s">
        <v>1713</v>
      </c>
      <c r="N242" s="48" t="s">
        <v>1713</v>
      </c>
      <c r="O242" s="23">
        <v>1000</v>
      </c>
    </row>
    <row r="243" spans="1:15" x14ac:dyDescent="0.25">
      <c r="A243" s="23">
        <v>241</v>
      </c>
      <c r="B243" s="581">
        <v>26111558.008493505</v>
      </c>
      <c r="C243" s="48" t="s">
        <v>1713</v>
      </c>
      <c r="D243" s="371" t="s">
        <v>1713</v>
      </c>
      <c r="E243" s="97"/>
      <c r="F243" s="325"/>
      <c r="G243" s="97" t="s">
        <v>1713</v>
      </c>
      <c r="H243" s="48" t="s">
        <v>647</v>
      </c>
      <c r="I243" s="69">
        <v>350000</v>
      </c>
      <c r="J243" s="68">
        <v>150</v>
      </c>
      <c r="K243" s="68">
        <v>0</v>
      </c>
      <c r="L243" s="48" t="s">
        <v>1713</v>
      </c>
      <c r="M243" s="48" t="s">
        <v>1713</v>
      </c>
      <c r="N243" s="48" t="s">
        <v>1713</v>
      </c>
      <c r="O243" s="23">
        <v>1000</v>
      </c>
    </row>
    <row r="244" spans="1:15" x14ac:dyDescent="0.25">
      <c r="A244" s="23">
        <v>242</v>
      </c>
      <c r="B244" s="581">
        <v>26633789.168663375</v>
      </c>
      <c r="C244" s="48" t="s">
        <v>1713</v>
      </c>
      <c r="D244" s="371" t="s">
        <v>1713</v>
      </c>
      <c r="E244" s="97"/>
      <c r="F244" s="325"/>
      <c r="G244" s="97" t="s">
        <v>1713</v>
      </c>
      <c r="H244" s="48" t="s">
        <v>647</v>
      </c>
      <c r="I244" s="69">
        <v>350000</v>
      </c>
      <c r="J244" s="68">
        <v>150</v>
      </c>
      <c r="K244" s="68">
        <v>0</v>
      </c>
      <c r="L244" s="48" t="s">
        <v>1713</v>
      </c>
      <c r="M244" s="48" t="s">
        <v>1713</v>
      </c>
      <c r="N244" s="48" t="s">
        <v>1713</v>
      </c>
      <c r="O244" s="23">
        <v>1000</v>
      </c>
    </row>
    <row r="245" spans="1:15" x14ac:dyDescent="0.25">
      <c r="A245" s="23">
        <v>243</v>
      </c>
      <c r="B245" s="581">
        <v>27166464.952036642</v>
      </c>
      <c r="C245" s="48" t="s">
        <v>1713</v>
      </c>
      <c r="D245" s="371" t="s">
        <v>1713</v>
      </c>
      <c r="E245" s="97"/>
      <c r="F245" s="325"/>
      <c r="G245" s="97" t="s">
        <v>1713</v>
      </c>
      <c r="H245" s="48" t="s">
        <v>647</v>
      </c>
      <c r="I245" s="69">
        <v>350000</v>
      </c>
      <c r="J245" s="68">
        <v>150</v>
      </c>
      <c r="K245" s="68">
        <v>0</v>
      </c>
      <c r="L245" s="48" t="s">
        <v>1713</v>
      </c>
      <c r="M245" s="48" t="s">
        <v>1713</v>
      </c>
      <c r="N245" s="48" t="s">
        <v>1713</v>
      </c>
      <c r="O245" s="23">
        <v>1000</v>
      </c>
    </row>
    <row r="246" spans="1:15" x14ac:dyDescent="0.25">
      <c r="A246" s="23">
        <v>244</v>
      </c>
      <c r="B246" s="581">
        <v>27709794.251077376</v>
      </c>
      <c r="C246" s="48" t="s">
        <v>1713</v>
      </c>
      <c r="D246" s="371" t="s">
        <v>1713</v>
      </c>
      <c r="E246" s="97"/>
      <c r="F246" s="325"/>
      <c r="G246" s="97" t="s">
        <v>1713</v>
      </c>
      <c r="H246" s="48" t="s">
        <v>647</v>
      </c>
      <c r="I246" s="69">
        <v>350000</v>
      </c>
      <c r="J246" s="68">
        <v>150</v>
      </c>
      <c r="K246" s="68">
        <v>0</v>
      </c>
      <c r="L246" s="48" t="s">
        <v>1713</v>
      </c>
      <c r="M246" s="48" t="s">
        <v>1713</v>
      </c>
      <c r="N246" s="48" t="s">
        <v>1713</v>
      </c>
      <c r="O246" s="23">
        <v>1000</v>
      </c>
    </row>
    <row r="247" spans="1:15" x14ac:dyDescent="0.25">
      <c r="A247" s="23">
        <v>245</v>
      </c>
      <c r="B247" s="581">
        <v>28263990.136098921</v>
      </c>
      <c r="C247" s="48" t="s">
        <v>1713</v>
      </c>
      <c r="D247" s="371" t="s">
        <v>1713</v>
      </c>
      <c r="E247" s="97"/>
      <c r="F247" s="325"/>
      <c r="G247" s="97" t="s">
        <v>1713</v>
      </c>
      <c r="H247" s="48" t="s">
        <v>647</v>
      </c>
      <c r="I247" s="69">
        <v>350000</v>
      </c>
      <c r="J247" s="68">
        <v>150</v>
      </c>
      <c r="K247" s="68">
        <v>0</v>
      </c>
      <c r="L247" s="48" t="s">
        <v>1713</v>
      </c>
      <c r="M247" s="48" t="s">
        <v>1713</v>
      </c>
      <c r="N247" s="48" t="s">
        <v>1713</v>
      </c>
      <c r="O247" s="23">
        <v>1000</v>
      </c>
    </row>
    <row r="248" spans="1:15" x14ac:dyDescent="0.25">
      <c r="A248" s="23">
        <v>246</v>
      </c>
      <c r="B248" s="581">
        <v>28829269.938820902</v>
      </c>
      <c r="C248" s="48" t="s">
        <v>1713</v>
      </c>
      <c r="D248" s="371" t="s">
        <v>1713</v>
      </c>
      <c r="E248" s="97"/>
      <c r="F248" s="325"/>
      <c r="G248" s="97" t="s">
        <v>1713</v>
      </c>
      <c r="H248" s="48" t="s">
        <v>647</v>
      </c>
      <c r="I248" s="69">
        <v>350000</v>
      </c>
      <c r="J248" s="68">
        <v>150</v>
      </c>
      <c r="K248" s="68">
        <v>0</v>
      </c>
      <c r="L248" s="48" t="s">
        <v>1713</v>
      </c>
      <c r="M248" s="48" t="s">
        <v>1713</v>
      </c>
      <c r="N248" s="48" t="s">
        <v>1713</v>
      </c>
      <c r="O248" s="23">
        <v>1000</v>
      </c>
    </row>
    <row r="249" spans="1:15" x14ac:dyDescent="0.25">
      <c r="A249" s="23">
        <v>247</v>
      </c>
      <c r="B249" s="581">
        <v>29405855.337597322</v>
      </c>
      <c r="C249" s="48" t="s">
        <v>1713</v>
      </c>
      <c r="D249" s="371" t="s">
        <v>1713</v>
      </c>
      <c r="E249" s="97"/>
      <c r="F249" s="325"/>
      <c r="G249" s="97" t="s">
        <v>1713</v>
      </c>
      <c r="H249" s="48" t="s">
        <v>647</v>
      </c>
      <c r="I249" s="69">
        <v>350000</v>
      </c>
      <c r="J249" s="68">
        <v>150</v>
      </c>
      <c r="K249" s="68">
        <v>0</v>
      </c>
      <c r="L249" s="48" t="s">
        <v>1713</v>
      </c>
      <c r="M249" s="48" t="s">
        <v>1713</v>
      </c>
      <c r="N249" s="48" t="s">
        <v>1713</v>
      </c>
      <c r="O249" s="23">
        <v>1000</v>
      </c>
    </row>
    <row r="250" spans="1:15" x14ac:dyDescent="0.25">
      <c r="A250" s="23">
        <v>248</v>
      </c>
      <c r="B250" s="581">
        <v>29993972.44434927</v>
      </c>
      <c r="C250" s="48" t="s">
        <v>1713</v>
      </c>
      <c r="D250" s="371" t="s">
        <v>1713</v>
      </c>
      <c r="E250" s="97"/>
      <c r="F250" s="325"/>
      <c r="G250" s="97" t="s">
        <v>1713</v>
      </c>
      <c r="H250" s="48" t="s">
        <v>647</v>
      </c>
      <c r="I250" s="69">
        <v>350000</v>
      </c>
      <c r="J250" s="68">
        <v>150</v>
      </c>
      <c r="K250" s="68">
        <v>0</v>
      </c>
      <c r="L250" s="48" t="s">
        <v>1713</v>
      </c>
      <c r="M250" s="48" t="s">
        <v>1713</v>
      </c>
      <c r="N250" s="48" t="s">
        <v>1713</v>
      </c>
      <c r="O250" s="23">
        <v>1000</v>
      </c>
    </row>
    <row r="251" spans="1:15" x14ac:dyDescent="0.25">
      <c r="A251" s="23">
        <v>249</v>
      </c>
      <c r="B251" s="581">
        <v>30593851.893236261</v>
      </c>
      <c r="C251" s="48" t="s">
        <v>1713</v>
      </c>
      <c r="D251" s="371" t="s">
        <v>1713</v>
      </c>
      <c r="E251" s="97"/>
      <c r="F251" s="325"/>
      <c r="G251" s="97" t="s">
        <v>1713</v>
      </c>
      <c r="H251" s="48" t="s">
        <v>647</v>
      </c>
      <c r="I251" s="69">
        <v>350000</v>
      </c>
      <c r="J251" s="68">
        <v>150</v>
      </c>
      <c r="K251" s="68">
        <v>0</v>
      </c>
      <c r="L251" s="48" t="s">
        <v>1713</v>
      </c>
      <c r="M251" s="48" t="s">
        <v>1713</v>
      </c>
      <c r="N251" s="48" t="s">
        <v>1713</v>
      </c>
      <c r="O251" s="23">
        <v>1000</v>
      </c>
    </row>
    <row r="252" spans="1:15" x14ac:dyDescent="0.25">
      <c r="A252" s="23">
        <v>250</v>
      </c>
      <c r="B252" s="581">
        <v>33041360.044695161</v>
      </c>
      <c r="C252" s="48" t="s">
        <v>1713</v>
      </c>
      <c r="D252" s="371" t="s">
        <v>1713</v>
      </c>
      <c r="E252" s="97"/>
      <c r="F252" s="325"/>
      <c r="G252" s="97" t="s">
        <v>1713</v>
      </c>
      <c r="H252" s="48" t="s">
        <v>647</v>
      </c>
      <c r="I252" s="69">
        <v>350000</v>
      </c>
      <c r="J252" s="68">
        <v>200</v>
      </c>
      <c r="K252" s="68">
        <v>0</v>
      </c>
      <c r="L252" s="48" t="s">
        <v>1713</v>
      </c>
      <c r="M252" s="48" t="s">
        <v>1713</v>
      </c>
      <c r="N252" s="48" t="s">
        <v>1713</v>
      </c>
      <c r="O252" s="23">
        <v>1000</v>
      </c>
    </row>
    <row r="253" spans="1:15" x14ac:dyDescent="0.25">
      <c r="A253" s="4">
        <v>251</v>
      </c>
      <c r="B253" s="581">
        <v>35684668.848270781</v>
      </c>
      <c r="C253" s="48" t="s">
        <v>1713</v>
      </c>
      <c r="D253" s="371" t="s">
        <v>1713</v>
      </c>
      <c r="E253" s="97"/>
      <c r="F253" s="325"/>
      <c r="G253" s="97" t="s">
        <v>1713</v>
      </c>
      <c r="H253" s="48" t="s">
        <v>647</v>
      </c>
      <c r="I253" s="69">
        <v>350000</v>
      </c>
      <c r="J253" s="68">
        <v>200</v>
      </c>
      <c r="K253" s="68">
        <v>0</v>
      </c>
      <c r="L253" s="48" t="s">
        <v>1713</v>
      </c>
      <c r="M253" s="48" t="s">
        <v>1713</v>
      </c>
      <c r="N253" s="48" t="s">
        <v>1713</v>
      </c>
      <c r="O253" s="23">
        <v>1000</v>
      </c>
    </row>
    <row r="254" spans="1:15" x14ac:dyDescent="0.25">
      <c r="A254" s="4">
        <v>252</v>
      </c>
      <c r="B254" s="581">
        <v>38539442.35613244</v>
      </c>
      <c r="C254" s="48" t="s">
        <v>1713</v>
      </c>
      <c r="D254" s="371" t="s">
        <v>1713</v>
      </c>
      <c r="E254" s="97"/>
      <c r="F254" s="325"/>
      <c r="G254" s="97" t="s">
        <v>1713</v>
      </c>
      <c r="H254" s="48" t="s">
        <v>647</v>
      </c>
      <c r="I254" s="69">
        <v>350000</v>
      </c>
      <c r="J254" s="68">
        <v>200</v>
      </c>
      <c r="K254" s="68">
        <v>0</v>
      </c>
      <c r="L254" s="48" t="s">
        <v>1713</v>
      </c>
      <c r="M254" s="48" t="s">
        <v>1713</v>
      </c>
      <c r="N254" s="48" t="s">
        <v>1713</v>
      </c>
      <c r="O254" s="23">
        <v>1000</v>
      </c>
    </row>
    <row r="255" spans="1:15" x14ac:dyDescent="0.25">
      <c r="A255" s="4">
        <v>253</v>
      </c>
      <c r="B255" s="581">
        <v>41622597.744623043</v>
      </c>
      <c r="C255" s="48" t="s">
        <v>1713</v>
      </c>
      <c r="D255" s="371" t="s">
        <v>1713</v>
      </c>
      <c r="E255" s="97"/>
      <c r="F255" s="325"/>
      <c r="G255" s="97" t="s">
        <v>1713</v>
      </c>
      <c r="H255" s="48" t="s">
        <v>647</v>
      </c>
      <c r="I255" s="69">
        <v>350000</v>
      </c>
      <c r="J255" s="68">
        <v>200</v>
      </c>
      <c r="K255" s="68">
        <v>0</v>
      </c>
      <c r="L255" s="48" t="s">
        <v>1713</v>
      </c>
      <c r="M255" s="48" t="s">
        <v>1713</v>
      </c>
      <c r="N255" s="48" t="s">
        <v>1713</v>
      </c>
      <c r="O255" s="23">
        <v>1000</v>
      </c>
    </row>
    <row r="256" spans="1:15" x14ac:dyDescent="0.25">
      <c r="A256" s="4">
        <v>254</v>
      </c>
      <c r="B256" s="581">
        <v>44952405.564192891</v>
      </c>
      <c r="C256" s="48" t="s">
        <v>1713</v>
      </c>
      <c r="D256" s="371" t="s">
        <v>1713</v>
      </c>
      <c r="E256" s="97"/>
      <c r="F256" s="325"/>
      <c r="G256" s="97" t="s">
        <v>1713</v>
      </c>
      <c r="H256" s="48" t="s">
        <v>647</v>
      </c>
      <c r="I256" s="69">
        <v>350000</v>
      </c>
      <c r="J256" s="68">
        <v>200</v>
      </c>
      <c r="K256" s="68">
        <v>0</v>
      </c>
      <c r="L256" s="48" t="s">
        <v>1713</v>
      </c>
      <c r="M256" s="48" t="s">
        <v>1713</v>
      </c>
      <c r="N256" s="48" t="s">
        <v>1713</v>
      </c>
      <c r="O256" s="23">
        <v>1000</v>
      </c>
    </row>
    <row r="257" spans="1:15" x14ac:dyDescent="0.25">
      <c r="A257" s="4">
        <v>255</v>
      </c>
      <c r="B257" s="581">
        <v>48548598.009328321</v>
      </c>
      <c r="C257" s="48" t="s">
        <v>1713</v>
      </c>
      <c r="D257" s="371" t="s">
        <v>1713</v>
      </c>
      <c r="E257" s="97"/>
      <c r="F257" s="325"/>
      <c r="G257" s="97" t="s">
        <v>1713</v>
      </c>
      <c r="H257" s="48" t="s">
        <v>647</v>
      </c>
      <c r="I257" s="69">
        <v>350000</v>
      </c>
      <c r="J257" s="68">
        <v>200</v>
      </c>
      <c r="K257" s="68">
        <v>0</v>
      </c>
      <c r="L257" s="48" t="s">
        <v>1713</v>
      </c>
      <c r="M257" s="48" t="s">
        <v>1713</v>
      </c>
      <c r="N257" s="48" t="s">
        <v>1713</v>
      </c>
      <c r="O257" s="23">
        <v>1000</v>
      </c>
    </row>
    <row r="258" spans="1:15" x14ac:dyDescent="0.25">
      <c r="A258" s="4">
        <v>256</v>
      </c>
      <c r="B258" s="581">
        <v>52432485.850074589</v>
      </c>
      <c r="C258" s="48" t="s">
        <v>1713</v>
      </c>
      <c r="D258" s="371" t="s">
        <v>1713</v>
      </c>
      <c r="E258" s="97"/>
      <c r="F258" s="325"/>
      <c r="G258" s="97" t="s">
        <v>1713</v>
      </c>
      <c r="H258" s="48" t="s">
        <v>647</v>
      </c>
      <c r="I258" s="69">
        <v>350000</v>
      </c>
      <c r="J258" s="68">
        <v>200</v>
      </c>
      <c r="K258" s="68">
        <v>0</v>
      </c>
      <c r="L258" s="48" t="s">
        <v>1713</v>
      </c>
      <c r="M258" s="48" t="s">
        <v>1713</v>
      </c>
      <c r="N258" s="48" t="s">
        <v>1713</v>
      </c>
      <c r="O258" s="23">
        <v>1000</v>
      </c>
    </row>
    <row r="259" spans="1:15" x14ac:dyDescent="0.25">
      <c r="A259" s="4">
        <v>257</v>
      </c>
      <c r="B259" s="581">
        <v>56627084.718080558</v>
      </c>
      <c r="C259" s="48" t="s">
        <v>1713</v>
      </c>
      <c r="D259" s="371" t="s">
        <v>1713</v>
      </c>
      <c r="E259" s="97"/>
      <c r="F259" s="325"/>
      <c r="G259" s="97" t="s">
        <v>1713</v>
      </c>
      <c r="H259" s="48" t="s">
        <v>647</v>
      </c>
      <c r="I259" s="69">
        <v>350000</v>
      </c>
      <c r="J259" s="68">
        <v>200</v>
      </c>
      <c r="K259" s="68">
        <v>0</v>
      </c>
      <c r="L259" s="48" t="s">
        <v>1713</v>
      </c>
      <c r="M259" s="48" t="s">
        <v>1713</v>
      </c>
      <c r="N259" s="48" t="s">
        <v>1713</v>
      </c>
      <c r="O259" s="23">
        <v>1000</v>
      </c>
    </row>
    <row r="260" spans="1:15" x14ac:dyDescent="0.25">
      <c r="A260" s="4">
        <v>258</v>
      </c>
      <c r="B260" s="581">
        <v>61157251.495527007</v>
      </c>
      <c r="C260" s="48" t="s">
        <v>1713</v>
      </c>
      <c r="D260" s="371" t="s">
        <v>1713</v>
      </c>
      <c r="E260" s="97"/>
      <c r="F260" s="325"/>
      <c r="G260" s="97" t="s">
        <v>1713</v>
      </c>
      <c r="H260" s="48" t="s">
        <v>647</v>
      </c>
      <c r="I260" s="69">
        <v>350000</v>
      </c>
      <c r="J260" s="68">
        <v>200</v>
      </c>
      <c r="K260" s="68">
        <v>0</v>
      </c>
      <c r="L260" s="48" t="s">
        <v>1713</v>
      </c>
      <c r="M260" s="48" t="s">
        <v>1713</v>
      </c>
      <c r="N260" s="48" t="s">
        <v>1713</v>
      </c>
      <c r="O260" s="23">
        <v>1000</v>
      </c>
    </row>
    <row r="261" spans="1:15" x14ac:dyDescent="0.25">
      <c r="A261" s="4">
        <v>259</v>
      </c>
      <c r="B261" s="581">
        <v>66049831.615169168</v>
      </c>
      <c r="C261" s="48" t="s">
        <v>1713</v>
      </c>
      <c r="D261" s="371" t="s">
        <v>1713</v>
      </c>
      <c r="E261" s="97"/>
      <c r="F261" s="325"/>
      <c r="G261" s="97" t="s">
        <v>1713</v>
      </c>
      <c r="H261" s="48" t="s">
        <v>647</v>
      </c>
      <c r="I261" s="69">
        <v>350000</v>
      </c>
      <c r="J261" s="68">
        <v>200</v>
      </c>
      <c r="K261" s="68">
        <v>0</v>
      </c>
      <c r="L261" s="48" t="s">
        <v>1713</v>
      </c>
      <c r="M261" s="48" t="s">
        <v>1713</v>
      </c>
      <c r="N261" s="48" t="s">
        <v>1713</v>
      </c>
      <c r="O261" s="23">
        <v>1000</v>
      </c>
    </row>
    <row r="262" spans="1:15" x14ac:dyDescent="0.25">
      <c r="A262" s="4">
        <v>260</v>
      </c>
      <c r="B262" s="581">
        <v>100909464.96761957</v>
      </c>
      <c r="C262" s="48" t="s">
        <v>1713</v>
      </c>
      <c r="D262" s="371" t="s">
        <v>1713</v>
      </c>
      <c r="E262" s="97"/>
      <c r="F262" s="325"/>
      <c r="G262" s="97" t="s">
        <v>1713</v>
      </c>
      <c r="H262" s="48" t="s">
        <v>647</v>
      </c>
      <c r="I262" s="69">
        <v>350000</v>
      </c>
      <c r="J262" s="68">
        <v>200</v>
      </c>
      <c r="K262" s="68">
        <v>0</v>
      </c>
      <c r="L262" s="48" t="s">
        <v>1713</v>
      </c>
      <c r="M262" s="48" t="s">
        <v>1713</v>
      </c>
      <c r="N262" s="48" t="s">
        <v>1713</v>
      </c>
      <c r="O262" s="23">
        <v>1000</v>
      </c>
    </row>
    <row r="263" spans="1:15" x14ac:dyDescent="0.25">
      <c r="A263" s="4">
        <v>261</v>
      </c>
      <c r="B263" s="581">
        <v>151364197.45142937</v>
      </c>
      <c r="C263" s="48" t="s">
        <v>1713</v>
      </c>
      <c r="D263" s="371" t="s">
        <v>1713</v>
      </c>
      <c r="E263" s="97"/>
      <c r="F263" s="325"/>
      <c r="G263" s="97" t="s">
        <v>1713</v>
      </c>
      <c r="H263" s="48" t="s">
        <v>647</v>
      </c>
      <c r="I263" s="69">
        <v>350000</v>
      </c>
      <c r="J263" s="68">
        <v>200</v>
      </c>
      <c r="K263" s="68">
        <v>0</v>
      </c>
      <c r="L263" s="48" t="s">
        <v>1713</v>
      </c>
      <c r="M263" s="48" t="s">
        <v>1713</v>
      </c>
      <c r="N263" s="48" t="s">
        <v>1713</v>
      </c>
      <c r="O263" s="23">
        <v>1000</v>
      </c>
    </row>
    <row r="264" spans="1:15" x14ac:dyDescent="0.25">
      <c r="A264" s="4">
        <v>262</v>
      </c>
      <c r="B264" s="581">
        <v>227046296.17714405</v>
      </c>
      <c r="C264" s="48" t="s">
        <v>1713</v>
      </c>
      <c r="D264" s="371" t="s">
        <v>1713</v>
      </c>
      <c r="E264" s="97"/>
      <c r="F264" s="325"/>
      <c r="G264" s="97" t="s">
        <v>1713</v>
      </c>
      <c r="H264" s="48" t="s">
        <v>647</v>
      </c>
      <c r="I264" s="69">
        <v>350000</v>
      </c>
      <c r="J264" s="68">
        <v>200</v>
      </c>
      <c r="K264" s="68">
        <v>0</v>
      </c>
      <c r="L264" s="48" t="s">
        <v>1713</v>
      </c>
      <c r="M264" s="48" t="s">
        <v>1713</v>
      </c>
      <c r="N264" s="48" t="s">
        <v>1713</v>
      </c>
      <c r="O264" s="23">
        <v>1000</v>
      </c>
    </row>
    <row r="265" spans="1:15" x14ac:dyDescent="0.25">
      <c r="A265" s="4">
        <v>263</v>
      </c>
      <c r="B265" s="581">
        <v>340569444.26571608</v>
      </c>
      <c r="C265" s="48" t="s">
        <v>1713</v>
      </c>
      <c r="D265" s="371" t="s">
        <v>1713</v>
      </c>
      <c r="E265" s="97"/>
      <c r="F265" s="325"/>
      <c r="G265" s="97" t="s">
        <v>1713</v>
      </c>
      <c r="H265" s="48" t="s">
        <v>647</v>
      </c>
      <c r="I265" s="69">
        <v>350000</v>
      </c>
      <c r="J265" s="68">
        <v>200</v>
      </c>
      <c r="K265" s="68">
        <v>0</v>
      </c>
      <c r="L265" s="48" t="s">
        <v>1713</v>
      </c>
      <c r="M265" s="48" t="s">
        <v>1713</v>
      </c>
      <c r="N265" s="48" t="s">
        <v>1713</v>
      </c>
      <c r="O265" s="23">
        <v>1000</v>
      </c>
    </row>
    <row r="266" spans="1:15" x14ac:dyDescent="0.25">
      <c r="A266" s="4">
        <v>264</v>
      </c>
      <c r="B266" s="581">
        <v>510854166.39857411</v>
      </c>
      <c r="C266" s="48" t="s">
        <v>1713</v>
      </c>
      <c r="D266" s="371" t="s">
        <v>1713</v>
      </c>
      <c r="E266" s="97"/>
      <c r="F266" s="325"/>
      <c r="G266" s="97" t="s">
        <v>1713</v>
      </c>
      <c r="H266" s="48" t="s">
        <v>647</v>
      </c>
      <c r="I266" s="69">
        <v>350000</v>
      </c>
      <c r="J266" s="68">
        <v>200</v>
      </c>
      <c r="K266" s="68">
        <v>0</v>
      </c>
      <c r="L266" s="48" t="s">
        <v>1713</v>
      </c>
      <c r="M266" s="48" t="s">
        <v>1713</v>
      </c>
      <c r="N266" s="48" t="s">
        <v>1713</v>
      </c>
      <c r="O266" s="23">
        <v>1000</v>
      </c>
    </row>
    <row r="267" spans="1:15" x14ac:dyDescent="0.25">
      <c r="A267" s="4">
        <v>265</v>
      </c>
      <c r="B267" s="581">
        <v>766281249.59786117</v>
      </c>
      <c r="C267" s="48" t="s">
        <v>1713</v>
      </c>
      <c r="D267" s="371" t="s">
        <v>1713</v>
      </c>
      <c r="E267" s="97"/>
      <c r="F267" s="325"/>
      <c r="G267" s="97" t="s">
        <v>1713</v>
      </c>
      <c r="H267" s="48" t="s">
        <v>647</v>
      </c>
      <c r="I267" s="69">
        <v>400000</v>
      </c>
      <c r="J267" s="68">
        <v>200</v>
      </c>
      <c r="K267" s="68">
        <v>0</v>
      </c>
      <c r="L267" s="48" t="s">
        <v>1713</v>
      </c>
      <c r="M267" s="48" t="s">
        <v>1713</v>
      </c>
      <c r="N267" s="48" t="s">
        <v>1713</v>
      </c>
      <c r="O267" s="23">
        <v>1000</v>
      </c>
    </row>
    <row r="268" spans="1:15" x14ac:dyDescent="0.25">
      <c r="A268" s="4">
        <v>266</v>
      </c>
      <c r="B268" s="581">
        <v>1149421874.3967917</v>
      </c>
      <c r="C268" s="48" t="s">
        <v>1713</v>
      </c>
      <c r="D268" s="371" t="s">
        <v>1713</v>
      </c>
      <c r="E268" s="97"/>
      <c r="F268" s="325"/>
      <c r="G268" s="97" t="s">
        <v>1713</v>
      </c>
      <c r="H268" s="48" t="s">
        <v>647</v>
      </c>
      <c r="I268" s="69">
        <v>400000</v>
      </c>
      <c r="J268" s="68">
        <v>200</v>
      </c>
      <c r="K268" s="68">
        <v>0</v>
      </c>
      <c r="L268" s="48" t="s">
        <v>1713</v>
      </c>
      <c r="M268" s="48" t="s">
        <v>1713</v>
      </c>
      <c r="N268" s="48" t="s">
        <v>1713</v>
      </c>
      <c r="O268" s="23">
        <v>1000</v>
      </c>
    </row>
    <row r="269" spans="1:15" x14ac:dyDescent="0.25">
      <c r="A269" s="4">
        <v>267</v>
      </c>
      <c r="B269" s="581">
        <v>1724132811.5951877</v>
      </c>
      <c r="C269" s="48" t="s">
        <v>1713</v>
      </c>
      <c r="D269" s="371" t="s">
        <v>1713</v>
      </c>
      <c r="E269" s="97"/>
      <c r="F269" s="325"/>
      <c r="G269" s="97" t="s">
        <v>1713</v>
      </c>
      <c r="H269" s="48" t="s">
        <v>647</v>
      </c>
      <c r="I269" s="69">
        <v>400000</v>
      </c>
      <c r="J269" s="68">
        <v>200</v>
      </c>
      <c r="K269" s="68">
        <v>0</v>
      </c>
      <c r="L269" s="48" t="s">
        <v>1713</v>
      </c>
      <c r="M269" s="48" t="s">
        <v>1713</v>
      </c>
      <c r="N269" s="48" t="s">
        <v>1713</v>
      </c>
      <c r="O269" s="23">
        <v>1000</v>
      </c>
    </row>
    <row r="270" spans="1:15" x14ac:dyDescent="0.25">
      <c r="A270" s="4">
        <v>268</v>
      </c>
      <c r="B270" s="581">
        <v>2586199217.3927813</v>
      </c>
      <c r="C270" s="48" t="s">
        <v>1713</v>
      </c>
      <c r="D270" s="371" t="s">
        <v>1713</v>
      </c>
      <c r="E270" s="97"/>
      <c r="F270" s="325"/>
      <c r="G270" s="97" t="s">
        <v>1713</v>
      </c>
      <c r="H270" s="48" t="s">
        <v>647</v>
      </c>
      <c r="I270" s="69">
        <v>400000</v>
      </c>
      <c r="J270" s="68">
        <v>200</v>
      </c>
      <c r="K270" s="68">
        <v>0</v>
      </c>
      <c r="L270" s="48" t="s">
        <v>1713</v>
      </c>
      <c r="M270" s="48" t="s">
        <v>1713</v>
      </c>
      <c r="N270" s="48" t="s">
        <v>1713</v>
      </c>
      <c r="O270" s="23">
        <v>1000</v>
      </c>
    </row>
    <row r="271" spans="1:15" x14ac:dyDescent="0.25">
      <c r="A271" s="4">
        <v>269</v>
      </c>
      <c r="B271" s="581">
        <v>3879298826.0891719</v>
      </c>
      <c r="C271" s="48" t="s">
        <v>1713</v>
      </c>
      <c r="D271" s="371" t="s">
        <v>1713</v>
      </c>
      <c r="E271" s="97"/>
      <c r="F271" s="325"/>
      <c r="G271" s="97" t="s">
        <v>1713</v>
      </c>
      <c r="H271" s="48" t="s">
        <v>647</v>
      </c>
      <c r="I271" s="69">
        <v>400000</v>
      </c>
      <c r="J271" s="68">
        <v>200</v>
      </c>
      <c r="K271" s="68">
        <v>0</v>
      </c>
      <c r="L271" s="48" t="s">
        <v>1713</v>
      </c>
      <c r="M271" s="48" t="s">
        <v>1713</v>
      </c>
      <c r="N271" s="48" t="s">
        <v>1713</v>
      </c>
      <c r="O271" s="23">
        <v>1000</v>
      </c>
    </row>
    <row r="272" spans="1:15" x14ac:dyDescent="0.25">
      <c r="A272" s="4">
        <v>270</v>
      </c>
      <c r="B272" s="581">
        <v>5818948239.1337576</v>
      </c>
      <c r="C272" s="48" t="s">
        <v>1713</v>
      </c>
      <c r="D272" s="371" t="s">
        <v>1713</v>
      </c>
      <c r="E272" s="97"/>
      <c r="F272" s="325"/>
      <c r="G272" s="97" t="s">
        <v>1713</v>
      </c>
      <c r="H272" s="48" t="s">
        <v>647</v>
      </c>
      <c r="I272" s="69">
        <v>400000</v>
      </c>
      <c r="J272" s="68">
        <v>200</v>
      </c>
      <c r="K272" s="68">
        <v>0</v>
      </c>
      <c r="L272" s="48" t="s">
        <v>1713</v>
      </c>
      <c r="M272" s="48" t="s">
        <v>1713</v>
      </c>
      <c r="N272" s="48" t="s">
        <v>1713</v>
      </c>
      <c r="O272" s="23">
        <v>1000</v>
      </c>
    </row>
    <row r="273" spans="1:15" x14ac:dyDescent="0.25">
      <c r="A273" s="4">
        <v>271</v>
      </c>
      <c r="B273" s="581">
        <v>8728422358.7006359</v>
      </c>
      <c r="C273" s="48" t="s">
        <v>1713</v>
      </c>
      <c r="D273" s="371" t="s">
        <v>1713</v>
      </c>
      <c r="E273" s="97"/>
      <c r="F273" s="325"/>
      <c r="G273" s="97" t="s">
        <v>1713</v>
      </c>
      <c r="H273" s="48" t="s">
        <v>647</v>
      </c>
      <c r="I273" s="69">
        <v>400000</v>
      </c>
      <c r="J273" s="68">
        <v>200</v>
      </c>
      <c r="K273" s="68">
        <v>0</v>
      </c>
      <c r="L273" s="48" t="s">
        <v>1713</v>
      </c>
      <c r="M273" s="48" t="s">
        <v>1713</v>
      </c>
      <c r="N273" s="48" t="s">
        <v>1713</v>
      </c>
      <c r="O273" s="23">
        <v>1000</v>
      </c>
    </row>
    <row r="274" spans="1:15" x14ac:dyDescent="0.25">
      <c r="A274" s="4">
        <v>272</v>
      </c>
      <c r="B274" s="581">
        <v>13092633538.050953</v>
      </c>
      <c r="C274" s="48" t="s">
        <v>1713</v>
      </c>
      <c r="D274" s="371" t="s">
        <v>1713</v>
      </c>
      <c r="E274" s="97"/>
      <c r="F274" s="325"/>
      <c r="G274" s="97" t="s">
        <v>1713</v>
      </c>
      <c r="H274" s="48" t="s">
        <v>647</v>
      </c>
      <c r="I274" s="69">
        <v>400000</v>
      </c>
      <c r="J274" s="68">
        <v>200</v>
      </c>
      <c r="K274" s="68">
        <v>0</v>
      </c>
      <c r="L274" s="48" t="s">
        <v>1713</v>
      </c>
      <c r="M274" s="48" t="s">
        <v>1713</v>
      </c>
      <c r="N274" s="48" t="s">
        <v>1713</v>
      </c>
      <c r="O274" s="23">
        <v>1000</v>
      </c>
    </row>
    <row r="275" spans="1:15" x14ac:dyDescent="0.25">
      <c r="A275" s="4">
        <v>273</v>
      </c>
      <c r="B275" s="581">
        <v>19638950307.076431</v>
      </c>
      <c r="C275" s="48" t="s">
        <v>1713</v>
      </c>
      <c r="D275" s="371" t="s">
        <v>1713</v>
      </c>
      <c r="E275" s="97"/>
      <c r="F275" s="325"/>
      <c r="G275" s="97" t="s">
        <v>1713</v>
      </c>
      <c r="H275" s="48" t="s">
        <v>647</v>
      </c>
      <c r="I275" s="69">
        <v>400000</v>
      </c>
      <c r="J275" s="68">
        <v>200</v>
      </c>
      <c r="K275" s="68">
        <v>0</v>
      </c>
      <c r="L275" s="48" t="s">
        <v>1713</v>
      </c>
      <c r="M275" s="48" t="s">
        <v>1713</v>
      </c>
      <c r="N275" s="48" t="s">
        <v>1713</v>
      </c>
      <c r="O275" s="23">
        <v>1000</v>
      </c>
    </row>
    <row r="276" spans="1:15" x14ac:dyDescent="0.25">
      <c r="A276" s="4">
        <v>274</v>
      </c>
      <c r="B276" s="581">
        <v>29458425460.614647</v>
      </c>
      <c r="C276" s="48" t="s">
        <v>1713</v>
      </c>
      <c r="D276" s="371" t="s">
        <v>1713</v>
      </c>
      <c r="E276" s="97"/>
      <c r="F276" s="325"/>
      <c r="G276" s="97" t="s">
        <v>1713</v>
      </c>
      <c r="H276" s="48" t="s">
        <v>647</v>
      </c>
      <c r="I276" s="69">
        <v>400000</v>
      </c>
      <c r="J276" s="68">
        <v>200</v>
      </c>
      <c r="K276" s="68">
        <v>0</v>
      </c>
      <c r="L276" s="48" t="s">
        <v>1713</v>
      </c>
      <c r="M276" s="48" t="s">
        <v>1713</v>
      </c>
      <c r="N276" s="48" t="s">
        <v>1713</v>
      </c>
      <c r="O276" s="23">
        <v>1000</v>
      </c>
    </row>
    <row r="277" spans="1:15" x14ac:dyDescent="0.25">
      <c r="A277" s="4">
        <v>275</v>
      </c>
      <c r="B277" s="581">
        <v>44187638190.921967</v>
      </c>
      <c r="C277" s="48" t="s">
        <v>1713</v>
      </c>
      <c r="D277" s="371" t="s">
        <v>1713</v>
      </c>
      <c r="E277" s="97"/>
      <c r="F277" s="325"/>
      <c r="G277" s="97" t="s">
        <v>1713</v>
      </c>
      <c r="H277" s="48" t="s">
        <v>647</v>
      </c>
      <c r="I277" s="69">
        <v>400000</v>
      </c>
      <c r="J277" s="68">
        <v>200</v>
      </c>
      <c r="K277" s="68">
        <v>0</v>
      </c>
      <c r="L277" s="48" t="s">
        <v>1713</v>
      </c>
      <c r="M277" s="48" t="s">
        <v>1713</v>
      </c>
      <c r="N277" s="48" t="s">
        <v>1713</v>
      </c>
      <c r="O277" s="23">
        <v>1000</v>
      </c>
    </row>
    <row r="278" spans="1:15" x14ac:dyDescent="0.25">
      <c r="A278" s="4">
        <v>276</v>
      </c>
      <c r="B278" s="581">
        <v>66281457286.38295</v>
      </c>
      <c r="C278" s="48" t="s">
        <v>1713</v>
      </c>
      <c r="D278" s="371" t="s">
        <v>1713</v>
      </c>
      <c r="E278" s="97"/>
      <c r="F278" s="325"/>
      <c r="G278" s="97" t="s">
        <v>1713</v>
      </c>
      <c r="H278" s="48" t="s">
        <v>647</v>
      </c>
      <c r="I278" s="69">
        <v>400000</v>
      </c>
      <c r="J278" s="68">
        <v>200</v>
      </c>
      <c r="K278" s="68">
        <v>0</v>
      </c>
      <c r="L278" s="48" t="s">
        <v>1713</v>
      </c>
      <c r="M278" s="48" t="s">
        <v>1713</v>
      </c>
      <c r="N278" s="48" t="s">
        <v>1713</v>
      </c>
      <c r="O278" s="23">
        <v>1000</v>
      </c>
    </row>
    <row r="279" spans="1:15" x14ac:dyDescent="0.25">
      <c r="A279" s="4">
        <v>277</v>
      </c>
      <c r="B279" s="581">
        <v>99422185929.574432</v>
      </c>
      <c r="C279" s="48" t="s">
        <v>1713</v>
      </c>
      <c r="D279" s="371" t="s">
        <v>1713</v>
      </c>
      <c r="E279" s="97"/>
      <c r="F279" s="325"/>
      <c r="G279" s="97" t="s">
        <v>1713</v>
      </c>
      <c r="H279" s="48" t="s">
        <v>647</v>
      </c>
      <c r="I279" s="69">
        <v>400000</v>
      </c>
      <c r="J279" s="68">
        <v>200</v>
      </c>
      <c r="K279" s="68">
        <v>0</v>
      </c>
      <c r="L279" s="48" t="s">
        <v>1713</v>
      </c>
      <c r="M279" s="48" t="s">
        <v>1713</v>
      </c>
      <c r="N279" s="48" t="s">
        <v>1713</v>
      </c>
      <c r="O279" s="23">
        <v>1000</v>
      </c>
    </row>
    <row r="280" spans="1:15" x14ac:dyDescent="0.25">
      <c r="A280" s="4">
        <v>278</v>
      </c>
      <c r="B280" s="581">
        <v>149133278894.36163</v>
      </c>
      <c r="C280" s="48" t="s">
        <v>1713</v>
      </c>
      <c r="D280" s="371" t="s">
        <v>1713</v>
      </c>
      <c r="E280" s="97"/>
      <c r="F280" s="325"/>
      <c r="G280" s="97" t="s">
        <v>1713</v>
      </c>
      <c r="H280" s="48" t="s">
        <v>647</v>
      </c>
      <c r="I280" s="69">
        <v>400000</v>
      </c>
      <c r="J280" s="68">
        <v>200</v>
      </c>
      <c r="K280" s="68">
        <v>0</v>
      </c>
      <c r="L280" s="48" t="s">
        <v>1713</v>
      </c>
      <c r="M280" s="48" t="s">
        <v>1713</v>
      </c>
      <c r="N280" s="48" t="s">
        <v>1713</v>
      </c>
      <c r="O280" s="23">
        <v>1000</v>
      </c>
    </row>
    <row r="281" spans="1:15" x14ac:dyDescent="0.25">
      <c r="A281" s="4">
        <v>279</v>
      </c>
      <c r="B281" s="581">
        <v>223699918341.54245</v>
      </c>
      <c r="C281" s="48" t="s">
        <v>1713</v>
      </c>
      <c r="D281" s="371" t="s">
        <v>1713</v>
      </c>
      <c r="E281" s="97"/>
      <c r="F281" s="325"/>
      <c r="G281" s="97" t="s">
        <v>1713</v>
      </c>
      <c r="H281" s="48" t="s">
        <v>647</v>
      </c>
      <c r="I281" s="69">
        <v>400000</v>
      </c>
      <c r="J281" s="68">
        <v>200</v>
      </c>
      <c r="K281" s="68">
        <v>0</v>
      </c>
      <c r="L281" s="48" t="s">
        <v>1713</v>
      </c>
      <c r="M281" s="48" t="s">
        <v>1713</v>
      </c>
      <c r="N281" s="48" t="s">
        <v>1713</v>
      </c>
      <c r="O281" s="23">
        <v>1000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12"/>
  <sheetViews>
    <sheetView workbookViewId="0">
      <selection activeCell="H11" sqref="H11"/>
    </sheetView>
  </sheetViews>
  <sheetFormatPr defaultRowHeight="15" x14ac:dyDescent="0.25"/>
  <cols>
    <col min="1" max="1" width="7.7109375" style="11" customWidth="1"/>
    <col min="2" max="2" width="12.28515625" style="11" customWidth="1"/>
    <col min="3" max="3" width="10.140625" style="11" bestFit="1" customWidth="1"/>
    <col min="4" max="4" width="9.140625" style="11"/>
    <col min="5" max="5" width="10.5703125" style="11" bestFit="1" customWidth="1"/>
    <col min="6" max="6" width="12.42578125" style="11" bestFit="1" customWidth="1"/>
    <col min="7" max="7" width="10" style="11" bestFit="1" customWidth="1"/>
    <col min="8" max="8" width="10.7109375" style="11" bestFit="1" customWidth="1"/>
    <col min="9" max="252" width="9.140625" style="11"/>
    <col min="253" max="253" width="11.85546875" style="11" customWidth="1"/>
    <col min="254" max="254" width="7.7109375" style="11" customWidth="1"/>
    <col min="255" max="255" width="12.28515625" style="11" customWidth="1"/>
    <col min="256" max="256" width="10.140625" style="11" bestFit="1" customWidth="1"/>
    <col min="257" max="257" width="14.5703125" style="11" customWidth="1"/>
    <col min="258" max="258" width="30.85546875" style="11" bestFit="1" customWidth="1"/>
    <col min="259" max="259" width="12.28515625" style="11" bestFit="1" customWidth="1"/>
    <col min="260" max="508" width="9.140625" style="11"/>
    <col min="509" max="509" width="11.85546875" style="11" customWidth="1"/>
    <col min="510" max="510" width="7.7109375" style="11" customWidth="1"/>
    <col min="511" max="511" width="12.28515625" style="11" customWidth="1"/>
    <col min="512" max="512" width="10.140625" style="11" bestFit="1" customWidth="1"/>
    <col min="513" max="513" width="14.5703125" style="11" customWidth="1"/>
    <col min="514" max="514" width="30.85546875" style="11" bestFit="1" customWidth="1"/>
    <col min="515" max="515" width="12.28515625" style="11" bestFit="1" customWidth="1"/>
    <col min="516" max="764" width="9.140625" style="11"/>
    <col min="765" max="765" width="11.85546875" style="11" customWidth="1"/>
    <col min="766" max="766" width="7.7109375" style="11" customWidth="1"/>
    <col min="767" max="767" width="12.28515625" style="11" customWidth="1"/>
    <col min="768" max="768" width="10.140625" style="11" bestFit="1" customWidth="1"/>
    <col min="769" max="769" width="14.5703125" style="11" customWidth="1"/>
    <col min="770" max="770" width="30.85546875" style="11" bestFit="1" customWidth="1"/>
    <col min="771" max="771" width="12.28515625" style="11" bestFit="1" customWidth="1"/>
    <col min="772" max="1020" width="9.140625" style="11"/>
    <col min="1021" max="1021" width="11.85546875" style="11" customWidth="1"/>
    <col min="1022" max="1022" width="7.7109375" style="11" customWidth="1"/>
    <col min="1023" max="1023" width="12.28515625" style="11" customWidth="1"/>
    <col min="1024" max="1024" width="10.140625" style="11" bestFit="1" customWidth="1"/>
    <col min="1025" max="1025" width="14.5703125" style="11" customWidth="1"/>
    <col min="1026" max="1026" width="30.85546875" style="11" bestFit="1" customWidth="1"/>
    <col min="1027" max="1027" width="12.28515625" style="11" bestFit="1" customWidth="1"/>
    <col min="1028" max="1276" width="9.140625" style="11"/>
    <col min="1277" max="1277" width="11.85546875" style="11" customWidth="1"/>
    <col min="1278" max="1278" width="7.7109375" style="11" customWidth="1"/>
    <col min="1279" max="1279" width="12.28515625" style="11" customWidth="1"/>
    <col min="1280" max="1280" width="10.140625" style="11" bestFit="1" customWidth="1"/>
    <col min="1281" max="1281" width="14.5703125" style="11" customWidth="1"/>
    <col min="1282" max="1282" width="30.85546875" style="11" bestFit="1" customWidth="1"/>
    <col min="1283" max="1283" width="12.28515625" style="11" bestFit="1" customWidth="1"/>
    <col min="1284" max="1532" width="9.140625" style="11"/>
    <col min="1533" max="1533" width="11.85546875" style="11" customWidth="1"/>
    <col min="1534" max="1534" width="7.7109375" style="11" customWidth="1"/>
    <col min="1535" max="1535" width="12.28515625" style="11" customWidth="1"/>
    <col min="1536" max="1536" width="10.140625" style="11" bestFit="1" customWidth="1"/>
    <col min="1537" max="1537" width="14.5703125" style="11" customWidth="1"/>
    <col min="1538" max="1538" width="30.85546875" style="11" bestFit="1" customWidth="1"/>
    <col min="1539" max="1539" width="12.28515625" style="11" bestFit="1" customWidth="1"/>
    <col min="1540" max="1788" width="9.140625" style="11"/>
    <col min="1789" max="1789" width="11.85546875" style="11" customWidth="1"/>
    <col min="1790" max="1790" width="7.7109375" style="11" customWidth="1"/>
    <col min="1791" max="1791" width="12.28515625" style="11" customWidth="1"/>
    <col min="1792" max="1792" width="10.140625" style="11" bestFit="1" customWidth="1"/>
    <col min="1793" max="1793" width="14.5703125" style="11" customWidth="1"/>
    <col min="1794" max="1794" width="30.85546875" style="11" bestFit="1" customWidth="1"/>
    <col min="1795" max="1795" width="12.28515625" style="11" bestFit="1" customWidth="1"/>
    <col min="1796" max="2044" width="9.140625" style="11"/>
    <col min="2045" max="2045" width="11.85546875" style="11" customWidth="1"/>
    <col min="2046" max="2046" width="7.7109375" style="11" customWidth="1"/>
    <col min="2047" max="2047" width="12.28515625" style="11" customWidth="1"/>
    <col min="2048" max="2048" width="10.140625" style="11" bestFit="1" customWidth="1"/>
    <col min="2049" max="2049" width="14.5703125" style="11" customWidth="1"/>
    <col min="2050" max="2050" width="30.85546875" style="11" bestFit="1" customWidth="1"/>
    <col min="2051" max="2051" width="12.28515625" style="11" bestFit="1" customWidth="1"/>
    <col min="2052" max="2300" width="9.140625" style="11"/>
    <col min="2301" max="2301" width="11.85546875" style="11" customWidth="1"/>
    <col min="2302" max="2302" width="7.7109375" style="11" customWidth="1"/>
    <col min="2303" max="2303" width="12.28515625" style="11" customWidth="1"/>
    <col min="2304" max="2304" width="10.140625" style="11" bestFit="1" customWidth="1"/>
    <col min="2305" max="2305" width="14.5703125" style="11" customWidth="1"/>
    <col min="2306" max="2306" width="30.85546875" style="11" bestFit="1" customWidth="1"/>
    <col min="2307" max="2307" width="12.28515625" style="11" bestFit="1" customWidth="1"/>
    <col min="2308" max="2556" width="9.140625" style="11"/>
    <col min="2557" max="2557" width="11.85546875" style="11" customWidth="1"/>
    <col min="2558" max="2558" width="7.7109375" style="11" customWidth="1"/>
    <col min="2559" max="2559" width="12.28515625" style="11" customWidth="1"/>
    <col min="2560" max="2560" width="10.140625" style="11" bestFit="1" customWidth="1"/>
    <col min="2561" max="2561" width="14.5703125" style="11" customWidth="1"/>
    <col min="2562" max="2562" width="30.85546875" style="11" bestFit="1" customWidth="1"/>
    <col min="2563" max="2563" width="12.28515625" style="11" bestFit="1" customWidth="1"/>
    <col min="2564" max="2812" width="9.140625" style="11"/>
    <col min="2813" max="2813" width="11.85546875" style="11" customWidth="1"/>
    <col min="2814" max="2814" width="7.7109375" style="11" customWidth="1"/>
    <col min="2815" max="2815" width="12.28515625" style="11" customWidth="1"/>
    <col min="2816" max="2816" width="10.140625" style="11" bestFit="1" customWidth="1"/>
    <col min="2817" max="2817" width="14.5703125" style="11" customWidth="1"/>
    <col min="2818" max="2818" width="30.85546875" style="11" bestFit="1" customWidth="1"/>
    <col min="2819" max="2819" width="12.28515625" style="11" bestFit="1" customWidth="1"/>
    <col min="2820" max="3068" width="9.140625" style="11"/>
    <col min="3069" max="3069" width="11.85546875" style="11" customWidth="1"/>
    <col min="3070" max="3070" width="7.7109375" style="11" customWidth="1"/>
    <col min="3071" max="3071" width="12.28515625" style="11" customWidth="1"/>
    <col min="3072" max="3072" width="10.140625" style="11" bestFit="1" customWidth="1"/>
    <col min="3073" max="3073" width="14.5703125" style="11" customWidth="1"/>
    <col min="3074" max="3074" width="30.85546875" style="11" bestFit="1" customWidth="1"/>
    <col min="3075" max="3075" width="12.28515625" style="11" bestFit="1" customWidth="1"/>
    <col min="3076" max="3324" width="9.140625" style="11"/>
    <col min="3325" max="3325" width="11.85546875" style="11" customWidth="1"/>
    <col min="3326" max="3326" width="7.7109375" style="11" customWidth="1"/>
    <col min="3327" max="3327" width="12.28515625" style="11" customWidth="1"/>
    <col min="3328" max="3328" width="10.140625" style="11" bestFit="1" customWidth="1"/>
    <col min="3329" max="3329" width="14.5703125" style="11" customWidth="1"/>
    <col min="3330" max="3330" width="30.85546875" style="11" bestFit="1" customWidth="1"/>
    <col min="3331" max="3331" width="12.28515625" style="11" bestFit="1" customWidth="1"/>
    <col min="3332" max="3580" width="9.140625" style="11"/>
    <col min="3581" max="3581" width="11.85546875" style="11" customWidth="1"/>
    <col min="3582" max="3582" width="7.7109375" style="11" customWidth="1"/>
    <col min="3583" max="3583" width="12.28515625" style="11" customWidth="1"/>
    <col min="3584" max="3584" width="10.140625" style="11" bestFit="1" customWidth="1"/>
    <col min="3585" max="3585" width="14.5703125" style="11" customWidth="1"/>
    <col min="3586" max="3586" width="30.85546875" style="11" bestFit="1" customWidth="1"/>
    <col min="3587" max="3587" width="12.28515625" style="11" bestFit="1" customWidth="1"/>
    <col min="3588" max="3836" width="9.140625" style="11"/>
    <col min="3837" max="3837" width="11.85546875" style="11" customWidth="1"/>
    <col min="3838" max="3838" width="7.7109375" style="11" customWidth="1"/>
    <col min="3839" max="3839" width="12.28515625" style="11" customWidth="1"/>
    <col min="3840" max="3840" width="10.140625" style="11" bestFit="1" customWidth="1"/>
    <col min="3841" max="3841" width="14.5703125" style="11" customWidth="1"/>
    <col min="3842" max="3842" width="30.85546875" style="11" bestFit="1" customWidth="1"/>
    <col min="3843" max="3843" width="12.28515625" style="11" bestFit="1" customWidth="1"/>
    <col min="3844" max="4092" width="9.140625" style="11"/>
    <col min="4093" max="4093" width="11.85546875" style="11" customWidth="1"/>
    <col min="4094" max="4094" width="7.7109375" style="11" customWidth="1"/>
    <col min="4095" max="4095" width="12.28515625" style="11" customWidth="1"/>
    <col min="4096" max="4096" width="10.140625" style="11" bestFit="1" customWidth="1"/>
    <col min="4097" max="4097" width="14.5703125" style="11" customWidth="1"/>
    <col min="4098" max="4098" width="30.85546875" style="11" bestFit="1" customWidth="1"/>
    <col min="4099" max="4099" width="12.28515625" style="11" bestFit="1" customWidth="1"/>
    <col min="4100" max="4348" width="9.140625" style="11"/>
    <col min="4349" max="4349" width="11.85546875" style="11" customWidth="1"/>
    <col min="4350" max="4350" width="7.7109375" style="11" customWidth="1"/>
    <col min="4351" max="4351" width="12.28515625" style="11" customWidth="1"/>
    <col min="4352" max="4352" width="10.140625" style="11" bestFit="1" customWidth="1"/>
    <col min="4353" max="4353" width="14.5703125" style="11" customWidth="1"/>
    <col min="4354" max="4354" width="30.85546875" style="11" bestFit="1" customWidth="1"/>
    <col min="4355" max="4355" width="12.28515625" style="11" bestFit="1" customWidth="1"/>
    <col min="4356" max="4604" width="9.140625" style="11"/>
    <col min="4605" max="4605" width="11.85546875" style="11" customWidth="1"/>
    <col min="4606" max="4606" width="7.7109375" style="11" customWidth="1"/>
    <col min="4607" max="4607" width="12.28515625" style="11" customWidth="1"/>
    <col min="4608" max="4608" width="10.140625" style="11" bestFit="1" customWidth="1"/>
    <col min="4609" max="4609" width="14.5703125" style="11" customWidth="1"/>
    <col min="4610" max="4610" width="30.85546875" style="11" bestFit="1" customWidth="1"/>
    <col min="4611" max="4611" width="12.28515625" style="11" bestFit="1" customWidth="1"/>
    <col min="4612" max="4860" width="9.140625" style="11"/>
    <col min="4861" max="4861" width="11.85546875" style="11" customWidth="1"/>
    <col min="4862" max="4862" width="7.7109375" style="11" customWidth="1"/>
    <col min="4863" max="4863" width="12.28515625" style="11" customWidth="1"/>
    <col min="4864" max="4864" width="10.140625" style="11" bestFit="1" customWidth="1"/>
    <col min="4865" max="4865" width="14.5703125" style="11" customWidth="1"/>
    <col min="4866" max="4866" width="30.85546875" style="11" bestFit="1" customWidth="1"/>
    <col min="4867" max="4867" width="12.28515625" style="11" bestFit="1" customWidth="1"/>
    <col min="4868" max="5116" width="9.140625" style="11"/>
    <col min="5117" max="5117" width="11.85546875" style="11" customWidth="1"/>
    <col min="5118" max="5118" width="7.7109375" style="11" customWidth="1"/>
    <col min="5119" max="5119" width="12.28515625" style="11" customWidth="1"/>
    <col min="5120" max="5120" width="10.140625" style="11" bestFit="1" customWidth="1"/>
    <col min="5121" max="5121" width="14.5703125" style="11" customWidth="1"/>
    <col min="5122" max="5122" width="30.85546875" style="11" bestFit="1" customWidth="1"/>
    <col min="5123" max="5123" width="12.28515625" style="11" bestFit="1" customWidth="1"/>
    <col min="5124" max="5372" width="9.140625" style="11"/>
    <col min="5373" max="5373" width="11.85546875" style="11" customWidth="1"/>
    <col min="5374" max="5374" width="7.7109375" style="11" customWidth="1"/>
    <col min="5375" max="5375" width="12.28515625" style="11" customWidth="1"/>
    <col min="5376" max="5376" width="10.140625" style="11" bestFit="1" customWidth="1"/>
    <col min="5377" max="5377" width="14.5703125" style="11" customWidth="1"/>
    <col min="5378" max="5378" width="30.85546875" style="11" bestFit="1" customWidth="1"/>
    <col min="5379" max="5379" width="12.28515625" style="11" bestFit="1" customWidth="1"/>
    <col min="5380" max="5628" width="9.140625" style="11"/>
    <col min="5629" max="5629" width="11.85546875" style="11" customWidth="1"/>
    <col min="5630" max="5630" width="7.7109375" style="11" customWidth="1"/>
    <col min="5631" max="5631" width="12.28515625" style="11" customWidth="1"/>
    <col min="5632" max="5632" width="10.140625" style="11" bestFit="1" customWidth="1"/>
    <col min="5633" max="5633" width="14.5703125" style="11" customWidth="1"/>
    <col min="5634" max="5634" width="30.85546875" style="11" bestFit="1" customWidth="1"/>
    <col min="5635" max="5635" width="12.28515625" style="11" bestFit="1" customWidth="1"/>
    <col min="5636" max="5884" width="9.140625" style="11"/>
    <col min="5885" max="5885" width="11.85546875" style="11" customWidth="1"/>
    <col min="5886" max="5886" width="7.7109375" style="11" customWidth="1"/>
    <col min="5887" max="5887" width="12.28515625" style="11" customWidth="1"/>
    <col min="5888" max="5888" width="10.140625" style="11" bestFit="1" customWidth="1"/>
    <col min="5889" max="5889" width="14.5703125" style="11" customWidth="1"/>
    <col min="5890" max="5890" width="30.85546875" style="11" bestFit="1" customWidth="1"/>
    <col min="5891" max="5891" width="12.28515625" style="11" bestFit="1" customWidth="1"/>
    <col min="5892" max="6140" width="9.140625" style="11"/>
    <col min="6141" max="6141" width="11.85546875" style="11" customWidth="1"/>
    <col min="6142" max="6142" width="7.7109375" style="11" customWidth="1"/>
    <col min="6143" max="6143" width="12.28515625" style="11" customWidth="1"/>
    <col min="6144" max="6144" width="10.140625" style="11" bestFit="1" customWidth="1"/>
    <col min="6145" max="6145" width="14.5703125" style="11" customWidth="1"/>
    <col min="6146" max="6146" width="30.85546875" style="11" bestFit="1" customWidth="1"/>
    <col min="6147" max="6147" width="12.28515625" style="11" bestFit="1" customWidth="1"/>
    <col min="6148" max="6396" width="9.140625" style="11"/>
    <col min="6397" max="6397" width="11.85546875" style="11" customWidth="1"/>
    <col min="6398" max="6398" width="7.7109375" style="11" customWidth="1"/>
    <col min="6399" max="6399" width="12.28515625" style="11" customWidth="1"/>
    <col min="6400" max="6400" width="10.140625" style="11" bestFit="1" customWidth="1"/>
    <col min="6401" max="6401" width="14.5703125" style="11" customWidth="1"/>
    <col min="6402" max="6402" width="30.85546875" style="11" bestFit="1" customWidth="1"/>
    <col min="6403" max="6403" width="12.28515625" style="11" bestFit="1" customWidth="1"/>
    <col min="6404" max="6652" width="9.140625" style="11"/>
    <col min="6653" max="6653" width="11.85546875" style="11" customWidth="1"/>
    <col min="6654" max="6654" width="7.7109375" style="11" customWidth="1"/>
    <col min="6655" max="6655" width="12.28515625" style="11" customWidth="1"/>
    <col min="6656" max="6656" width="10.140625" style="11" bestFit="1" customWidth="1"/>
    <col min="6657" max="6657" width="14.5703125" style="11" customWidth="1"/>
    <col min="6658" max="6658" width="30.85546875" style="11" bestFit="1" customWidth="1"/>
    <col min="6659" max="6659" width="12.28515625" style="11" bestFit="1" customWidth="1"/>
    <col min="6660" max="6908" width="9.140625" style="11"/>
    <col min="6909" max="6909" width="11.85546875" style="11" customWidth="1"/>
    <col min="6910" max="6910" width="7.7109375" style="11" customWidth="1"/>
    <col min="6911" max="6911" width="12.28515625" style="11" customWidth="1"/>
    <col min="6912" max="6912" width="10.140625" style="11" bestFit="1" customWidth="1"/>
    <col min="6913" max="6913" width="14.5703125" style="11" customWidth="1"/>
    <col min="6914" max="6914" width="30.85546875" style="11" bestFit="1" customWidth="1"/>
    <col min="6915" max="6915" width="12.28515625" style="11" bestFit="1" customWidth="1"/>
    <col min="6916" max="7164" width="9.140625" style="11"/>
    <col min="7165" max="7165" width="11.85546875" style="11" customWidth="1"/>
    <col min="7166" max="7166" width="7.7109375" style="11" customWidth="1"/>
    <col min="7167" max="7167" width="12.28515625" style="11" customWidth="1"/>
    <col min="7168" max="7168" width="10.140625" style="11" bestFit="1" customWidth="1"/>
    <col min="7169" max="7169" width="14.5703125" style="11" customWidth="1"/>
    <col min="7170" max="7170" width="30.85546875" style="11" bestFit="1" customWidth="1"/>
    <col min="7171" max="7171" width="12.28515625" style="11" bestFit="1" customWidth="1"/>
    <col min="7172" max="7420" width="9.140625" style="11"/>
    <col min="7421" max="7421" width="11.85546875" style="11" customWidth="1"/>
    <col min="7422" max="7422" width="7.7109375" style="11" customWidth="1"/>
    <col min="7423" max="7423" width="12.28515625" style="11" customWidth="1"/>
    <col min="7424" max="7424" width="10.140625" style="11" bestFit="1" customWidth="1"/>
    <col min="7425" max="7425" width="14.5703125" style="11" customWidth="1"/>
    <col min="7426" max="7426" width="30.85546875" style="11" bestFit="1" customWidth="1"/>
    <col min="7427" max="7427" width="12.28515625" style="11" bestFit="1" customWidth="1"/>
    <col min="7428" max="7676" width="9.140625" style="11"/>
    <col min="7677" max="7677" width="11.85546875" style="11" customWidth="1"/>
    <col min="7678" max="7678" width="7.7109375" style="11" customWidth="1"/>
    <col min="7679" max="7679" width="12.28515625" style="11" customWidth="1"/>
    <col min="7680" max="7680" width="10.140625" style="11" bestFit="1" customWidth="1"/>
    <col min="7681" max="7681" width="14.5703125" style="11" customWidth="1"/>
    <col min="7682" max="7682" width="30.85546875" style="11" bestFit="1" customWidth="1"/>
    <col min="7683" max="7683" width="12.28515625" style="11" bestFit="1" customWidth="1"/>
    <col min="7684" max="7932" width="9.140625" style="11"/>
    <col min="7933" max="7933" width="11.85546875" style="11" customWidth="1"/>
    <col min="7934" max="7934" width="7.7109375" style="11" customWidth="1"/>
    <col min="7935" max="7935" width="12.28515625" style="11" customWidth="1"/>
    <col min="7936" max="7936" width="10.140625" style="11" bestFit="1" customWidth="1"/>
    <col min="7937" max="7937" width="14.5703125" style="11" customWidth="1"/>
    <col min="7938" max="7938" width="30.85546875" style="11" bestFit="1" customWidth="1"/>
    <col min="7939" max="7939" width="12.28515625" style="11" bestFit="1" customWidth="1"/>
    <col min="7940" max="8188" width="9.140625" style="11"/>
    <col min="8189" max="8189" width="11.85546875" style="11" customWidth="1"/>
    <col min="8190" max="8190" width="7.7109375" style="11" customWidth="1"/>
    <col min="8191" max="8191" width="12.28515625" style="11" customWidth="1"/>
    <col min="8192" max="8192" width="10.140625" style="11" bestFit="1" customWidth="1"/>
    <col min="8193" max="8193" width="14.5703125" style="11" customWidth="1"/>
    <col min="8194" max="8194" width="30.85546875" style="11" bestFit="1" customWidth="1"/>
    <col min="8195" max="8195" width="12.28515625" style="11" bestFit="1" customWidth="1"/>
    <col min="8196" max="8444" width="9.140625" style="11"/>
    <col min="8445" max="8445" width="11.85546875" style="11" customWidth="1"/>
    <col min="8446" max="8446" width="7.7109375" style="11" customWidth="1"/>
    <col min="8447" max="8447" width="12.28515625" style="11" customWidth="1"/>
    <col min="8448" max="8448" width="10.140625" style="11" bestFit="1" customWidth="1"/>
    <col min="8449" max="8449" width="14.5703125" style="11" customWidth="1"/>
    <col min="8450" max="8450" width="30.85546875" style="11" bestFit="1" customWidth="1"/>
    <col min="8451" max="8451" width="12.28515625" style="11" bestFit="1" customWidth="1"/>
    <col min="8452" max="8700" width="9.140625" style="11"/>
    <col min="8701" max="8701" width="11.85546875" style="11" customWidth="1"/>
    <col min="8702" max="8702" width="7.7109375" style="11" customWidth="1"/>
    <col min="8703" max="8703" width="12.28515625" style="11" customWidth="1"/>
    <col min="8704" max="8704" width="10.140625" style="11" bestFit="1" customWidth="1"/>
    <col min="8705" max="8705" width="14.5703125" style="11" customWidth="1"/>
    <col min="8706" max="8706" width="30.85546875" style="11" bestFit="1" customWidth="1"/>
    <col min="8707" max="8707" width="12.28515625" style="11" bestFit="1" customWidth="1"/>
    <col min="8708" max="8956" width="9.140625" style="11"/>
    <col min="8957" max="8957" width="11.85546875" style="11" customWidth="1"/>
    <col min="8958" max="8958" width="7.7109375" style="11" customWidth="1"/>
    <col min="8959" max="8959" width="12.28515625" style="11" customWidth="1"/>
    <col min="8960" max="8960" width="10.140625" style="11" bestFit="1" customWidth="1"/>
    <col min="8961" max="8961" width="14.5703125" style="11" customWidth="1"/>
    <col min="8962" max="8962" width="30.85546875" style="11" bestFit="1" customWidth="1"/>
    <col min="8963" max="8963" width="12.28515625" style="11" bestFit="1" customWidth="1"/>
    <col min="8964" max="9212" width="9.140625" style="11"/>
    <col min="9213" max="9213" width="11.85546875" style="11" customWidth="1"/>
    <col min="9214" max="9214" width="7.7109375" style="11" customWidth="1"/>
    <col min="9215" max="9215" width="12.28515625" style="11" customWidth="1"/>
    <col min="9216" max="9216" width="10.140625" style="11" bestFit="1" customWidth="1"/>
    <col min="9217" max="9217" width="14.5703125" style="11" customWidth="1"/>
    <col min="9218" max="9218" width="30.85546875" style="11" bestFit="1" customWidth="1"/>
    <col min="9219" max="9219" width="12.28515625" style="11" bestFit="1" customWidth="1"/>
    <col min="9220" max="9468" width="9.140625" style="11"/>
    <col min="9469" max="9469" width="11.85546875" style="11" customWidth="1"/>
    <col min="9470" max="9470" width="7.7109375" style="11" customWidth="1"/>
    <col min="9471" max="9471" width="12.28515625" style="11" customWidth="1"/>
    <col min="9472" max="9472" width="10.140625" style="11" bestFit="1" customWidth="1"/>
    <col min="9473" max="9473" width="14.5703125" style="11" customWidth="1"/>
    <col min="9474" max="9474" width="30.85546875" style="11" bestFit="1" customWidth="1"/>
    <col min="9475" max="9475" width="12.28515625" style="11" bestFit="1" customWidth="1"/>
    <col min="9476" max="9724" width="9.140625" style="11"/>
    <col min="9725" max="9725" width="11.85546875" style="11" customWidth="1"/>
    <col min="9726" max="9726" width="7.7109375" style="11" customWidth="1"/>
    <col min="9727" max="9727" width="12.28515625" style="11" customWidth="1"/>
    <col min="9728" max="9728" width="10.140625" style="11" bestFit="1" customWidth="1"/>
    <col min="9729" max="9729" width="14.5703125" style="11" customWidth="1"/>
    <col min="9730" max="9730" width="30.85546875" style="11" bestFit="1" customWidth="1"/>
    <col min="9731" max="9731" width="12.28515625" style="11" bestFit="1" customWidth="1"/>
    <col min="9732" max="9980" width="9.140625" style="11"/>
    <col min="9981" max="9981" width="11.85546875" style="11" customWidth="1"/>
    <col min="9982" max="9982" width="7.7109375" style="11" customWidth="1"/>
    <col min="9983" max="9983" width="12.28515625" style="11" customWidth="1"/>
    <col min="9984" max="9984" width="10.140625" style="11" bestFit="1" customWidth="1"/>
    <col min="9985" max="9985" width="14.5703125" style="11" customWidth="1"/>
    <col min="9986" max="9986" width="30.85546875" style="11" bestFit="1" customWidth="1"/>
    <col min="9987" max="9987" width="12.28515625" style="11" bestFit="1" customWidth="1"/>
    <col min="9988" max="10236" width="9.140625" style="11"/>
    <col min="10237" max="10237" width="11.85546875" style="11" customWidth="1"/>
    <col min="10238" max="10238" width="7.7109375" style="11" customWidth="1"/>
    <col min="10239" max="10239" width="12.28515625" style="11" customWidth="1"/>
    <col min="10240" max="10240" width="10.140625" style="11" bestFit="1" customWidth="1"/>
    <col min="10241" max="10241" width="14.5703125" style="11" customWidth="1"/>
    <col min="10242" max="10242" width="30.85546875" style="11" bestFit="1" customWidth="1"/>
    <col min="10243" max="10243" width="12.28515625" style="11" bestFit="1" customWidth="1"/>
    <col min="10244" max="10492" width="9.140625" style="11"/>
    <col min="10493" max="10493" width="11.85546875" style="11" customWidth="1"/>
    <col min="10494" max="10494" width="7.7109375" style="11" customWidth="1"/>
    <col min="10495" max="10495" width="12.28515625" style="11" customWidth="1"/>
    <col min="10496" max="10496" width="10.140625" style="11" bestFit="1" customWidth="1"/>
    <col min="10497" max="10497" width="14.5703125" style="11" customWidth="1"/>
    <col min="10498" max="10498" width="30.85546875" style="11" bestFit="1" customWidth="1"/>
    <col min="10499" max="10499" width="12.28515625" style="11" bestFit="1" customWidth="1"/>
    <col min="10500" max="10748" width="9.140625" style="11"/>
    <col min="10749" max="10749" width="11.85546875" style="11" customWidth="1"/>
    <col min="10750" max="10750" width="7.7109375" style="11" customWidth="1"/>
    <col min="10751" max="10751" width="12.28515625" style="11" customWidth="1"/>
    <col min="10752" max="10752" width="10.140625" style="11" bestFit="1" customWidth="1"/>
    <col min="10753" max="10753" width="14.5703125" style="11" customWidth="1"/>
    <col min="10754" max="10754" width="30.85546875" style="11" bestFit="1" customWidth="1"/>
    <col min="10755" max="10755" width="12.28515625" style="11" bestFit="1" customWidth="1"/>
    <col min="10756" max="11004" width="9.140625" style="11"/>
    <col min="11005" max="11005" width="11.85546875" style="11" customWidth="1"/>
    <col min="11006" max="11006" width="7.7109375" style="11" customWidth="1"/>
    <col min="11007" max="11007" width="12.28515625" style="11" customWidth="1"/>
    <col min="11008" max="11008" width="10.140625" style="11" bestFit="1" customWidth="1"/>
    <col min="11009" max="11009" width="14.5703125" style="11" customWidth="1"/>
    <col min="11010" max="11010" width="30.85546875" style="11" bestFit="1" customWidth="1"/>
    <col min="11011" max="11011" width="12.28515625" style="11" bestFit="1" customWidth="1"/>
    <col min="11012" max="11260" width="9.140625" style="11"/>
    <col min="11261" max="11261" width="11.85546875" style="11" customWidth="1"/>
    <col min="11262" max="11262" width="7.7109375" style="11" customWidth="1"/>
    <col min="11263" max="11263" width="12.28515625" style="11" customWidth="1"/>
    <col min="11264" max="11264" width="10.140625" style="11" bestFit="1" customWidth="1"/>
    <col min="11265" max="11265" width="14.5703125" style="11" customWidth="1"/>
    <col min="11266" max="11266" width="30.85546875" style="11" bestFit="1" customWidth="1"/>
    <col min="11267" max="11267" width="12.28515625" style="11" bestFit="1" customWidth="1"/>
    <col min="11268" max="11516" width="9.140625" style="11"/>
    <col min="11517" max="11517" width="11.85546875" style="11" customWidth="1"/>
    <col min="11518" max="11518" width="7.7109375" style="11" customWidth="1"/>
    <col min="11519" max="11519" width="12.28515625" style="11" customWidth="1"/>
    <col min="11520" max="11520" width="10.140625" style="11" bestFit="1" customWidth="1"/>
    <col min="11521" max="11521" width="14.5703125" style="11" customWidth="1"/>
    <col min="11522" max="11522" width="30.85546875" style="11" bestFit="1" customWidth="1"/>
    <col min="11523" max="11523" width="12.28515625" style="11" bestFit="1" customWidth="1"/>
    <col min="11524" max="11772" width="9.140625" style="11"/>
    <col min="11773" max="11773" width="11.85546875" style="11" customWidth="1"/>
    <col min="11774" max="11774" width="7.7109375" style="11" customWidth="1"/>
    <col min="11775" max="11775" width="12.28515625" style="11" customWidth="1"/>
    <col min="11776" max="11776" width="10.140625" style="11" bestFit="1" customWidth="1"/>
    <col min="11777" max="11777" width="14.5703125" style="11" customWidth="1"/>
    <col min="11778" max="11778" width="30.85546875" style="11" bestFit="1" customWidth="1"/>
    <col min="11779" max="11779" width="12.28515625" style="11" bestFit="1" customWidth="1"/>
    <col min="11780" max="12028" width="9.140625" style="11"/>
    <col min="12029" max="12029" width="11.85546875" style="11" customWidth="1"/>
    <col min="12030" max="12030" width="7.7109375" style="11" customWidth="1"/>
    <col min="12031" max="12031" width="12.28515625" style="11" customWidth="1"/>
    <col min="12032" max="12032" width="10.140625" style="11" bestFit="1" customWidth="1"/>
    <col min="12033" max="12033" width="14.5703125" style="11" customWidth="1"/>
    <col min="12034" max="12034" width="30.85546875" style="11" bestFit="1" customWidth="1"/>
    <col min="12035" max="12035" width="12.28515625" style="11" bestFit="1" customWidth="1"/>
    <col min="12036" max="12284" width="9.140625" style="11"/>
    <col min="12285" max="12285" width="11.85546875" style="11" customWidth="1"/>
    <col min="12286" max="12286" width="7.7109375" style="11" customWidth="1"/>
    <col min="12287" max="12287" width="12.28515625" style="11" customWidth="1"/>
    <col min="12288" max="12288" width="10.140625" style="11" bestFit="1" customWidth="1"/>
    <col min="12289" max="12289" width="14.5703125" style="11" customWidth="1"/>
    <col min="12290" max="12290" width="30.85546875" style="11" bestFit="1" customWidth="1"/>
    <col min="12291" max="12291" width="12.28515625" style="11" bestFit="1" customWidth="1"/>
    <col min="12292" max="12540" width="9.140625" style="11"/>
    <col min="12541" max="12541" width="11.85546875" style="11" customWidth="1"/>
    <col min="12542" max="12542" width="7.7109375" style="11" customWidth="1"/>
    <col min="12543" max="12543" width="12.28515625" style="11" customWidth="1"/>
    <col min="12544" max="12544" width="10.140625" style="11" bestFit="1" customWidth="1"/>
    <col min="12545" max="12545" width="14.5703125" style="11" customWidth="1"/>
    <col min="12546" max="12546" width="30.85546875" style="11" bestFit="1" customWidth="1"/>
    <col min="12547" max="12547" width="12.28515625" style="11" bestFit="1" customWidth="1"/>
    <col min="12548" max="12796" width="9.140625" style="11"/>
    <col min="12797" max="12797" width="11.85546875" style="11" customWidth="1"/>
    <col min="12798" max="12798" width="7.7109375" style="11" customWidth="1"/>
    <col min="12799" max="12799" width="12.28515625" style="11" customWidth="1"/>
    <col min="12800" max="12800" width="10.140625" style="11" bestFit="1" customWidth="1"/>
    <col min="12801" max="12801" width="14.5703125" style="11" customWidth="1"/>
    <col min="12802" max="12802" width="30.85546875" style="11" bestFit="1" customWidth="1"/>
    <col min="12803" max="12803" width="12.28515625" style="11" bestFit="1" customWidth="1"/>
    <col min="12804" max="13052" width="9.140625" style="11"/>
    <col min="13053" max="13053" width="11.85546875" style="11" customWidth="1"/>
    <col min="13054" max="13054" width="7.7109375" style="11" customWidth="1"/>
    <col min="13055" max="13055" width="12.28515625" style="11" customWidth="1"/>
    <col min="13056" max="13056" width="10.140625" style="11" bestFit="1" customWidth="1"/>
    <col min="13057" max="13057" width="14.5703125" style="11" customWidth="1"/>
    <col min="13058" max="13058" width="30.85546875" style="11" bestFit="1" customWidth="1"/>
    <col min="13059" max="13059" width="12.28515625" style="11" bestFit="1" customWidth="1"/>
    <col min="13060" max="13308" width="9.140625" style="11"/>
    <col min="13309" max="13309" width="11.85546875" style="11" customWidth="1"/>
    <col min="13310" max="13310" width="7.7109375" style="11" customWidth="1"/>
    <col min="13311" max="13311" width="12.28515625" style="11" customWidth="1"/>
    <col min="13312" max="13312" width="10.140625" style="11" bestFit="1" customWidth="1"/>
    <col min="13313" max="13313" width="14.5703125" style="11" customWidth="1"/>
    <col min="13314" max="13314" width="30.85546875" style="11" bestFit="1" customWidth="1"/>
    <col min="13315" max="13315" width="12.28515625" style="11" bestFit="1" customWidth="1"/>
    <col min="13316" max="13564" width="9.140625" style="11"/>
    <col min="13565" max="13565" width="11.85546875" style="11" customWidth="1"/>
    <col min="13566" max="13566" width="7.7109375" style="11" customWidth="1"/>
    <col min="13567" max="13567" width="12.28515625" style="11" customWidth="1"/>
    <col min="13568" max="13568" width="10.140625" style="11" bestFit="1" customWidth="1"/>
    <col min="13569" max="13569" width="14.5703125" style="11" customWidth="1"/>
    <col min="13570" max="13570" width="30.85546875" style="11" bestFit="1" customWidth="1"/>
    <col min="13571" max="13571" width="12.28515625" style="11" bestFit="1" customWidth="1"/>
    <col min="13572" max="13820" width="9.140625" style="11"/>
    <col min="13821" max="13821" width="11.85546875" style="11" customWidth="1"/>
    <col min="13822" max="13822" width="7.7109375" style="11" customWidth="1"/>
    <col min="13823" max="13823" width="12.28515625" style="11" customWidth="1"/>
    <col min="13824" max="13824" width="10.140625" style="11" bestFit="1" customWidth="1"/>
    <col min="13825" max="13825" width="14.5703125" style="11" customWidth="1"/>
    <col min="13826" max="13826" width="30.85546875" style="11" bestFit="1" customWidth="1"/>
    <col min="13827" max="13827" width="12.28515625" style="11" bestFit="1" customWidth="1"/>
    <col min="13828" max="14076" width="9.140625" style="11"/>
    <col min="14077" max="14077" width="11.85546875" style="11" customWidth="1"/>
    <col min="14078" max="14078" width="7.7109375" style="11" customWidth="1"/>
    <col min="14079" max="14079" width="12.28515625" style="11" customWidth="1"/>
    <col min="14080" max="14080" width="10.140625" style="11" bestFit="1" customWidth="1"/>
    <col min="14081" max="14081" width="14.5703125" style="11" customWidth="1"/>
    <col min="14082" max="14082" width="30.85546875" style="11" bestFit="1" customWidth="1"/>
    <col min="14083" max="14083" width="12.28515625" style="11" bestFit="1" customWidth="1"/>
    <col min="14084" max="14332" width="9.140625" style="11"/>
    <col min="14333" max="14333" width="11.85546875" style="11" customWidth="1"/>
    <col min="14334" max="14334" width="7.7109375" style="11" customWidth="1"/>
    <col min="14335" max="14335" width="12.28515625" style="11" customWidth="1"/>
    <col min="14336" max="14336" width="10.140625" style="11" bestFit="1" customWidth="1"/>
    <col min="14337" max="14337" width="14.5703125" style="11" customWidth="1"/>
    <col min="14338" max="14338" width="30.85546875" style="11" bestFit="1" customWidth="1"/>
    <col min="14339" max="14339" width="12.28515625" style="11" bestFit="1" customWidth="1"/>
    <col min="14340" max="14588" width="9.140625" style="11"/>
    <col min="14589" max="14589" width="11.85546875" style="11" customWidth="1"/>
    <col min="14590" max="14590" width="7.7109375" style="11" customWidth="1"/>
    <col min="14591" max="14591" width="12.28515625" style="11" customWidth="1"/>
    <col min="14592" max="14592" width="10.140625" style="11" bestFit="1" customWidth="1"/>
    <col min="14593" max="14593" width="14.5703125" style="11" customWidth="1"/>
    <col min="14594" max="14594" width="30.85546875" style="11" bestFit="1" customWidth="1"/>
    <col min="14595" max="14595" width="12.28515625" style="11" bestFit="1" customWidth="1"/>
    <col min="14596" max="14844" width="9.140625" style="11"/>
    <col min="14845" max="14845" width="11.85546875" style="11" customWidth="1"/>
    <col min="14846" max="14846" width="7.7109375" style="11" customWidth="1"/>
    <col min="14847" max="14847" width="12.28515625" style="11" customWidth="1"/>
    <col min="14848" max="14848" width="10.140625" style="11" bestFit="1" customWidth="1"/>
    <col min="14849" max="14849" width="14.5703125" style="11" customWidth="1"/>
    <col min="14850" max="14850" width="30.85546875" style="11" bestFit="1" customWidth="1"/>
    <col min="14851" max="14851" width="12.28515625" style="11" bestFit="1" customWidth="1"/>
    <col min="14852" max="15100" width="9.140625" style="11"/>
    <col min="15101" max="15101" width="11.85546875" style="11" customWidth="1"/>
    <col min="15102" max="15102" width="7.7109375" style="11" customWidth="1"/>
    <col min="15103" max="15103" width="12.28515625" style="11" customWidth="1"/>
    <col min="15104" max="15104" width="10.140625" style="11" bestFit="1" customWidth="1"/>
    <col min="15105" max="15105" width="14.5703125" style="11" customWidth="1"/>
    <col min="15106" max="15106" width="30.85546875" style="11" bestFit="1" customWidth="1"/>
    <col min="15107" max="15107" width="12.28515625" style="11" bestFit="1" customWidth="1"/>
    <col min="15108" max="15356" width="9.140625" style="11"/>
    <col min="15357" max="15357" width="11.85546875" style="11" customWidth="1"/>
    <col min="15358" max="15358" width="7.7109375" style="11" customWidth="1"/>
    <col min="15359" max="15359" width="12.28515625" style="11" customWidth="1"/>
    <col min="15360" max="15360" width="10.140625" style="11" bestFit="1" customWidth="1"/>
    <col min="15361" max="15361" width="14.5703125" style="11" customWidth="1"/>
    <col min="15362" max="15362" width="30.85546875" style="11" bestFit="1" customWidth="1"/>
    <col min="15363" max="15363" width="12.28515625" style="11" bestFit="1" customWidth="1"/>
    <col min="15364" max="15612" width="9.140625" style="11"/>
    <col min="15613" max="15613" width="11.85546875" style="11" customWidth="1"/>
    <col min="15614" max="15614" width="7.7109375" style="11" customWidth="1"/>
    <col min="15615" max="15615" width="12.28515625" style="11" customWidth="1"/>
    <col min="15616" max="15616" width="10.140625" style="11" bestFit="1" customWidth="1"/>
    <col min="15617" max="15617" width="14.5703125" style="11" customWidth="1"/>
    <col min="15618" max="15618" width="30.85546875" style="11" bestFit="1" customWidth="1"/>
    <col min="15619" max="15619" width="12.28515625" style="11" bestFit="1" customWidth="1"/>
    <col min="15620" max="15868" width="9.140625" style="11"/>
    <col min="15869" max="15869" width="11.85546875" style="11" customWidth="1"/>
    <col min="15870" max="15870" width="7.7109375" style="11" customWidth="1"/>
    <col min="15871" max="15871" width="12.28515625" style="11" customWidth="1"/>
    <col min="15872" max="15872" width="10.140625" style="11" bestFit="1" customWidth="1"/>
    <col min="15873" max="15873" width="14.5703125" style="11" customWidth="1"/>
    <col min="15874" max="15874" width="30.85546875" style="11" bestFit="1" customWidth="1"/>
    <col min="15875" max="15875" width="12.28515625" style="11" bestFit="1" customWidth="1"/>
    <col min="15876" max="16124" width="9.140625" style="11"/>
    <col min="16125" max="16125" width="11.85546875" style="11" customWidth="1"/>
    <col min="16126" max="16126" width="7.7109375" style="11" customWidth="1"/>
    <col min="16127" max="16127" width="12.28515625" style="11" customWidth="1"/>
    <col min="16128" max="16128" width="10.140625" style="11" bestFit="1" customWidth="1"/>
    <col min="16129" max="16129" width="14.5703125" style="11" customWidth="1"/>
    <col min="16130" max="16130" width="30.85546875" style="11" bestFit="1" customWidth="1"/>
    <col min="16131" max="16131" width="12.28515625" style="11" bestFit="1" customWidth="1"/>
    <col min="16132" max="16384" width="9.140625" style="11"/>
  </cols>
  <sheetData>
    <row r="1" spans="1:9" s="22" customFormat="1" x14ac:dyDescent="0.25">
      <c r="A1" s="21" t="s">
        <v>88</v>
      </c>
      <c r="B1" s="21" t="s">
        <v>89</v>
      </c>
      <c r="C1" s="21" t="s">
        <v>90</v>
      </c>
      <c r="E1" s="49" t="s">
        <v>1104</v>
      </c>
      <c r="F1" s="49" t="s">
        <v>1105</v>
      </c>
      <c r="G1" s="49" t="s">
        <v>1242</v>
      </c>
      <c r="H1" s="276" t="s">
        <v>161</v>
      </c>
    </row>
    <row r="2" spans="1:9" x14ac:dyDescent="0.25">
      <c r="A2" s="23">
        <v>0</v>
      </c>
      <c r="B2" s="23">
        <v>1</v>
      </c>
      <c r="C2" s="24">
        <v>0</v>
      </c>
      <c r="E2" s="4">
        <v>1</v>
      </c>
      <c r="F2" s="4">
        <v>1</v>
      </c>
      <c r="G2" s="4">
        <f>(E2+F2)*5</f>
        <v>10</v>
      </c>
      <c r="H2" s="389">
        <f>((E2+F2)*5+(C2/5))/2</f>
        <v>5</v>
      </c>
      <c r="I2" s="246"/>
    </row>
    <row r="3" spans="1:9" x14ac:dyDescent="0.25">
      <c r="A3" s="23">
        <v>1</v>
      </c>
      <c r="B3" s="23">
        <v>5</v>
      </c>
      <c r="C3" s="235">
        <v>150</v>
      </c>
      <c r="E3" s="4">
        <v>1</v>
      </c>
      <c r="F3" s="4">
        <v>1</v>
      </c>
      <c r="G3" s="4">
        <f t="shared" ref="G3:G10" si="0">(E3+F3)*5</f>
        <v>10</v>
      </c>
      <c r="H3" s="389">
        <f t="shared" ref="H3:H11" si="1">((E3+F3)*5+(C3/5))/2</f>
        <v>20</v>
      </c>
      <c r="I3" s="246"/>
    </row>
    <row r="4" spans="1:9" x14ac:dyDescent="0.25">
      <c r="A4" s="23">
        <v>2</v>
      </c>
      <c r="B4" s="23">
        <v>7</v>
      </c>
      <c r="C4" s="235">
        <v>500</v>
      </c>
      <c r="D4" s="34">
        <f>SUM(C2:C4)</f>
        <v>650</v>
      </c>
      <c r="E4" s="4">
        <v>1</v>
      </c>
      <c r="F4" s="4">
        <v>1</v>
      </c>
      <c r="G4" s="4">
        <f t="shared" si="0"/>
        <v>10</v>
      </c>
      <c r="H4" s="389">
        <f t="shared" si="1"/>
        <v>55</v>
      </c>
      <c r="I4" s="246"/>
    </row>
    <row r="5" spans="1:9" x14ac:dyDescent="0.25">
      <c r="A5" s="23">
        <v>3</v>
      </c>
      <c r="B5" s="23">
        <v>17</v>
      </c>
      <c r="C5" s="235">
        <v>5000</v>
      </c>
      <c r="D5" s="34">
        <f>SUM(C3:C5)</f>
        <v>5650</v>
      </c>
      <c r="E5" s="4">
        <v>2</v>
      </c>
      <c r="F5" s="4">
        <v>2</v>
      </c>
      <c r="G5" s="4">
        <f t="shared" si="0"/>
        <v>20</v>
      </c>
      <c r="H5" s="389">
        <f t="shared" si="1"/>
        <v>510</v>
      </c>
      <c r="I5" s="246"/>
    </row>
    <row r="6" spans="1:9" x14ac:dyDescent="0.25">
      <c r="A6" s="23">
        <v>4</v>
      </c>
      <c r="B6" s="23">
        <v>31</v>
      </c>
      <c r="C6" s="24">
        <v>27000</v>
      </c>
      <c r="E6" s="4">
        <v>5</v>
      </c>
      <c r="F6" s="4">
        <v>5</v>
      </c>
      <c r="G6" s="4">
        <f t="shared" si="0"/>
        <v>50</v>
      </c>
      <c r="H6" s="389">
        <f t="shared" si="1"/>
        <v>2725</v>
      </c>
      <c r="I6" s="246"/>
    </row>
    <row r="7" spans="1:9" x14ac:dyDescent="0.25">
      <c r="A7" s="23">
        <v>5</v>
      </c>
      <c r="B7" s="23">
        <v>45</v>
      </c>
      <c r="C7" s="24">
        <v>189000</v>
      </c>
      <c r="E7" s="4">
        <v>10</v>
      </c>
      <c r="F7" s="4">
        <v>10</v>
      </c>
      <c r="G7" s="4">
        <f t="shared" si="0"/>
        <v>100</v>
      </c>
      <c r="H7" s="389">
        <f t="shared" si="1"/>
        <v>18950</v>
      </c>
      <c r="I7" s="246"/>
    </row>
    <row r="8" spans="1:9" x14ac:dyDescent="0.25">
      <c r="A8" s="23">
        <v>6</v>
      </c>
      <c r="B8" s="23">
        <v>57</v>
      </c>
      <c r="C8" s="24">
        <v>690000</v>
      </c>
      <c r="E8" s="4">
        <v>20</v>
      </c>
      <c r="F8" s="4">
        <v>20</v>
      </c>
      <c r="G8" s="4">
        <f t="shared" si="0"/>
        <v>200</v>
      </c>
      <c r="H8" s="389">
        <f t="shared" si="1"/>
        <v>69100</v>
      </c>
      <c r="I8" s="246"/>
    </row>
    <row r="9" spans="1:9" x14ac:dyDescent="0.25">
      <c r="A9" s="23">
        <v>7</v>
      </c>
      <c r="B9" s="23">
        <v>68</v>
      </c>
      <c r="C9" s="24">
        <v>1890000</v>
      </c>
      <c r="E9" s="4">
        <v>30</v>
      </c>
      <c r="F9" s="4">
        <v>30</v>
      </c>
      <c r="G9" s="4">
        <f t="shared" si="0"/>
        <v>300</v>
      </c>
      <c r="H9" s="389">
        <f t="shared" si="1"/>
        <v>189150</v>
      </c>
      <c r="I9" s="246"/>
    </row>
    <row r="10" spans="1:9" x14ac:dyDescent="0.25">
      <c r="A10" s="23">
        <v>8</v>
      </c>
      <c r="B10" s="23">
        <v>80</v>
      </c>
      <c r="C10" s="24">
        <v>4560000</v>
      </c>
      <c r="E10" s="4">
        <v>40</v>
      </c>
      <c r="F10" s="4">
        <v>40</v>
      </c>
      <c r="G10" s="4">
        <f t="shared" si="0"/>
        <v>400</v>
      </c>
      <c r="H10" s="389">
        <f t="shared" si="1"/>
        <v>456200</v>
      </c>
      <c r="I10" s="246"/>
    </row>
    <row r="11" spans="1:9" x14ac:dyDescent="0.25">
      <c r="A11" s="23">
        <v>9</v>
      </c>
      <c r="B11" s="23">
        <v>92</v>
      </c>
      <c r="C11" s="24">
        <v>9980000</v>
      </c>
      <c r="E11" s="4">
        <v>50</v>
      </c>
      <c r="F11" s="4">
        <v>50</v>
      </c>
      <c r="G11" s="4">
        <f>(E11+F11)*5</f>
        <v>500</v>
      </c>
      <c r="H11" s="389">
        <f t="shared" si="1"/>
        <v>998250</v>
      </c>
      <c r="I11" s="246"/>
    </row>
    <row r="12" spans="1:9" x14ac:dyDescent="0.25">
      <c r="C12" s="239">
        <f>SUM(C2:C11)</f>
        <v>17341650</v>
      </c>
      <c r="G12" s="239">
        <f>SUM(G2:G11)</f>
        <v>1600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2"/>
  <sheetViews>
    <sheetView workbookViewId="0">
      <selection activeCell="C30" sqref="C30"/>
    </sheetView>
  </sheetViews>
  <sheetFormatPr defaultRowHeight="15" x14ac:dyDescent="0.25"/>
  <cols>
    <col min="1" max="1" width="12.42578125" style="31" bestFit="1" customWidth="1"/>
    <col min="2" max="2" width="12.42578125" style="31" customWidth="1"/>
    <col min="3" max="3" width="15.140625" style="31" customWidth="1"/>
    <col min="4" max="4" width="19.5703125" style="31" bestFit="1" customWidth="1"/>
    <col min="5" max="5" width="19" style="31" bestFit="1" customWidth="1"/>
    <col min="6" max="6" width="16.85546875" style="31" bestFit="1" customWidth="1"/>
    <col min="7" max="7" width="9.140625" style="31"/>
    <col min="8" max="8" width="15.140625" style="31" bestFit="1" customWidth="1"/>
    <col min="9" max="9" width="14.28515625" style="31" bestFit="1" customWidth="1"/>
    <col min="10" max="11" width="10.5703125" style="31" bestFit="1" customWidth="1"/>
    <col min="12" max="12" width="11.5703125" style="31" bestFit="1" customWidth="1"/>
    <col min="13" max="13" width="13.28515625" style="31" bestFit="1" customWidth="1"/>
    <col min="14" max="15" width="14.28515625" style="31" bestFit="1" customWidth="1"/>
    <col min="16" max="247" width="9.140625" style="31"/>
    <col min="248" max="248" width="12.42578125" style="31" bestFit="1" customWidth="1"/>
    <col min="249" max="249" width="15.140625" style="31" customWidth="1"/>
    <col min="250" max="250" width="16.85546875" style="31" customWidth="1"/>
    <col min="251" max="251" width="19.5703125" style="31" bestFit="1" customWidth="1"/>
    <col min="252" max="252" width="19" style="31" bestFit="1" customWidth="1"/>
    <col min="253" max="253" width="16.85546875" style="31" bestFit="1" customWidth="1"/>
    <col min="254" max="254" width="16.28515625" style="31" bestFit="1" customWidth="1"/>
    <col min="255" max="255" width="109.42578125" style="31" bestFit="1" customWidth="1"/>
    <col min="256" max="256" width="16.28515625" style="31" customWidth="1"/>
    <col min="257" max="259" width="19.5703125" style="31" bestFit="1" customWidth="1"/>
    <col min="260" max="260" width="25.85546875" style="31" customWidth="1"/>
    <col min="261" max="503" width="9.140625" style="31"/>
    <col min="504" max="504" width="12.42578125" style="31" bestFit="1" customWidth="1"/>
    <col min="505" max="505" width="15.140625" style="31" customWidth="1"/>
    <col min="506" max="506" width="16.85546875" style="31" customWidth="1"/>
    <col min="507" max="507" width="19.5703125" style="31" bestFit="1" customWidth="1"/>
    <col min="508" max="508" width="19" style="31" bestFit="1" customWidth="1"/>
    <col min="509" max="509" width="16.85546875" style="31" bestFit="1" customWidth="1"/>
    <col min="510" max="510" width="16.28515625" style="31" bestFit="1" customWidth="1"/>
    <col min="511" max="511" width="109.42578125" style="31" bestFit="1" customWidth="1"/>
    <col min="512" max="512" width="16.28515625" style="31" customWidth="1"/>
    <col min="513" max="515" width="19.5703125" style="31" bestFit="1" customWidth="1"/>
    <col min="516" max="516" width="25.85546875" style="31" customWidth="1"/>
    <col min="517" max="759" width="9.140625" style="31"/>
    <col min="760" max="760" width="12.42578125" style="31" bestFit="1" customWidth="1"/>
    <col min="761" max="761" width="15.140625" style="31" customWidth="1"/>
    <col min="762" max="762" width="16.85546875" style="31" customWidth="1"/>
    <col min="763" max="763" width="19.5703125" style="31" bestFit="1" customWidth="1"/>
    <col min="764" max="764" width="19" style="31" bestFit="1" customWidth="1"/>
    <col min="765" max="765" width="16.85546875" style="31" bestFit="1" customWidth="1"/>
    <col min="766" max="766" width="16.28515625" style="31" bestFit="1" customWidth="1"/>
    <col min="767" max="767" width="109.42578125" style="31" bestFit="1" customWidth="1"/>
    <col min="768" max="768" width="16.28515625" style="31" customWidth="1"/>
    <col min="769" max="771" width="19.5703125" style="31" bestFit="1" customWidth="1"/>
    <col min="772" max="772" width="25.85546875" style="31" customWidth="1"/>
    <col min="773" max="1015" width="9.140625" style="31"/>
    <col min="1016" max="1016" width="12.42578125" style="31" bestFit="1" customWidth="1"/>
    <col min="1017" max="1017" width="15.140625" style="31" customWidth="1"/>
    <col min="1018" max="1018" width="16.85546875" style="31" customWidth="1"/>
    <col min="1019" max="1019" width="19.5703125" style="31" bestFit="1" customWidth="1"/>
    <col min="1020" max="1020" width="19" style="31" bestFit="1" customWidth="1"/>
    <col min="1021" max="1021" width="16.85546875" style="31" bestFit="1" customWidth="1"/>
    <col min="1022" max="1022" width="16.28515625" style="31" bestFit="1" customWidth="1"/>
    <col min="1023" max="1023" width="109.42578125" style="31" bestFit="1" customWidth="1"/>
    <col min="1024" max="1024" width="16.28515625" style="31" customWidth="1"/>
    <col min="1025" max="1027" width="19.5703125" style="31" bestFit="1" customWidth="1"/>
    <col min="1028" max="1028" width="25.85546875" style="31" customWidth="1"/>
    <col min="1029" max="1271" width="9.140625" style="31"/>
    <col min="1272" max="1272" width="12.42578125" style="31" bestFit="1" customWidth="1"/>
    <col min="1273" max="1273" width="15.140625" style="31" customWidth="1"/>
    <col min="1274" max="1274" width="16.85546875" style="31" customWidth="1"/>
    <col min="1275" max="1275" width="19.5703125" style="31" bestFit="1" customWidth="1"/>
    <col min="1276" max="1276" width="19" style="31" bestFit="1" customWidth="1"/>
    <col min="1277" max="1277" width="16.85546875" style="31" bestFit="1" customWidth="1"/>
    <col min="1278" max="1278" width="16.28515625" style="31" bestFit="1" customWidth="1"/>
    <col min="1279" max="1279" width="109.42578125" style="31" bestFit="1" customWidth="1"/>
    <col min="1280" max="1280" width="16.28515625" style="31" customWidth="1"/>
    <col min="1281" max="1283" width="19.5703125" style="31" bestFit="1" customWidth="1"/>
    <col min="1284" max="1284" width="25.85546875" style="31" customWidth="1"/>
    <col min="1285" max="1527" width="9.140625" style="31"/>
    <col min="1528" max="1528" width="12.42578125" style="31" bestFit="1" customWidth="1"/>
    <col min="1529" max="1529" width="15.140625" style="31" customWidth="1"/>
    <col min="1530" max="1530" width="16.85546875" style="31" customWidth="1"/>
    <col min="1531" max="1531" width="19.5703125" style="31" bestFit="1" customWidth="1"/>
    <col min="1532" max="1532" width="19" style="31" bestFit="1" customWidth="1"/>
    <col min="1533" max="1533" width="16.85546875" style="31" bestFit="1" customWidth="1"/>
    <col min="1534" max="1534" width="16.28515625" style="31" bestFit="1" customWidth="1"/>
    <col min="1535" max="1535" width="109.42578125" style="31" bestFit="1" customWidth="1"/>
    <col min="1536" max="1536" width="16.28515625" style="31" customWidth="1"/>
    <col min="1537" max="1539" width="19.5703125" style="31" bestFit="1" customWidth="1"/>
    <col min="1540" max="1540" width="25.85546875" style="31" customWidth="1"/>
    <col min="1541" max="1783" width="9.140625" style="31"/>
    <col min="1784" max="1784" width="12.42578125" style="31" bestFit="1" customWidth="1"/>
    <col min="1785" max="1785" width="15.140625" style="31" customWidth="1"/>
    <col min="1786" max="1786" width="16.85546875" style="31" customWidth="1"/>
    <col min="1787" max="1787" width="19.5703125" style="31" bestFit="1" customWidth="1"/>
    <col min="1788" max="1788" width="19" style="31" bestFit="1" customWidth="1"/>
    <col min="1789" max="1789" width="16.85546875" style="31" bestFit="1" customWidth="1"/>
    <col min="1790" max="1790" width="16.28515625" style="31" bestFit="1" customWidth="1"/>
    <col min="1791" max="1791" width="109.42578125" style="31" bestFit="1" customWidth="1"/>
    <col min="1792" max="1792" width="16.28515625" style="31" customWidth="1"/>
    <col min="1793" max="1795" width="19.5703125" style="31" bestFit="1" customWidth="1"/>
    <col min="1796" max="1796" width="25.85546875" style="31" customWidth="1"/>
    <col min="1797" max="2039" width="9.140625" style="31"/>
    <col min="2040" max="2040" width="12.42578125" style="31" bestFit="1" customWidth="1"/>
    <col min="2041" max="2041" width="15.140625" style="31" customWidth="1"/>
    <col min="2042" max="2042" width="16.85546875" style="31" customWidth="1"/>
    <col min="2043" max="2043" width="19.5703125" style="31" bestFit="1" customWidth="1"/>
    <col min="2044" max="2044" width="19" style="31" bestFit="1" customWidth="1"/>
    <col min="2045" max="2045" width="16.85546875" style="31" bestFit="1" customWidth="1"/>
    <col min="2046" max="2046" width="16.28515625" style="31" bestFit="1" customWidth="1"/>
    <col min="2047" max="2047" width="109.42578125" style="31" bestFit="1" customWidth="1"/>
    <col min="2048" max="2048" width="16.28515625" style="31" customWidth="1"/>
    <col min="2049" max="2051" width="19.5703125" style="31" bestFit="1" customWidth="1"/>
    <col min="2052" max="2052" width="25.85546875" style="31" customWidth="1"/>
    <col min="2053" max="2295" width="9.140625" style="31"/>
    <col min="2296" max="2296" width="12.42578125" style="31" bestFit="1" customWidth="1"/>
    <col min="2297" max="2297" width="15.140625" style="31" customWidth="1"/>
    <col min="2298" max="2298" width="16.85546875" style="31" customWidth="1"/>
    <col min="2299" max="2299" width="19.5703125" style="31" bestFit="1" customWidth="1"/>
    <col min="2300" max="2300" width="19" style="31" bestFit="1" customWidth="1"/>
    <col min="2301" max="2301" width="16.85546875" style="31" bestFit="1" customWidth="1"/>
    <col min="2302" max="2302" width="16.28515625" style="31" bestFit="1" customWidth="1"/>
    <col min="2303" max="2303" width="109.42578125" style="31" bestFit="1" customWidth="1"/>
    <col min="2304" max="2304" width="16.28515625" style="31" customWidth="1"/>
    <col min="2305" max="2307" width="19.5703125" style="31" bestFit="1" customWidth="1"/>
    <col min="2308" max="2308" width="25.85546875" style="31" customWidth="1"/>
    <col min="2309" max="2551" width="9.140625" style="31"/>
    <col min="2552" max="2552" width="12.42578125" style="31" bestFit="1" customWidth="1"/>
    <col min="2553" max="2553" width="15.140625" style="31" customWidth="1"/>
    <col min="2554" max="2554" width="16.85546875" style="31" customWidth="1"/>
    <col min="2555" max="2555" width="19.5703125" style="31" bestFit="1" customWidth="1"/>
    <col min="2556" max="2556" width="19" style="31" bestFit="1" customWidth="1"/>
    <col min="2557" max="2557" width="16.85546875" style="31" bestFit="1" customWidth="1"/>
    <col min="2558" max="2558" width="16.28515625" style="31" bestFit="1" customWidth="1"/>
    <col min="2559" max="2559" width="109.42578125" style="31" bestFit="1" customWidth="1"/>
    <col min="2560" max="2560" width="16.28515625" style="31" customWidth="1"/>
    <col min="2561" max="2563" width="19.5703125" style="31" bestFit="1" customWidth="1"/>
    <col min="2564" max="2564" width="25.85546875" style="31" customWidth="1"/>
    <col min="2565" max="2807" width="9.140625" style="31"/>
    <col min="2808" max="2808" width="12.42578125" style="31" bestFit="1" customWidth="1"/>
    <col min="2809" max="2809" width="15.140625" style="31" customWidth="1"/>
    <col min="2810" max="2810" width="16.85546875" style="31" customWidth="1"/>
    <col min="2811" max="2811" width="19.5703125" style="31" bestFit="1" customWidth="1"/>
    <col min="2812" max="2812" width="19" style="31" bestFit="1" customWidth="1"/>
    <col min="2813" max="2813" width="16.85546875" style="31" bestFit="1" customWidth="1"/>
    <col min="2814" max="2814" width="16.28515625" style="31" bestFit="1" customWidth="1"/>
    <col min="2815" max="2815" width="109.42578125" style="31" bestFit="1" customWidth="1"/>
    <col min="2816" max="2816" width="16.28515625" style="31" customWidth="1"/>
    <col min="2817" max="2819" width="19.5703125" style="31" bestFit="1" customWidth="1"/>
    <col min="2820" max="2820" width="25.85546875" style="31" customWidth="1"/>
    <col min="2821" max="3063" width="9.140625" style="31"/>
    <col min="3064" max="3064" width="12.42578125" style="31" bestFit="1" customWidth="1"/>
    <col min="3065" max="3065" width="15.140625" style="31" customWidth="1"/>
    <col min="3066" max="3066" width="16.85546875" style="31" customWidth="1"/>
    <col min="3067" max="3067" width="19.5703125" style="31" bestFit="1" customWidth="1"/>
    <col min="3068" max="3068" width="19" style="31" bestFit="1" customWidth="1"/>
    <col min="3069" max="3069" width="16.85546875" style="31" bestFit="1" customWidth="1"/>
    <col min="3070" max="3070" width="16.28515625" style="31" bestFit="1" customWidth="1"/>
    <col min="3071" max="3071" width="109.42578125" style="31" bestFit="1" customWidth="1"/>
    <col min="3072" max="3072" width="16.28515625" style="31" customWidth="1"/>
    <col min="3073" max="3075" width="19.5703125" style="31" bestFit="1" customWidth="1"/>
    <col min="3076" max="3076" width="25.85546875" style="31" customWidth="1"/>
    <col min="3077" max="3319" width="9.140625" style="31"/>
    <col min="3320" max="3320" width="12.42578125" style="31" bestFit="1" customWidth="1"/>
    <col min="3321" max="3321" width="15.140625" style="31" customWidth="1"/>
    <col min="3322" max="3322" width="16.85546875" style="31" customWidth="1"/>
    <col min="3323" max="3323" width="19.5703125" style="31" bestFit="1" customWidth="1"/>
    <col min="3324" max="3324" width="19" style="31" bestFit="1" customWidth="1"/>
    <col min="3325" max="3325" width="16.85546875" style="31" bestFit="1" customWidth="1"/>
    <col min="3326" max="3326" width="16.28515625" style="31" bestFit="1" customWidth="1"/>
    <col min="3327" max="3327" width="109.42578125" style="31" bestFit="1" customWidth="1"/>
    <col min="3328" max="3328" width="16.28515625" style="31" customWidth="1"/>
    <col min="3329" max="3331" width="19.5703125" style="31" bestFit="1" customWidth="1"/>
    <col min="3332" max="3332" width="25.85546875" style="31" customWidth="1"/>
    <col min="3333" max="3575" width="9.140625" style="31"/>
    <col min="3576" max="3576" width="12.42578125" style="31" bestFit="1" customWidth="1"/>
    <col min="3577" max="3577" width="15.140625" style="31" customWidth="1"/>
    <col min="3578" max="3578" width="16.85546875" style="31" customWidth="1"/>
    <col min="3579" max="3579" width="19.5703125" style="31" bestFit="1" customWidth="1"/>
    <col min="3580" max="3580" width="19" style="31" bestFit="1" customWidth="1"/>
    <col min="3581" max="3581" width="16.85546875" style="31" bestFit="1" customWidth="1"/>
    <col min="3582" max="3582" width="16.28515625" style="31" bestFit="1" customWidth="1"/>
    <col min="3583" max="3583" width="109.42578125" style="31" bestFit="1" customWidth="1"/>
    <col min="3584" max="3584" width="16.28515625" style="31" customWidth="1"/>
    <col min="3585" max="3587" width="19.5703125" style="31" bestFit="1" customWidth="1"/>
    <col min="3588" max="3588" width="25.85546875" style="31" customWidth="1"/>
    <col min="3589" max="3831" width="9.140625" style="31"/>
    <col min="3832" max="3832" width="12.42578125" style="31" bestFit="1" customWidth="1"/>
    <col min="3833" max="3833" width="15.140625" style="31" customWidth="1"/>
    <col min="3834" max="3834" width="16.85546875" style="31" customWidth="1"/>
    <col min="3835" max="3835" width="19.5703125" style="31" bestFit="1" customWidth="1"/>
    <col min="3836" max="3836" width="19" style="31" bestFit="1" customWidth="1"/>
    <col min="3837" max="3837" width="16.85546875" style="31" bestFit="1" customWidth="1"/>
    <col min="3838" max="3838" width="16.28515625" style="31" bestFit="1" customWidth="1"/>
    <col min="3839" max="3839" width="109.42578125" style="31" bestFit="1" customWidth="1"/>
    <col min="3840" max="3840" width="16.28515625" style="31" customWidth="1"/>
    <col min="3841" max="3843" width="19.5703125" style="31" bestFit="1" customWidth="1"/>
    <col min="3844" max="3844" width="25.85546875" style="31" customWidth="1"/>
    <col min="3845" max="4087" width="9.140625" style="31"/>
    <col min="4088" max="4088" width="12.42578125" style="31" bestFit="1" customWidth="1"/>
    <col min="4089" max="4089" width="15.140625" style="31" customWidth="1"/>
    <col min="4090" max="4090" width="16.85546875" style="31" customWidth="1"/>
    <col min="4091" max="4091" width="19.5703125" style="31" bestFit="1" customWidth="1"/>
    <col min="4092" max="4092" width="19" style="31" bestFit="1" customWidth="1"/>
    <col min="4093" max="4093" width="16.85546875" style="31" bestFit="1" customWidth="1"/>
    <col min="4094" max="4094" width="16.28515625" style="31" bestFit="1" customWidth="1"/>
    <col min="4095" max="4095" width="109.42578125" style="31" bestFit="1" customWidth="1"/>
    <col min="4096" max="4096" width="16.28515625" style="31" customWidth="1"/>
    <col min="4097" max="4099" width="19.5703125" style="31" bestFit="1" customWidth="1"/>
    <col min="4100" max="4100" width="25.85546875" style="31" customWidth="1"/>
    <col min="4101" max="4343" width="9.140625" style="31"/>
    <col min="4344" max="4344" width="12.42578125" style="31" bestFit="1" customWidth="1"/>
    <col min="4345" max="4345" width="15.140625" style="31" customWidth="1"/>
    <col min="4346" max="4346" width="16.85546875" style="31" customWidth="1"/>
    <col min="4347" max="4347" width="19.5703125" style="31" bestFit="1" customWidth="1"/>
    <col min="4348" max="4348" width="19" style="31" bestFit="1" customWidth="1"/>
    <col min="4349" max="4349" width="16.85546875" style="31" bestFit="1" customWidth="1"/>
    <col min="4350" max="4350" width="16.28515625" style="31" bestFit="1" customWidth="1"/>
    <col min="4351" max="4351" width="109.42578125" style="31" bestFit="1" customWidth="1"/>
    <col min="4352" max="4352" width="16.28515625" style="31" customWidth="1"/>
    <col min="4353" max="4355" width="19.5703125" style="31" bestFit="1" customWidth="1"/>
    <col min="4356" max="4356" width="25.85546875" style="31" customWidth="1"/>
    <col min="4357" max="4599" width="9.140625" style="31"/>
    <col min="4600" max="4600" width="12.42578125" style="31" bestFit="1" customWidth="1"/>
    <col min="4601" max="4601" width="15.140625" style="31" customWidth="1"/>
    <col min="4602" max="4602" width="16.85546875" style="31" customWidth="1"/>
    <col min="4603" max="4603" width="19.5703125" style="31" bestFit="1" customWidth="1"/>
    <col min="4604" max="4604" width="19" style="31" bestFit="1" customWidth="1"/>
    <col min="4605" max="4605" width="16.85546875" style="31" bestFit="1" customWidth="1"/>
    <col min="4606" max="4606" width="16.28515625" style="31" bestFit="1" customWidth="1"/>
    <col min="4607" max="4607" width="109.42578125" style="31" bestFit="1" customWidth="1"/>
    <col min="4608" max="4608" width="16.28515625" style="31" customWidth="1"/>
    <col min="4609" max="4611" width="19.5703125" style="31" bestFit="1" customWidth="1"/>
    <col min="4612" max="4612" width="25.85546875" style="31" customWidth="1"/>
    <col min="4613" max="4855" width="9.140625" style="31"/>
    <col min="4856" max="4856" width="12.42578125" style="31" bestFit="1" customWidth="1"/>
    <col min="4857" max="4857" width="15.140625" style="31" customWidth="1"/>
    <col min="4858" max="4858" width="16.85546875" style="31" customWidth="1"/>
    <col min="4859" max="4859" width="19.5703125" style="31" bestFit="1" customWidth="1"/>
    <col min="4860" max="4860" width="19" style="31" bestFit="1" customWidth="1"/>
    <col min="4861" max="4861" width="16.85546875" style="31" bestFit="1" customWidth="1"/>
    <col min="4862" max="4862" width="16.28515625" style="31" bestFit="1" customWidth="1"/>
    <col min="4863" max="4863" width="109.42578125" style="31" bestFit="1" customWidth="1"/>
    <col min="4864" max="4864" width="16.28515625" style="31" customWidth="1"/>
    <col min="4865" max="4867" width="19.5703125" style="31" bestFit="1" customWidth="1"/>
    <col min="4868" max="4868" width="25.85546875" style="31" customWidth="1"/>
    <col min="4869" max="5111" width="9.140625" style="31"/>
    <col min="5112" max="5112" width="12.42578125" style="31" bestFit="1" customWidth="1"/>
    <col min="5113" max="5113" width="15.140625" style="31" customWidth="1"/>
    <col min="5114" max="5114" width="16.85546875" style="31" customWidth="1"/>
    <col min="5115" max="5115" width="19.5703125" style="31" bestFit="1" customWidth="1"/>
    <col min="5116" max="5116" width="19" style="31" bestFit="1" customWidth="1"/>
    <col min="5117" max="5117" width="16.85546875" style="31" bestFit="1" customWidth="1"/>
    <col min="5118" max="5118" width="16.28515625" style="31" bestFit="1" customWidth="1"/>
    <col min="5119" max="5119" width="109.42578125" style="31" bestFit="1" customWidth="1"/>
    <col min="5120" max="5120" width="16.28515625" style="31" customWidth="1"/>
    <col min="5121" max="5123" width="19.5703125" style="31" bestFit="1" customWidth="1"/>
    <col min="5124" max="5124" width="25.85546875" style="31" customWidth="1"/>
    <col min="5125" max="5367" width="9.140625" style="31"/>
    <col min="5368" max="5368" width="12.42578125" style="31" bestFit="1" customWidth="1"/>
    <col min="5369" max="5369" width="15.140625" style="31" customWidth="1"/>
    <col min="5370" max="5370" width="16.85546875" style="31" customWidth="1"/>
    <col min="5371" max="5371" width="19.5703125" style="31" bestFit="1" customWidth="1"/>
    <col min="5372" max="5372" width="19" style="31" bestFit="1" customWidth="1"/>
    <col min="5373" max="5373" width="16.85546875" style="31" bestFit="1" customWidth="1"/>
    <col min="5374" max="5374" width="16.28515625" style="31" bestFit="1" customWidth="1"/>
    <col min="5375" max="5375" width="109.42578125" style="31" bestFit="1" customWidth="1"/>
    <col min="5376" max="5376" width="16.28515625" style="31" customWidth="1"/>
    <col min="5377" max="5379" width="19.5703125" style="31" bestFit="1" customWidth="1"/>
    <col min="5380" max="5380" width="25.85546875" style="31" customWidth="1"/>
    <col min="5381" max="5623" width="9.140625" style="31"/>
    <col min="5624" max="5624" width="12.42578125" style="31" bestFit="1" customWidth="1"/>
    <col min="5625" max="5625" width="15.140625" style="31" customWidth="1"/>
    <col min="5626" max="5626" width="16.85546875" style="31" customWidth="1"/>
    <col min="5627" max="5627" width="19.5703125" style="31" bestFit="1" customWidth="1"/>
    <col min="5628" max="5628" width="19" style="31" bestFit="1" customWidth="1"/>
    <col min="5629" max="5629" width="16.85546875" style="31" bestFit="1" customWidth="1"/>
    <col min="5630" max="5630" width="16.28515625" style="31" bestFit="1" customWidth="1"/>
    <col min="5631" max="5631" width="109.42578125" style="31" bestFit="1" customWidth="1"/>
    <col min="5632" max="5632" width="16.28515625" style="31" customWidth="1"/>
    <col min="5633" max="5635" width="19.5703125" style="31" bestFit="1" customWidth="1"/>
    <col min="5636" max="5636" width="25.85546875" style="31" customWidth="1"/>
    <col min="5637" max="5879" width="9.140625" style="31"/>
    <col min="5880" max="5880" width="12.42578125" style="31" bestFit="1" customWidth="1"/>
    <col min="5881" max="5881" width="15.140625" style="31" customWidth="1"/>
    <col min="5882" max="5882" width="16.85546875" style="31" customWidth="1"/>
    <col min="5883" max="5883" width="19.5703125" style="31" bestFit="1" customWidth="1"/>
    <col min="5884" max="5884" width="19" style="31" bestFit="1" customWidth="1"/>
    <col min="5885" max="5885" width="16.85546875" style="31" bestFit="1" customWidth="1"/>
    <col min="5886" max="5886" width="16.28515625" style="31" bestFit="1" customWidth="1"/>
    <col min="5887" max="5887" width="109.42578125" style="31" bestFit="1" customWidth="1"/>
    <col min="5888" max="5888" width="16.28515625" style="31" customWidth="1"/>
    <col min="5889" max="5891" width="19.5703125" style="31" bestFit="1" customWidth="1"/>
    <col min="5892" max="5892" width="25.85546875" style="31" customWidth="1"/>
    <col min="5893" max="6135" width="9.140625" style="31"/>
    <col min="6136" max="6136" width="12.42578125" style="31" bestFit="1" customWidth="1"/>
    <col min="6137" max="6137" width="15.140625" style="31" customWidth="1"/>
    <col min="6138" max="6138" width="16.85546875" style="31" customWidth="1"/>
    <col min="6139" max="6139" width="19.5703125" style="31" bestFit="1" customWidth="1"/>
    <col min="6140" max="6140" width="19" style="31" bestFit="1" customWidth="1"/>
    <col min="6141" max="6141" width="16.85546875" style="31" bestFit="1" customWidth="1"/>
    <col min="6142" max="6142" width="16.28515625" style="31" bestFit="1" customWidth="1"/>
    <col min="6143" max="6143" width="109.42578125" style="31" bestFit="1" customWidth="1"/>
    <col min="6144" max="6144" width="16.28515625" style="31" customWidth="1"/>
    <col min="6145" max="6147" width="19.5703125" style="31" bestFit="1" customWidth="1"/>
    <col min="6148" max="6148" width="25.85546875" style="31" customWidth="1"/>
    <col min="6149" max="6391" width="9.140625" style="31"/>
    <col min="6392" max="6392" width="12.42578125" style="31" bestFit="1" customWidth="1"/>
    <col min="6393" max="6393" width="15.140625" style="31" customWidth="1"/>
    <col min="6394" max="6394" width="16.85546875" style="31" customWidth="1"/>
    <col min="6395" max="6395" width="19.5703125" style="31" bestFit="1" customWidth="1"/>
    <col min="6396" max="6396" width="19" style="31" bestFit="1" customWidth="1"/>
    <col min="6397" max="6397" width="16.85546875" style="31" bestFit="1" customWidth="1"/>
    <col min="6398" max="6398" width="16.28515625" style="31" bestFit="1" customWidth="1"/>
    <col min="6399" max="6399" width="109.42578125" style="31" bestFit="1" customWidth="1"/>
    <col min="6400" max="6400" width="16.28515625" style="31" customWidth="1"/>
    <col min="6401" max="6403" width="19.5703125" style="31" bestFit="1" customWidth="1"/>
    <col min="6404" max="6404" width="25.85546875" style="31" customWidth="1"/>
    <col min="6405" max="6647" width="9.140625" style="31"/>
    <col min="6648" max="6648" width="12.42578125" style="31" bestFit="1" customWidth="1"/>
    <col min="6649" max="6649" width="15.140625" style="31" customWidth="1"/>
    <col min="6650" max="6650" width="16.85546875" style="31" customWidth="1"/>
    <col min="6651" max="6651" width="19.5703125" style="31" bestFit="1" customWidth="1"/>
    <col min="6652" max="6652" width="19" style="31" bestFit="1" customWidth="1"/>
    <col min="6653" max="6653" width="16.85546875" style="31" bestFit="1" customWidth="1"/>
    <col min="6654" max="6654" width="16.28515625" style="31" bestFit="1" customWidth="1"/>
    <col min="6655" max="6655" width="109.42578125" style="31" bestFit="1" customWidth="1"/>
    <col min="6656" max="6656" width="16.28515625" style="31" customWidth="1"/>
    <col min="6657" max="6659" width="19.5703125" style="31" bestFit="1" customWidth="1"/>
    <col min="6660" max="6660" width="25.85546875" style="31" customWidth="1"/>
    <col min="6661" max="6903" width="9.140625" style="31"/>
    <col min="6904" max="6904" width="12.42578125" style="31" bestFit="1" customWidth="1"/>
    <col min="6905" max="6905" width="15.140625" style="31" customWidth="1"/>
    <col min="6906" max="6906" width="16.85546875" style="31" customWidth="1"/>
    <col min="6907" max="6907" width="19.5703125" style="31" bestFit="1" customWidth="1"/>
    <col min="6908" max="6908" width="19" style="31" bestFit="1" customWidth="1"/>
    <col min="6909" max="6909" width="16.85546875" style="31" bestFit="1" customWidth="1"/>
    <col min="6910" max="6910" width="16.28515625" style="31" bestFit="1" customWidth="1"/>
    <col min="6911" max="6911" width="109.42578125" style="31" bestFit="1" customWidth="1"/>
    <col min="6912" max="6912" width="16.28515625" style="31" customWidth="1"/>
    <col min="6913" max="6915" width="19.5703125" style="31" bestFit="1" customWidth="1"/>
    <col min="6916" max="6916" width="25.85546875" style="31" customWidth="1"/>
    <col min="6917" max="7159" width="9.140625" style="31"/>
    <col min="7160" max="7160" width="12.42578125" style="31" bestFit="1" customWidth="1"/>
    <col min="7161" max="7161" width="15.140625" style="31" customWidth="1"/>
    <col min="7162" max="7162" width="16.85546875" style="31" customWidth="1"/>
    <col min="7163" max="7163" width="19.5703125" style="31" bestFit="1" customWidth="1"/>
    <col min="7164" max="7164" width="19" style="31" bestFit="1" customWidth="1"/>
    <col min="7165" max="7165" width="16.85546875" style="31" bestFit="1" customWidth="1"/>
    <col min="7166" max="7166" width="16.28515625" style="31" bestFit="1" customWidth="1"/>
    <col min="7167" max="7167" width="109.42578125" style="31" bestFit="1" customWidth="1"/>
    <col min="7168" max="7168" width="16.28515625" style="31" customWidth="1"/>
    <col min="7169" max="7171" width="19.5703125" style="31" bestFit="1" customWidth="1"/>
    <col min="7172" max="7172" width="25.85546875" style="31" customWidth="1"/>
    <col min="7173" max="7415" width="9.140625" style="31"/>
    <col min="7416" max="7416" width="12.42578125" style="31" bestFit="1" customWidth="1"/>
    <col min="7417" max="7417" width="15.140625" style="31" customWidth="1"/>
    <col min="7418" max="7418" width="16.85546875" style="31" customWidth="1"/>
    <col min="7419" max="7419" width="19.5703125" style="31" bestFit="1" customWidth="1"/>
    <col min="7420" max="7420" width="19" style="31" bestFit="1" customWidth="1"/>
    <col min="7421" max="7421" width="16.85546875" style="31" bestFit="1" customWidth="1"/>
    <col min="7422" max="7422" width="16.28515625" style="31" bestFit="1" customWidth="1"/>
    <col min="7423" max="7423" width="109.42578125" style="31" bestFit="1" customWidth="1"/>
    <col min="7424" max="7424" width="16.28515625" style="31" customWidth="1"/>
    <col min="7425" max="7427" width="19.5703125" style="31" bestFit="1" customWidth="1"/>
    <col min="7428" max="7428" width="25.85546875" style="31" customWidth="1"/>
    <col min="7429" max="7671" width="9.140625" style="31"/>
    <col min="7672" max="7672" width="12.42578125" style="31" bestFit="1" customWidth="1"/>
    <col min="7673" max="7673" width="15.140625" style="31" customWidth="1"/>
    <col min="7674" max="7674" width="16.85546875" style="31" customWidth="1"/>
    <col min="7675" max="7675" width="19.5703125" style="31" bestFit="1" customWidth="1"/>
    <col min="7676" max="7676" width="19" style="31" bestFit="1" customWidth="1"/>
    <col min="7677" max="7677" width="16.85546875" style="31" bestFit="1" customWidth="1"/>
    <col min="7678" max="7678" width="16.28515625" style="31" bestFit="1" customWidth="1"/>
    <col min="7679" max="7679" width="109.42578125" style="31" bestFit="1" customWidth="1"/>
    <col min="7680" max="7680" width="16.28515625" style="31" customWidth="1"/>
    <col min="7681" max="7683" width="19.5703125" style="31" bestFit="1" customWidth="1"/>
    <col min="7684" max="7684" width="25.85546875" style="31" customWidth="1"/>
    <col min="7685" max="7927" width="9.140625" style="31"/>
    <col min="7928" max="7928" width="12.42578125" style="31" bestFit="1" customWidth="1"/>
    <col min="7929" max="7929" width="15.140625" style="31" customWidth="1"/>
    <col min="7930" max="7930" width="16.85546875" style="31" customWidth="1"/>
    <col min="7931" max="7931" width="19.5703125" style="31" bestFit="1" customWidth="1"/>
    <col min="7932" max="7932" width="19" style="31" bestFit="1" customWidth="1"/>
    <col min="7933" max="7933" width="16.85546875" style="31" bestFit="1" customWidth="1"/>
    <col min="7934" max="7934" width="16.28515625" style="31" bestFit="1" customWidth="1"/>
    <col min="7935" max="7935" width="109.42578125" style="31" bestFit="1" customWidth="1"/>
    <col min="7936" max="7936" width="16.28515625" style="31" customWidth="1"/>
    <col min="7937" max="7939" width="19.5703125" style="31" bestFit="1" customWidth="1"/>
    <col min="7940" max="7940" width="25.85546875" style="31" customWidth="1"/>
    <col min="7941" max="8183" width="9.140625" style="31"/>
    <col min="8184" max="8184" width="12.42578125" style="31" bestFit="1" customWidth="1"/>
    <col min="8185" max="8185" width="15.140625" style="31" customWidth="1"/>
    <col min="8186" max="8186" width="16.85546875" style="31" customWidth="1"/>
    <col min="8187" max="8187" width="19.5703125" style="31" bestFit="1" customWidth="1"/>
    <col min="8188" max="8188" width="19" style="31" bestFit="1" customWidth="1"/>
    <col min="8189" max="8189" width="16.85546875" style="31" bestFit="1" customWidth="1"/>
    <col min="8190" max="8190" width="16.28515625" style="31" bestFit="1" customWidth="1"/>
    <col min="8191" max="8191" width="109.42578125" style="31" bestFit="1" customWidth="1"/>
    <col min="8192" max="8192" width="16.28515625" style="31" customWidth="1"/>
    <col min="8193" max="8195" width="19.5703125" style="31" bestFit="1" customWidth="1"/>
    <col min="8196" max="8196" width="25.85546875" style="31" customWidth="1"/>
    <col min="8197" max="8439" width="9.140625" style="31"/>
    <col min="8440" max="8440" width="12.42578125" style="31" bestFit="1" customWidth="1"/>
    <col min="8441" max="8441" width="15.140625" style="31" customWidth="1"/>
    <col min="8442" max="8442" width="16.85546875" style="31" customWidth="1"/>
    <col min="8443" max="8443" width="19.5703125" style="31" bestFit="1" customWidth="1"/>
    <col min="8444" max="8444" width="19" style="31" bestFit="1" customWidth="1"/>
    <col min="8445" max="8445" width="16.85546875" style="31" bestFit="1" customWidth="1"/>
    <col min="8446" max="8446" width="16.28515625" style="31" bestFit="1" customWidth="1"/>
    <col min="8447" max="8447" width="109.42578125" style="31" bestFit="1" customWidth="1"/>
    <col min="8448" max="8448" width="16.28515625" style="31" customWidth="1"/>
    <col min="8449" max="8451" width="19.5703125" style="31" bestFit="1" customWidth="1"/>
    <col min="8452" max="8452" width="25.85546875" style="31" customWidth="1"/>
    <col min="8453" max="8695" width="9.140625" style="31"/>
    <col min="8696" max="8696" width="12.42578125" style="31" bestFit="1" customWidth="1"/>
    <col min="8697" max="8697" width="15.140625" style="31" customWidth="1"/>
    <col min="8698" max="8698" width="16.85546875" style="31" customWidth="1"/>
    <col min="8699" max="8699" width="19.5703125" style="31" bestFit="1" customWidth="1"/>
    <col min="8700" max="8700" width="19" style="31" bestFit="1" customWidth="1"/>
    <col min="8701" max="8701" width="16.85546875" style="31" bestFit="1" customWidth="1"/>
    <col min="8702" max="8702" width="16.28515625" style="31" bestFit="1" customWidth="1"/>
    <col min="8703" max="8703" width="109.42578125" style="31" bestFit="1" customWidth="1"/>
    <col min="8704" max="8704" width="16.28515625" style="31" customWidth="1"/>
    <col min="8705" max="8707" width="19.5703125" style="31" bestFit="1" customWidth="1"/>
    <col min="8708" max="8708" width="25.85546875" style="31" customWidth="1"/>
    <col min="8709" max="8951" width="9.140625" style="31"/>
    <col min="8952" max="8952" width="12.42578125" style="31" bestFit="1" customWidth="1"/>
    <col min="8953" max="8953" width="15.140625" style="31" customWidth="1"/>
    <col min="8954" max="8954" width="16.85546875" style="31" customWidth="1"/>
    <col min="8955" max="8955" width="19.5703125" style="31" bestFit="1" customWidth="1"/>
    <col min="8956" max="8956" width="19" style="31" bestFit="1" customWidth="1"/>
    <col min="8957" max="8957" width="16.85546875" style="31" bestFit="1" customWidth="1"/>
    <col min="8958" max="8958" width="16.28515625" style="31" bestFit="1" customWidth="1"/>
    <col min="8959" max="8959" width="109.42578125" style="31" bestFit="1" customWidth="1"/>
    <col min="8960" max="8960" width="16.28515625" style="31" customWidth="1"/>
    <col min="8961" max="8963" width="19.5703125" style="31" bestFit="1" customWidth="1"/>
    <col min="8964" max="8964" width="25.85546875" style="31" customWidth="1"/>
    <col min="8965" max="9207" width="9.140625" style="31"/>
    <col min="9208" max="9208" width="12.42578125" style="31" bestFit="1" customWidth="1"/>
    <col min="9209" max="9209" width="15.140625" style="31" customWidth="1"/>
    <col min="9210" max="9210" width="16.85546875" style="31" customWidth="1"/>
    <col min="9211" max="9211" width="19.5703125" style="31" bestFit="1" customWidth="1"/>
    <col min="9212" max="9212" width="19" style="31" bestFit="1" customWidth="1"/>
    <col min="9213" max="9213" width="16.85546875" style="31" bestFit="1" customWidth="1"/>
    <col min="9214" max="9214" width="16.28515625" style="31" bestFit="1" customWidth="1"/>
    <col min="9215" max="9215" width="109.42578125" style="31" bestFit="1" customWidth="1"/>
    <col min="9216" max="9216" width="16.28515625" style="31" customWidth="1"/>
    <col min="9217" max="9219" width="19.5703125" style="31" bestFit="1" customWidth="1"/>
    <col min="9220" max="9220" width="25.85546875" style="31" customWidth="1"/>
    <col min="9221" max="9463" width="9.140625" style="31"/>
    <col min="9464" max="9464" width="12.42578125" style="31" bestFit="1" customWidth="1"/>
    <col min="9465" max="9465" width="15.140625" style="31" customWidth="1"/>
    <col min="9466" max="9466" width="16.85546875" style="31" customWidth="1"/>
    <col min="9467" max="9467" width="19.5703125" style="31" bestFit="1" customWidth="1"/>
    <col min="9468" max="9468" width="19" style="31" bestFit="1" customWidth="1"/>
    <col min="9469" max="9469" width="16.85546875" style="31" bestFit="1" customWidth="1"/>
    <col min="9470" max="9470" width="16.28515625" style="31" bestFit="1" customWidth="1"/>
    <col min="9471" max="9471" width="109.42578125" style="31" bestFit="1" customWidth="1"/>
    <col min="9472" max="9472" width="16.28515625" style="31" customWidth="1"/>
    <col min="9473" max="9475" width="19.5703125" style="31" bestFit="1" customWidth="1"/>
    <col min="9476" max="9476" width="25.85546875" style="31" customWidth="1"/>
    <col min="9477" max="9719" width="9.140625" style="31"/>
    <col min="9720" max="9720" width="12.42578125" style="31" bestFit="1" customWidth="1"/>
    <col min="9721" max="9721" width="15.140625" style="31" customWidth="1"/>
    <col min="9722" max="9722" width="16.85546875" style="31" customWidth="1"/>
    <col min="9723" max="9723" width="19.5703125" style="31" bestFit="1" customWidth="1"/>
    <col min="9724" max="9724" width="19" style="31" bestFit="1" customWidth="1"/>
    <col min="9725" max="9725" width="16.85546875" style="31" bestFit="1" customWidth="1"/>
    <col min="9726" max="9726" width="16.28515625" style="31" bestFit="1" customWidth="1"/>
    <col min="9727" max="9727" width="109.42578125" style="31" bestFit="1" customWidth="1"/>
    <col min="9728" max="9728" width="16.28515625" style="31" customWidth="1"/>
    <col min="9729" max="9731" width="19.5703125" style="31" bestFit="1" customWidth="1"/>
    <col min="9732" max="9732" width="25.85546875" style="31" customWidth="1"/>
    <col min="9733" max="9975" width="9.140625" style="31"/>
    <col min="9976" max="9976" width="12.42578125" style="31" bestFit="1" customWidth="1"/>
    <col min="9977" max="9977" width="15.140625" style="31" customWidth="1"/>
    <col min="9978" max="9978" width="16.85546875" style="31" customWidth="1"/>
    <col min="9979" max="9979" width="19.5703125" style="31" bestFit="1" customWidth="1"/>
    <col min="9980" max="9980" width="19" style="31" bestFit="1" customWidth="1"/>
    <col min="9981" max="9981" width="16.85546875" style="31" bestFit="1" customWidth="1"/>
    <col min="9982" max="9982" width="16.28515625" style="31" bestFit="1" customWidth="1"/>
    <col min="9983" max="9983" width="109.42578125" style="31" bestFit="1" customWidth="1"/>
    <col min="9984" max="9984" width="16.28515625" style="31" customWidth="1"/>
    <col min="9985" max="9987" width="19.5703125" style="31" bestFit="1" customWidth="1"/>
    <col min="9988" max="9988" width="25.85546875" style="31" customWidth="1"/>
    <col min="9989" max="10231" width="9.140625" style="31"/>
    <col min="10232" max="10232" width="12.42578125" style="31" bestFit="1" customWidth="1"/>
    <col min="10233" max="10233" width="15.140625" style="31" customWidth="1"/>
    <col min="10234" max="10234" width="16.85546875" style="31" customWidth="1"/>
    <col min="10235" max="10235" width="19.5703125" style="31" bestFit="1" customWidth="1"/>
    <col min="10236" max="10236" width="19" style="31" bestFit="1" customWidth="1"/>
    <col min="10237" max="10237" width="16.85546875" style="31" bestFit="1" customWidth="1"/>
    <col min="10238" max="10238" width="16.28515625" style="31" bestFit="1" customWidth="1"/>
    <col min="10239" max="10239" width="109.42578125" style="31" bestFit="1" customWidth="1"/>
    <col min="10240" max="10240" width="16.28515625" style="31" customWidth="1"/>
    <col min="10241" max="10243" width="19.5703125" style="31" bestFit="1" customWidth="1"/>
    <col min="10244" max="10244" width="25.85546875" style="31" customWidth="1"/>
    <col min="10245" max="10487" width="9.140625" style="31"/>
    <col min="10488" max="10488" width="12.42578125" style="31" bestFit="1" customWidth="1"/>
    <col min="10489" max="10489" width="15.140625" style="31" customWidth="1"/>
    <col min="10490" max="10490" width="16.85546875" style="31" customWidth="1"/>
    <col min="10491" max="10491" width="19.5703125" style="31" bestFit="1" customWidth="1"/>
    <col min="10492" max="10492" width="19" style="31" bestFit="1" customWidth="1"/>
    <col min="10493" max="10493" width="16.85546875" style="31" bestFit="1" customWidth="1"/>
    <col min="10494" max="10494" width="16.28515625" style="31" bestFit="1" customWidth="1"/>
    <col min="10495" max="10495" width="109.42578125" style="31" bestFit="1" customWidth="1"/>
    <col min="10496" max="10496" width="16.28515625" style="31" customWidth="1"/>
    <col min="10497" max="10499" width="19.5703125" style="31" bestFit="1" customWidth="1"/>
    <col min="10500" max="10500" width="25.85546875" style="31" customWidth="1"/>
    <col min="10501" max="10743" width="9.140625" style="31"/>
    <col min="10744" max="10744" width="12.42578125" style="31" bestFit="1" customWidth="1"/>
    <col min="10745" max="10745" width="15.140625" style="31" customWidth="1"/>
    <col min="10746" max="10746" width="16.85546875" style="31" customWidth="1"/>
    <col min="10747" max="10747" width="19.5703125" style="31" bestFit="1" customWidth="1"/>
    <col min="10748" max="10748" width="19" style="31" bestFit="1" customWidth="1"/>
    <col min="10749" max="10749" width="16.85546875" style="31" bestFit="1" customWidth="1"/>
    <col min="10750" max="10750" width="16.28515625" style="31" bestFit="1" customWidth="1"/>
    <col min="10751" max="10751" width="109.42578125" style="31" bestFit="1" customWidth="1"/>
    <col min="10752" max="10752" width="16.28515625" style="31" customWidth="1"/>
    <col min="10753" max="10755" width="19.5703125" style="31" bestFit="1" customWidth="1"/>
    <col min="10756" max="10756" width="25.85546875" style="31" customWidth="1"/>
    <col min="10757" max="10999" width="9.140625" style="31"/>
    <col min="11000" max="11000" width="12.42578125" style="31" bestFit="1" customWidth="1"/>
    <col min="11001" max="11001" width="15.140625" style="31" customWidth="1"/>
    <col min="11002" max="11002" width="16.85546875" style="31" customWidth="1"/>
    <col min="11003" max="11003" width="19.5703125" style="31" bestFit="1" customWidth="1"/>
    <col min="11004" max="11004" width="19" style="31" bestFit="1" customWidth="1"/>
    <col min="11005" max="11005" width="16.85546875" style="31" bestFit="1" customWidth="1"/>
    <col min="11006" max="11006" width="16.28515625" style="31" bestFit="1" customWidth="1"/>
    <col min="11007" max="11007" width="109.42578125" style="31" bestFit="1" customWidth="1"/>
    <col min="11008" max="11008" width="16.28515625" style="31" customWidth="1"/>
    <col min="11009" max="11011" width="19.5703125" style="31" bestFit="1" customWidth="1"/>
    <col min="11012" max="11012" width="25.85546875" style="31" customWidth="1"/>
    <col min="11013" max="11255" width="9.140625" style="31"/>
    <col min="11256" max="11256" width="12.42578125" style="31" bestFit="1" customWidth="1"/>
    <col min="11257" max="11257" width="15.140625" style="31" customWidth="1"/>
    <col min="11258" max="11258" width="16.85546875" style="31" customWidth="1"/>
    <col min="11259" max="11259" width="19.5703125" style="31" bestFit="1" customWidth="1"/>
    <col min="11260" max="11260" width="19" style="31" bestFit="1" customWidth="1"/>
    <col min="11261" max="11261" width="16.85546875" style="31" bestFit="1" customWidth="1"/>
    <col min="11262" max="11262" width="16.28515625" style="31" bestFit="1" customWidth="1"/>
    <col min="11263" max="11263" width="109.42578125" style="31" bestFit="1" customWidth="1"/>
    <col min="11264" max="11264" width="16.28515625" style="31" customWidth="1"/>
    <col min="11265" max="11267" width="19.5703125" style="31" bestFit="1" customWidth="1"/>
    <col min="11268" max="11268" width="25.85546875" style="31" customWidth="1"/>
    <col min="11269" max="11511" width="9.140625" style="31"/>
    <col min="11512" max="11512" width="12.42578125" style="31" bestFit="1" customWidth="1"/>
    <col min="11513" max="11513" width="15.140625" style="31" customWidth="1"/>
    <col min="11514" max="11514" width="16.85546875" style="31" customWidth="1"/>
    <col min="11515" max="11515" width="19.5703125" style="31" bestFit="1" customWidth="1"/>
    <col min="11516" max="11516" width="19" style="31" bestFit="1" customWidth="1"/>
    <col min="11517" max="11517" width="16.85546875" style="31" bestFit="1" customWidth="1"/>
    <col min="11518" max="11518" width="16.28515625" style="31" bestFit="1" customWidth="1"/>
    <col min="11519" max="11519" width="109.42578125" style="31" bestFit="1" customWidth="1"/>
    <col min="11520" max="11520" width="16.28515625" style="31" customWidth="1"/>
    <col min="11521" max="11523" width="19.5703125" style="31" bestFit="1" customWidth="1"/>
    <col min="11524" max="11524" width="25.85546875" style="31" customWidth="1"/>
    <col min="11525" max="11767" width="9.140625" style="31"/>
    <col min="11768" max="11768" width="12.42578125" style="31" bestFit="1" customWidth="1"/>
    <col min="11769" max="11769" width="15.140625" style="31" customWidth="1"/>
    <col min="11770" max="11770" width="16.85546875" style="31" customWidth="1"/>
    <col min="11771" max="11771" width="19.5703125" style="31" bestFit="1" customWidth="1"/>
    <col min="11772" max="11772" width="19" style="31" bestFit="1" customWidth="1"/>
    <col min="11773" max="11773" width="16.85546875" style="31" bestFit="1" customWidth="1"/>
    <col min="11774" max="11774" width="16.28515625" style="31" bestFit="1" customWidth="1"/>
    <col min="11775" max="11775" width="109.42578125" style="31" bestFit="1" customWidth="1"/>
    <col min="11776" max="11776" width="16.28515625" style="31" customWidth="1"/>
    <col min="11777" max="11779" width="19.5703125" style="31" bestFit="1" customWidth="1"/>
    <col min="11780" max="11780" width="25.85546875" style="31" customWidth="1"/>
    <col min="11781" max="12023" width="9.140625" style="31"/>
    <col min="12024" max="12024" width="12.42578125" style="31" bestFit="1" customWidth="1"/>
    <col min="12025" max="12025" width="15.140625" style="31" customWidth="1"/>
    <col min="12026" max="12026" width="16.85546875" style="31" customWidth="1"/>
    <col min="12027" max="12027" width="19.5703125" style="31" bestFit="1" customWidth="1"/>
    <col min="12028" max="12028" width="19" style="31" bestFit="1" customWidth="1"/>
    <col min="12029" max="12029" width="16.85546875" style="31" bestFit="1" customWidth="1"/>
    <col min="12030" max="12030" width="16.28515625" style="31" bestFit="1" customWidth="1"/>
    <col min="12031" max="12031" width="109.42578125" style="31" bestFit="1" customWidth="1"/>
    <col min="12032" max="12032" width="16.28515625" style="31" customWidth="1"/>
    <col min="12033" max="12035" width="19.5703125" style="31" bestFit="1" customWidth="1"/>
    <col min="12036" max="12036" width="25.85546875" style="31" customWidth="1"/>
    <col min="12037" max="12279" width="9.140625" style="31"/>
    <col min="12280" max="12280" width="12.42578125" style="31" bestFit="1" customWidth="1"/>
    <col min="12281" max="12281" width="15.140625" style="31" customWidth="1"/>
    <col min="12282" max="12282" width="16.85546875" style="31" customWidth="1"/>
    <col min="12283" max="12283" width="19.5703125" style="31" bestFit="1" customWidth="1"/>
    <col min="12284" max="12284" width="19" style="31" bestFit="1" customWidth="1"/>
    <col min="12285" max="12285" width="16.85546875" style="31" bestFit="1" customWidth="1"/>
    <col min="12286" max="12286" width="16.28515625" style="31" bestFit="1" customWidth="1"/>
    <col min="12287" max="12287" width="109.42578125" style="31" bestFit="1" customWidth="1"/>
    <col min="12288" max="12288" width="16.28515625" style="31" customWidth="1"/>
    <col min="12289" max="12291" width="19.5703125" style="31" bestFit="1" customWidth="1"/>
    <col min="12292" max="12292" width="25.85546875" style="31" customWidth="1"/>
    <col min="12293" max="12535" width="9.140625" style="31"/>
    <col min="12536" max="12536" width="12.42578125" style="31" bestFit="1" customWidth="1"/>
    <col min="12537" max="12537" width="15.140625" style="31" customWidth="1"/>
    <col min="12538" max="12538" width="16.85546875" style="31" customWidth="1"/>
    <col min="12539" max="12539" width="19.5703125" style="31" bestFit="1" customWidth="1"/>
    <col min="12540" max="12540" width="19" style="31" bestFit="1" customWidth="1"/>
    <col min="12541" max="12541" width="16.85546875" style="31" bestFit="1" customWidth="1"/>
    <col min="12542" max="12542" width="16.28515625" style="31" bestFit="1" customWidth="1"/>
    <col min="12543" max="12543" width="109.42578125" style="31" bestFit="1" customWidth="1"/>
    <col min="12544" max="12544" width="16.28515625" style="31" customWidth="1"/>
    <col min="12545" max="12547" width="19.5703125" style="31" bestFit="1" customWidth="1"/>
    <col min="12548" max="12548" width="25.85546875" style="31" customWidth="1"/>
    <col min="12549" max="12791" width="9.140625" style="31"/>
    <col min="12792" max="12792" width="12.42578125" style="31" bestFit="1" customWidth="1"/>
    <col min="12793" max="12793" width="15.140625" style="31" customWidth="1"/>
    <col min="12794" max="12794" width="16.85546875" style="31" customWidth="1"/>
    <col min="12795" max="12795" width="19.5703125" style="31" bestFit="1" customWidth="1"/>
    <col min="12796" max="12796" width="19" style="31" bestFit="1" customWidth="1"/>
    <col min="12797" max="12797" width="16.85546875" style="31" bestFit="1" customWidth="1"/>
    <col min="12798" max="12798" width="16.28515625" style="31" bestFit="1" customWidth="1"/>
    <col min="12799" max="12799" width="109.42578125" style="31" bestFit="1" customWidth="1"/>
    <col min="12800" max="12800" width="16.28515625" style="31" customWidth="1"/>
    <col min="12801" max="12803" width="19.5703125" style="31" bestFit="1" customWidth="1"/>
    <col min="12804" max="12804" width="25.85546875" style="31" customWidth="1"/>
    <col min="12805" max="13047" width="9.140625" style="31"/>
    <col min="13048" max="13048" width="12.42578125" style="31" bestFit="1" customWidth="1"/>
    <col min="13049" max="13049" width="15.140625" style="31" customWidth="1"/>
    <col min="13050" max="13050" width="16.85546875" style="31" customWidth="1"/>
    <col min="13051" max="13051" width="19.5703125" style="31" bestFit="1" customWidth="1"/>
    <col min="13052" max="13052" width="19" style="31" bestFit="1" customWidth="1"/>
    <col min="13053" max="13053" width="16.85546875" style="31" bestFit="1" customWidth="1"/>
    <col min="13054" max="13054" width="16.28515625" style="31" bestFit="1" customWidth="1"/>
    <col min="13055" max="13055" width="109.42578125" style="31" bestFit="1" customWidth="1"/>
    <col min="13056" max="13056" width="16.28515625" style="31" customWidth="1"/>
    <col min="13057" max="13059" width="19.5703125" style="31" bestFit="1" customWidth="1"/>
    <col min="13060" max="13060" width="25.85546875" style="31" customWidth="1"/>
    <col min="13061" max="13303" width="9.140625" style="31"/>
    <col min="13304" max="13304" width="12.42578125" style="31" bestFit="1" customWidth="1"/>
    <col min="13305" max="13305" width="15.140625" style="31" customWidth="1"/>
    <col min="13306" max="13306" width="16.85546875" style="31" customWidth="1"/>
    <col min="13307" max="13307" width="19.5703125" style="31" bestFit="1" customWidth="1"/>
    <col min="13308" max="13308" width="19" style="31" bestFit="1" customWidth="1"/>
    <col min="13309" max="13309" width="16.85546875" style="31" bestFit="1" customWidth="1"/>
    <col min="13310" max="13310" width="16.28515625" style="31" bestFit="1" customWidth="1"/>
    <col min="13311" max="13311" width="109.42578125" style="31" bestFit="1" customWidth="1"/>
    <col min="13312" max="13312" width="16.28515625" style="31" customWidth="1"/>
    <col min="13313" max="13315" width="19.5703125" style="31" bestFit="1" customWidth="1"/>
    <col min="13316" max="13316" width="25.85546875" style="31" customWidth="1"/>
    <col min="13317" max="13559" width="9.140625" style="31"/>
    <col min="13560" max="13560" width="12.42578125" style="31" bestFit="1" customWidth="1"/>
    <col min="13561" max="13561" width="15.140625" style="31" customWidth="1"/>
    <col min="13562" max="13562" width="16.85546875" style="31" customWidth="1"/>
    <col min="13563" max="13563" width="19.5703125" style="31" bestFit="1" customWidth="1"/>
    <col min="13564" max="13564" width="19" style="31" bestFit="1" customWidth="1"/>
    <col min="13565" max="13565" width="16.85546875" style="31" bestFit="1" customWidth="1"/>
    <col min="13566" max="13566" width="16.28515625" style="31" bestFit="1" customWidth="1"/>
    <col min="13567" max="13567" width="109.42578125" style="31" bestFit="1" customWidth="1"/>
    <col min="13568" max="13568" width="16.28515625" style="31" customWidth="1"/>
    <col min="13569" max="13571" width="19.5703125" style="31" bestFit="1" customWidth="1"/>
    <col min="13572" max="13572" width="25.85546875" style="31" customWidth="1"/>
    <col min="13573" max="13815" width="9.140625" style="31"/>
    <col min="13816" max="13816" width="12.42578125" style="31" bestFit="1" customWidth="1"/>
    <col min="13817" max="13817" width="15.140625" style="31" customWidth="1"/>
    <col min="13818" max="13818" width="16.85546875" style="31" customWidth="1"/>
    <col min="13819" max="13819" width="19.5703125" style="31" bestFit="1" customWidth="1"/>
    <col min="13820" max="13820" width="19" style="31" bestFit="1" customWidth="1"/>
    <col min="13821" max="13821" width="16.85546875" style="31" bestFit="1" customWidth="1"/>
    <col min="13822" max="13822" width="16.28515625" style="31" bestFit="1" customWidth="1"/>
    <col min="13823" max="13823" width="109.42578125" style="31" bestFit="1" customWidth="1"/>
    <col min="13824" max="13824" width="16.28515625" style="31" customWidth="1"/>
    <col min="13825" max="13827" width="19.5703125" style="31" bestFit="1" customWidth="1"/>
    <col min="13828" max="13828" width="25.85546875" style="31" customWidth="1"/>
    <col min="13829" max="14071" width="9.140625" style="31"/>
    <col min="14072" max="14072" width="12.42578125" style="31" bestFit="1" customWidth="1"/>
    <col min="14073" max="14073" width="15.140625" style="31" customWidth="1"/>
    <col min="14074" max="14074" width="16.85546875" style="31" customWidth="1"/>
    <col min="14075" max="14075" width="19.5703125" style="31" bestFit="1" customWidth="1"/>
    <col min="14076" max="14076" width="19" style="31" bestFit="1" customWidth="1"/>
    <col min="14077" max="14077" width="16.85546875" style="31" bestFit="1" customWidth="1"/>
    <col min="14078" max="14078" width="16.28515625" style="31" bestFit="1" customWidth="1"/>
    <col min="14079" max="14079" width="109.42578125" style="31" bestFit="1" customWidth="1"/>
    <col min="14080" max="14080" width="16.28515625" style="31" customWidth="1"/>
    <col min="14081" max="14083" width="19.5703125" style="31" bestFit="1" customWidth="1"/>
    <col min="14084" max="14084" width="25.85546875" style="31" customWidth="1"/>
    <col min="14085" max="14327" width="9.140625" style="31"/>
    <col min="14328" max="14328" width="12.42578125" style="31" bestFit="1" customWidth="1"/>
    <col min="14329" max="14329" width="15.140625" style="31" customWidth="1"/>
    <col min="14330" max="14330" width="16.85546875" style="31" customWidth="1"/>
    <col min="14331" max="14331" width="19.5703125" style="31" bestFit="1" customWidth="1"/>
    <col min="14332" max="14332" width="19" style="31" bestFit="1" customWidth="1"/>
    <col min="14333" max="14333" width="16.85546875" style="31" bestFit="1" customWidth="1"/>
    <col min="14334" max="14334" width="16.28515625" style="31" bestFit="1" customWidth="1"/>
    <col min="14335" max="14335" width="109.42578125" style="31" bestFit="1" customWidth="1"/>
    <col min="14336" max="14336" width="16.28515625" style="31" customWidth="1"/>
    <col min="14337" max="14339" width="19.5703125" style="31" bestFit="1" customWidth="1"/>
    <col min="14340" max="14340" width="25.85546875" style="31" customWidth="1"/>
    <col min="14341" max="14583" width="9.140625" style="31"/>
    <col min="14584" max="14584" width="12.42578125" style="31" bestFit="1" customWidth="1"/>
    <col min="14585" max="14585" width="15.140625" style="31" customWidth="1"/>
    <col min="14586" max="14586" width="16.85546875" style="31" customWidth="1"/>
    <col min="14587" max="14587" width="19.5703125" style="31" bestFit="1" customWidth="1"/>
    <col min="14588" max="14588" width="19" style="31" bestFit="1" customWidth="1"/>
    <col min="14589" max="14589" width="16.85546875" style="31" bestFit="1" customWidth="1"/>
    <col min="14590" max="14590" width="16.28515625" style="31" bestFit="1" customWidth="1"/>
    <col min="14591" max="14591" width="109.42578125" style="31" bestFit="1" customWidth="1"/>
    <col min="14592" max="14592" width="16.28515625" style="31" customWidth="1"/>
    <col min="14593" max="14595" width="19.5703125" style="31" bestFit="1" customWidth="1"/>
    <col min="14596" max="14596" width="25.85546875" style="31" customWidth="1"/>
    <col min="14597" max="14839" width="9.140625" style="31"/>
    <col min="14840" max="14840" width="12.42578125" style="31" bestFit="1" customWidth="1"/>
    <col min="14841" max="14841" width="15.140625" style="31" customWidth="1"/>
    <col min="14842" max="14842" width="16.85546875" style="31" customWidth="1"/>
    <col min="14843" max="14843" width="19.5703125" style="31" bestFit="1" customWidth="1"/>
    <col min="14844" max="14844" width="19" style="31" bestFit="1" customWidth="1"/>
    <col min="14845" max="14845" width="16.85546875" style="31" bestFit="1" customWidth="1"/>
    <col min="14846" max="14846" width="16.28515625" style="31" bestFit="1" customWidth="1"/>
    <col min="14847" max="14847" width="109.42578125" style="31" bestFit="1" customWidth="1"/>
    <col min="14848" max="14848" width="16.28515625" style="31" customWidth="1"/>
    <col min="14849" max="14851" width="19.5703125" style="31" bestFit="1" customWidth="1"/>
    <col min="14852" max="14852" width="25.85546875" style="31" customWidth="1"/>
    <col min="14853" max="15095" width="9.140625" style="31"/>
    <col min="15096" max="15096" width="12.42578125" style="31" bestFit="1" customWidth="1"/>
    <col min="15097" max="15097" width="15.140625" style="31" customWidth="1"/>
    <col min="15098" max="15098" width="16.85546875" style="31" customWidth="1"/>
    <col min="15099" max="15099" width="19.5703125" style="31" bestFit="1" customWidth="1"/>
    <col min="15100" max="15100" width="19" style="31" bestFit="1" customWidth="1"/>
    <col min="15101" max="15101" width="16.85546875" style="31" bestFit="1" customWidth="1"/>
    <col min="15102" max="15102" width="16.28515625" style="31" bestFit="1" customWidth="1"/>
    <col min="15103" max="15103" width="109.42578125" style="31" bestFit="1" customWidth="1"/>
    <col min="15104" max="15104" width="16.28515625" style="31" customWidth="1"/>
    <col min="15105" max="15107" width="19.5703125" style="31" bestFit="1" customWidth="1"/>
    <col min="15108" max="15108" width="25.85546875" style="31" customWidth="1"/>
    <col min="15109" max="15351" width="9.140625" style="31"/>
    <col min="15352" max="15352" width="12.42578125" style="31" bestFit="1" customWidth="1"/>
    <col min="15353" max="15353" width="15.140625" style="31" customWidth="1"/>
    <col min="15354" max="15354" width="16.85546875" style="31" customWidth="1"/>
    <col min="15355" max="15355" width="19.5703125" style="31" bestFit="1" customWidth="1"/>
    <col min="15356" max="15356" width="19" style="31" bestFit="1" customWidth="1"/>
    <col min="15357" max="15357" width="16.85546875" style="31" bestFit="1" customWidth="1"/>
    <col min="15358" max="15358" width="16.28515625" style="31" bestFit="1" customWidth="1"/>
    <col min="15359" max="15359" width="109.42578125" style="31" bestFit="1" customWidth="1"/>
    <col min="15360" max="15360" width="16.28515625" style="31" customWidth="1"/>
    <col min="15361" max="15363" width="19.5703125" style="31" bestFit="1" customWidth="1"/>
    <col min="15364" max="15364" width="25.85546875" style="31" customWidth="1"/>
    <col min="15365" max="15607" width="9.140625" style="31"/>
    <col min="15608" max="15608" width="12.42578125" style="31" bestFit="1" customWidth="1"/>
    <col min="15609" max="15609" width="15.140625" style="31" customWidth="1"/>
    <col min="15610" max="15610" width="16.85546875" style="31" customWidth="1"/>
    <col min="15611" max="15611" width="19.5703125" style="31" bestFit="1" customWidth="1"/>
    <col min="15612" max="15612" width="19" style="31" bestFit="1" customWidth="1"/>
    <col min="15613" max="15613" width="16.85546875" style="31" bestFit="1" customWidth="1"/>
    <col min="15614" max="15614" width="16.28515625" style="31" bestFit="1" customWidth="1"/>
    <col min="15615" max="15615" width="109.42578125" style="31" bestFit="1" customWidth="1"/>
    <col min="15616" max="15616" width="16.28515625" style="31" customWidth="1"/>
    <col min="15617" max="15619" width="19.5703125" style="31" bestFit="1" customWidth="1"/>
    <col min="15620" max="15620" width="25.85546875" style="31" customWidth="1"/>
    <col min="15621" max="15863" width="9.140625" style="31"/>
    <col min="15864" max="15864" width="12.42578125" style="31" bestFit="1" customWidth="1"/>
    <col min="15865" max="15865" width="15.140625" style="31" customWidth="1"/>
    <col min="15866" max="15866" width="16.85546875" style="31" customWidth="1"/>
    <col min="15867" max="15867" width="19.5703125" style="31" bestFit="1" customWidth="1"/>
    <col min="15868" max="15868" width="19" style="31" bestFit="1" customWidth="1"/>
    <col min="15869" max="15869" width="16.85546875" style="31" bestFit="1" customWidth="1"/>
    <col min="15870" max="15870" width="16.28515625" style="31" bestFit="1" customWidth="1"/>
    <col min="15871" max="15871" width="109.42578125" style="31" bestFit="1" customWidth="1"/>
    <col min="15872" max="15872" width="16.28515625" style="31" customWidth="1"/>
    <col min="15873" max="15875" width="19.5703125" style="31" bestFit="1" customWidth="1"/>
    <col min="15876" max="15876" width="25.85546875" style="31" customWidth="1"/>
    <col min="15877" max="16119" width="9.140625" style="31"/>
    <col min="16120" max="16120" width="12.42578125" style="31" bestFit="1" customWidth="1"/>
    <col min="16121" max="16121" width="15.140625" style="31" customWidth="1"/>
    <col min="16122" max="16122" width="16.85546875" style="31" customWidth="1"/>
    <col min="16123" max="16123" width="19.5703125" style="31" bestFit="1" customWidth="1"/>
    <col min="16124" max="16124" width="19" style="31" bestFit="1" customWidth="1"/>
    <col min="16125" max="16125" width="16.85546875" style="31" bestFit="1" customWidth="1"/>
    <col min="16126" max="16126" width="16.28515625" style="31" bestFit="1" customWidth="1"/>
    <col min="16127" max="16127" width="109.42578125" style="31" bestFit="1" customWidth="1"/>
    <col min="16128" max="16128" width="16.28515625" style="31" customWidth="1"/>
    <col min="16129" max="16131" width="19.5703125" style="31" bestFit="1" customWidth="1"/>
    <col min="16132" max="16132" width="25.85546875" style="31" customWidth="1"/>
    <col min="16133" max="16384" width="9.140625" style="31"/>
  </cols>
  <sheetData>
    <row r="1" spans="1:15" s="27" customFormat="1" x14ac:dyDescent="0.25">
      <c r="A1" s="25" t="s">
        <v>88</v>
      </c>
      <c r="B1" s="25" t="s">
        <v>91</v>
      </c>
      <c r="C1" s="26" t="s">
        <v>92</v>
      </c>
      <c r="D1" s="26" t="s">
        <v>0</v>
      </c>
      <c r="E1" s="26" t="s">
        <v>93</v>
      </c>
      <c r="F1" s="26" t="s">
        <v>94</v>
      </c>
      <c r="H1" s="45" t="s">
        <v>155</v>
      </c>
      <c r="I1" s="56"/>
    </row>
    <row r="2" spans="1:15" x14ac:dyDescent="0.25">
      <c r="A2" s="28" t="s">
        <v>95</v>
      </c>
      <c r="B2" s="29" t="s">
        <v>96</v>
      </c>
      <c r="C2" s="13">
        <v>0</v>
      </c>
      <c r="D2" s="30" t="s">
        <v>97</v>
      </c>
      <c r="E2" s="13">
        <v>3</v>
      </c>
      <c r="F2" s="12">
        <v>95</v>
      </c>
      <c r="H2" s="46">
        <f>SUM(Machine_unlock_Balance!B4:I4)</f>
        <v>43470200</v>
      </c>
      <c r="I2" s="36"/>
      <c r="J2" s="36"/>
      <c r="K2" s="36"/>
      <c r="L2" s="36"/>
      <c r="M2" s="36"/>
      <c r="N2" s="36"/>
      <c r="O2" s="36"/>
    </row>
    <row r="3" spans="1:15" x14ac:dyDescent="0.25">
      <c r="A3" s="28" t="s">
        <v>98</v>
      </c>
      <c r="B3" s="29" t="s">
        <v>96</v>
      </c>
      <c r="C3" s="13">
        <v>1</v>
      </c>
      <c r="D3" s="30" t="s">
        <v>99</v>
      </c>
      <c r="E3" s="13">
        <v>6</v>
      </c>
      <c r="F3" s="12">
        <v>225</v>
      </c>
      <c r="H3" s="46">
        <f>SUM(Machine_unlock_Balance!B15:I15)</f>
        <v>54935100</v>
      </c>
      <c r="I3" s="36"/>
    </row>
    <row r="4" spans="1:15" x14ac:dyDescent="0.25">
      <c r="A4" s="28" t="s">
        <v>100</v>
      </c>
      <c r="B4" s="29" t="s">
        <v>96</v>
      </c>
      <c r="C4" s="13">
        <v>2</v>
      </c>
      <c r="D4" s="30" t="s">
        <v>101</v>
      </c>
      <c r="E4" s="13">
        <v>9</v>
      </c>
      <c r="F4" s="12">
        <v>550</v>
      </c>
      <c r="G4" s="33">
        <f>SUM(F2:F4)</f>
        <v>870</v>
      </c>
      <c r="H4" s="46">
        <f>SUM(Machine_unlock_Balance!B26:I26)</f>
        <v>76732400</v>
      </c>
      <c r="I4" s="36"/>
    </row>
    <row r="5" spans="1:15" x14ac:dyDescent="0.25">
      <c r="A5" s="28" t="s">
        <v>102</v>
      </c>
      <c r="B5" s="29" t="s">
        <v>96</v>
      </c>
      <c r="C5" s="13">
        <v>3</v>
      </c>
      <c r="D5" s="30" t="s">
        <v>103</v>
      </c>
      <c r="E5" s="13">
        <v>23</v>
      </c>
      <c r="F5" s="234">
        <v>20000</v>
      </c>
      <c r="H5" s="46">
        <f>SUM(Machine_unlock_Balance!B37:I37)</f>
        <v>128549800</v>
      </c>
      <c r="I5" s="36"/>
    </row>
    <row r="6" spans="1:15" x14ac:dyDescent="0.25">
      <c r="A6" s="28" t="s">
        <v>104</v>
      </c>
      <c r="B6" s="29" t="s">
        <v>96</v>
      </c>
      <c r="C6" s="13">
        <v>4</v>
      </c>
      <c r="D6" s="30" t="s">
        <v>105</v>
      </c>
      <c r="E6" s="13">
        <v>38</v>
      </c>
      <c r="F6" s="12">
        <v>55700</v>
      </c>
      <c r="H6" s="46">
        <f>SUM(Machine_unlock_Balance!B48:I48)</f>
        <v>220060200</v>
      </c>
      <c r="I6" s="36"/>
    </row>
    <row r="7" spans="1:15" x14ac:dyDescent="0.25">
      <c r="A7" s="28" t="s">
        <v>106</v>
      </c>
      <c r="B7" s="29" t="s">
        <v>96</v>
      </c>
      <c r="C7" s="13">
        <v>5</v>
      </c>
      <c r="D7" s="30" t="s">
        <v>107</v>
      </c>
      <c r="E7" s="13">
        <v>50</v>
      </c>
      <c r="F7" s="12">
        <v>150000</v>
      </c>
      <c r="H7" s="46">
        <f>SUM(Machine_unlock_Balance!B59:I59)</f>
        <v>403802100</v>
      </c>
      <c r="I7" s="36"/>
    </row>
    <row r="8" spans="1:15" x14ac:dyDescent="0.25">
      <c r="A8" s="28" t="s">
        <v>108</v>
      </c>
      <c r="B8" s="29" t="s">
        <v>96</v>
      </c>
      <c r="C8" s="13">
        <v>6</v>
      </c>
      <c r="D8" s="30" t="s">
        <v>109</v>
      </c>
      <c r="E8" s="13">
        <v>63</v>
      </c>
      <c r="F8" s="12">
        <v>335000</v>
      </c>
      <c r="H8" s="46">
        <f>SUM(Machine_unlock_Balance!B70:I70)</f>
        <v>597305000</v>
      </c>
      <c r="I8" s="36"/>
    </row>
    <row r="9" spans="1:15" x14ac:dyDescent="0.25">
      <c r="A9" s="28" t="s">
        <v>110</v>
      </c>
      <c r="B9" s="29" t="s">
        <v>96</v>
      </c>
      <c r="C9" s="13">
        <v>7</v>
      </c>
      <c r="D9" s="30" t="s">
        <v>111</v>
      </c>
      <c r="E9" s="13">
        <v>73</v>
      </c>
      <c r="F9" s="12">
        <v>1445000</v>
      </c>
      <c r="H9" s="46">
        <f>SUM(Machine_unlock_Balance!B81:I81)</f>
        <v>846201000</v>
      </c>
      <c r="I9" s="36"/>
    </row>
    <row r="10" spans="1:15" x14ac:dyDescent="0.25">
      <c r="A10" s="28" t="s">
        <v>112</v>
      </c>
      <c r="B10" s="29" t="s">
        <v>96</v>
      </c>
      <c r="C10" s="13">
        <v>8</v>
      </c>
      <c r="D10" s="30" t="s">
        <v>113</v>
      </c>
      <c r="E10" s="13">
        <v>85</v>
      </c>
      <c r="F10" s="12">
        <v>2680000</v>
      </c>
      <c r="H10" s="46">
        <f>SUM(Machine_unlock_Balance!B92:I92)</f>
        <v>1098235100</v>
      </c>
      <c r="I10" s="36"/>
    </row>
    <row r="11" spans="1:15" x14ac:dyDescent="0.25">
      <c r="A11" s="28" t="s">
        <v>114</v>
      </c>
      <c r="B11" s="29" t="s">
        <v>96</v>
      </c>
      <c r="C11" s="13">
        <v>9</v>
      </c>
      <c r="D11" s="30" t="s">
        <v>115</v>
      </c>
      <c r="E11" s="13">
        <v>101</v>
      </c>
      <c r="F11" s="32">
        <v>4556000</v>
      </c>
      <c r="H11" s="46">
        <f>SUM(Machine_unlock_Balance!B103:I103)</f>
        <v>1098303300</v>
      </c>
      <c r="I11" s="36"/>
    </row>
    <row r="12" spans="1:15" x14ac:dyDescent="0.25">
      <c r="F12" s="236">
        <f>SUM(F2:F11)</f>
        <v>9242570</v>
      </c>
      <c r="H12" s="237">
        <f>SUM(H2:H11)</f>
        <v>4567594200</v>
      </c>
      <c r="I12" s="238">
        <f>F12+H12</f>
        <v>4576836770</v>
      </c>
    </row>
  </sheetData>
  <autoFilter ref="A1:F10">
    <sortState ref="A2:J10">
      <sortCondition ref="E1:E10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112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25" sqref="F25"/>
    </sheetView>
  </sheetViews>
  <sheetFormatPr defaultRowHeight="15" x14ac:dyDescent="0.25"/>
  <cols>
    <col min="1" max="1" width="13.5703125" customWidth="1"/>
    <col min="2" max="2" width="13.85546875" bestFit="1" customWidth="1"/>
    <col min="3" max="3" width="11.140625" bestFit="1" customWidth="1"/>
    <col min="4" max="4" width="11.5703125" bestFit="1" customWidth="1"/>
    <col min="5" max="5" width="12.85546875" bestFit="1" customWidth="1"/>
    <col min="6" max="7" width="14" bestFit="1" customWidth="1"/>
    <col min="8" max="9" width="15" bestFit="1" customWidth="1"/>
    <col min="10" max="10" width="14.85546875" style="261" customWidth="1"/>
    <col min="11" max="11" width="14.85546875" style="216" customWidth="1"/>
    <col min="12" max="12" width="26.5703125" bestFit="1" customWidth="1"/>
    <col min="13" max="13" width="28.5703125" bestFit="1" customWidth="1"/>
    <col min="14" max="15" width="31.7109375" bestFit="1" customWidth="1"/>
    <col min="16" max="16" width="32.7109375" bestFit="1" customWidth="1"/>
    <col min="17" max="17" width="33.85546875" bestFit="1" customWidth="1"/>
    <col min="18" max="19" width="34.85546875" bestFit="1" customWidth="1"/>
    <col min="20" max="20" width="37.28515625" customWidth="1"/>
  </cols>
  <sheetData>
    <row r="1" spans="1:32" x14ac:dyDescent="0.25">
      <c r="A1" s="37" t="s">
        <v>116</v>
      </c>
      <c r="B1" s="477" t="s">
        <v>117</v>
      </c>
      <c r="C1" s="477" t="s">
        <v>118</v>
      </c>
      <c r="D1" s="477" t="s">
        <v>119</v>
      </c>
      <c r="E1" s="38" t="s">
        <v>120</v>
      </c>
      <c r="F1" s="38" t="s">
        <v>121</v>
      </c>
      <c r="G1" s="38" t="s">
        <v>122</v>
      </c>
      <c r="H1" s="478" t="s">
        <v>123</v>
      </c>
      <c r="I1" s="478" t="s">
        <v>124</v>
      </c>
      <c r="J1" s="479" t="s">
        <v>191</v>
      </c>
      <c r="K1" s="212" t="s">
        <v>2316</v>
      </c>
      <c r="L1" s="477" t="s">
        <v>117</v>
      </c>
      <c r="M1" s="477" t="s">
        <v>118</v>
      </c>
      <c r="N1" s="477" t="s">
        <v>119</v>
      </c>
      <c r="O1" s="38" t="s">
        <v>120</v>
      </c>
      <c r="P1" s="38" t="s">
        <v>121</v>
      </c>
      <c r="Q1" s="38" t="s">
        <v>122</v>
      </c>
      <c r="R1" s="478" t="s">
        <v>123</v>
      </c>
      <c r="S1" s="478" t="s">
        <v>124</v>
      </c>
      <c r="T1" s="478" t="s">
        <v>191</v>
      </c>
      <c r="U1" s="35"/>
      <c r="V1" s="35"/>
      <c r="W1" s="35"/>
      <c r="X1" s="35"/>
      <c r="Y1" s="35"/>
      <c r="Z1" s="35"/>
      <c r="AA1" s="35"/>
      <c r="AB1" s="35"/>
    </row>
    <row r="2" spans="1:32" s="72" customFormat="1" x14ac:dyDescent="0.25">
      <c r="A2" s="220" t="s">
        <v>1235</v>
      </c>
      <c r="B2" s="224">
        <f>B3/60/60/24</f>
        <v>8.3333333333333329E-2</v>
      </c>
      <c r="C2" s="224">
        <f t="shared" ref="C2:I2" si="0">C3/60/60/24</f>
        <v>1.25</v>
      </c>
      <c r="D2" s="224">
        <f t="shared" si="0"/>
        <v>3.7083333333333335</v>
      </c>
      <c r="E2" s="224">
        <f t="shared" si="0"/>
        <v>9.4583333333333339</v>
      </c>
      <c r="F2" s="224">
        <f t="shared" si="0"/>
        <v>23.333333333333332</v>
      </c>
      <c r="G2" s="224">
        <f t="shared" si="0"/>
        <v>52.208333333333336</v>
      </c>
      <c r="H2" s="224">
        <f t="shared" si="0"/>
        <v>111.375</v>
      </c>
      <c r="I2" s="480">
        <f t="shared" si="0"/>
        <v>167.0625</v>
      </c>
      <c r="J2" s="491"/>
      <c r="K2" s="221"/>
      <c r="L2" s="222"/>
      <c r="M2" s="222"/>
      <c r="N2" s="222"/>
      <c r="O2" s="222"/>
      <c r="P2" s="222"/>
      <c r="Q2" s="222"/>
      <c r="R2" s="222"/>
      <c r="S2" s="222"/>
      <c r="T2" s="223"/>
      <c r="U2" s="223"/>
      <c r="V2" s="223"/>
      <c r="W2" s="223"/>
      <c r="X2" s="223"/>
      <c r="Y2" s="223"/>
      <c r="Z2" s="223"/>
      <c r="AA2" s="223"/>
      <c r="AB2" s="223"/>
    </row>
    <row r="3" spans="1:32" x14ac:dyDescent="0.25">
      <c r="A3" s="39" t="s">
        <v>125</v>
      </c>
      <c r="B3" s="40" t="s">
        <v>126</v>
      </c>
      <c r="C3" s="40">
        <v>108000</v>
      </c>
      <c r="D3" s="40">
        <v>320400</v>
      </c>
      <c r="E3" s="40">
        <v>817200</v>
      </c>
      <c r="F3" s="40">
        <v>2016000</v>
      </c>
      <c r="G3" s="40">
        <v>4510800</v>
      </c>
      <c r="H3" s="40">
        <v>9622800</v>
      </c>
      <c r="I3" s="481">
        <f>K3</f>
        <v>14434200</v>
      </c>
      <c r="J3" s="476">
        <f>I3*1.5</f>
        <v>21651300</v>
      </c>
      <c r="K3" s="213">
        <f>H3*1.5</f>
        <v>14434200</v>
      </c>
      <c r="L3" t="str">
        <f t="shared" ref="L3:T3" si="1">B3&amp;":"&amp;B4&amp;":"&amp;B6&amp;":"&amp;B7&amp;":"&amp;B8&amp;":"&amp;B9&amp;":"&amp;B10&amp;":"&amp;B11</f>
        <v>7200:400:100:0:0:3:0:5</v>
      </c>
      <c r="M3" t="str">
        <f t="shared" si="1"/>
        <v>108000:1800:100:0:0:5:5:8</v>
      </c>
      <c r="N3" t="str">
        <f t="shared" si="1"/>
        <v>320400:36000:100:0:5:10:7:10</v>
      </c>
      <c r="O3" t="str">
        <f t="shared" si="1"/>
        <v>817200:182000:100:0:7:15:10:20</v>
      </c>
      <c r="P3" t="str">
        <f t="shared" si="1"/>
        <v>2016000:500000:100:0:10:20:15:25</v>
      </c>
      <c r="Q3" t="str">
        <f t="shared" si="1"/>
        <v>4510800:1500000:100:0:15:25:20:30</v>
      </c>
      <c r="R3" t="str">
        <f t="shared" si="1"/>
        <v>9622800:16500000:100:0:20:30:25:35</v>
      </c>
      <c r="S3" t="str">
        <f t="shared" si="1"/>
        <v>14434200:24750000:100:0:20:35:30:40</v>
      </c>
      <c r="T3" t="str">
        <f t="shared" si="1"/>
        <v>21651300:37125000:100:0:30:40:40:45</v>
      </c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1:32" x14ac:dyDescent="0.25">
      <c r="A4" s="39" t="s">
        <v>127</v>
      </c>
      <c r="B4" s="40">
        <v>400</v>
      </c>
      <c r="C4" s="40">
        <v>1800</v>
      </c>
      <c r="D4" s="40">
        <v>36000</v>
      </c>
      <c r="E4" s="40">
        <v>182000</v>
      </c>
      <c r="F4" s="40">
        <v>500000</v>
      </c>
      <c r="G4" s="40">
        <v>1500000</v>
      </c>
      <c r="H4" s="40">
        <v>16500000</v>
      </c>
      <c r="I4" s="481">
        <f t="shared" ref="I4:I11" si="2">K4</f>
        <v>24750000</v>
      </c>
      <c r="J4" s="476">
        <f>I4*1.5</f>
        <v>37125000</v>
      </c>
      <c r="K4" s="213">
        <f>H4*1.5</f>
        <v>24750000</v>
      </c>
      <c r="S4" s="44"/>
      <c r="T4" s="41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1:32" x14ac:dyDescent="0.25">
      <c r="A5" s="56" t="s">
        <v>643</v>
      </c>
      <c r="B5" s="298">
        <f t="shared" ref="B5:J5" si="3">B4/20/2</f>
        <v>10</v>
      </c>
      <c r="C5" s="298">
        <f t="shared" si="3"/>
        <v>45</v>
      </c>
      <c r="D5" s="298">
        <f t="shared" si="3"/>
        <v>900</v>
      </c>
      <c r="E5" s="298">
        <f t="shared" si="3"/>
        <v>4550</v>
      </c>
      <c r="F5" s="298">
        <f t="shared" si="3"/>
        <v>12500</v>
      </c>
      <c r="G5" s="298">
        <f t="shared" si="3"/>
        <v>37500</v>
      </c>
      <c r="H5" s="298">
        <f t="shared" si="3"/>
        <v>412500</v>
      </c>
      <c r="I5" s="298">
        <f t="shared" si="3"/>
        <v>618750</v>
      </c>
      <c r="J5" s="298">
        <f t="shared" si="3"/>
        <v>928125</v>
      </c>
      <c r="K5" s="213"/>
      <c r="L5" s="44"/>
      <c r="M5" s="44"/>
      <c r="N5" s="44"/>
      <c r="O5" s="44"/>
      <c r="P5" s="44"/>
      <c r="Q5" s="44"/>
      <c r="R5" s="44"/>
      <c r="S5" s="44"/>
      <c r="T5" s="41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2" x14ac:dyDescent="0.25">
      <c r="A6" s="39" t="s">
        <v>128</v>
      </c>
      <c r="B6" s="40">
        <v>100</v>
      </c>
      <c r="C6" s="40">
        <v>100</v>
      </c>
      <c r="D6" s="40">
        <v>100</v>
      </c>
      <c r="E6" s="40">
        <v>100</v>
      </c>
      <c r="F6" s="40">
        <v>100</v>
      </c>
      <c r="G6" s="40">
        <v>100</v>
      </c>
      <c r="H6" s="40">
        <v>100</v>
      </c>
      <c r="I6" s="481">
        <f t="shared" si="2"/>
        <v>100</v>
      </c>
      <c r="J6" s="476">
        <v>100</v>
      </c>
      <c r="K6" s="213">
        <v>100</v>
      </c>
      <c r="L6" s="256"/>
      <c r="T6" s="41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x14ac:dyDescent="0.25">
      <c r="A7" s="39" t="s">
        <v>129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81">
        <f t="shared" si="2"/>
        <v>0</v>
      </c>
      <c r="J7" s="476">
        <v>0</v>
      </c>
      <c r="K7" s="213">
        <v>0</v>
      </c>
      <c r="T7" s="41"/>
      <c r="U7" s="35"/>
      <c r="V7" s="42"/>
      <c r="W7" s="42"/>
      <c r="X7" s="35"/>
      <c r="Y7" s="35"/>
      <c r="Z7" s="35"/>
      <c r="AA7" s="35"/>
      <c r="AB7" s="35"/>
      <c r="AC7" s="35"/>
      <c r="AD7" s="35"/>
      <c r="AE7" s="35"/>
      <c r="AF7" s="35"/>
    </row>
    <row r="8" spans="1:32" x14ac:dyDescent="0.25">
      <c r="A8" s="210" t="s">
        <v>130</v>
      </c>
      <c r="B8" s="211">
        <v>0</v>
      </c>
      <c r="C8" s="211">
        <v>0</v>
      </c>
      <c r="D8" s="211">
        <v>5</v>
      </c>
      <c r="E8" s="211" t="s">
        <v>1230</v>
      </c>
      <c r="F8" s="211">
        <v>10</v>
      </c>
      <c r="G8" s="211" t="s">
        <v>649</v>
      </c>
      <c r="H8" s="211">
        <v>20</v>
      </c>
      <c r="I8" s="482">
        <v>20</v>
      </c>
      <c r="J8" s="476">
        <v>30</v>
      </c>
      <c r="K8" s="213">
        <v>25</v>
      </c>
      <c r="T8" s="41"/>
      <c r="U8" s="35"/>
      <c r="V8" s="35"/>
      <c r="W8" s="42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25">
      <c r="A9" s="217" t="s">
        <v>131</v>
      </c>
      <c r="B9" s="218" t="s">
        <v>645</v>
      </c>
      <c r="C9" s="218" t="s">
        <v>1229</v>
      </c>
      <c r="D9" s="218">
        <v>10</v>
      </c>
      <c r="E9" s="218" t="s">
        <v>649</v>
      </c>
      <c r="F9" s="218">
        <v>20</v>
      </c>
      <c r="G9" s="218">
        <v>25</v>
      </c>
      <c r="H9" s="218">
        <v>30</v>
      </c>
      <c r="I9" s="483">
        <f>K9</f>
        <v>35</v>
      </c>
      <c r="J9" s="476">
        <v>40</v>
      </c>
      <c r="K9" s="213">
        <v>35</v>
      </c>
      <c r="T9" s="41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 x14ac:dyDescent="0.25">
      <c r="A10" s="207" t="s">
        <v>132</v>
      </c>
      <c r="B10" s="208" t="s">
        <v>137</v>
      </c>
      <c r="C10" s="208" t="s">
        <v>1229</v>
      </c>
      <c r="D10" s="208" t="s">
        <v>1230</v>
      </c>
      <c r="E10" s="208" t="s">
        <v>1227</v>
      </c>
      <c r="F10" s="208" t="s">
        <v>649</v>
      </c>
      <c r="G10" s="208" t="s">
        <v>1231</v>
      </c>
      <c r="H10" s="208" t="s">
        <v>1232</v>
      </c>
      <c r="I10" s="484" t="s">
        <v>138</v>
      </c>
      <c r="J10" s="476">
        <v>40</v>
      </c>
      <c r="K10" s="214" t="s">
        <v>139</v>
      </c>
      <c r="T10" s="41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 x14ac:dyDescent="0.25">
      <c r="A11" s="39" t="s">
        <v>133</v>
      </c>
      <c r="B11" s="40">
        <v>5</v>
      </c>
      <c r="C11" s="40" t="s">
        <v>1228</v>
      </c>
      <c r="D11" s="40">
        <v>10</v>
      </c>
      <c r="E11" s="40">
        <v>20</v>
      </c>
      <c r="F11" s="40">
        <v>25</v>
      </c>
      <c r="G11" s="40">
        <v>30</v>
      </c>
      <c r="H11" s="40">
        <v>35</v>
      </c>
      <c r="I11" s="481">
        <f t="shared" si="2"/>
        <v>40</v>
      </c>
      <c r="J11" s="476">
        <v>45</v>
      </c>
      <c r="K11" s="213">
        <v>40</v>
      </c>
      <c r="T11" s="41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 x14ac:dyDescent="0.25">
      <c r="A12" s="37" t="s">
        <v>134</v>
      </c>
      <c r="B12" s="43"/>
      <c r="C12" s="43"/>
      <c r="D12" s="43"/>
      <c r="E12" s="43"/>
      <c r="F12" s="43"/>
      <c r="G12" s="43"/>
      <c r="H12" s="43"/>
      <c r="I12" s="162"/>
      <c r="J12" s="492"/>
      <c r="K12" s="131"/>
      <c r="T12" s="41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 x14ac:dyDescent="0.25">
      <c r="A13" s="219"/>
      <c r="B13" s="224">
        <f>B14/60/60/24</f>
        <v>0.10416666666666667</v>
      </c>
      <c r="C13" s="230">
        <f>C14/60/60/24</f>
        <v>1.4166666666666667</v>
      </c>
      <c r="D13" s="225">
        <f t="shared" ref="D13:I13" si="4">D14/60/60/24</f>
        <v>4.375</v>
      </c>
      <c r="E13" s="225">
        <f t="shared" si="4"/>
        <v>10.833333333333334</v>
      </c>
      <c r="F13" s="225">
        <f t="shared" si="4"/>
        <v>27</v>
      </c>
      <c r="G13" s="225">
        <f t="shared" si="4"/>
        <v>59.25</v>
      </c>
      <c r="H13" s="225">
        <f t="shared" si="4"/>
        <v>127.33333333333333</v>
      </c>
      <c r="I13" s="485">
        <f t="shared" si="4"/>
        <v>191</v>
      </c>
      <c r="J13" s="492"/>
      <c r="K13" s="131"/>
      <c r="T13" s="41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 x14ac:dyDescent="0.25">
      <c r="A14" s="39" t="s">
        <v>125</v>
      </c>
      <c r="B14" s="40" t="s">
        <v>1234</v>
      </c>
      <c r="C14" s="40">
        <v>122400</v>
      </c>
      <c r="D14" s="40">
        <v>378000</v>
      </c>
      <c r="E14" s="40">
        <v>936000</v>
      </c>
      <c r="F14" s="40">
        <v>2332800</v>
      </c>
      <c r="G14" s="40">
        <v>5119200</v>
      </c>
      <c r="H14" s="40">
        <v>11001600</v>
      </c>
      <c r="I14" s="481">
        <f t="shared" ref="I14:I22" si="5">K14</f>
        <v>16502400</v>
      </c>
      <c r="J14" s="476">
        <f>I14*1.5</f>
        <v>24753600</v>
      </c>
      <c r="K14" s="214">
        <f>H14*1.5</f>
        <v>16502400</v>
      </c>
      <c r="L14" t="str">
        <f t="shared" ref="L14:T14" si="6">B14&amp;":"&amp;B15&amp;":"&amp;B17&amp;":"&amp;B18&amp;":"&amp;B19&amp;":"&amp;B20&amp;":"&amp;B21&amp;":"&amp;B22</f>
        <v>9000:800:100:0:0:5:0:6</v>
      </c>
      <c r="M14" t="str">
        <f t="shared" si="6"/>
        <v>122400:2300:100:0:0:10:10:9</v>
      </c>
      <c r="N14" t="str">
        <f t="shared" si="6"/>
        <v>378000:42000:100:0:5:10:10:11</v>
      </c>
      <c r="O14" t="str">
        <f t="shared" si="6"/>
        <v>936000:190000:100:0:10:15:10:25</v>
      </c>
      <c r="P14" t="str">
        <f t="shared" si="6"/>
        <v>2332800:730000:100:0:15:20:10:30</v>
      </c>
      <c r="Q14" t="str">
        <f t="shared" si="6"/>
        <v>5119200:1720000:100:0:15:25:25:35</v>
      </c>
      <c r="R14" t="str">
        <f t="shared" si="6"/>
        <v>11001600:20900000:100:0:20:30:30:40</v>
      </c>
      <c r="S14" t="str">
        <f t="shared" si="6"/>
        <v>16502400:31350000:100:0:25:35:35:45</v>
      </c>
      <c r="T14" t="str">
        <f t="shared" si="6"/>
        <v>24753600:47025000:100:0:35:40:40:50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 x14ac:dyDescent="0.25">
      <c r="A15" s="39" t="s">
        <v>127</v>
      </c>
      <c r="B15" s="40">
        <v>800</v>
      </c>
      <c r="C15" s="40">
        <v>2300</v>
      </c>
      <c r="D15" s="40">
        <v>42000</v>
      </c>
      <c r="E15" s="40">
        <v>190000</v>
      </c>
      <c r="F15" s="40">
        <v>730000</v>
      </c>
      <c r="G15" s="40">
        <v>1720000</v>
      </c>
      <c r="H15" s="40">
        <v>20900000</v>
      </c>
      <c r="I15" s="481">
        <f t="shared" si="5"/>
        <v>31350000</v>
      </c>
      <c r="J15" s="476">
        <f>I15*1.5</f>
        <v>47025000</v>
      </c>
      <c r="K15" s="213">
        <f>H15*1.5</f>
        <v>31350000</v>
      </c>
      <c r="S15" s="44"/>
      <c r="T15" s="41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 x14ac:dyDescent="0.25">
      <c r="A16" s="56" t="s">
        <v>643</v>
      </c>
      <c r="B16" s="298">
        <f>B15/20/2</f>
        <v>20</v>
      </c>
      <c r="C16" s="298">
        <f t="shared" ref="C16:H16" si="7">C15/20/2</f>
        <v>57.5</v>
      </c>
      <c r="D16" s="298">
        <f t="shared" si="7"/>
        <v>1050</v>
      </c>
      <c r="E16" s="298">
        <f t="shared" si="7"/>
        <v>4750</v>
      </c>
      <c r="F16" s="298">
        <f t="shared" si="7"/>
        <v>18250</v>
      </c>
      <c r="G16" s="298">
        <f t="shared" si="7"/>
        <v>43000</v>
      </c>
      <c r="H16" s="298">
        <f t="shared" si="7"/>
        <v>522500</v>
      </c>
      <c r="I16" s="298">
        <f>I15/20/2</f>
        <v>783750</v>
      </c>
      <c r="J16" s="493">
        <f>J15/20/2</f>
        <v>1175625</v>
      </c>
      <c r="K16" s="213"/>
      <c r="L16" s="44"/>
      <c r="M16" s="44"/>
      <c r="N16" s="44"/>
      <c r="O16" s="44"/>
      <c r="P16" s="44"/>
      <c r="Q16" s="44"/>
      <c r="R16" s="44"/>
      <c r="S16" s="44"/>
      <c r="T16" s="41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 x14ac:dyDescent="0.25">
      <c r="A17" s="39" t="s">
        <v>128</v>
      </c>
      <c r="B17" s="40">
        <v>100</v>
      </c>
      <c r="C17" s="40">
        <v>100</v>
      </c>
      <c r="D17" s="40">
        <v>100</v>
      </c>
      <c r="E17" s="40">
        <v>100</v>
      </c>
      <c r="F17" s="40">
        <v>100</v>
      </c>
      <c r="G17" s="40">
        <v>100</v>
      </c>
      <c r="H17" s="40">
        <v>100</v>
      </c>
      <c r="I17" s="481">
        <f t="shared" si="5"/>
        <v>100</v>
      </c>
      <c r="J17" s="476">
        <v>100</v>
      </c>
      <c r="K17" s="213">
        <v>100</v>
      </c>
      <c r="T17" s="41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 x14ac:dyDescent="0.25">
      <c r="A18" s="39" t="s">
        <v>129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81">
        <f t="shared" si="5"/>
        <v>0</v>
      </c>
      <c r="J18" s="476">
        <v>0</v>
      </c>
      <c r="K18" s="213">
        <v>0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 x14ac:dyDescent="0.25">
      <c r="A19" s="210" t="s">
        <v>130</v>
      </c>
      <c r="B19" s="211">
        <v>0</v>
      </c>
      <c r="C19" s="211">
        <v>0</v>
      </c>
      <c r="D19" s="211">
        <v>5</v>
      </c>
      <c r="E19" s="211">
        <v>10</v>
      </c>
      <c r="F19" s="211" t="s">
        <v>649</v>
      </c>
      <c r="G19" s="211" t="s">
        <v>649</v>
      </c>
      <c r="H19" s="211" t="s">
        <v>1231</v>
      </c>
      <c r="I19" s="482">
        <v>25</v>
      </c>
      <c r="J19" s="476">
        <v>35</v>
      </c>
      <c r="K19" s="213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 x14ac:dyDescent="0.25">
      <c r="A20" s="217" t="s">
        <v>131</v>
      </c>
      <c r="B20" s="218" t="s">
        <v>1229</v>
      </c>
      <c r="C20" s="218">
        <v>10</v>
      </c>
      <c r="D20" s="218">
        <v>10</v>
      </c>
      <c r="E20" s="218" t="s">
        <v>649</v>
      </c>
      <c r="F20" s="218">
        <v>20</v>
      </c>
      <c r="G20" s="218">
        <v>25</v>
      </c>
      <c r="H20" s="218">
        <v>30</v>
      </c>
      <c r="I20" s="483">
        <f t="shared" si="5"/>
        <v>35</v>
      </c>
      <c r="J20" s="476">
        <v>40</v>
      </c>
      <c r="K20" s="213">
        <v>35</v>
      </c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1:32" x14ac:dyDescent="0.25">
      <c r="A21" s="39" t="s">
        <v>132</v>
      </c>
      <c r="B21" s="208" t="s">
        <v>137</v>
      </c>
      <c r="C21" s="208">
        <v>10</v>
      </c>
      <c r="D21" s="208">
        <v>10</v>
      </c>
      <c r="E21" s="208">
        <v>10</v>
      </c>
      <c r="F21" s="208">
        <v>10</v>
      </c>
      <c r="G21" s="208">
        <v>25</v>
      </c>
      <c r="H21" s="208">
        <v>30</v>
      </c>
      <c r="I21" s="486">
        <f t="shared" si="5"/>
        <v>35</v>
      </c>
      <c r="J21" s="476">
        <v>40</v>
      </c>
      <c r="K21" s="213">
        <v>35</v>
      </c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 x14ac:dyDescent="0.25">
      <c r="A22" s="39" t="s">
        <v>133</v>
      </c>
      <c r="B22" s="40">
        <v>6</v>
      </c>
      <c r="C22" s="40">
        <v>9</v>
      </c>
      <c r="D22" s="40">
        <v>11</v>
      </c>
      <c r="E22" s="40">
        <v>25</v>
      </c>
      <c r="F22" s="40">
        <v>30</v>
      </c>
      <c r="G22" s="40">
        <v>35</v>
      </c>
      <c r="H22" s="40">
        <v>40</v>
      </c>
      <c r="I22" s="481">
        <f t="shared" si="5"/>
        <v>45</v>
      </c>
      <c r="J22" s="476">
        <v>50</v>
      </c>
      <c r="K22" s="213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 x14ac:dyDescent="0.25">
      <c r="A23" s="37" t="s">
        <v>135</v>
      </c>
      <c r="B23" s="40"/>
      <c r="C23" s="40"/>
      <c r="D23" s="40"/>
      <c r="E23" s="40"/>
      <c r="F23" s="40"/>
      <c r="G23" s="40"/>
      <c r="H23" s="40"/>
      <c r="I23" s="487"/>
      <c r="J23" s="476"/>
      <c r="K23" s="214"/>
      <c r="T23" s="35"/>
    </row>
    <row r="24" spans="1:32" s="228" customFormat="1" ht="14.25" customHeight="1" x14ac:dyDescent="0.25">
      <c r="A24" s="226"/>
      <c r="B24" s="224">
        <f t="shared" ref="B24:I24" si="8">B25/60/60/24</f>
        <v>0.125</v>
      </c>
      <c r="C24" s="225">
        <f t="shared" si="8"/>
        <v>1.7916666666666667</v>
      </c>
      <c r="D24" s="225">
        <f t="shared" si="8"/>
        <v>5.5</v>
      </c>
      <c r="E24" s="225">
        <f t="shared" si="8"/>
        <v>13.041666666666666</v>
      </c>
      <c r="F24" s="225">
        <f t="shared" si="8"/>
        <v>31.583333333333332</v>
      </c>
      <c r="G24" s="225">
        <f t="shared" si="8"/>
        <v>70.166666666666671</v>
      </c>
      <c r="H24" s="225">
        <f t="shared" si="8"/>
        <v>147.91666666666666</v>
      </c>
      <c r="I24" s="485">
        <f t="shared" si="8"/>
        <v>221.875</v>
      </c>
      <c r="J24" s="476"/>
      <c r="K24" s="227"/>
      <c r="T24" s="229"/>
    </row>
    <row r="25" spans="1:32" x14ac:dyDescent="0.25">
      <c r="A25" s="39" t="s">
        <v>125</v>
      </c>
      <c r="B25" s="232">
        <v>10800</v>
      </c>
      <c r="C25" s="40">
        <v>154800</v>
      </c>
      <c r="D25" s="40">
        <v>475200</v>
      </c>
      <c r="E25" s="40">
        <v>1126800</v>
      </c>
      <c r="F25" s="40">
        <v>2728800</v>
      </c>
      <c r="G25" s="40">
        <v>6062400</v>
      </c>
      <c r="H25" s="40">
        <v>12780000</v>
      </c>
      <c r="I25" s="481">
        <f t="shared" ref="I25:I33" si="9">K25</f>
        <v>19170000</v>
      </c>
      <c r="J25" s="476">
        <f>I25*1.5</f>
        <v>28755000</v>
      </c>
      <c r="K25" s="214">
        <f>H25*1.5</f>
        <v>19170000</v>
      </c>
      <c r="L25" t="str">
        <f t="shared" ref="L25:T25" si="10">B25&amp;":"&amp;B26&amp;":"&amp;B28&amp;":"&amp;B29&amp;":"&amp;B30&amp;":"&amp;B31&amp;":"&amp;B32&amp;":"&amp;B33</f>
        <v>10800:1500:100:0:0:5:0:7</v>
      </c>
      <c r="M25" t="str">
        <f t="shared" si="10"/>
        <v>154800:2900:100:0:0:15:10:10</v>
      </c>
      <c r="N25" t="str">
        <f t="shared" si="10"/>
        <v>475200:66000:100:0:5:15:15:12</v>
      </c>
      <c r="O25" t="str">
        <f t="shared" si="10"/>
        <v>1126800:362000:100:0:10:20:15:30</v>
      </c>
      <c r="P25" t="str">
        <f t="shared" si="10"/>
        <v>2728800:1050000:100:0:15:20:20:35</v>
      </c>
      <c r="Q25" t="str">
        <f t="shared" si="10"/>
        <v>6062400:2500000:100:0:20:25:25:40</v>
      </c>
      <c r="R25" t="str">
        <f t="shared" si="10"/>
        <v>12780000:29100000:100:0:25:30:30:45</v>
      </c>
      <c r="S25" t="str">
        <f t="shared" si="10"/>
        <v>19170000:43650000:100:0:25:35:35:50</v>
      </c>
      <c r="T25" t="str">
        <f t="shared" si="10"/>
        <v>28755000:65475000:100:0:35:40:40:55</v>
      </c>
    </row>
    <row r="26" spans="1:32" x14ac:dyDescent="0.25">
      <c r="A26" s="39" t="s">
        <v>127</v>
      </c>
      <c r="B26" s="40">
        <v>1500</v>
      </c>
      <c r="C26" s="40">
        <v>2900</v>
      </c>
      <c r="D26" s="40">
        <v>66000</v>
      </c>
      <c r="E26" s="40">
        <v>362000</v>
      </c>
      <c r="F26" s="40">
        <v>1050000</v>
      </c>
      <c r="G26" s="40">
        <v>2500000</v>
      </c>
      <c r="H26" s="40">
        <v>29100000</v>
      </c>
      <c r="I26" s="481">
        <f t="shared" si="9"/>
        <v>43650000</v>
      </c>
      <c r="J26" s="476">
        <f>I26*1.5</f>
        <v>65475000</v>
      </c>
      <c r="K26" s="214">
        <f>H26*1.5</f>
        <v>43650000</v>
      </c>
      <c r="S26" s="44"/>
      <c r="T26" s="35"/>
    </row>
    <row r="27" spans="1:32" x14ac:dyDescent="0.25">
      <c r="A27" s="56" t="s">
        <v>643</v>
      </c>
      <c r="B27" s="298">
        <f>B26/20/2</f>
        <v>37.5</v>
      </c>
      <c r="C27" s="298">
        <f t="shared" ref="C27:I27" si="11">C26/20/2</f>
        <v>72.5</v>
      </c>
      <c r="D27" s="298">
        <f t="shared" si="11"/>
        <v>1650</v>
      </c>
      <c r="E27" s="298">
        <f t="shared" si="11"/>
        <v>9050</v>
      </c>
      <c r="F27" s="298">
        <f t="shared" si="11"/>
        <v>26250</v>
      </c>
      <c r="G27" s="298">
        <f t="shared" si="11"/>
        <v>62500</v>
      </c>
      <c r="H27" s="298">
        <f t="shared" si="11"/>
        <v>727500</v>
      </c>
      <c r="I27" s="298">
        <f t="shared" si="11"/>
        <v>1091250</v>
      </c>
      <c r="J27" s="493">
        <f>J26/20/2</f>
        <v>1636875</v>
      </c>
      <c r="K27" s="213"/>
      <c r="L27" s="44"/>
      <c r="M27" s="44"/>
      <c r="N27" s="44"/>
      <c r="O27" s="44"/>
      <c r="P27" s="44"/>
      <c r="Q27" s="44"/>
      <c r="R27" s="44"/>
      <c r="S27" s="44"/>
      <c r="T27" s="41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 x14ac:dyDescent="0.25">
      <c r="A28" s="39" t="s">
        <v>128</v>
      </c>
      <c r="B28" s="40">
        <v>100</v>
      </c>
      <c r="C28" s="40">
        <v>100</v>
      </c>
      <c r="D28" s="40">
        <v>100</v>
      </c>
      <c r="E28" s="40">
        <v>100</v>
      </c>
      <c r="F28" s="40">
        <v>100</v>
      </c>
      <c r="G28" s="40">
        <v>100</v>
      </c>
      <c r="H28" s="40">
        <v>100</v>
      </c>
      <c r="I28" s="481" t="str">
        <f t="shared" si="9"/>
        <v>100</v>
      </c>
      <c r="J28" s="476">
        <v>100</v>
      </c>
      <c r="K28" s="214" t="s">
        <v>136</v>
      </c>
      <c r="T28" s="35"/>
    </row>
    <row r="29" spans="1:32" x14ac:dyDescent="0.25">
      <c r="A29" s="39" t="s">
        <v>129</v>
      </c>
      <c r="B29" s="40">
        <v>0</v>
      </c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81" t="str">
        <f t="shared" si="9"/>
        <v>0</v>
      </c>
      <c r="J29" s="476">
        <v>0</v>
      </c>
      <c r="K29" s="214" t="s">
        <v>137</v>
      </c>
    </row>
    <row r="30" spans="1:32" x14ac:dyDescent="0.25">
      <c r="A30" s="210" t="s">
        <v>130</v>
      </c>
      <c r="B30" s="211">
        <v>0</v>
      </c>
      <c r="C30" s="211">
        <v>0</v>
      </c>
      <c r="D30" s="211">
        <v>5</v>
      </c>
      <c r="E30" s="211">
        <v>10</v>
      </c>
      <c r="F30" s="211" t="s">
        <v>649</v>
      </c>
      <c r="G30" s="211" t="s">
        <v>1231</v>
      </c>
      <c r="H30" s="211" t="s">
        <v>1232</v>
      </c>
      <c r="I30" s="482">
        <v>25</v>
      </c>
      <c r="J30" s="476">
        <v>35</v>
      </c>
      <c r="K30" s="214" t="s">
        <v>138</v>
      </c>
    </row>
    <row r="31" spans="1:32" x14ac:dyDescent="0.25">
      <c r="A31" s="217" t="s">
        <v>131</v>
      </c>
      <c r="B31" s="218" t="s">
        <v>1229</v>
      </c>
      <c r="C31" s="218">
        <v>15</v>
      </c>
      <c r="D31" s="218">
        <v>15</v>
      </c>
      <c r="E31" s="218">
        <v>20</v>
      </c>
      <c r="F31" s="218">
        <v>20</v>
      </c>
      <c r="G31" s="218">
        <v>25</v>
      </c>
      <c r="H31" s="218">
        <v>30</v>
      </c>
      <c r="I31" s="483" t="str">
        <f t="shared" si="9"/>
        <v>35</v>
      </c>
      <c r="J31" s="476">
        <v>40</v>
      </c>
      <c r="K31" s="214" t="s">
        <v>139</v>
      </c>
    </row>
    <row r="32" spans="1:32" x14ac:dyDescent="0.25">
      <c r="A32" s="207" t="s">
        <v>132</v>
      </c>
      <c r="B32" s="208" t="s">
        <v>137</v>
      </c>
      <c r="C32" s="208">
        <v>10</v>
      </c>
      <c r="D32" s="208">
        <v>15</v>
      </c>
      <c r="E32" s="208">
        <v>15</v>
      </c>
      <c r="F32" s="208">
        <v>20</v>
      </c>
      <c r="G32" s="208">
        <v>25</v>
      </c>
      <c r="H32" s="208">
        <v>30</v>
      </c>
      <c r="I32" s="486" t="str">
        <f t="shared" si="9"/>
        <v>35</v>
      </c>
      <c r="J32" s="476">
        <v>40</v>
      </c>
      <c r="K32" s="214" t="s">
        <v>139</v>
      </c>
    </row>
    <row r="33" spans="1:32" x14ac:dyDescent="0.25">
      <c r="A33" s="39" t="s">
        <v>133</v>
      </c>
      <c r="B33" s="40">
        <v>7</v>
      </c>
      <c r="C33" s="40">
        <v>10</v>
      </c>
      <c r="D33" s="40">
        <v>12</v>
      </c>
      <c r="E33" s="40">
        <v>30</v>
      </c>
      <c r="F33" s="40">
        <v>35</v>
      </c>
      <c r="G33" s="40">
        <v>40</v>
      </c>
      <c r="H33" s="40">
        <v>45</v>
      </c>
      <c r="I33" s="481" t="str">
        <f t="shared" si="9"/>
        <v>50</v>
      </c>
      <c r="J33" s="476">
        <v>55</v>
      </c>
      <c r="K33" s="214" t="s">
        <v>140</v>
      </c>
    </row>
    <row r="34" spans="1:32" x14ac:dyDescent="0.25">
      <c r="A34" s="37" t="s">
        <v>141</v>
      </c>
      <c r="B34" s="40"/>
      <c r="C34" s="40"/>
      <c r="D34" s="40"/>
      <c r="E34" s="40"/>
      <c r="F34" s="40"/>
      <c r="G34" s="40"/>
      <c r="H34" s="40"/>
      <c r="I34" s="487"/>
      <c r="J34" s="476"/>
      <c r="K34" s="214"/>
    </row>
    <row r="35" spans="1:32" x14ac:dyDescent="0.25">
      <c r="A35" s="219"/>
      <c r="B35" s="224">
        <f t="shared" ref="B35:I35" si="12">B36/60/60/24</f>
        <v>0.16666666666666666</v>
      </c>
      <c r="C35" s="230">
        <f t="shared" si="12"/>
        <v>2.4583333333333335</v>
      </c>
      <c r="D35" s="225">
        <f t="shared" si="12"/>
        <v>7.208333333333333</v>
      </c>
      <c r="E35" s="225">
        <f t="shared" si="12"/>
        <v>15.583333333333334</v>
      </c>
      <c r="F35" s="225">
        <f t="shared" si="12"/>
        <v>35.75</v>
      </c>
      <c r="G35" s="225">
        <f t="shared" si="12"/>
        <v>77.791666666666671</v>
      </c>
      <c r="H35" s="225">
        <f t="shared" si="12"/>
        <v>164.58333333333334</v>
      </c>
      <c r="I35" s="485">
        <f t="shared" si="12"/>
        <v>246.875</v>
      </c>
      <c r="J35" s="476"/>
      <c r="K35" s="214"/>
    </row>
    <row r="36" spans="1:32" x14ac:dyDescent="0.25">
      <c r="A36" s="39" t="s">
        <v>125</v>
      </c>
      <c r="B36" s="40">
        <v>14400</v>
      </c>
      <c r="C36" s="40">
        <v>212400</v>
      </c>
      <c r="D36" s="40">
        <v>622800</v>
      </c>
      <c r="E36" s="40">
        <v>1346400</v>
      </c>
      <c r="F36" s="40">
        <v>3088800</v>
      </c>
      <c r="G36" s="40">
        <v>6721200</v>
      </c>
      <c r="H36" s="40">
        <v>14220000</v>
      </c>
      <c r="I36" s="487">
        <f t="shared" ref="I36:I44" si="13">K36</f>
        <v>21330000</v>
      </c>
      <c r="J36" s="476">
        <f>I36*1.5</f>
        <v>31995000</v>
      </c>
      <c r="K36" s="214">
        <f>H36*1.5</f>
        <v>21330000</v>
      </c>
      <c r="L36" t="str">
        <f t="shared" ref="L36:T36" si="14">B36&amp;":"&amp;B37&amp;":"&amp;B39&amp;":"&amp;B40&amp;":"&amp;B41&amp;":"&amp;B42&amp;":"&amp;B43&amp;":"&amp;B44</f>
        <v>14400:2000:100:0:0:5:0:8</v>
      </c>
      <c r="M36" t="str">
        <f t="shared" si="14"/>
        <v>212400:9800:100:0:0:15:10:11</v>
      </c>
      <c r="N36" t="str">
        <f t="shared" si="14"/>
        <v>622800:94000:100:0:5:15:15:13</v>
      </c>
      <c r="O36" t="str">
        <f t="shared" si="14"/>
        <v>1346400:534000:100:0:10:20:15:35</v>
      </c>
      <c r="P36" t="str">
        <f t="shared" si="14"/>
        <v>3088800:1700000:100:0:20:25:25:40</v>
      </c>
      <c r="Q36" t="str">
        <f t="shared" si="14"/>
        <v>6721200:3960000:100:0:25:30:30:45</v>
      </c>
      <c r="R36" t="str">
        <f t="shared" si="14"/>
        <v>14220000:48900000:100:0:30:35:40:50</v>
      </c>
      <c r="S36" t="str">
        <f t="shared" si="14"/>
        <v>21330000:73350000:100:0:30:40:45:55</v>
      </c>
      <c r="T36" t="str">
        <f t="shared" si="14"/>
        <v>31995000:110025000:100:0:45:45:50:60</v>
      </c>
    </row>
    <row r="37" spans="1:32" x14ac:dyDescent="0.25">
      <c r="A37" s="39" t="s">
        <v>127</v>
      </c>
      <c r="B37" s="40">
        <v>2000</v>
      </c>
      <c r="C37" s="40">
        <v>9800</v>
      </c>
      <c r="D37" s="40">
        <v>94000</v>
      </c>
      <c r="E37" s="40">
        <v>534000</v>
      </c>
      <c r="F37" s="40">
        <v>1700000</v>
      </c>
      <c r="G37" s="40">
        <v>3960000</v>
      </c>
      <c r="H37" s="40">
        <v>48900000</v>
      </c>
      <c r="I37" s="487">
        <f t="shared" si="13"/>
        <v>73350000</v>
      </c>
      <c r="J37" s="476">
        <f>I37*1.5</f>
        <v>110025000</v>
      </c>
      <c r="K37" s="214">
        <f>H37*1.5</f>
        <v>73350000</v>
      </c>
      <c r="S37" s="44"/>
    </row>
    <row r="38" spans="1:32" x14ac:dyDescent="0.25">
      <c r="A38" s="56" t="s">
        <v>643</v>
      </c>
      <c r="B38" s="298">
        <f>B37/20/2</f>
        <v>50</v>
      </c>
      <c r="C38" s="298">
        <f t="shared" ref="C38:I38" si="15">C37/20/2</f>
        <v>245</v>
      </c>
      <c r="D38" s="298">
        <f t="shared" si="15"/>
        <v>2350</v>
      </c>
      <c r="E38" s="298">
        <f t="shared" si="15"/>
        <v>13350</v>
      </c>
      <c r="F38" s="298">
        <f t="shared" si="15"/>
        <v>42500</v>
      </c>
      <c r="G38" s="298">
        <f t="shared" si="15"/>
        <v>99000</v>
      </c>
      <c r="H38" s="298">
        <f t="shared" si="15"/>
        <v>1222500</v>
      </c>
      <c r="I38" s="298">
        <f t="shared" si="15"/>
        <v>1833750</v>
      </c>
      <c r="J38" s="493">
        <f>J37/20/2</f>
        <v>2750625</v>
      </c>
      <c r="K38" s="213"/>
      <c r="L38" s="44"/>
      <c r="M38" s="44"/>
      <c r="N38" s="44"/>
      <c r="O38" s="44"/>
      <c r="P38" s="44"/>
      <c r="Q38" s="44"/>
      <c r="R38" s="44"/>
      <c r="S38" s="44"/>
      <c r="T38" s="41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 x14ac:dyDescent="0.25">
      <c r="A39" s="39" t="s">
        <v>128</v>
      </c>
      <c r="B39" s="40">
        <v>100</v>
      </c>
      <c r="C39" s="40">
        <v>100</v>
      </c>
      <c r="D39" s="40">
        <v>100</v>
      </c>
      <c r="E39" s="40">
        <v>100</v>
      </c>
      <c r="F39" s="40">
        <v>100</v>
      </c>
      <c r="G39" s="40">
        <v>100</v>
      </c>
      <c r="H39" s="40">
        <v>100</v>
      </c>
      <c r="I39" s="487">
        <f t="shared" si="13"/>
        <v>100</v>
      </c>
      <c r="J39" s="476">
        <v>100</v>
      </c>
      <c r="K39" s="215">
        <v>100</v>
      </c>
    </row>
    <row r="40" spans="1:32" x14ac:dyDescent="0.25">
      <c r="A40" s="39" t="s">
        <v>129</v>
      </c>
      <c r="B40" s="40">
        <v>0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487">
        <f t="shared" si="13"/>
        <v>0</v>
      </c>
      <c r="J40" s="476">
        <v>0</v>
      </c>
      <c r="K40" s="215">
        <v>0</v>
      </c>
    </row>
    <row r="41" spans="1:32" x14ac:dyDescent="0.25">
      <c r="A41" s="210" t="s">
        <v>130</v>
      </c>
      <c r="B41" s="211">
        <v>0</v>
      </c>
      <c r="C41" s="211">
        <v>0</v>
      </c>
      <c r="D41" s="211">
        <v>5</v>
      </c>
      <c r="E41" s="211">
        <v>10</v>
      </c>
      <c r="F41" s="211">
        <v>20</v>
      </c>
      <c r="G41" s="211" t="s">
        <v>1232</v>
      </c>
      <c r="H41" s="211" t="s">
        <v>138</v>
      </c>
      <c r="I41" s="488" t="s">
        <v>138</v>
      </c>
      <c r="J41" s="476">
        <v>45</v>
      </c>
      <c r="K41" s="215">
        <v>40</v>
      </c>
    </row>
    <row r="42" spans="1:32" x14ac:dyDescent="0.25">
      <c r="A42" s="217" t="s">
        <v>131</v>
      </c>
      <c r="B42" s="218" t="s">
        <v>1229</v>
      </c>
      <c r="C42" s="218">
        <v>15</v>
      </c>
      <c r="D42" s="218">
        <v>15</v>
      </c>
      <c r="E42" s="218">
        <v>20</v>
      </c>
      <c r="F42" s="218">
        <v>25</v>
      </c>
      <c r="G42" s="218">
        <v>30</v>
      </c>
      <c r="H42" s="218">
        <v>35</v>
      </c>
      <c r="I42" s="483">
        <f t="shared" si="13"/>
        <v>40</v>
      </c>
      <c r="J42" s="476">
        <v>45</v>
      </c>
      <c r="K42" s="215">
        <v>40</v>
      </c>
    </row>
    <row r="43" spans="1:32" x14ac:dyDescent="0.25">
      <c r="A43" s="207" t="s">
        <v>132</v>
      </c>
      <c r="B43" s="208" t="s">
        <v>137</v>
      </c>
      <c r="C43" s="208">
        <v>10</v>
      </c>
      <c r="D43" s="208">
        <v>15</v>
      </c>
      <c r="E43" s="208">
        <v>15</v>
      </c>
      <c r="F43" s="208">
        <v>25</v>
      </c>
      <c r="G43" s="208">
        <v>30</v>
      </c>
      <c r="H43" s="208">
        <v>40</v>
      </c>
      <c r="I43" s="484">
        <f t="shared" si="13"/>
        <v>45</v>
      </c>
      <c r="J43" s="476">
        <v>50</v>
      </c>
      <c r="K43" s="215">
        <v>45</v>
      </c>
    </row>
    <row r="44" spans="1:32" x14ac:dyDescent="0.25">
      <c r="A44" s="39" t="s">
        <v>133</v>
      </c>
      <c r="B44" s="40">
        <v>8</v>
      </c>
      <c r="C44" s="40">
        <v>11</v>
      </c>
      <c r="D44" s="40">
        <v>13</v>
      </c>
      <c r="E44" s="40">
        <v>35</v>
      </c>
      <c r="F44" s="40">
        <v>40</v>
      </c>
      <c r="G44" s="40">
        <v>45</v>
      </c>
      <c r="H44" s="40">
        <v>50</v>
      </c>
      <c r="I44" s="487" t="str">
        <f t="shared" si="13"/>
        <v>55</v>
      </c>
      <c r="J44" s="476">
        <v>60</v>
      </c>
      <c r="K44" s="215" t="s">
        <v>142</v>
      </c>
    </row>
    <row r="45" spans="1:32" x14ac:dyDescent="0.25">
      <c r="A45" s="37" t="s">
        <v>143</v>
      </c>
      <c r="B45" s="40"/>
      <c r="C45" s="40"/>
      <c r="D45" s="40"/>
      <c r="E45" s="40"/>
      <c r="F45" s="40"/>
      <c r="G45" s="40"/>
      <c r="H45" s="40"/>
      <c r="I45" s="487"/>
      <c r="J45" s="476"/>
      <c r="K45" s="214"/>
    </row>
    <row r="46" spans="1:32" x14ac:dyDescent="0.25">
      <c r="A46" s="219"/>
      <c r="B46" s="224">
        <f t="shared" ref="B46:I46" si="16">B47/60/60/24</f>
        <v>0.20833333333333334</v>
      </c>
      <c r="C46" s="230">
        <f t="shared" si="16"/>
        <v>3.2083333333333335</v>
      </c>
      <c r="D46" s="225">
        <f t="shared" si="16"/>
        <v>8.5833333333333339</v>
      </c>
      <c r="E46" s="225">
        <f t="shared" si="16"/>
        <v>18.083333333333332</v>
      </c>
      <c r="F46" s="225">
        <f t="shared" si="16"/>
        <v>40.25</v>
      </c>
      <c r="G46" s="225">
        <f t="shared" si="16"/>
        <v>85.833333333333329</v>
      </c>
      <c r="H46" s="225">
        <f t="shared" si="16"/>
        <v>180.25</v>
      </c>
      <c r="I46" s="485">
        <f t="shared" si="16"/>
        <v>270.375</v>
      </c>
      <c r="J46" s="476"/>
      <c r="K46" s="214"/>
    </row>
    <row r="47" spans="1:32" x14ac:dyDescent="0.25">
      <c r="A47" s="39" t="s">
        <v>125</v>
      </c>
      <c r="B47" s="40">
        <v>18000</v>
      </c>
      <c r="C47" s="40">
        <v>277200</v>
      </c>
      <c r="D47" s="40">
        <v>741600</v>
      </c>
      <c r="E47" s="40">
        <v>1562400</v>
      </c>
      <c r="F47" s="40">
        <v>3477600</v>
      </c>
      <c r="G47" s="40">
        <v>7416000</v>
      </c>
      <c r="H47" s="40">
        <v>15573600</v>
      </c>
      <c r="I47" s="487">
        <f t="shared" ref="I47:I55" si="17">K47</f>
        <v>23360400</v>
      </c>
      <c r="J47" s="476">
        <f>I47*1.5</f>
        <v>35040600</v>
      </c>
      <c r="K47" s="214">
        <f>H47*1.5</f>
        <v>23360400</v>
      </c>
      <c r="L47" t="str">
        <f t="shared" ref="L47:T47" si="18">B47&amp;":"&amp;B48&amp;":"&amp;B50&amp;":"&amp;B51&amp;":"&amp;B52&amp;":"&amp;B53&amp;":"&amp;B54&amp;":"&amp;B55</f>
        <v>18000:14400:100:0:0:0:0:9</v>
      </c>
      <c r="M47" t="str">
        <f t="shared" si="18"/>
        <v>277200:33800:100:0:0:20:10:12</v>
      </c>
      <c r="N47" t="str">
        <f t="shared" si="18"/>
        <v>741600:196000:100:0:5:20:20:14</v>
      </c>
      <c r="O47" t="str">
        <f t="shared" si="18"/>
        <v>1562400:1016000:100:0:10:25:20:40</v>
      </c>
      <c r="P47" t="str">
        <f t="shared" si="18"/>
        <v>3477600:2200000:100:0:15:30:30:45</v>
      </c>
      <c r="Q47" t="str">
        <f t="shared" si="18"/>
        <v>7416000:6600000:100:0:20:35:35:50</v>
      </c>
      <c r="R47" t="str">
        <f t="shared" si="18"/>
        <v>15573600:84000000:100:0:25:40:40:55</v>
      </c>
      <c r="S47" t="str">
        <f t="shared" si="18"/>
        <v>23360400:126000000:100:0:30:45:45:60</v>
      </c>
      <c r="T47" t="str">
        <f t="shared" si="18"/>
        <v>35040600:189000000:100:0:35:50:50:65</v>
      </c>
    </row>
    <row r="48" spans="1:32" x14ac:dyDescent="0.25">
      <c r="A48" s="39" t="s">
        <v>127</v>
      </c>
      <c r="B48" s="40">
        <v>14400</v>
      </c>
      <c r="C48" s="40">
        <v>33800</v>
      </c>
      <c r="D48" s="40">
        <v>196000</v>
      </c>
      <c r="E48" s="40">
        <v>1016000</v>
      </c>
      <c r="F48" s="40">
        <v>2200000</v>
      </c>
      <c r="G48" s="40">
        <v>6600000</v>
      </c>
      <c r="H48" s="40">
        <v>84000000</v>
      </c>
      <c r="I48" s="487">
        <f t="shared" si="17"/>
        <v>126000000</v>
      </c>
      <c r="J48" s="476">
        <f>I48*1.5</f>
        <v>189000000</v>
      </c>
      <c r="K48" s="214">
        <f>H48*1.5</f>
        <v>126000000</v>
      </c>
      <c r="S48" s="44"/>
    </row>
    <row r="49" spans="1:32" x14ac:dyDescent="0.25">
      <c r="A49" s="56" t="s">
        <v>643</v>
      </c>
      <c r="B49" s="298">
        <f>B48/20/2</f>
        <v>360</v>
      </c>
      <c r="C49" s="298">
        <f t="shared" ref="C49:I49" si="19">C48/20/2</f>
        <v>845</v>
      </c>
      <c r="D49" s="298">
        <f t="shared" si="19"/>
        <v>4900</v>
      </c>
      <c r="E49" s="298">
        <f t="shared" si="19"/>
        <v>25400</v>
      </c>
      <c r="F49" s="298">
        <f t="shared" si="19"/>
        <v>55000</v>
      </c>
      <c r="G49" s="298">
        <f t="shared" si="19"/>
        <v>165000</v>
      </c>
      <c r="H49" s="298">
        <f t="shared" si="19"/>
        <v>2100000</v>
      </c>
      <c r="I49" s="298">
        <f t="shared" si="19"/>
        <v>3150000</v>
      </c>
      <c r="J49" s="493">
        <f>J48/20/2</f>
        <v>4725000</v>
      </c>
      <c r="K49" s="213"/>
      <c r="L49" s="44"/>
      <c r="M49" s="44"/>
      <c r="N49" s="44"/>
      <c r="O49" s="44"/>
      <c r="P49" s="44"/>
      <c r="Q49" s="44"/>
      <c r="R49" s="44"/>
      <c r="S49" s="44"/>
      <c r="T49" s="4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x14ac:dyDescent="0.25">
      <c r="A50" s="39" t="s">
        <v>128</v>
      </c>
      <c r="B50" s="40">
        <v>100</v>
      </c>
      <c r="C50" s="40">
        <v>100</v>
      </c>
      <c r="D50" s="40">
        <v>100</v>
      </c>
      <c r="E50" s="40">
        <v>100</v>
      </c>
      <c r="F50" s="40">
        <v>100</v>
      </c>
      <c r="G50" s="40">
        <v>100</v>
      </c>
      <c r="H50" s="40">
        <v>100</v>
      </c>
      <c r="I50" s="487">
        <f t="shared" si="17"/>
        <v>100</v>
      </c>
      <c r="J50" s="476">
        <v>100</v>
      </c>
      <c r="K50" s="215">
        <v>100</v>
      </c>
    </row>
    <row r="51" spans="1:32" x14ac:dyDescent="0.25">
      <c r="A51" s="39" t="s">
        <v>129</v>
      </c>
      <c r="B51" s="40">
        <v>0</v>
      </c>
      <c r="C51" s="40">
        <v>0</v>
      </c>
      <c r="D51" s="40">
        <v>0</v>
      </c>
      <c r="E51" s="40">
        <v>0</v>
      </c>
      <c r="F51" s="40">
        <v>0</v>
      </c>
      <c r="G51" s="40">
        <v>0</v>
      </c>
      <c r="H51" s="40">
        <v>0</v>
      </c>
      <c r="I51" s="487">
        <f t="shared" si="17"/>
        <v>0</v>
      </c>
      <c r="J51" s="476">
        <v>0</v>
      </c>
      <c r="K51" s="215">
        <v>0</v>
      </c>
    </row>
    <row r="52" spans="1:32" x14ac:dyDescent="0.25">
      <c r="A52" s="210" t="s">
        <v>130</v>
      </c>
      <c r="B52" s="211">
        <v>0</v>
      </c>
      <c r="C52" s="211">
        <v>0</v>
      </c>
      <c r="D52" s="211">
        <v>5</v>
      </c>
      <c r="E52" s="211">
        <v>10</v>
      </c>
      <c r="F52" s="211">
        <v>15</v>
      </c>
      <c r="G52" s="211">
        <v>20</v>
      </c>
      <c r="H52" s="211">
        <v>25</v>
      </c>
      <c r="I52" s="488" t="s">
        <v>138</v>
      </c>
      <c r="J52" s="476">
        <v>35</v>
      </c>
      <c r="K52" s="215">
        <v>30</v>
      </c>
    </row>
    <row r="53" spans="1:32" x14ac:dyDescent="0.25">
      <c r="A53" s="217" t="s">
        <v>131</v>
      </c>
      <c r="B53" s="218">
        <v>0</v>
      </c>
      <c r="C53" s="218">
        <v>20</v>
      </c>
      <c r="D53" s="218">
        <v>20</v>
      </c>
      <c r="E53" s="218">
        <v>25</v>
      </c>
      <c r="F53" s="218">
        <v>30</v>
      </c>
      <c r="G53" s="218">
        <v>35</v>
      </c>
      <c r="H53" s="218">
        <v>40</v>
      </c>
      <c r="I53" s="483">
        <f t="shared" si="17"/>
        <v>45</v>
      </c>
      <c r="J53" s="476">
        <v>50</v>
      </c>
      <c r="K53" s="215">
        <v>45</v>
      </c>
    </row>
    <row r="54" spans="1:32" x14ac:dyDescent="0.25">
      <c r="A54" s="207" t="s">
        <v>132</v>
      </c>
      <c r="B54" s="208" t="s">
        <v>137</v>
      </c>
      <c r="C54" s="208">
        <v>10</v>
      </c>
      <c r="D54" s="208">
        <v>20</v>
      </c>
      <c r="E54" s="208">
        <v>20</v>
      </c>
      <c r="F54" s="208">
        <v>30</v>
      </c>
      <c r="G54" s="208">
        <v>35</v>
      </c>
      <c r="H54" s="208">
        <v>40</v>
      </c>
      <c r="I54" s="484">
        <f t="shared" si="17"/>
        <v>45</v>
      </c>
      <c r="J54" s="476">
        <v>50</v>
      </c>
      <c r="K54" s="215">
        <v>45</v>
      </c>
    </row>
    <row r="55" spans="1:32" x14ac:dyDescent="0.25">
      <c r="A55" s="39" t="s">
        <v>133</v>
      </c>
      <c r="B55" s="40">
        <v>9</v>
      </c>
      <c r="C55" s="40">
        <v>12</v>
      </c>
      <c r="D55" s="40">
        <v>14</v>
      </c>
      <c r="E55" s="40">
        <v>40</v>
      </c>
      <c r="F55" s="40">
        <v>45</v>
      </c>
      <c r="G55" s="40">
        <v>50</v>
      </c>
      <c r="H55" s="40">
        <v>55</v>
      </c>
      <c r="I55" s="487" t="str">
        <f t="shared" si="17"/>
        <v>60</v>
      </c>
      <c r="J55" s="476">
        <v>65</v>
      </c>
      <c r="K55" s="215" t="s">
        <v>144</v>
      </c>
    </row>
    <row r="56" spans="1:32" x14ac:dyDescent="0.25">
      <c r="A56" s="37" t="s">
        <v>145</v>
      </c>
      <c r="B56" s="40"/>
      <c r="C56" s="40"/>
      <c r="D56" s="40"/>
      <c r="E56" s="40"/>
      <c r="F56" s="40"/>
      <c r="G56" s="40"/>
      <c r="H56" s="40"/>
      <c r="I56" s="487"/>
      <c r="J56" s="476"/>
      <c r="K56" s="214"/>
    </row>
    <row r="57" spans="1:32" x14ac:dyDescent="0.25">
      <c r="A57" s="219"/>
      <c r="B57" s="224">
        <f t="shared" ref="B57:I57" si="20">B58/60/60/24</f>
        <v>0.25</v>
      </c>
      <c r="C57" s="230">
        <f t="shared" si="20"/>
        <v>3.75</v>
      </c>
      <c r="D57" s="225">
        <f t="shared" si="20"/>
        <v>9.75</v>
      </c>
      <c r="E57" s="225">
        <f t="shared" si="20"/>
        <v>20.333333333333332</v>
      </c>
      <c r="F57" s="225">
        <f t="shared" si="20"/>
        <v>44.5</v>
      </c>
      <c r="G57" s="225">
        <f t="shared" si="20"/>
        <v>95.208333333333329</v>
      </c>
      <c r="H57" s="225">
        <f t="shared" si="20"/>
        <v>196.75</v>
      </c>
      <c r="I57" s="485">
        <f t="shared" si="20"/>
        <v>295.125</v>
      </c>
      <c r="J57" s="476"/>
      <c r="K57" s="214"/>
    </row>
    <row r="58" spans="1:32" x14ac:dyDescent="0.25">
      <c r="A58" s="39" t="s">
        <v>125</v>
      </c>
      <c r="B58" s="40">
        <v>21600</v>
      </c>
      <c r="C58" s="40">
        <v>324000</v>
      </c>
      <c r="D58" s="40">
        <v>842400</v>
      </c>
      <c r="E58" s="40">
        <v>1756800</v>
      </c>
      <c r="F58" s="40">
        <v>3844800</v>
      </c>
      <c r="G58" s="40">
        <v>8226000</v>
      </c>
      <c r="H58" s="40">
        <v>16999200</v>
      </c>
      <c r="I58" s="487">
        <f t="shared" ref="I58:I66" si="21">K58</f>
        <v>25498800</v>
      </c>
      <c r="J58" s="476">
        <f>I58*1.5</f>
        <v>38248200</v>
      </c>
      <c r="K58" s="214">
        <f>H58*1.5</f>
        <v>25498800</v>
      </c>
      <c r="L58" t="str">
        <f t="shared" ref="L58:T58" si="22">B58&amp;":"&amp;B59&amp;":"&amp;B61&amp;":"&amp;B62&amp;":"&amp;B63&amp;":"&amp;B64&amp;":"&amp;B65&amp;":"&amp;B66</f>
        <v>21600:25200:100:0:0:0:5:10</v>
      </c>
      <c r="M58" t="str">
        <f t="shared" si="22"/>
        <v>324000:87900:100:0:0:20:10:13</v>
      </c>
      <c r="N58" t="str">
        <f t="shared" si="22"/>
        <v>842400:459000:100:0:5:20:20:15</v>
      </c>
      <c r="O58" t="str">
        <f t="shared" si="22"/>
        <v>1756800:1700000:100:0:10:25:20:45</v>
      </c>
      <c r="P58" t="str">
        <f t="shared" si="22"/>
        <v>3844800:8730000:100:0:15:30:30:50</v>
      </c>
      <c r="Q58" t="str">
        <f t="shared" si="22"/>
        <v>8226000:14800000:100:0:20:35:35:55</v>
      </c>
      <c r="R58" t="str">
        <f t="shared" si="22"/>
        <v>16999200:151200000:100:0:25:40:40:60</v>
      </c>
      <c r="S58" t="str">
        <f t="shared" si="22"/>
        <v>25498800:226800000:100:0:30:45:45:65</v>
      </c>
      <c r="T58" t="str">
        <f t="shared" si="22"/>
        <v>38248200:340200000:100:0:35:50:50:70</v>
      </c>
    </row>
    <row r="59" spans="1:32" x14ac:dyDescent="0.25">
      <c r="A59" s="39" t="s">
        <v>127</v>
      </c>
      <c r="B59" s="40">
        <v>25200</v>
      </c>
      <c r="C59" s="40">
        <v>87900</v>
      </c>
      <c r="D59" s="40">
        <v>459000</v>
      </c>
      <c r="E59" s="40">
        <v>1700000</v>
      </c>
      <c r="F59" s="40">
        <v>8730000</v>
      </c>
      <c r="G59" s="40">
        <v>14800000</v>
      </c>
      <c r="H59" s="40">
        <v>151200000</v>
      </c>
      <c r="I59" s="487">
        <f t="shared" si="21"/>
        <v>226800000</v>
      </c>
      <c r="J59" s="476">
        <f>I59*1.5</f>
        <v>340200000</v>
      </c>
      <c r="K59" s="214">
        <f>H59*1.5</f>
        <v>226800000</v>
      </c>
      <c r="S59" s="44"/>
    </row>
    <row r="60" spans="1:32" x14ac:dyDescent="0.25">
      <c r="A60" s="56" t="s">
        <v>643</v>
      </c>
      <c r="B60" s="298">
        <f>B59/20/2</f>
        <v>630</v>
      </c>
      <c r="C60" s="298">
        <f t="shared" ref="C60:I60" si="23">C59/20/2</f>
        <v>2197.5</v>
      </c>
      <c r="D60" s="298">
        <f t="shared" si="23"/>
        <v>11475</v>
      </c>
      <c r="E60" s="298">
        <f t="shared" si="23"/>
        <v>42500</v>
      </c>
      <c r="F60" s="298">
        <f t="shared" si="23"/>
        <v>218250</v>
      </c>
      <c r="G60" s="298">
        <f t="shared" si="23"/>
        <v>370000</v>
      </c>
      <c r="H60" s="298">
        <f t="shared" si="23"/>
        <v>3780000</v>
      </c>
      <c r="I60" s="298">
        <f t="shared" si="23"/>
        <v>5670000</v>
      </c>
      <c r="J60" s="493">
        <f>J59/20/2</f>
        <v>8505000</v>
      </c>
      <c r="K60" s="213"/>
      <c r="L60" s="44"/>
      <c r="M60" s="44"/>
      <c r="N60" s="44"/>
      <c r="O60" s="44"/>
      <c r="P60" s="44"/>
      <c r="Q60" s="44"/>
      <c r="R60" s="44"/>
      <c r="S60" s="44"/>
      <c r="T60" s="41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x14ac:dyDescent="0.25">
      <c r="A61" s="39" t="s">
        <v>128</v>
      </c>
      <c r="B61" s="40">
        <v>100</v>
      </c>
      <c r="C61" s="40">
        <v>100</v>
      </c>
      <c r="D61" s="40">
        <v>100</v>
      </c>
      <c r="E61" s="40">
        <v>100</v>
      </c>
      <c r="F61" s="40">
        <v>100</v>
      </c>
      <c r="G61" s="40">
        <v>100</v>
      </c>
      <c r="H61" s="40">
        <v>100</v>
      </c>
      <c r="I61" s="487">
        <f t="shared" si="21"/>
        <v>100</v>
      </c>
      <c r="J61" s="476">
        <v>100</v>
      </c>
      <c r="K61" s="215">
        <v>100</v>
      </c>
    </row>
    <row r="62" spans="1:32" x14ac:dyDescent="0.25">
      <c r="A62" s="39" t="s">
        <v>129</v>
      </c>
      <c r="B62" s="40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87">
        <f t="shared" si="21"/>
        <v>0</v>
      </c>
      <c r="J62" s="476">
        <v>0</v>
      </c>
      <c r="K62" s="215">
        <v>0</v>
      </c>
    </row>
    <row r="63" spans="1:32" x14ac:dyDescent="0.25">
      <c r="A63" s="210" t="s">
        <v>130</v>
      </c>
      <c r="B63" s="211">
        <v>0</v>
      </c>
      <c r="C63" s="211">
        <v>0</v>
      </c>
      <c r="D63" s="211">
        <v>5</v>
      </c>
      <c r="E63" s="211">
        <v>10</v>
      </c>
      <c r="F63" s="211">
        <v>15</v>
      </c>
      <c r="G63" s="211">
        <v>20</v>
      </c>
      <c r="H63" s="211">
        <v>25</v>
      </c>
      <c r="I63" s="488" t="s">
        <v>138</v>
      </c>
      <c r="J63" s="476">
        <v>35</v>
      </c>
      <c r="K63" s="215">
        <v>30</v>
      </c>
    </row>
    <row r="64" spans="1:32" x14ac:dyDescent="0.25">
      <c r="A64" s="217" t="s">
        <v>131</v>
      </c>
      <c r="B64" s="218">
        <v>0</v>
      </c>
      <c r="C64" s="218">
        <v>20</v>
      </c>
      <c r="D64" s="218">
        <v>20</v>
      </c>
      <c r="E64" s="218">
        <v>25</v>
      </c>
      <c r="F64" s="218">
        <v>30</v>
      </c>
      <c r="G64" s="218">
        <v>35</v>
      </c>
      <c r="H64" s="218">
        <v>40</v>
      </c>
      <c r="I64" s="483">
        <f t="shared" si="21"/>
        <v>45</v>
      </c>
      <c r="J64" s="476">
        <v>50</v>
      </c>
      <c r="K64" s="215">
        <v>45</v>
      </c>
    </row>
    <row r="65" spans="1:32" x14ac:dyDescent="0.25">
      <c r="A65" s="207" t="s">
        <v>132</v>
      </c>
      <c r="B65" s="208" t="s">
        <v>1229</v>
      </c>
      <c r="C65" s="208">
        <v>10</v>
      </c>
      <c r="D65" s="208">
        <v>20</v>
      </c>
      <c r="E65" s="208">
        <v>20</v>
      </c>
      <c r="F65" s="208">
        <v>30</v>
      </c>
      <c r="G65" s="208">
        <v>35</v>
      </c>
      <c r="H65" s="208">
        <v>40</v>
      </c>
      <c r="I65" s="484">
        <f t="shared" si="21"/>
        <v>45</v>
      </c>
      <c r="J65" s="476">
        <v>50</v>
      </c>
      <c r="K65" s="215">
        <v>45</v>
      </c>
    </row>
    <row r="66" spans="1:32" x14ac:dyDescent="0.25">
      <c r="A66" s="39" t="s">
        <v>133</v>
      </c>
      <c r="B66" s="40">
        <v>10</v>
      </c>
      <c r="C66" s="40">
        <v>13</v>
      </c>
      <c r="D66" s="40">
        <v>15</v>
      </c>
      <c r="E66" s="40">
        <v>45</v>
      </c>
      <c r="F66" s="40">
        <v>50</v>
      </c>
      <c r="G66" s="40">
        <v>55</v>
      </c>
      <c r="H66" s="40">
        <v>60</v>
      </c>
      <c r="I66" s="487" t="str">
        <f t="shared" si="21"/>
        <v>65</v>
      </c>
      <c r="J66" s="476">
        <v>70</v>
      </c>
      <c r="K66" s="215" t="s">
        <v>146</v>
      </c>
    </row>
    <row r="67" spans="1:32" x14ac:dyDescent="0.25">
      <c r="A67" s="37" t="s">
        <v>147</v>
      </c>
      <c r="B67" s="40"/>
      <c r="C67" s="40"/>
      <c r="D67" s="40"/>
      <c r="E67" s="40"/>
      <c r="F67" s="40"/>
      <c r="G67" s="40"/>
      <c r="H67" s="40"/>
      <c r="I67" s="487"/>
      <c r="J67" s="476"/>
      <c r="K67" s="214"/>
    </row>
    <row r="68" spans="1:32" x14ac:dyDescent="0.25">
      <c r="A68" s="219"/>
      <c r="B68" s="224">
        <f t="shared" ref="B68:I68" si="24">B69/60/60/24</f>
        <v>0.33333333333333331</v>
      </c>
      <c r="C68" s="230">
        <f t="shared" si="24"/>
        <v>4.083333333333333</v>
      </c>
      <c r="D68" s="225">
        <f t="shared" si="24"/>
        <v>10.916666666666666</v>
      </c>
      <c r="E68" s="225">
        <f t="shared" si="24"/>
        <v>25.041666666666668</v>
      </c>
      <c r="F68" s="225">
        <f t="shared" si="24"/>
        <v>55.291666666666664</v>
      </c>
      <c r="G68" s="225">
        <f t="shared" si="24"/>
        <v>117.625</v>
      </c>
      <c r="H68" s="225">
        <f t="shared" si="24"/>
        <v>238.625</v>
      </c>
      <c r="I68" s="485">
        <f t="shared" si="24"/>
        <v>357.9375</v>
      </c>
      <c r="J68" s="476"/>
      <c r="K68" s="214"/>
    </row>
    <row r="69" spans="1:32" x14ac:dyDescent="0.25">
      <c r="A69" s="39" t="s">
        <v>125</v>
      </c>
      <c r="B69" s="40">
        <v>28800</v>
      </c>
      <c r="C69" s="40">
        <v>352800</v>
      </c>
      <c r="D69" s="40">
        <v>943200</v>
      </c>
      <c r="E69" s="40">
        <v>2163600</v>
      </c>
      <c r="F69" s="40">
        <v>4777200</v>
      </c>
      <c r="G69" s="40">
        <v>10162800</v>
      </c>
      <c r="H69" s="40">
        <v>20617200</v>
      </c>
      <c r="I69" s="487">
        <f t="shared" ref="I69:I77" si="25">K69</f>
        <v>30925800</v>
      </c>
      <c r="J69" s="476">
        <f>I69*1.5</f>
        <v>46388700</v>
      </c>
      <c r="K69" s="214">
        <f>H69*1.5</f>
        <v>30925800</v>
      </c>
      <c r="L69" t="str">
        <f t="shared" ref="L69:T69" si="26">B69&amp;":"&amp;B70&amp;":"&amp;B72&amp;":"&amp;B73&amp;":"&amp;B74&amp;":"&amp;B75&amp;":"&amp;B76&amp;":"&amp;B77</f>
        <v>28800:52600:100:0:0:0:5:11</v>
      </c>
      <c r="M69" t="str">
        <f t="shared" si="26"/>
        <v>352800:168400:100:0:0:20:10:14</v>
      </c>
      <c r="N69" t="str">
        <f t="shared" si="26"/>
        <v>943200:934000:100:0:5:20:20:16</v>
      </c>
      <c r="O69" t="str">
        <f t="shared" si="26"/>
        <v>2163600:4910000:100:0:10:25:20:50</v>
      </c>
      <c r="P69" t="str">
        <f t="shared" si="26"/>
        <v>4777200:18400000:100:0:15:30:30:55</v>
      </c>
      <c r="Q69" t="str">
        <f t="shared" si="26"/>
        <v>10162800:35340000:100:0:20:35:35:60</v>
      </c>
      <c r="R69" t="str">
        <f t="shared" si="26"/>
        <v>20617200:215000000:100:0:25:40:40:65</v>
      </c>
      <c r="S69" t="str">
        <f t="shared" si="26"/>
        <v>30925800:322500000:100:0:30:45:45:70</v>
      </c>
      <c r="T69" t="str">
        <f t="shared" si="26"/>
        <v>46388700:483750000:100:0:35:50:50:75</v>
      </c>
    </row>
    <row r="70" spans="1:32" x14ac:dyDescent="0.25">
      <c r="A70" s="39" t="s">
        <v>127</v>
      </c>
      <c r="B70" s="40">
        <v>52600</v>
      </c>
      <c r="C70" s="40">
        <v>168400</v>
      </c>
      <c r="D70" s="40">
        <v>934000</v>
      </c>
      <c r="E70" s="40">
        <v>4910000</v>
      </c>
      <c r="F70" s="40">
        <v>18400000</v>
      </c>
      <c r="G70" s="40">
        <v>35340000</v>
      </c>
      <c r="H70" s="40">
        <v>215000000</v>
      </c>
      <c r="I70" s="487">
        <f t="shared" si="25"/>
        <v>322500000</v>
      </c>
      <c r="J70" s="476">
        <f>I70*1.5</f>
        <v>483750000</v>
      </c>
      <c r="K70" s="214">
        <f>H70*1.5</f>
        <v>322500000</v>
      </c>
      <c r="S70" s="44"/>
    </row>
    <row r="71" spans="1:32" x14ac:dyDescent="0.25">
      <c r="A71" s="56" t="s">
        <v>643</v>
      </c>
      <c r="B71" s="298">
        <f>B70/20/2</f>
        <v>1315</v>
      </c>
      <c r="C71" s="298">
        <f t="shared" ref="C71:I71" si="27">C70/20/2</f>
        <v>4210</v>
      </c>
      <c r="D71" s="298">
        <f t="shared" si="27"/>
        <v>23350</v>
      </c>
      <c r="E71" s="298">
        <f t="shared" si="27"/>
        <v>122750</v>
      </c>
      <c r="F71" s="298">
        <f t="shared" si="27"/>
        <v>460000</v>
      </c>
      <c r="G71" s="298">
        <f t="shared" si="27"/>
        <v>883500</v>
      </c>
      <c r="H71" s="298">
        <f t="shared" si="27"/>
        <v>5375000</v>
      </c>
      <c r="I71" s="298">
        <f t="shared" si="27"/>
        <v>8062500</v>
      </c>
      <c r="J71" s="493">
        <f>J70/20/2</f>
        <v>12093750</v>
      </c>
      <c r="K71" s="213"/>
      <c r="L71" s="44"/>
      <c r="M71" s="44"/>
      <c r="N71" s="44"/>
      <c r="O71" s="44"/>
      <c r="P71" s="44"/>
      <c r="Q71" s="44"/>
      <c r="R71" s="44"/>
      <c r="S71" s="44"/>
      <c r="T71" s="41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1:32" x14ac:dyDescent="0.25">
      <c r="A72" s="39" t="s">
        <v>128</v>
      </c>
      <c r="B72" s="40">
        <v>100</v>
      </c>
      <c r="C72" s="40">
        <v>100</v>
      </c>
      <c r="D72" s="40">
        <v>100</v>
      </c>
      <c r="E72" s="40">
        <v>100</v>
      </c>
      <c r="F72" s="40">
        <v>100</v>
      </c>
      <c r="G72" s="40">
        <v>100</v>
      </c>
      <c r="H72" s="40">
        <v>100</v>
      </c>
      <c r="I72" s="487">
        <f t="shared" si="25"/>
        <v>100</v>
      </c>
      <c r="J72" s="476">
        <v>100</v>
      </c>
      <c r="K72" s="215">
        <v>100</v>
      </c>
    </row>
    <row r="73" spans="1:32" x14ac:dyDescent="0.25">
      <c r="A73" s="39" t="s">
        <v>129</v>
      </c>
      <c r="B73" s="40">
        <v>0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87">
        <f t="shared" si="25"/>
        <v>0</v>
      </c>
      <c r="J73" s="476">
        <v>0</v>
      </c>
      <c r="K73" s="215">
        <v>0</v>
      </c>
    </row>
    <row r="74" spans="1:32" x14ac:dyDescent="0.25">
      <c r="A74" s="210" t="s">
        <v>130</v>
      </c>
      <c r="B74" s="211">
        <v>0</v>
      </c>
      <c r="C74" s="211">
        <v>0</v>
      </c>
      <c r="D74" s="211">
        <v>5</v>
      </c>
      <c r="E74" s="211">
        <v>10</v>
      </c>
      <c r="F74" s="211">
        <v>15</v>
      </c>
      <c r="G74" s="211">
        <v>20</v>
      </c>
      <c r="H74" s="211">
        <v>25</v>
      </c>
      <c r="I74" s="488" t="s">
        <v>138</v>
      </c>
      <c r="J74" s="476">
        <v>35</v>
      </c>
      <c r="K74" s="215">
        <v>30</v>
      </c>
    </row>
    <row r="75" spans="1:32" x14ac:dyDescent="0.25">
      <c r="A75" s="217" t="s">
        <v>131</v>
      </c>
      <c r="B75" s="218">
        <v>0</v>
      </c>
      <c r="C75" s="218">
        <v>20</v>
      </c>
      <c r="D75" s="218">
        <v>20</v>
      </c>
      <c r="E75" s="218">
        <v>25</v>
      </c>
      <c r="F75" s="218">
        <v>30</v>
      </c>
      <c r="G75" s="218">
        <v>35</v>
      </c>
      <c r="H75" s="218">
        <v>40</v>
      </c>
      <c r="I75" s="483">
        <f t="shared" si="25"/>
        <v>45</v>
      </c>
      <c r="J75" s="476">
        <v>50</v>
      </c>
      <c r="K75" s="215">
        <v>45</v>
      </c>
    </row>
    <row r="76" spans="1:32" x14ac:dyDescent="0.25">
      <c r="A76" s="207" t="s">
        <v>132</v>
      </c>
      <c r="B76" s="208" t="s">
        <v>1229</v>
      </c>
      <c r="C76" s="208">
        <v>10</v>
      </c>
      <c r="D76" s="208">
        <v>20</v>
      </c>
      <c r="E76" s="208">
        <v>20</v>
      </c>
      <c r="F76" s="208">
        <v>30</v>
      </c>
      <c r="G76" s="208">
        <v>35</v>
      </c>
      <c r="H76" s="208">
        <v>40</v>
      </c>
      <c r="I76" s="484">
        <f t="shared" si="25"/>
        <v>45</v>
      </c>
      <c r="J76" s="476">
        <v>50</v>
      </c>
      <c r="K76" s="215">
        <v>45</v>
      </c>
    </row>
    <row r="77" spans="1:32" x14ac:dyDescent="0.25">
      <c r="A77" s="39" t="s">
        <v>133</v>
      </c>
      <c r="B77" s="40">
        <v>11</v>
      </c>
      <c r="C77" s="40">
        <v>14</v>
      </c>
      <c r="D77" s="40">
        <v>16</v>
      </c>
      <c r="E77" s="40">
        <v>50</v>
      </c>
      <c r="F77" s="40">
        <v>55</v>
      </c>
      <c r="G77" s="40">
        <v>60</v>
      </c>
      <c r="H77" s="40">
        <v>65</v>
      </c>
      <c r="I77" s="487" t="str">
        <f t="shared" si="25"/>
        <v>70</v>
      </c>
      <c r="J77" s="476">
        <v>75</v>
      </c>
      <c r="K77" s="215" t="s">
        <v>148</v>
      </c>
    </row>
    <row r="78" spans="1:32" x14ac:dyDescent="0.25">
      <c r="A78" s="37" t="s">
        <v>149</v>
      </c>
      <c r="B78" s="40"/>
      <c r="C78" s="40"/>
      <c r="D78" s="40"/>
      <c r="E78" s="40"/>
      <c r="F78" s="40"/>
      <c r="G78" s="40"/>
      <c r="H78" s="40"/>
      <c r="I78" s="487"/>
      <c r="J78" s="476"/>
      <c r="K78" s="214"/>
    </row>
    <row r="79" spans="1:32" x14ac:dyDescent="0.25">
      <c r="A79" s="219"/>
      <c r="B79" s="224">
        <f t="shared" ref="B79:I79" si="28">B80/60/60/24</f>
        <v>0.5</v>
      </c>
      <c r="C79" s="230">
        <f t="shared" si="28"/>
        <v>4.375</v>
      </c>
      <c r="D79" s="225">
        <f t="shared" si="28"/>
        <v>11.833333333333334</v>
      </c>
      <c r="E79" s="225">
        <f t="shared" si="28"/>
        <v>27.166666666666668</v>
      </c>
      <c r="F79" s="225">
        <f t="shared" si="28"/>
        <v>59.583333333333336</v>
      </c>
      <c r="G79" s="225">
        <f t="shared" si="28"/>
        <v>127.66666666666667</v>
      </c>
      <c r="H79" s="225">
        <f t="shared" si="28"/>
        <v>257.33333333333331</v>
      </c>
      <c r="I79" s="485">
        <f t="shared" si="28"/>
        <v>386</v>
      </c>
      <c r="J79" s="476"/>
      <c r="K79" s="214"/>
    </row>
    <row r="80" spans="1:32" x14ac:dyDescent="0.25">
      <c r="A80" s="39" t="s">
        <v>125</v>
      </c>
      <c r="B80" s="40">
        <v>43200</v>
      </c>
      <c r="C80" s="40">
        <v>378000</v>
      </c>
      <c r="D80" s="40">
        <v>1022400</v>
      </c>
      <c r="E80" s="40">
        <v>2347200</v>
      </c>
      <c r="F80" s="40">
        <v>5148000</v>
      </c>
      <c r="G80" s="40">
        <v>11030400</v>
      </c>
      <c r="H80" s="40">
        <v>22233600</v>
      </c>
      <c r="I80" s="487">
        <f t="shared" ref="I80:I88" si="29">K80</f>
        <v>33350400</v>
      </c>
      <c r="J80" s="476">
        <f>I80*1.5</f>
        <v>50025600</v>
      </c>
      <c r="K80" s="214">
        <f>H80*1.5</f>
        <v>33350400</v>
      </c>
      <c r="L80" t="str">
        <f t="shared" ref="L80:T80" si="30">B80&amp;":"&amp;B81&amp;":"&amp;B83&amp;":"&amp;B84&amp;":"&amp;B85&amp;":"&amp;B86&amp;":"&amp;B87&amp;":"&amp;B88</f>
        <v>43200:32400:100:0:0:0:5:12</v>
      </c>
      <c r="M80" t="str">
        <f t="shared" si="30"/>
        <v>378000:344000:100:0:5:20:10:15</v>
      </c>
      <c r="N80" t="str">
        <f t="shared" si="30"/>
        <v>1022400:1417000:100:0:10:20:20:17</v>
      </c>
      <c r="O80" t="str">
        <f t="shared" si="30"/>
        <v>2347200:7000000:100:0:15:30:20:55</v>
      </c>
      <c r="P80" t="str">
        <f t="shared" si="30"/>
        <v>5148000:28800000:100:0:20:35:35:60</v>
      </c>
      <c r="Q80" t="str">
        <f t="shared" si="30"/>
        <v>11030400:64890000:100:0:25:40:40:65</v>
      </c>
      <c r="R80" t="str">
        <f t="shared" si="30"/>
        <v>22233600:297500000:100:0:30:45:45:70</v>
      </c>
      <c r="S80" t="str">
        <f t="shared" si="30"/>
        <v>33350400:446250000:100:0:35:50:50:75</v>
      </c>
      <c r="T80" t="str">
        <f t="shared" si="30"/>
        <v>50025600:669375000:100:0:40:55:55:80</v>
      </c>
    </row>
    <row r="81" spans="1:32" x14ac:dyDescent="0.25">
      <c r="A81" s="39" t="s">
        <v>127</v>
      </c>
      <c r="B81" s="40" t="s">
        <v>156</v>
      </c>
      <c r="C81" s="40">
        <v>344000</v>
      </c>
      <c r="D81" s="40">
        <v>1417000</v>
      </c>
      <c r="E81" s="40">
        <v>7000000</v>
      </c>
      <c r="F81" s="40">
        <v>28800000</v>
      </c>
      <c r="G81" s="40">
        <v>64890000</v>
      </c>
      <c r="H81" s="40">
        <v>297500000</v>
      </c>
      <c r="I81" s="487">
        <f t="shared" si="29"/>
        <v>446250000</v>
      </c>
      <c r="J81" s="476">
        <f>I81*1.5</f>
        <v>669375000</v>
      </c>
      <c r="K81" s="214">
        <f>H81*1.5</f>
        <v>446250000</v>
      </c>
      <c r="S81" s="44"/>
    </row>
    <row r="82" spans="1:32" x14ac:dyDescent="0.25">
      <c r="A82" s="56" t="s">
        <v>643</v>
      </c>
      <c r="B82" s="298">
        <f>B81/20/2</f>
        <v>810</v>
      </c>
      <c r="C82" s="298">
        <f t="shared" ref="C82:I82" si="31">C81/20/2</f>
        <v>8600</v>
      </c>
      <c r="D82" s="298">
        <f t="shared" si="31"/>
        <v>35425</v>
      </c>
      <c r="E82" s="298">
        <f t="shared" si="31"/>
        <v>175000</v>
      </c>
      <c r="F82" s="298">
        <f t="shared" si="31"/>
        <v>720000</v>
      </c>
      <c r="G82" s="298">
        <f t="shared" si="31"/>
        <v>1622250</v>
      </c>
      <c r="H82" s="298">
        <f t="shared" si="31"/>
        <v>7437500</v>
      </c>
      <c r="I82" s="298">
        <f t="shared" si="31"/>
        <v>11156250</v>
      </c>
      <c r="J82" s="493">
        <f>J81/20/2</f>
        <v>16734375</v>
      </c>
      <c r="K82" s="213"/>
      <c r="L82" s="44"/>
      <c r="M82" s="44"/>
      <c r="N82" s="44"/>
      <c r="O82" s="44"/>
      <c r="P82" s="44"/>
      <c r="Q82" s="44"/>
      <c r="R82" s="44"/>
      <c r="S82" s="44"/>
      <c r="T82" s="41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:32" x14ac:dyDescent="0.25">
      <c r="A83" s="39" t="s">
        <v>128</v>
      </c>
      <c r="B83" s="40" t="s">
        <v>136</v>
      </c>
      <c r="C83" s="40">
        <v>100</v>
      </c>
      <c r="D83" s="40">
        <v>100</v>
      </c>
      <c r="E83" s="40">
        <v>100</v>
      </c>
      <c r="F83" s="40">
        <v>100</v>
      </c>
      <c r="G83" s="40">
        <v>100</v>
      </c>
      <c r="H83" s="40">
        <v>100</v>
      </c>
      <c r="I83" s="487">
        <f t="shared" si="29"/>
        <v>100</v>
      </c>
      <c r="J83" s="476">
        <v>100</v>
      </c>
      <c r="K83" s="215">
        <v>100</v>
      </c>
    </row>
    <row r="84" spans="1:32" x14ac:dyDescent="0.25">
      <c r="A84" s="39" t="s">
        <v>129</v>
      </c>
      <c r="B84" s="40" t="s">
        <v>137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87">
        <f t="shared" si="29"/>
        <v>0</v>
      </c>
      <c r="J84" s="476">
        <v>0</v>
      </c>
      <c r="K84" s="215">
        <v>0</v>
      </c>
      <c r="L84" s="44"/>
      <c r="M84" s="44"/>
    </row>
    <row r="85" spans="1:32" x14ac:dyDescent="0.25">
      <c r="A85" s="210" t="s">
        <v>130</v>
      </c>
      <c r="B85" s="211" t="s">
        <v>137</v>
      </c>
      <c r="C85" s="211" t="s">
        <v>1229</v>
      </c>
      <c r="D85" s="211" t="s">
        <v>1227</v>
      </c>
      <c r="E85" s="211" t="s">
        <v>649</v>
      </c>
      <c r="F85" s="211" t="s">
        <v>1231</v>
      </c>
      <c r="G85" s="211" t="s">
        <v>1232</v>
      </c>
      <c r="H85" s="211" t="s">
        <v>138</v>
      </c>
      <c r="I85" s="488" t="s">
        <v>139</v>
      </c>
      <c r="J85" s="476">
        <v>40</v>
      </c>
      <c r="K85" s="214">
        <v>35</v>
      </c>
      <c r="L85" s="44"/>
      <c r="M85" s="44"/>
    </row>
    <row r="86" spans="1:32" x14ac:dyDescent="0.25">
      <c r="A86" s="217" t="s">
        <v>131</v>
      </c>
      <c r="B86" s="218" t="s">
        <v>137</v>
      </c>
      <c r="C86" s="218">
        <v>20</v>
      </c>
      <c r="D86" s="218">
        <v>20</v>
      </c>
      <c r="E86" s="218">
        <v>30</v>
      </c>
      <c r="F86" s="218">
        <v>35</v>
      </c>
      <c r="G86" s="218">
        <v>40</v>
      </c>
      <c r="H86" s="218">
        <v>45</v>
      </c>
      <c r="I86" s="483">
        <f t="shared" si="29"/>
        <v>50</v>
      </c>
      <c r="J86" s="476">
        <v>55</v>
      </c>
      <c r="K86" s="215">
        <v>50</v>
      </c>
    </row>
    <row r="87" spans="1:32" x14ac:dyDescent="0.25">
      <c r="A87" s="207" t="s">
        <v>132</v>
      </c>
      <c r="B87" s="208" t="s">
        <v>1229</v>
      </c>
      <c r="C87" s="208">
        <v>10</v>
      </c>
      <c r="D87" s="208">
        <v>20</v>
      </c>
      <c r="E87" s="208">
        <v>20</v>
      </c>
      <c r="F87" s="208">
        <v>35</v>
      </c>
      <c r="G87" s="208">
        <v>40</v>
      </c>
      <c r="H87" s="208">
        <v>45</v>
      </c>
      <c r="I87" s="484">
        <f t="shared" si="29"/>
        <v>50</v>
      </c>
      <c r="J87" s="476">
        <v>55</v>
      </c>
      <c r="K87" s="215">
        <v>50</v>
      </c>
    </row>
    <row r="88" spans="1:32" x14ac:dyDescent="0.25">
      <c r="A88" s="39" t="s">
        <v>133</v>
      </c>
      <c r="B88" s="40" t="s">
        <v>648</v>
      </c>
      <c r="C88" s="40">
        <v>15</v>
      </c>
      <c r="D88" s="40">
        <v>17</v>
      </c>
      <c r="E88" s="40">
        <v>55</v>
      </c>
      <c r="F88" s="40">
        <v>60</v>
      </c>
      <c r="G88" s="40">
        <v>65</v>
      </c>
      <c r="H88" s="40">
        <v>70</v>
      </c>
      <c r="I88" s="487" t="str">
        <f t="shared" si="29"/>
        <v>75</v>
      </c>
      <c r="J88" s="476">
        <v>80</v>
      </c>
      <c r="K88" s="215" t="s">
        <v>150</v>
      </c>
    </row>
    <row r="89" spans="1:32" x14ac:dyDescent="0.25">
      <c r="A89" s="37" t="s">
        <v>151</v>
      </c>
      <c r="B89" s="40"/>
      <c r="C89" s="40"/>
      <c r="D89" s="40"/>
      <c r="E89" s="40"/>
      <c r="F89" s="40"/>
      <c r="G89" s="40"/>
      <c r="H89" s="40"/>
      <c r="I89" s="487"/>
      <c r="J89" s="476"/>
      <c r="K89" s="214"/>
    </row>
    <row r="90" spans="1:32" x14ac:dyDescent="0.25">
      <c r="A90" s="219"/>
      <c r="B90" s="224">
        <f t="shared" ref="B90:I90" si="32">B91/60/60/24</f>
        <v>0.54166666666666663</v>
      </c>
      <c r="C90" s="230">
        <f t="shared" si="32"/>
        <v>4.75</v>
      </c>
      <c r="D90" s="225">
        <f t="shared" si="32"/>
        <v>12.791666666666666</v>
      </c>
      <c r="E90" s="225">
        <f t="shared" si="32"/>
        <v>29.666666666666668</v>
      </c>
      <c r="F90" s="225">
        <f t="shared" si="32"/>
        <v>64.875</v>
      </c>
      <c r="G90" s="225">
        <f t="shared" si="32"/>
        <v>138.16666666666666</v>
      </c>
      <c r="H90" s="225">
        <f t="shared" si="32"/>
        <v>278.29166666666669</v>
      </c>
      <c r="I90" s="485">
        <f t="shared" si="32"/>
        <v>417.4375</v>
      </c>
      <c r="J90" s="476"/>
      <c r="K90" s="214"/>
    </row>
    <row r="91" spans="1:32" x14ac:dyDescent="0.25">
      <c r="A91" s="39" t="s">
        <v>125</v>
      </c>
      <c r="B91" s="40" t="s">
        <v>1236</v>
      </c>
      <c r="C91" s="40">
        <v>410400</v>
      </c>
      <c r="D91" s="40">
        <v>1105200</v>
      </c>
      <c r="E91" s="40">
        <v>2563200</v>
      </c>
      <c r="F91" s="40">
        <v>5605200</v>
      </c>
      <c r="G91" s="40">
        <v>11937600</v>
      </c>
      <c r="H91" s="40">
        <v>24044400</v>
      </c>
      <c r="I91" s="487">
        <f t="shared" ref="I91:I99" si="33">K91</f>
        <v>36066600</v>
      </c>
      <c r="J91" s="476">
        <f>I91*1.5</f>
        <v>54099900</v>
      </c>
      <c r="K91" s="214">
        <f>H91*1.5</f>
        <v>36066600</v>
      </c>
      <c r="L91" t="str">
        <f t="shared" ref="L91:T91" si="34">B91&amp;":"&amp;B92&amp;":"&amp;B94&amp;":"&amp;B95&amp;":"&amp;B96&amp;":"&amp;B97&amp;":"&amp;B98&amp;":"&amp;B99</f>
        <v>46800:111500:100:0:5:5:5:12</v>
      </c>
      <c r="M91" t="str">
        <f t="shared" si="34"/>
        <v>410400:488600:100:0:10:20:10:16</v>
      </c>
      <c r="N91" t="str">
        <f t="shared" si="34"/>
        <v>1105200:1664000:100:0:15:20:20:18</v>
      </c>
      <c r="O91" t="str">
        <f t="shared" si="34"/>
        <v>2563200:7691000:100:0:20:30:20:60</v>
      </c>
      <c r="P91" t="str">
        <f t="shared" si="34"/>
        <v>5605200:39800000:100:0:25:35:35:65</v>
      </c>
      <c r="Q91" t="str">
        <f t="shared" si="34"/>
        <v>11937600:92230000:100:0:30:40:40:70</v>
      </c>
      <c r="R91" t="str">
        <f t="shared" si="34"/>
        <v>24044400:382500000:100:0:35:45:45:75</v>
      </c>
      <c r="S91" t="str">
        <f t="shared" si="34"/>
        <v>36066600:573750000:100:0:40:50:55:80</v>
      </c>
      <c r="T91" t="str">
        <f t="shared" si="34"/>
        <v>54099900:860625000:100:0:45:55:55:85</v>
      </c>
    </row>
    <row r="92" spans="1:32" x14ac:dyDescent="0.25">
      <c r="A92" s="39" t="s">
        <v>127</v>
      </c>
      <c r="B92" s="40">
        <v>111500</v>
      </c>
      <c r="C92" s="40">
        <v>488600</v>
      </c>
      <c r="D92" s="40">
        <v>1664000</v>
      </c>
      <c r="E92" s="40">
        <v>7691000</v>
      </c>
      <c r="F92" s="40">
        <v>39800000</v>
      </c>
      <c r="G92" s="40">
        <v>92230000</v>
      </c>
      <c r="H92" s="40">
        <v>382500000</v>
      </c>
      <c r="I92" s="487">
        <f t="shared" si="33"/>
        <v>573750000</v>
      </c>
      <c r="J92" s="476">
        <f>I92*1.5</f>
        <v>860625000</v>
      </c>
      <c r="K92" s="214">
        <f>H92*1.5</f>
        <v>573750000</v>
      </c>
      <c r="S92" s="44"/>
    </row>
    <row r="93" spans="1:32" x14ac:dyDescent="0.25">
      <c r="A93" s="56" t="s">
        <v>643</v>
      </c>
      <c r="B93" s="298">
        <f>B92/20/2</f>
        <v>2787.5</v>
      </c>
      <c r="C93" s="298">
        <f t="shared" ref="C93:I93" si="35">C92/20/2</f>
        <v>12215</v>
      </c>
      <c r="D93" s="298">
        <f t="shared" si="35"/>
        <v>41600</v>
      </c>
      <c r="E93" s="298">
        <f t="shared" si="35"/>
        <v>192275</v>
      </c>
      <c r="F93" s="298">
        <f t="shared" si="35"/>
        <v>995000</v>
      </c>
      <c r="G93" s="298">
        <f t="shared" si="35"/>
        <v>2305750</v>
      </c>
      <c r="H93" s="298">
        <f t="shared" si="35"/>
        <v>9562500</v>
      </c>
      <c r="I93" s="298">
        <f t="shared" si="35"/>
        <v>14343750</v>
      </c>
      <c r="J93" s="493">
        <f>J92/20/2</f>
        <v>21515625</v>
      </c>
      <c r="K93" s="213"/>
      <c r="L93" s="44"/>
      <c r="M93" s="44"/>
      <c r="N93" s="44"/>
      <c r="O93" s="44"/>
      <c r="P93" s="44"/>
      <c r="Q93" s="44"/>
      <c r="R93" s="44"/>
      <c r="S93" s="44"/>
      <c r="T93" s="41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:32" x14ac:dyDescent="0.25">
      <c r="A94" s="39" t="s">
        <v>128</v>
      </c>
      <c r="B94" s="40">
        <v>100</v>
      </c>
      <c r="C94" s="40">
        <v>100</v>
      </c>
      <c r="D94" s="40">
        <v>100</v>
      </c>
      <c r="E94" s="40">
        <v>100</v>
      </c>
      <c r="F94" s="40">
        <v>100</v>
      </c>
      <c r="G94" s="40">
        <v>100</v>
      </c>
      <c r="H94" s="40">
        <v>100</v>
      </c>
      <c r="I94" s="487">
        <f t="shared" si="33"/>
        <v>100</v>
      </c>
      <c r="J94" s="476">
        <v>100</v>
      </c>
      <c r="K94" s="215">
        <v>100</v>
      </c>
    </row>
    <row r="95" spans="1:32" x14ac:dyDescent="0.25">
      <c r="A95" s="39" t="s">
        <v>129</v>
      </c>
      <c r="B95" s="40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87">
        <f t="shared" si="33"/>
        <v>0</v>
      </c>
      <c r="J95" s="476">
        <v>0</v>
      </c>
      <c r="K95" s="215">
        <v>0</v>
      </c>
    </row>
    <row r="96" spans="1:32" x14ac:dyDescent="0.25">
      <c r="A96" s="210" t="s">
        <v>130</v>
      </c>
      <c r="B96" s="211" t="s">
        <v>1229</v>
      </c>
      <c r="C96" s="211" t="s">
        <v>1227</v>
      </c>
      <c r="D96" s="211" t="s">
        <v>649</v>
      </c>
      <c r="E96" s="211" t="s">
        <v>1231</v>
      </c>
      <c r="F96" s="211" t="s">
        <v>1232</v>
      </c>
      <c r="G96" s="211" t="s">
        <v>138</v>
      </c>
      <c r="H96" s="211" t="s">
        <v>139</v>
      </c>
      <c r="I96" s="488" t="s">
        <v>1233</v>
      </c>
      <c r="J96" s="476">
        <v>45</v>
      </c>
      <c r="K96" s="214" t="s">
        <v>1233</v>
      </c>
    </row>
    <row r="97" spans="1:32" x14ac:dyDescent="0.25">
      <c r="A97" s="217" t="s">
        <v>131</v>
      </c>
      <c r="B97" s="218" t="s">
        <v>1229</v>
      </c>
      <c r="C97" s="218">
        <v>20</v>
      </c>
      <c r="D97" s="218">
        <v>20</v>
      </c>
      <c r="E97" s="218">
        <v>30</v>
      </c>
      <c r="F97" s="218">
        <v>35</v>
      </c>
      <c r="G97" s="218">
        <v>40</v>
      </c>
      <c r="H97" s="218">
        <v>45</v>
      </c>
      <c r="I97" s="483">
        <f t="shared" si="33"/>
        <v>50</v>
      </c>
      <c r="J97" s="476">
        <v>55</v>
      </c>
      <c r="K97" s="215">
        <v>50</v>
      </c>
    </row>
    <row r="98" spans="1:32" x14ac:dyDescent="0.25">
      <c r="A98" s="207" t="s">
        <v>132</v>
      </c>
      <c r="B98" s="208" t="s">
        <v>1229</v>
      </c>
      <c r="C98" s="208">
        <v>10</v>
      </c>
      <c r="D98" s="208">
        <v>20</v>
      </c>
      <c r="E98" s="208">
        <v>20</v>
      </c>
      <c r="F98" s="208">
        <v>35</v>
      </c>
      <c r="G98" s="208">
        <v>40</v>
      </c>
      <c r="H98" s="208">
        <v>45</v>
      </c>
      <c r="I98" s="484" t="s">
        <v>142</v>
      </c>
      <c r="J98" s="476">
        <v>55</v>
      </c>
      <c r="K98" s="215">
        <v>50</v>
      </c>
    </row>
    <row r="99" spans="1:32" x14ac:dyDescent="0.25">
      <c r="A99" s="39" t="s">
        <v>133</v>
      </c>
      <c r="B99" s="40">
        <v>12</v>
      </c>
      <c r="C99" s="40">
        <v>16</v>
      </c>
      <c r="D99" s="40">
        <v>18</v>
      </c>
      <c r="E99" s="40">
        <v>60</v>
      </c>
      <c r="F99" s="40">
        <v>65</v>
      </c>
      <c r="G99" s="40">
        <v>70</v>
      </c>
      <c r="H99" s="40">
        <v>75</v>
      </c>
      <c r="I99" s="487" t="str">
        <f t="shared" si="33"/>
        <v>80</v>
      </c>
      <c r="J99" s="476">
        <v>85</v>
      </c>
      <c r="K99" s="215" t="s">
        <v>152</v>
      </c>
    </row>
    <row r="100" spans="1:32" x14ac:dyDescent="0.25">
      <c r="A100" s="37" t="s">
        <v>153</v>
      </c>
      <c r="B100" s="40"/>
      <c r="C100" s="40"/>
      <c r="D100" s="40"/>
      <c r="E100" s="40"/>
      <c r="F100" s="40"/>
      <c r="G100" s="40"/>
      <c r="H100" s="40"/>
      <c r="I100" s="487"/>
      <c r="J100" s="476"/>
      <c r="K100" s="214"/>
    </row>
    <row r="101" spans="1:32" x14ac:dyDescent="0.25">
      <c r="A101" s="219"/>
      <c r="B101" s="224">
        <f t="shared" ref="B101:I101" si="36">B102/60/60/24</f>
        <v>0.65</v>
      </c>
      <c r="C101" s="230">
        <f t="shared" si="36"/>
        <v>5.7</v>
      </c>
      <c r="D101" s="225">
        <f t="shared" si="36"/>
        <v>15.35</v>
      </c>
      <c r="E101" s="225">
        <f t="shared" si="36"/>
        <v>35.6</v>
      </c>
      <c r="F101" s="225">
        <f t="shared" si="36"/>
        <v>77.850000000000009</v>
      </c>
      <c r="G101" s="225">
        <f t="shared" si="36"/>
        <v>165.79999999999998</v>
      </c>
      <c r="H101" s="225">
        <f t="shared" si="36"/>
        <v>333.95</v>
      </c>
      <c r="I101" s="485">
        <f t="shared" si="36"/>
        <v>500.92500000000001</v>
      </c>
      <c r="J101" s="476"/>
      <c r="K101" s="214"/>
    </row>
    <row r="102" spans="1:32" x14ac:dyDescent="0.25">
      <c r="A102" s="39" t="s">
        <v>125</v>
      </c>
      <c r="B102" s="40">
        <v>56160</v>
      </c>
      <c r="C102" s="40">
        <v>492480</v>
      </c>
      <c r="D102" s="40">
        <v>1326240</v>
      </c>
      <c r="E102" s="40">
        <v>3075840</v>
      </c>
      <c r="F102" s="40">
        <v>6726240</v>
      </c>
      <c r="G102" s="40">
        <v>14325120</v>
      </c>
      <c r="H102" s="40">
        <v>28853280</v>
      </c>
      <c r="I102" s="489">
        <v>43279920</v>
      </c>
      <c r="J102" s="476">
        <f>I102*1.5</f>
        <v>64919880</v>
      </c>
      <c r="K102" s="214">
        <f>H102*1.5</f>
        <v>43279920</v>
      </c>
      <c r="L102" t="str">
        <f t="shared" ref="L102:T102" si="37">B102&amp;":"&amp;B103&amp;":"&amp;B105&amp;":"&amp;B106&amp;":"&amp;B107&amp;":"&amp;B108&amp;":"&amp;B109&amp;":"&amp;B110</f>
        <v>56160:179700:100:0:10:10:10:13</v>
      </c>
      <c r="M102" t="str">
        <f t="shared" si="37"/>
        <v>492480:488600:100:0:15:25:15:17</v>
      </c>
      <c r="N102" t="str">
        <f t="shared" si="37"/>
        <v>1326240:1664000:100:0:20:25:25:19</v>
      </c>
      <c r="O102" t="str">
        <f t="shared" si="37"/>
        <v>3075840:7691000:100:0:25:35:25:65</v>
      </c>
      <c r="P102" t="str">
        <f t="shared" si="37"/>
        <v>6726240:39800000:100:0:30:40:40:70</v>
      </c>
      <c r="Q102" t="str">
        <f t="shared" si="37"/>
        <v>14325120:92230000:100:0:35:45:45:75</v>
      </c>
      <c r="R102" t="str">
        <f t="shared" si="37"/>
        <v>28853280:382500000:100:0:40:50:50:80</v>
      </c>
      <c r="S102" t="str">
        <f t="shared" si="37"/>
        <v>43279920:573750000:100:0:45:60:60:85</v>
      </c>
      <c r="T102" t="str">
        <f t="shared" si="37"/>
        <v>64919880:860625000:100:0:50:60:60:90</v>
      </c>
    </row>
    <row r="103" spans="1:32" x14ac:dyDescent="0.25">
      <c r="A103" s="39" t="s">
        <v>127</v>
      </c>
      <c r="B103" s="40">
        <v>179700</v>
      </c>
      <c r="C103" s="40">
        <v>488600</v>
      </c>
      <c r="D103" s="40">
        <v>1664000</v>
      </c>
      <c r="E103" s="40">
        <v>7691000</v>
      </c>
      <c r="F103" s="40">
        <v>39800000</v>
      </c>
      <c r="G103" s="40">
        <v>92230000</v>
      </c>
      <c r="H103" s="40">
        <v>382500000</v>
      </c>
      <c r="I103" s="489">
        <f>K103</f>
        <v>573750000</v>
      </c>
      <c r="J103" s="476">
        <f>I103*1.5</f>
        <v>860625000</v>
      </c>
      <c r="K103" s="214">
        <f>H103*1.5</f>
        <v>573750000</v>
      </c>
      <c r="S103" s="44"/>
    </row>
    <row r="104" spans="1:32" x14ac:dyDescent="0.25">
      <c r="A104" s="56" t="s">
        <v>643</v>
      </c>
      <c r="B104" s="298">
        <f>B103/20/2</f>
        <v>4492.5</v>
      </c>
      <c r="C104" s="298">
        <f t="shared" ref="C104:I104" si="38">C103/20/2</f>
        <v>12215</v>
      </c>
      <c r="D104" s="298">
        <f t="shared" si="38"/>
        <v>41600</v>
      </c>
      <c r="E104" s="298">
        <f t="shared" si="38"/>
        <v>192275</v>
      </c>
      <c r="F104" s="298">
        <f t="shared" si="38"/>
        <v>995000</v>
      </c>
      <c r="G104" s="298">
        <f t="shared" si="38"/>
        <v>2305750</v>
      </c>
      <c r="H104" s="298">
        <f t="shared" si="38"/>
        <v>9562500</v>
      </c>
      <c r="I104" s="298">
        <f t="shared" si="38"/>
        <v>14343750</v>
      </c>
      <c r="J104" s="493">
        <f>J103/20/2</f>
        <v>21515625</v>
      </c>
      <c r="K104" s="213"/>
      <c r="L104" s="44"/>
      <c r="M104" s="44"/>
      <c r="N104" s="44"/>
      <c r="O104" s="44"/>
      <c r="P104" s="44"/>
      <c r="Q104" s="44"/>
      <c r="R104" s="44"/>
      <c r="S104" s="44"/>
      <c r="T104" s="41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:32" x14ac:dyDescent="0.25">
      <c r="A105" s="39" t="s">
        <v>128</v>
      </c>
      <c r="B105" s="40">
        <v>100</v>
      </c>
      <c r="C105" s="40">
        <v>100</v>
      </c>
      <c r="D105" s="40">
        <v>100</v>
      </c>
      <c r="E105" s="40">
        <v>100</v>
      </c>
      <c r="F105" s="40">
        <v>100</v>
      </c>
      <c r="G105" s="40">
        <v>100</v>
      </c>
      <c r="H105" s="40">
        <v>100</v>
      </c>
      <c r="I105" s="489">
        <f>K105</f>
        <v>100</v>
      </c>
      <c r="J105" s="476">
        <v>100</v>
      </c>
      <c r="K105" s="215">
        <v>100</v>
      </c>
    </row>
    <row r="106" spans="1:32" x14ac:dyDescent="0.25">
      <c r="A106" s="39" t="s">
        <v>129</v>
      </c>
      <c r="B106" s="40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89">
        <f>K106</f>
        <v>0</v>
      </c>
      <c r="J106" s="476">
        <v>0</v>
      </c>
      <c r="K106" s="215">
        <v>0</v>
      </c>
    </row>
    <row r="107" spans="1:32" x14ac:dyDescent="0.25">
      <c r="A107" s="210" t="s">
        <v>130</v>
      </c>
      <c r="B107" s="211" t="s">
        <v>1227</v>
      </c>
      <c r="C107" s="211" t="s">
        <v>649</v>
      </c>
      <c r="D107" s="211" t="s">
        <v>1231</v>
      </c>
      <c r="E107" s="211" t="s">
        <v>1232</v>
      </c>
      <c r="F107" s="211" t="s">
        <v>138</v>
      </c>
      <c r="G107" s="211" t="s">
        <v>139</v>
      </c>
      <c r="H107" s="211" t="s">
        <v>1233</v>
      </c>
      <c r="I107" s="488" t="s">
        <v>658</v>
      </c>
      <c r="J107" s="476">
        <v>50</v>
      </c>
      <c r="K107" s="214" t="s">
        <v>658</v>
      </c>
    </row>
    <row r="108" spans="1:32" x14ac:dyDescent="0.25">
      <c r="A108" s="217" t="s">
        <v>131</v>
      </c>
      <c r="B108" s="218" t="s">
        <v>1227</v>
      </c>
      <c r="C108" s="218">
        <v>25</v>
      </c>
      <c r="D108" s="218">
        <v>25</v>
      </c>
      <c r="E108" s="218">
        <v>35</v>
      </c>
      <c r="F108" s="218">
        <v>40</v>
      </c>
      <c r="G108" s="218">
        <v>45</v>
      </c>
      <c r="H108" s="218">
        <v>50</v>
      </c>
      <c r="I108" s="483">
        <v>60</v>
      </c>
      <c r="J108" s="476">
        <v>60</v>
      </c>
      <c r="K108" s="215">
        <v>55</v>
      </c>
    </row>
    <row r="109" spans="1:32" x14ac:dyDescent="0.25">
      <c r="A109" s="207" t="s">
        <v>132</v>
      </c>
      <c r="B109" s="208" t="s">
        <v>1227</v>
      </c>
      <c r="C109" s="208">
        <v>15</v>
      </c>
      <c r="D109" s="208">
        <v>25</v>
      </c>
      <c r="E109" s="208">
        <v>25</v>
      </c>
      <c r="F109" s="208">
        <v>40</v>
      </c>
      <c r="G109" s="208">
        <v>45</v>
      </c>
      <c r="H109" s="208">
        <v>50</v>
      </c>
      <c r="I109" s="490">
        <v>60</v>
      </c>
      <c r="J109" s="476">
        <v>60</v>
      </c>
      <c r="K109" s="215">
        <v>55</v>
      </c>
    </row>
    <row r="110" spans="1:32" x14ac:dyDescent="0.25">
      <c r="A110" s="39" t="s">
        <v>133</v>
      </c>
      <c r="B110" s="40">
        <v>13</v>
      </c>
      <c r="C110" s="40">
        <v>17</v>
      </c>
      <c r="D110" s="40">
        <v>19</v>
      </c>
      <c r="E110" s="40">
        <v>65</v>
      </c>
      <c r="F110" s="40">
        <v>70</v>
      </c>
      <c r="G110" s="40">
        <v>75</v>
      </c>
      <c r="H110" s="40">
        <v>80</v>
      </c>
      <c r="I110" s="489" t="str">
        <f>K110</f>
        <v>85</v>
      </c>
      <c r="J110" s="476">
        <v>90</v>
      </c>
      <c r="K110" s="215" t="s">
        <v>154</v>
      </c>
    </row>
    <row r="112" spans="1:32" x14ac:dyDescent="0.25">
      <c r="B112" s="231"/>
      <c r="C112" s="231"/>
      <c r="D112" s="231"/>
      <c r="E112" s="231"/>
      <c r="F112" s="231"/>
      <c r="G112" s="231"/>
      <c r="H112" s="231"/>
      <c r="I112" s="23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5"/>
  <sheetViews>
    <sheetView workbookViewId="0">
      <selection activeCell="B5" sqref="B5"/>
    </sheetView>
  </sheetViews>
  <sheetFormatPr defaultRowHeight="15" x14ac:dyDescent="0.25"/>
  <cols>
    <col min="1" max="1" width="11.85546875" style="11" customWidth="1"/>
    <col min="2" max="5" width="11.42578125" style="11" bestFit="1" customWidth="1"/>
    <col min="6" max="9" width="11.140625" style="11" bestFit="1" customWidth="1"/>
    <col min="10" max="11" width="12.7109375" style="11" bestFit="1" customWidth="1"/>
    <col min="12" max="245" width="9.140625" style="11"/>
    <col min="246" max="246" width="11.85546875" style="11" customWidth="1"/>
    <col min="247" max="249" width="10" style="11" bestFit="1" customWidth="1"/>
    <col min="250" max="254" width="11.140625" style="11" bestFit="1" customWidth="1"/>
    <col min="255" max="256" width="12.7109375" style="11" bestFit="1" customWidth="1"/>
    <col min="257" max="266" width="11" style="11" bestFit="1" customWidth="1"/>
    <col min="267" max="267" width="12.7109375" style="11" bestFit="1" customWidth="1"/>
    <col min="268" max="501" width="9.140625" style="11"/>
    <col min="502" max="502" width="11.85546875" style="11" customWidth="1"/>
    <col min="503" max="505" width="10" style="11" bestFit="1" customWidth="1"/>
    <col min="506" max="510" width="11.140625" style="11" bestFit="1" customWidth="1"/>
    <col min="511" max="512" width="12.7109375" style="11" bestFit="1" customWidth="1"/>
    <col min="513" max="522" width="11" style="11" bestFit="1" customWidth="1"/>
    <col min="523" max="523" width="12.7109375" style="11" bestFit="1" customWidth="1"/>
    <col min="524" max="757" width="9.140625" style="11"/>
    <col min="758" max="758" width="11.85546875" style="11" customWidth="1"/>
    <col min="759" max="761" width="10" style="11" bestFit="1" customWidth="1"/>
    <col min="762" max="766" width="11.140625" style="11" bestFit="1" customWidth="1"/>
    <col min="767" max="768" width="12.7109375" style="11" bestFit="1" customWidth="1"/>
    <col min="769" max="778" width="11" style="11" bestFit="1" customWidth="1"/>
    <col min="779" max="779" width="12.7109375" style="11" bestFit="1" customWidth="1"/>
    <col min="780" max="1013" width="9.140625" style="11"/>
    <col min="1014" max="1014" width="11.85546875" style="11" customWidth="1"/>
    <col min="1015" max="1017" width="10" style="11" bestFit="1" customWidth="1"/>
    <col min="1018" max="1022" width="11.140625" style="11" bestFit="1" customWidth="1"/>
    <col min="1023" max="1024" width="12.7109375" style="11" bestFit="1" customWidth="1"/>
    <col min="1025" max="1034" width="11" style="11" bestFit="1" customWidth="1"/>
    <col min="1035" max="1035" width="12.7109375" style="11" bestFit="1" customWidth="1"/>
    <col min="1036" max="1269" width="9.140625" style="11"/>
    <col min="1270" max="1270" width="11.85546875" style="11" customWidth="1"/>
    <col min="1271" max="1273" width="10" style="11" bestFit="1" customWidth="1"/>
    <col min="1274" max="1278" width="11.140625" style="11" bestFit="1" customWidth="1"/>
    <col min="1279" max="1280" width="12.7109375" style="11" bestFit="1" customWidth="1"/>
    <col min="1281" max="1290" width="11" style="11" bestFit="1" customWidth="1"/>
    <col min="1291" max="1291" width="12.7109375" style="11" bestFit="1" customWidth="1"/>
    <col min="1292" max="1525" width="9.140625" style="11"/>
    <col min="1526" max="1526" width="11.85546875" style="11" customWidth="1"/>
    <col min="1527" max="1529" width="10" style="11" bestFit="1" customWidth="1"/>
    <col min="1530" max="1534" width="11.140625" style="11" bestFit="1" customWidth="1"/>
    <col min="1535" max="1536" width="12.7109375" style="11" bestFit="1" customWidth="1"/>
    <col min="1537" max="1546" width="11" style="11" bestFit="1" customWidth="1"/>
    <col min="1547" max="1547" width="12.7109375" style="11" bestFit="1" customWidth="1"/>
    <col min="1548" max="1781" width="9.140625" style="11"/>
    <col min="1782" max="1782" width="11.85546875" style="11" customWidth="1"/>
    <col min="1783" max="1785" width="10" style="11" bestFit="1" customWidth="1"/>
    <col min="1786" max="1790" width="11.140625" style="11" bestFit="1" customWidth="1"/>
    <col min="1791" max="1792" width="12.7109375" style="11" bestFit="1" customWidth="1"/>
    <col min="1793" max="1802" width="11" style="11" bestFit="1" customWidth="1"/>
    <col min="1803" max="1803" width="12.7109375" style="11" bestFit="1" customWidth="1"/>
    <col min="1804" max="2037" width="9.140625" style="11"/>
    <col min="2038" max="2038" width="11.85546875" style="11" customWidth="1"/>
    <col min="2039" max="2041" width="10" style="11" bestFit="1" customWidth="1"/>
    <col min="2042" max="2046" width="11.140625" style="11" bestFit="1" customWidth="1"/>
    <col min="2047" max="2048" width="12.7109375" style="11" bestFit="1" customWidth="1"/>
    <col min="2049" max="2058" width="11" style="11" bestFit="1" customWidth="1"/>
    <col min="2059" max="2059" width="12.7109375" style="11" bestFit="1" customWidth="1"/>
    <col min="2060" max="2293" width="9.140625" style="11"/>
    <col min="2294" max="2294" width="11.85546875" style="11" customWidth="1"/>
    <col min="2295" max="2297" width="10" style="11" bestFit="1" customWidth="1"/>
    <col min="2298" max="2302" width="11.140625" style="11" bestFit="1" customWidth="1"/>
    <col min="2303" max="2304" width="12.7109375" style="11" bestFit="1" customWidth="1"/>
    <col min="2305" max="2314" width="11" style="11" bestFit="1" customWidth="1"/>
    <col min="2315" max="2315" width="12.7109375" style="11" bestFit="1" customWidth="1"/>
    <col min="2316" max="2549" width="9.140625" style="11"/>
    <col min="2550" max="2550" width="11.85546875" style="11" customWidth="1"/>
    <col min="2551" max="2553" width="10" style="11" bestFit="1" customWidth="1"/>
    <col min="2554" max="2558" width="11.140625" style="11" bestFit="1" customWidth="1"/>
    <col min="2559" max="2560" width="12.7109375" style="11" bestFit="1" customWidth="1"/>
    <col min="2561" max="2570" width="11" style="11" bestFit="1" customWidth="1"/>
    <col min="2571" max="2571" width="12.7109375" style="11" bestFit="1" customWidth="1"/>
    <col min="2572" max="2805" width="9.140625" style="11"/>
    <col min="2806" max="2806" width="11.85546875" style="11" customWidth="1"/>
    <col min="2807" max="2809" width="10" style="11" bestFit="1" customWidth="1"/>
    <col min="2810" max="2814" width="11.140625" style="11" bestFit="1" customWidth="1"/>
    <col min="2815" max="2816" width="12.7109375" style="11" bestFit="1" customWidth="1"/>
    <col min="2817" max="2826" width="11" style="11" bestFit="1" customWidth="1"/>
    <col min="2827" max="2827" width="12.7109375" style="11" bestFit="1" customWidth="1"/>
    <col min="2828" max="3061" width="9.140625" style="11"/>
    <col min="3062" max="3062" width="11.85546875" style="11" customWidth="1"/>
    <col min="3063" max="3065" width="10" style="11" bestFit="1" customWidth="1"/>
    <col min="3066" max="3070" width="11.140625" style="11" bestFit="1" customWidth="1"/>
    <col min="3071" max="3072" width="12.7109375" style="11" bestFit="1" customWidth="1"/>
    <col min="3073" max="3082" width="11" style="11" bestFit="1" customWidth="1"/>
    <col min="3083" max="3083" width="12.7109375" style="11" bestFit="1" customWidth="1"/>
    <col min="3084" max="3317" width="9.140625" style="11"/>
    <col min="3318" max="3318" width="11.85546875" style="11" customWidth="1"/>
    <col min="3319" max="3321" width="10" style="11" bestFit="1" customWidth="1"/>
    <col min="3322" max="3326" width="11.140625" style="11" bestFit="1" customWidth="1"/>
    <col min="3327" max="3328" width="12.7109375" style="11" bestFit="1" customWidth="1"/>
    <col min="3329" max="3338" width="11" style="11" bestFit="1" customWidth="1"/>
    <col min="3339" max="3339" width="12.7109375" style="11" bestFit="1" customWidth="1"/>
    <col min="3340" max="3573" width="9.140625" style="11"/>
    <col min="3574" max="3574" width="11.85546875" style="11" customWidth="1"/>
    <col min="3575" max="3577" width="10" style="11" bestFit="1" customWidth="1"/>
    <col min="3578" max="3582" width="11.140625" style="11" bestFit="1" customWidth="1"/>
    <col min="3583" max="3584" width="12.7109375" style="11" bestFit="1" customWidth="1"/>
    <col min="3585" max="3594" width="11" style="11" bestFit="1" customWidth="1"/>
    <col min="3595" max="3595" width="12.7109375" style="11" bestFit="1" customWidth="1"/>
    <col min="3596" max="3829" width="9.140625" style="11"/>
    <col min="3830" max="3830" width="11.85546875" style="11" customWidth="1"/>
    <col min="3831" max="3833" width="10" style="11" bestFit="1" customWidth="1"/>
    <col min="3834" max="3838" width="11.140625" style="11" bestFit="1" customWidth="1"/>
    <col min="3839" max="3840" width="12.7109375" style="11" bestFit="1" customWidth="1"/>
    <col min="3841" max="3850" width="11" style="11" bestFit="1" customWidth="1"/>
    <col min="3851" max="3851" width="12.7109375" style="11" bestFit="1" customWidth="1"/>
    <col min="3852" max="4085" width="9.140625" style="11"/>
    <col min="4086" max="4086" width="11.85546875" style="11" customWidth="1"/>
    <col min="4087" max="4089" width="10" style="11" bestFit="1" customWidth="1"/>
    <col min="4090" max="4094" width="11.140625" style="11" bestFit="1" customWidth="1"/>
    <col min="4095" max="4096" width="12.7109375" style="11" bestFit="1" customWidth="1"/>
    <col min="4097" max="4106" width="11" style="11" bestFit="1" customWidth="1"/>
    <col min="4107" max="4107" width="12.7109375" style="11" bestFit="1" customWidth="1"/>
    <col min="4108" max="4341" width="9.140625" style="11"/>
    <col min="4342" max="4342" width="11.85546875" style="11" customWidth="1"/>
    <col min="4343" max="4345" width="10" style="11" bestFit="1" customWidth="1"/>
    <col min="4346" max="4350" width="11.140625" style="11" bestFit="1" customWidth="1"/>
    <col min="4351" max="4352" width="12.7109375" style="11" bestFit="1" customWidth="1"/>
    <col min="4353" max="4362" width="11" style="11" bestFit="1" customWidth="1"/>
    <col min="4363" max="4363" width="12.7109375" style="11" bestFit="1" customWidth="1"/>
    <col min="4364" max="4597" width="9.140625" style="11"/>
    <col min="4598" max="4598" width="11.85546875" style="11" customWidth="1"/>
    <col min="4599" max="4601" width="10" style="11" bestFit="1" customWidth="1"/>
    <col min="4602" max="4606" width="11.140625" style="11" bestFit="1" customWidth="1"/>
    <col min="4607" max="4608" width="12.7109375" style="11" bestFit="1" customWidth="1"/>
    <col min="4609" max="4618" width="11" style="11" bestFit="1" customWidth="1"/>
    <col min="4619" max="4619" width="12.7109375" style="11" bestFit="1" customWidth="1"/>
    <col min="4620" max="4853" width="9.140625" style="11"/>
    <col min="4854" max="4854" width="11.85546875" style="11" customWidth="1"/>
    <col min="4855" max="4857" width="10" style="11" bestFit="1" customWidth="1"/>
    <col min="4858" max="4862" width="11.140625" style="11" bestFit="1" customWidth="1"/>
    <col min="4863" max="4864" width="12.7109375" style="11" bestFit="1" customWidth="1"/>
    <col min="4865" max="4874" width="11" style="11" bestFit="1" customWidth="1"/>
    <col min="4875" max="4875" width="12.7109375" style="11" bestFit="1" customWidth="1"/>
    <col min="4876" max="5109" width="9.140625" style="11"/>
    <col min="5110" max="5110" width="11.85546875" style="11" customWidth="1"/>
    <col min="5111" max="5113" width="10" style="11" bestFit="1" customWidth="1"/>
    <col min="5114" max="5118" width="11.140625" style="11" bestFit="1" customWidth="1"/>
    <col min="5119" max="5120" width="12.7109375" style="11" bestFit="1" customWidth="1"/>
    <col min="5121" max="5130" width="11" style="11" bestFit="1" customWidth="1"/>
    <col min="5131" max="5131" width="12.7109375" style="11" bestFit="1" customWidth="1"/>
    <col min="5132" max="5365" width="9.140625" style="11"/>
    <col min="5366" max="5366" width="11.85546875" style="11" customWidth="1"/>
    <col min="5367" max="5369" width="10" style="11" bestFit="1" customWidth="1"/>
    <col min="5370" max="5374" width="11.140625" style="11" bestFit="1" customWidth="1"/>
    <col min="5375" max="5376" width="12.7109375" style="11" bestFit="1" customWidth="1"/>
    <col min="5377" max="5386" width="11" style="11" bestFit="1" customWidth="1"/>
    <col min="5387" max="5387" width="12.7109375" style="11" bestFit="1" customWidth="1"/>
    <col min="5388" max="5621" width="9.140625" style="11"/>
    <col min="5622" max="5622" width="11.85546875" style="11" customWidth="1"/>
    <col min="5623" max="5625" width="10" style="11" bestFit="1" customWidth="1"/>
    <col min="5626" max="5630" width="11.140625" style="11" bestFit="1" customWidth="1"/>
    <col min="5631" max="5632" width="12.7109375" style="11" bestFit="1" customWidth="1"/>
    <col min="5633" max="5642" width="11" style="11" bestFit="1" customWidth="1"/>
    <col min="5643" max="5643" width="12.7109375" style="11" bestFit="1" customWidth="1"/>
    <col min="5644" max="5877" width="9.140625" style="11"/>
    <col min="5878" max="5878" width="11.85546875" style="11" customWidth="1"/>
    <col min="5879" max="5881" width="10" style="11" bestFit="1" customWidth="1"/>
    <col min="5882" max="5886" width="11.140625" style="11" bestFit="1" customWidth="1"/>
    <col min="5887" max="5888" width="12.7109375" style="11" bestFit="1" customWidth="1"/>
    <col min="5889" max="5898" width="11" style="11" bestFit="1" customWidth="1"/>
    <col min="5899" max="5899" width="12.7109375" style="11" bestFit="1" customWidth="1"/>
    <col min="5900" max="6133" width="9.140625" style="11"/>
    <col min="6134" max="6134" width="11.85546875" style="11" customWidth="1"/>
    <col min="6135" max="6137" width="10" style="11" bestFit="1" customWidth="1"/>
    <col min="6138" max="6142" width="11.140625" style="11" bestFit="1" customWidth="1"/>
    <col min="6143" max="6144" width="12.7109375" style="11" bestFit="1" customWidth="1"/>
    <col min="6145" max="6154" width="11" style="11" bestFit="1" customWidth="1"/>
    <col min="6155" max="6155" width="12.7109375" style="11" bestFit="1" customWidth="1"/>
    <col min="6156" max="6389" width="9.140625" style="11"/>
    <col min="6390" max="6390" width="11.85546875" style="11" customWidth="1"/>
    <col min="6391" max="6393" width="10" style="11" bestFit="1" customWidth="1"/>
    <col min="6394" max="6398" width="11.140625" style="11" bestFit="1" customWidth="1"/>
    <col min="6399" max="6400" width="12.7109375" style="11" bestFit="1" customWidth="1"/>
    <col min="6401" max="6410" width="11" style="11" bestFit="1" customWidth="1"/>
    <col min="6411" max="6411" width="12.7109375" style="11" bestFit="1" customWidth="1"/>
    <col min="6412" max="6645" width="9.140625" style="11"/>
    <col min="6646" max="6646" width="11.85546875" style="11" customWidth="1"/>
    <col min="6647" max="6649" width="10" style="11" bestFit="1" customWidth="1"/>
    <col min="6650" max="6654" width="11.140625" style="11" bestFit="1" customWidth="1"/>
    <col min="6655" max="6656" width="12.7109375" style="11" bestFit="1" customWidth="1"/>
    <col min="6657" max="6666" width="11" style="11" bestFit="1" customWidth="1"/>
    <col min="6667" max="6667" width="12.7109375" style="11" bestFit="1" customWidth="1"/>
    <col min="6668" max="6901" width="9.140625" style="11"/>
    <col min="6902" max="6902" width="11.85546875" style="11" customWidth="1"/>
    <col min="6903" max="6905" width="10" style="11" bestFit="1" customWidth="1"/>
    <col min="6906" max="6910" width="11.140625" style="11" bestFit="1" customWidth="1"/>
    <col min="6911" max="6912" width="12.7109375" style="11" bestFit="1" customWidth="1"/>
    <col min="6913" max="6922" width="11" style="11" bestFit="1" customWidth="1"/>
    <col min="6923" max="6923" width="12.7109375" style="11" bestFit="1" customWidth="1"/>
    <col min="6924" max="7157" width="9.140625" style="11"/>
    <col min="7158" max="7158" width="11.85546875" style="11" customWidth="1"/>
    <col min="7159" max="7161" width="10" style="11" bestFit="1" customWidth="1"/>
    <col min="7162" max="7166" width="11.140625" style="11" bestFit="1" customWidth="1"/>
    <col min="7167" max="7168" width="12.7109375" style="11" bestFit="1" customWidth="1"/>
    <col min="7169" max="7178" width="11" style="11" bestFit="1" customWidth="1"/>
    <col min="7179" max="7179" width="12.7109375" style="11" bestFit="1" customWidth="1"/>
    <col min="7180" max="7413" width="9.140625" style="11"/>
    <col min="7414" max="7414" width="11.85546875" style="11" customWidth="1"/>
    <col min="7415" max="7417" width="10" style="11" bestFit="1" customWidth="1"/>
    <col min="7418" max="7422" width="11.140625" style="11" bestFit="1" customWidth="1"/>
    <col min="7423" max="7424" width="12.7109375" style="11" bestFit="1" customWidth="1"/>
    <col min="7425" max="7434" width="11" style="11" bestFit="1" customWidth="1"/>
    <col min="7435" max="7435" width="12.7109375" style="11" bestFit="1" customWidth="1"/>
    <col min="7436" max="7669" width="9.140625" style="11"/>
    <col min="7670" max="7670" width="11.85546875" style="11" customWidth="1"/>
    <col min="7671" max="7673" width="10" style="11" bestFit="1" customWidth="1"/>
    <col min="7674" max="7678" width="11.140625" style="11" bestFit="1" customWidth="1"/>
    <col min="7679" max="7680" width="12.7109375" style="11" bestFit="1" customWidth="1"/>
    <col min="7681" max="7690" width="11" style="11" bestFit="1" customWidth="1"/>
    <col min="7691" max="7691" width="12.7109375" style="11" bestFit="1" customWidth="1"/>
    <col min="7692" max="7925" width="9.140625" style="11"/>
    <col min="7926" max="7926" width="11.85546875" style="11" customWidth="1"/>
    <col min="7927" max="7929" width="10" style="11" bestFit="1" customWidth="1"/>
    <col min="7930" max="7934" width="11.140625" style="11" bestFit="1" customWidth="1"/>
    <col min="7935" max="7936" width="12.7109375" style="11" bestFit="1" customWidth="1"/>
    <col min="7937" max="7946" width="11" style="11" bestFit="1" customWidth="1"/>
    <col min="7947" max="7947" width="12.7109375" style="11" bestFit="1" customWidth="1"/>
    <col min="7948" max="8181" width="9.140625" style="11"/>
    <col min="8182" max="8182" width="11.85546875" style="11" customWidth="1"/>
    <col min="8183" max="8185" width="10" style="11" bestFit="1" customWidth="1"/>
    <col min="8186" max="8190" width="11.140625" style="11" bestFit="1" customWidth="1"/>
    <col min="8191" max="8192" width="12.7109375" style="11" bestFit="1" customWidth="1"/>
    <col min="8193" max="8202" width="11" style="11" bestFit="1" customWidth="1"/>
    <col min="8203" max="8203" width="12.7109375" style="11" bestFit="1" customWidth="1"/>
    <col min="8204" max="8437" width="9.140625" style="11"/>
    <col min="8438" max="8438" width="11.85546875" style="11" customWidth="1"/>
    <col min="8439" max="8441" width="10" style="11" bestFit="1" customWidth="1"/>
    <col min="8442" max="8446" width="11.140625" style="11" bestFit="1" customWidth="1"/>
    <col min="8447" max="8448" width="12.7109375" style="11" bestFit="1" customWidth="1"/>
    <col min="8449" max="8458" width="11" style="11" bestFit="1" customWidth="1"/>
    <col min="8459" max="8459" width="12.7109375" style="11" bestFit="1" customWidth="1"/>
    <col min="8460" max="8693" width="9.140625" style="11"/>
    <col min="8694" max="8694" width="11.85546875" style="11" customWidth="1"/>
    <col min="8695" max="8697" width="10" style="11" bestFit="1" customWidth="1"/>
    <col min="8698" max="8702" width="11.140625" style="11" bestFit="1" customWidth="1"/>
    <col min="8703" max="8704" width="12.7109375" style="11" bestFit="1" customWidth="1"/>
    <col min="8705" max="8714" width="11" style="11" bestFit="1" customWidth="1"/>
    <col min="8715" max="8715" width="12.7109375" style="11" bestFit="1" customWidth="1"/>
    <col min="8716" max="8949" width="9.140625" style="11"/>
    <col min="8950" max="8950" width="11.85546875" style="11" customWidth="1"/>
    <col min="8951" max="8953" width="10" style="11" bestFit="1" customWidth="1"/>
    <col min="8954" max="8958" width="11.140625" style="11" bestFit="1" customWidth="1"/>
    <col min="8959" max="8960" width="12.7109375" style="11" bestFit="1" customWidth="1"/>
    <col min="8961" max="8970" width="11" style="11" bestFit="1" customWidth="1"/>
    <col min="8971" max="8971" width="12.7109375" style="11" bestFit="1" customWidth="1"/>
    <col min="8972" max="9205" width="9.140625" style="11"/>
    <col min="9206" max="9206" width="11.85546875" style="11" customWidth="1"/>
    <col min="9207" max="9209" width="10" style="11" bestFit="1" customWidth="1"/>
    <col min="9210" max="9214" width="11.140625" style="11" bestFit="1" customWidth="1"/>
    <col min="9215" max="9216" width="12.7109375" style="11" bestFit="1" customWidth="1"/>
    <col min="9217" max="9226" width="11" style="11" bestFit="1" customWidth="1"/>
    <col min="9227" max="9227" width="12.7109375" style="11" bestFit="1" customWidth="1"/>
    <col min="9228" max="9461" width="9.140625" style="11"/>
    <col min="9462" max="9462" width="11.85546875" style="11" customWidth="1"/>
    <col min="9463" max="9465" width="10" style="11" bestFit="1" customWidth="1"/>
    <col min="9466" max="9470" width="11.140625" style="11" bestFit="1" customWidth="1"/>
    <col min="9471" max="9472" width="12.7109375" style="11" bestFit="1" customWidth="1"/>
    <col min="9473" max="9482" width="11" style="11" bestFit="1" customWidth="1"/>
    <col min="9483" max="9483" width="12.7109375" style="11" bestFit="1" customWidth="1"/>
    <col min="9484" max="9717" width="9.140625" style="11"/>
    <col min="9718" max="9718" width="11.85546875" style="11" customWidth="1"/>
    <col min="9719" max="9721" width="10" style="11" bestFit="1" customWidth="1"/>
    <col min="9722" max="9726" width="11.140625" style="11" bestFit="1" customWidth="1"/>
    <col min="9727" max="9728" width="12.7109375" style="11" bestFit="1" customWidth="1"/>
    <col min="9729" max="9738" width="11" style="11" bestFit="1" customWidth="1"/>
    <col min="9739" max="9739" width="12.7109375" style="11" bestFit="1" customWidth="1"/>
    <col min="9740" max="9973" width="9.140625" style="11"/>
    <col min="9974" max="9974" width="11.85546875" style="11" customWidth="1"/>
    <col min="9975" max="9977" width="10" style="11" bestFit="1" customWidth="1"/>
    <col min="9978" max="9982" width="11.140625" style="11" bestFit="1" customWidth="1"/>
    <col min="9983" max="9984" width="12.7109375" style="11" bestFit="1" customWidth="1"/>
    <col min="9985" max="9994" width="11" style="11" bestFit="1" customWidth="1"/>
    <col min="9995" max="9995" width="12.7109375" style="11" bestFit="1" customWidth="1"/>
    <col min="9996" max="10229" width="9.140625" style="11"/>
    <col min="10230" max="10230" width="11.85546875" style="11" customWidth="1"/>
    <col min="10231" max="10233" width="10" style="11" bestFit="1" customWidth="1"/>
    <col min="10234" max="10238" width="11.140625" style="11" bestFit="1" customWidth="1"/>
    <col min="10239" max="10240" width="12.7109375" style="11" bestFit="1" customWidth="1"/>
    <col min="10241" max="10250" width="11" style="11" bestFit="1" customWidth="1"/>
    <col min="10251" max="10251" width="12.7109375" style="11" bestFit="1" customWidth="1"/>
    <col min="10252" max="10485" width="9.140625" style="11"/>
    <col min="10486" max="10486" width="11.85546875" style="11" customWidth="1"/>
    <col min="10487" max="10489" width="10" style="11" bestFit="1" customWidth="1"/>
    <col min="10490" max="10494" width="11.140625" style="11" bestFit="1" customWidth="1"/>
    <col min="10495" max="10496" width="12.7109375" style="11" bestFit="1" customWidth="1"/>
    <col min="10497" max="10506" width="11" style="11" bestFit="1" customWidth="1"/>
    <col min="10507" max="10507" width="12.7109375" style="11" bestFit="1" customWidth="1"/>
    <col min="10508" max="10741" width="9.140625" style="11"/>
    <col min="10742" max="10742" width="11.85546875" style="11" customWidth="1"/>
    <col min="10743" max="10745" width="10" style="11" bestFit="1" customWidth="1"/>
    <col min="10746" max="10750" width="11.140625" style="11" bestFit="1" customWidth="1"/>
    <col min="10751" max="10752" width="12.7109375" style="11" bestFit="1" customWidth="1"/>
    <col min="10753" max="10762" width="11" style="11" bestFit="1" customWidth="1"/>
    <col min="10763" max="10763" width="12.7109375" style="11" bestFit="1" customWidth="1"/>
    <col min="10764" max="10997" width="9.140625" style="11"/>
    <col min="10998" max="10998" width="11.85546875" style="11" customWidth="1"/>
    <col min="10999" max="11001" width="10" style="11" bestFit="1" customWidth="1"/>
    <col min="11002" max="11006" width="11.140625" style="11" bestFit="1" customWidth="1"/>
    <col min="11007" max="11008" width="12.7109375" style="11" bestFit="1" customWidth="1"/>
    <col min="11009" max="11018" width="11" style="11" bestFit="1" customWidth="1"/>
    <col min="11019" max="11019" width="12.7109375" style="11" bestFit="1" customWidth="1"/>
    <col min="11020" max="11253" width="9.140625" style="11"/>
    <col min="11254" max="11254" width="11.85546875" style="11" customWidth="1"/>
    <col min="11255" max="11257" width="10" style="11" bestFit="1" customWidth="1"/>
    <col min="11258" max="11262" width="11.140625" style="11" bestFit="1" customWidth="1"/>
    <col min="11263" max="11264" width="12.7109375" style="11" bestFit="1" customWidth="1"/>
    <col min="11265" max="11274" width="11" style="11" bestFit="1" customWidth="1"/>
    <col min="11275" max="11275" width="12.7109375" style="11" bestFit="1" customWidth="1"/>
    <col min="11276" max="11509" width="9.140625" style="11"/>
    <col min="11510" max="11510" width="11.85546875" style="11" customWidth="1"/>
    <col min="11511" max="11513" width="10" style="11" bestFit="1" customWidth="1"/>
    <col min="11514" max="11518" width="11.140625" style="11" bestFit="1" customWidth="1"/>
    <col min="11519" max="11520" width="12.7109375" style="11" bestFit="1" customWidth="1"/>
    <col min="11521" max="11530" width="11" style="11" bestFit="1" customWidth="1"/>
    <col min="11531" max="11531" width="12.7109375" style="11" bestFit="1" customWidth="1"/>
    <col min="11532" max="11765" width="9.140625" style="11"/>
    <col min="11766" max="11766" width="11.85546875" style="11" customWidth="1"/>
    <col min="11767" max="11769" width="10" style="11" bestFit="1" customWidth="1"/>
    <col min="11770" max="11774" width="11.140625" style="11" bestFit="1" customWidth="1"/>
    <col min="11775" max="11776" width="12.7109375" style="11" bestFit="1" customWidth="1"/>
    <col min="11777" max="11786" width="11" style="11" bestFit="1" customWidth="1"/>
    <col min="11787" max="11787" width="12.7109375" style="11" bestFit="1" customWidth="1"/>
    <col min="11788" max="12021" width="9.140625" style="11"/>
    <col min="12022" max="12022" width="11.85546875" style="11" customWidth="1"/>
    <col min="12023" max="12025" width="10" style="11" bestFit="1" customWidth="1"/>
    <col min="12026" max="12030" width="11.140625" style="11" bestFit="1" customWidth="1"/>
    <col min="12031" max="12032" width="12.7109375" style="11" bestFit="1" customWidth="1"/>
    <col min="12033" max="12042" width="11" style="11" bestFit="1" customWidth="1"/>
    <col min="12043" max="12043" width="12.7109375" style="11" bestFit="1" customWidth="1"/>
    <col min="12044" max="12277" width="9.140625" style="11"/>
    <col min="12278" max="12278" width="11.85546875" style="11" customWidth="1"/>
    <col min="12279" max="12281" width="10" style="11" bestFit="1" customWidth="1"/>
    <col min="12282" max="12286" width="11.140625" style="11" bestFit="1" customWidth="1"/>
    <col min="12287" max="12288" width="12.7109375" style="11" bestFit="1" customWidth="1"/>
    <col min="12289" max="12298" width="11" style="11" bestFit="1" customWidth="1"/>
    <col min="12299" max="12299" width="12.7109375" style="11" bestFit="1" customWidth="1"/>
    <col min="12300" max="12533" width="9.140625" style="11"/>
    <col min="12534" max="12534" width="11.85546875" style="11" customWidth="1"/>
    <col min="12535" max="12537" width="10" style="11" bestFit="1" customWidth="1"/>
    <col min="12538" max="12542" width="11.140625" style="11" bestFit="1" customWidth="1"/>
    <col min="12543" max="12544" width="12.7109375" style="11" bestFit="1" customWidth="1"/>
    <col min="12545" max="12554" width="11" style="11" bestFit="1" customWidth="1"/>
    <col min="12555" max="12555" width="12.7109375" style="11" bestFit="1" customWidth="1"/>
    <col min="12556" max="12789" width="9.140625" style="11"/>
    <col min="12790" max="12790" width="11.85546875" style="11" customWidth="1"/>
    <col min="12791" max="12793" width="10" style="11" bestFit="1" customWidth="1"/>
    <col min="12794" max="12798" width="11.140625" style="11" bestFit="1" customWidth="1"/>
    <col min="12799" max="12800" width="12.7109375" style="11" bestFit="1" customWidth="1"/>
    <col min="12801" max="12810" width="11" style="11" bestFit="1" customWidth="1"/>
    <col min="12811" max="12811" width="12.7109375" style="11" bestFit="1" customWidth="1"/>
    <col min="12812" max="13045" width="9.140625" style="11"/>
    <col min="13046" max="13046" width="11.85546875" style="11" customWidth="1"/>
    <col min="13047" max="13049" width="10" style="11" bestFit="1" customWidth="1"/>
    <col min="13050" max="13054" width="11.140625" style="11" bestFit="1" customWidth="1"/>
    <col min="13055" max="13056" width="12.7109375" style="11" bestFit="1" customWidth="1"/>
    <col min="13057" max="13066" width="11" style="11" bestFit="1" customWidth="1"/>
    <col min="13067" max="13067" width="12.7109375" style="11" bestFit="1" customWidth="1"/>
    <col min="13068" max="13301" width="9.140625" style="11"/>
    <col min="13302" max="13302" width="11.85546875" style="11" customWidth="1"/>
    <col min="13303" max="13305" width="10" style="11" bestFit="1" customWidth="1"/>
    <col min="13306" max="13310" width="11.140625" style="11" bestFit="1" customWidth="1"/>
    <col min="13311" max="13312" width="12.7109375" style="11" bestFit="1" customWidth="1"/>
    <col min="13313" max="13322" width="11" style="11" bestFit="1" customWidth="1"/>
    <col min="13323" max="13323" width="12.7109375" style="11" bestFit="1" customWidth="1"/>
    <col min="13324" max="13557" width="9.140625" style="11"/>
    <col min="13558" max="13558" width="11.85546875" style="11" customWidth="1"/>
    <col min="13559" max="13561" width="10" style="11" bestFit="1" customWidth="1"/>
    <col min="13562" max="13566" width="11.140625" style="11" bestFit="1" customWidth="1"/>
    <col min="13567" max="13568" width="12.7109375" style="11" bestFit="1" customWidth="1"/>
    <col min="13569" max="13578" width="11" style="11" bestFit="1" customWidth="1"/>
    <col min="13579" max="13579" width="12.7109375" style="11" bestFit="1" customWidth="1"/>
    <col min="13580" max="13813" width="9.140625" style="11"/>
    <col min="13814" max="13814" width="11.85546875" style="11" customWidth="1"/>
    <col min="13815" max="13817" width="10" style="11" bestFit="1" customWidth="1"/>
    <col min="13818" max="13822" width="11.140625" style="11" bestFit="1" customWidth="1"/>
    <col min="13823" max="13824" width="12.7109375" style="11" bestFit="1" customWidth="1"/>
    <col min="13825" max="13834" width="11" style="11" bestFit="1" customWidth="1"/>
    <col min="13835" max="13835" width="12.7109375" style="11" bestFit="1" customWidth="1"/>
    <col min="13836" max="14069" width="9.140625" style="11"/>
    <col min="14070" max="14070" width="11.85546875" style="11" customWidth="1"/>
    <col min="14071" max="14073" width="10" style="11" bestFit="1" customWidth="1"/>
    <col min="14074" max="14078" width="11.140625" style="11" bestFit="1" customWidth="1"/>
    <col min="14079" max="14080" width="12.7109375" style="11" bestFit="1" customWidth="1"/>
    <col min="14081" max="14090" width="11" style="11" bestFit="1" customWidth="1"/>
    <col min="14091" max="14091" width="12.7109375" style="11" bestFit="1" customWidth="1"/>
    <col min="14092" max="14325" width="9.140625" style="11"/>
    <col min="14326" max="14326" width="11.85546875" style="11" customWidth="1"/>
    <col min="14327" max="14329" width="10" style="11" bestFit="1" customWidth="1"/>
    <col min="14330" max="14334" width="11.140625" style="11" bestFit="1" customWidth="1"/>
    <col min="14335" max="14336" width="12.7109375" style="11" bestFit="1" customWidth="1"/>
    <col min="14337" max="14346" width="11" style="11" bestFit="1" customWidth="1"/>
    <col min="14347" max="14347" width="12.7109375" style="11" bestFit="1" customWidth="1"/>
    <col min="14348" max="14581" width="9.140625" style="11"/>
    <col min="14582" max="14582" width="11.85546875" style="11" customWidth="1"/>
    <col min="14583" max="14585" width="10" style="11" bestFit="1" customWidth="1"/>
    <col min="14586" max="14590" width="11.140625" style="11" bestFit="1" customWidth="1"/>
    <col min="14591" max="14592" width="12.7109375" style="11" bestFit="1" customWidth="1"/>
    <col min="14593" max="14602" width="11" style="11" bestFit="1" customWidth="1"/>
    <col min="14603" max="14603" width="12.7109375" style="11" bestFit="1" customWidth="1"/>
    <col min="14604" max="14837" width="9.140625" style="11"/>
    <col min="14838" max="14838" width="11.85546875" style="11" customWidth="1"/>
    <col min="14839" max="14841" width="10" style="11" bestFit="1" customWidth="1"/>
    <col min="14842" max="14846" width="11.140625" style="11" bestFit="1" customWidth="1"/>
    <col min="14847" max="14848" width="12.7109375" style="11" bestFit="1" customWidth="1"/>
    <col min="14849" max="14858" width="11" style="11" bestFit="1" customWidth="1"/>
    <col min="14859" max="14859" width="12.7109375" style="11" bestFit="1" customWidth="1"/>
    <col min="14860" max="15093" width="9.140625" style="11"/>
    <col min="15094" max="15094" width="11.85546875" style="11" customWidth="1"/>
    <col min="15095" max="15097" width="10" style="11" bestFit="1" customWidth="1"/>
    <col min="15098" max="15102" width="11.140625" style="11" bestFit="1" customWidth="1"/>
    <col min="15103" max="15104" width="12.7109375" style="11" bestFit="1" customWidth="1"/>
    <col min="15105" max="15114" width="11" style="11" bestFit="1" customWidth="1"/>
    <col min="15115" max="15115" width="12.7109375" style="11" bestFit="1" customWidth="1"/>
    <col min="15116" max="15349" width="9.140625" style="11"/>
    <col min="15350" max="15350" width="11.85546875" style="11" customWidth="1"/>
    <col min="15351" max="15353" width="10" style="11" bestFit="1" customWidth="1"/>
    <col min="15354" max="15358" width="11.140625" style="11" bestFit="1" customWidth="1"/>
    <col min="15359" max="15360" width="12.7109375" style="11" bestFit="1" customWidth="1"/>
    <col min="15361" max="15370" width="11" style="11" bestFit="1" customWidth="1"/>
    <col min="15371" max="15371" width="12.7109375" style="11" bestFit="1" customWidth="1"/>
    <col min="15372" max="15605" width="9.140625" style="11"/>
    <col min="15606" max="15606" width="11.85546875" style="11" customWidth="1"/>
    <col min="15607" max="15609" width="10" style="11" bestFit="1" customWidth="1"/>
    <col min="15610" max="15614" width="11.140625" style="11" bestFit="1" customWidth="1"/>
    <col min="15615" max="15616" width="12.7109375" style="11" bestFit="1" customWidth="1"/>
    <col min="15617" max="15626" width="11" style="11" bestFit="1" customWidth="1"/>
    <col min="15627" max="15627" width="12.7109375" style="11" bestFit="1" customWidth="1"/>
    <col min="15628" max="15861" width="9.140625" style="11"/>
    <col min="15862" max="15862" width="11.85546875" style="11" customWidth="1"/>
    <col min="15863" max="15865" width="10" style="11" bestFit="1" customWidth="1"/>
    <col min="15866" max="15870" width="11.140625" style="11" bestFit="1" customWidth="1"/>
    <col min="15871" max="15872" width="12.7109375" style="11" bestFit="1" customWidth="1"/>
    <col min="15873" max="15882" width="11" style="11" bestFit="1" customWidth="1"/>
    <col min="15883" max="15883" width="12.7109375" style="11" bestFit="1" customWidth="1"/>
    <col min="15884" max="16117" width="9.140625" style="11"/>
    <col min="16118" max="16118" width="11.85546875" style="11" customWidth="1"/>
    <col min="16119" max="16121" width="10" style="11" bestFit="1" customWidth="1"/>
    <col min="16122" max="16126" width="11.140625" style="11" bestFit="1" customWidth="1"/>
    <col min="16127" max="16128" width="12.7109375" style="11" bestFit="1" customWidth="1"/>
    <col min="16129" max="16138" width="11" style="11" bestFit="1" customWidth="1"/>
    <col min="16139" max="16139" width="12.7109375" style="11" bestFit="1" customWidth="1"/>
    <col min="16140" max="16384" width="9.140625" style="11"/>
  </cols>
  <sheetData>
    <row r="1" spans="1:11" s="22" customFormat="1" x14ac:dyDescent="0.25">
      <c r="B1" s="28" t="s">
        <v>95</v>
      </c>
      <c r="C1" s="28" t="s">
        <v>98</v>
      </c>
      <c r="D1" s="28" t="s">
        <v>100</v>
      </c>
      <c r="E1" s="28" t="s">
        <v>102</v>
      </c>
      <c r="F1" s="28" t="s">
        <v>104</v>
      </c>
      <c r="G1" s="28" t="s">
        <v>106</v>
      </c>
      <c r="H1" s="28" t="s">
        <v>108</v>
      </c>
      <c r="I1" s="28" t="s">
        <v>110</v>
      </c>
      <c r="J1" s="28" t="s">
        <v>112</v>
      </c>
      <c r="K1" s="28" t="s">
        <v>114</v>
      </c>
    </row>
    <row r="2" spans="1:11" x14ac:dyDescent="0.25">
      <c r="A2" s="54" t="s">
        <v>642</v>
      </c>
      <c r="B2" s="46">
        <f>B3/2</f>
        <v>5</v>
      </c>
      <c r="C2" s="46">
        <f t="shared" ref="C2:K2" si="0">C3/2</f>
        <v>10</v>
      </c>
      <c r="D2" s="46">
        <f t="shared" si="0"/>
        <v>18.75</v>
      </c>
      <c r="E2" s="46">
        <f t="shared" si="0"/>
        <v>25</v>
      </c>
      <c r="F2" s="46">
        <f t="shared" si="0"/>
        <v>180</v>
      </c>
      <c r="G2" s="46">
        <f t="shared" si="0"/>
        <v>315</v>
      </c>
      <c r="H2" s="46">
        <f t="shared" si="0"/>
        <v>657.5</v>
      </c>
      <c r="I2" s="46">
        <f t="shared" si="0"/>
        <v>405</v>
      </c>
      <c r="J2" s="46">
        <f>J3/2</f>
        <v>1393.75</v>
      </c>
      <c r="K2" s="46">
        <f t="shared" si="0"/>
        <v>2246.25</v>
      </c>
    </row>
    <row r="3" spans="1:11" x14ac:dyDescent="0.25">
      <c r="A3" s="497" t="s">
        <v>162</v>
      </c>
      <c r="B3" s="55">
        <v>10</v>
      </c>
      <c r="C3" s="55">
        <v>20</v>
      </c>
      <c r="D3" s="55">
        <v>37.5</v>
      </c>
      <c r="E3" s="55">
        <v>50</v>
      </c>
      <c r="F3" s="55">
        <v>360</v>
      </c>
      <c r="G3" s="55">
        <v>630</v>
      </c>
      <c r="H3" s="55">
        <v>1315</v>
      </c>
      <c r="I3" s="55">
        <v>810</v>
      </c>
      <c r="J3" s="55">
        <v>2787.5</v>
      </c>
      <c r="K3" s="55">
        <v>4492.5</v>
      </c>
    </row>
    <row r="4" spans="1:11" x14ac:dyDescent="0.25">
      <c r="A4" s="497" t="s">
        <v>117</v>
      </c>
      <c r="B4" s="55">
        <v>45</v>
      </c>
      <c r="C4" s="55">
        <v>57.5</v>
      </c>
      <c r="D4" s="55">
        <v>72.5</v>
      </c>
      <c r="E4" s="55">
        <v>245</v>
      </c>
      <c r="F4" s="55">
        <v>845</v>
      </c>
      <c r="G4" s="55">
        <v>2197.5</v>
      </c>
      <c r="H4" s="55">
        <v>4210</v>
      </c>
      <c r="I4" s="55">
        <v>8600</v>
      </c>
      <c r="J4" s="55">
        <v>12215</v>
      </c>
      <c r="K4" s="55">
        <v>12215</v>
      </c>
    </row>
    <row r="5" spans="1:11" x14ac:dyDescent="0.25">
      <c r="A5" s="497" t="s">
        <v>118</v>
      </c>
      <c r="B5" s="55">
        <v>900</v>
      </c>
      <c r="C5" s="55">
        <v>1050</v>
      </c>
      <c r="D5" s="55">
        <v>1650</v>
      </c>
      <c r="E5" s="55">
        <v>2350</v>
      </c>
      <c r="F5" s="55">
        <v>4900</v>
      </c>
      <c r="G5" s="55">
        <v>11475</v>
      </c>
      <c r="H5" s="55">
        <v>23350</v>
      </c>
      <c r="I5" s="55">
        <v>35425</v>
      </c>
      <c r="J5" s="55">
        <v>41600</v>
      </c>
      <c r="K5" s="55">
        <v>41600</v>
      </c>
    </row>
    <row r="6" spans="1:11" x14ac:dyDescent="0.25">
      <c r="A6" s="496" t="s">
        <v>119</v>
      </c>
      <c r="B6" s="55">
        <v>4550</v>
      </c>
      <c r="C6" s="55">
        <v>4750</v>
      </c>
      <c r="D6" s="55">
        <v>9050</v>
      </c>
      <c r="E6" s="55">
        <v>13350</v>
      </c>
      <c r="F6" s="55">
        <v>25400</v>
      </c>
      <c r="G6" s="55">
        <v>42500</v>
      </c>
      <c r="H6" s="55">
        <v>122750</v>
      </c>
      <c r="I6" s="55">
        <v>175000</v>
      </c>
      <c r="J6" s="55">
        <v>192275</v>
      </c>
      <c r="K6" s="55">
        <v>192275</v>
      </c>
    </row>
    <row r="7" spans="1:11" x14ac:dyDescent="0.25">
      <c r="A7" s="496" t="s">
        <v>120</v>
      </c>
      <c r="B7" s="55">
        <v>12500</v>
      </c>
      <c r="C7" s="55">
        <v>18250</v>
      </c>
      <c r="D7" s="55">
        <v>26250</v>
      </c>
      <c r="E7" s="55">
        <v>42500</v>
      </c>
      <c r="F7" s="55">
        <v>55000</v>
      </c>
      <c r="G7" s="55">
        <v>218250</v>
      </c>
      <c r="H7" s="55">
        <v>460000</v>
      </c>
      <c r="I7" s="55">
        <v>720000</v>
      </c>
      <c r="J7" s="55">
        <v>995000</v>
      </c>
      <c r="K7" s="55">
        <v>995000</v>
      </c>
    </row>
    <row r="8" spans="1:11" x14ac:dyDescent="0.25">
      <c r="A8" s="496" t="s">
        <v>121</v>
      </c>
      <c r="B8" s="55">
        <v>37500</v>
      </c>
      <c r="C8" s="55">
        <v>43000</v>
      </c>
      <c r="D8" s="55">
        <v>62500</v>
      </c>
      <c r="E8" s="55">
        <v>99000</v>
      </c>
      <c r="F8" s="55">
        <v>165000</v>
      </c>
      <c r="G8" s="55">
        <v>370000</v>
      </c>
      <c r="H8" s="55">
        <v>883500</v>
      </c>
      <c r="I8" s="55">
        <v>1622250</v>
      </c>
      <c r="J8" s="55">
        <v>2305750</v>
      </c>
      <c r="K8" s="55">
        <v>2305750</v>
      </c>
    </row>
    <row r="9" spans="1:11" x14ac:dyDescent="0.25">
      <c r="A9" s="494" t="s">
        <v>122</v>
      </c>
      <c r="B9" s="55">
        <v>412500</v>
      </c>
      <c r="C9" s="55">
        <v>522500</v>
      </c>
      <c r="D9" s="55">
        <v>727500</v>
      </c>
      <c r="E9" s="55">
        <v>1222500</v>
      </c>
      <c r="F9" s="55">
        <v>2100000</v>
      </c>
      <c r="G9" s="55">
        <v>3780000</v>
      </c>
      <c r="H9" s="55">
        <v>5375000</v>
      </c>
      <c r="I9" s="55">
        <v>7437500</v>
      </c>
      <c r="J9" s="55">
        <v>9562500</v>
      </c>
      <c r="K9" s="55">
        <v>9562500</v>
      </c>
    </row>
    <row r="10" spans="1:11" x14ac:dyDescent="0.25">
      <c r="A10" s="494" t="s">
        <v>123</v>
      </c>
      <c r="B10" s="55">
        <v>618750</v>
      </c>
      <c r="C10" s="55">
        <v>783750</v>
      </c>
      <c r="D10" s="55">
        <v>1091250</v>
      </c>
      <c r="E10" s="55">
        <v>1833750</v>
      </c>
      <c r="F10" s="55">
        <v>3150000</v>
      </c>
      <c r="G10" s="55">
        <v>5670000</v>
      </c>
      <c r="H10" s="55">
        <v>8062500</v>
      </c>
      <c r="I10" s="55">
        <v>11156250</v>
      </c>
      <c r="J10" s="55">
        <v>14343750</v>
      </c>
      <c r="K10" s="55">
        <v>14343750</v>
      </c>
    </row>
    <row r="11" spans="1:11" s="57" customFormat="1" x14ac:dyDescent="0.25">
      <c r="A11" s="494" t="s">
        <v>124</v>
      </c>
      <c r="B11" s="495">
        <v>928125</v>
      </c>
      <c r="C11" s="495">
        <v>1175625</v>
      </c>
      <c r="D11" s="495">
        <v>1636875</v>
      </c>
      <c r="E11" s="495">
        <v>2750625</v>
      </c>
      <c r="F11" s="495">
        <v>4725000</v>
      </c>
      <c r="G11" s="495">
        <v>8505000</v>
      </c>
      <c r="H11" s="495">
        <v>12093750</v>
      </c>
      <c r="I11" s="495">
        <v>16734375</v>
      </c>
      <c r="J11" s="495">
        <v>21515625</v>
      </c>
      <c r="K11" s="495">
        <v>21515625</v>
      </c>
    </row>
    <row r="12" spans="1:11" s="57" customFormat="1" x14ac:dyDescent="0.25">
      <c r="A12" s="59" t="s">
        <v>191</v>
      </c>
      <c r="B12" s="58">
        <v>28000000</v>
      </c>
      <c r="C12" s="58">
        <v>35000000</v>
      </c>
      <c r="D12" s="58">
        <v>51000000</v>
      </c>
      <c r="E12" s="58">
        <v>98000000</v>
      </c>
      <c r="F12" s="58">
        <v>155000000</v>
      </c>
      <c r="G12" s="58">
        <v>314000000</v>
      </c>
      <c r="H12" s="58">
        <v>534000000</v>
      </c>
      <c r="I12" s="58">
        <v>775000000</v>
      </c>
      <c r="J12" s="58">
        <v>1000000000</v>
      </c>
      <c r="K12" s="58">
        <v>1500000000</v>
      </c>
    </row>
    <row r="13" spans="1:11" s="57" customFormat="1" x14ac:dyDescent="0.25">
      <c r="A13" s="59" t="s">
        <v>196</v>
      </c>
      <c r="B13" s="58">
        <v>28000000</v>
      </c>
      <c r="C13" s="58">
        <v>35000000</v>
      </c>
      <c r="D13" s="58">
        <v>51000000</v>
      </c>
      <c r="E13" s="58">
        <v>98000000</v>
      </c>
      <c r="F13" s="58">
        <v>155000000</v>
      </c>
      <c r="G13" s="58">
        <v>314000000</v>
      </c>
      <c r="H13" s="58">
        <v>534000000</v>
      </c>
      <c r="I13" s="58">
        <v>775000000</v>
      </c>
      <c r="J13" s="58">
        <v>1000000000</v>
      </c>
      <c r="K13" s="58">
        <v>1500000000</v>
      </c>
    </row>
    <row r="14" spans="1:11" s="57" customFormat="1" x14ac:dyDescent="0.25">
      <c r="A14" s="59" t="s">
        <v>201</v>
      </c>
      <c r="B14" s="58">
        <v>28000000</v>
      </c>
      <c r="C14" s="58">
        <v>35000000</v>
      </c>
      <c r="D14" s="58">
        <v>51000000</v>
      </c>
      <c r="E14" s="58">
        <v>98000000</v>
      </c>
      <c r="F14" s="58">
        <v>155000000</v>
      </c>
      <c r="G14" s="58">
        <v>314000000</v>
      </c>
      <c r="H14" s="58">
        <v>534000000</v>
      </c>
      <c r="I14" s="58">
        <v>775000000</v>
      </c>
      <c r="J14" s="58">
        <v>1000000000</v>
      </c>
      <c r="K14" s="58">
        <v>1500000000</v>
      </c>
    </row>
    <row r="15" spans="1:11" s="57" customFormat="1" x14ac:dyDescent="0.25">
      <c r="A15" s="59" t="s">
        <v>206</v>
      </c>
      <c r="B15" s="58">
        <v>28000000</v>
      </c>
      <c r="C15" s="58">
        <v>35000000</v>
      </c>
      <c r="D15" s="58">
        <v>51000000</v>
      </c>
      <c r="E15" s="58">
        <v>98000000</v>
      </c>
      <c r="F15" s="58">
        <v>155000000</v>
      </c>
      <c r="G15" s="58">
        <v>314000000</v>
      </c>
      <c r="H15" s="58">
        <v>534000000</v>
      </c>
      <c r="I15" s="58">
        <v>775000000</v>
      </c>
      <c r="J15" s="58">
        <v>1000000000</v>
      </c>
      <c r="K15" s="58">
        <v>1500000000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1" max="1" width="18" bestFit="1" customWidth="1"/>
    <col min="2" max="2" width="10.140625" bestFit="1" customWidth="1"/>
    <col min="3" max="3" width="16.85546875" bestFit="1" customWidth="1"/>
    <col min="4" max="4" width="21.140625" bestFit="1" customWidth="1"/>
    <col min="5" max="5" width="14.28515625" bestFit="1" customWidth="1"/>
    <col min="6" max="6" width="16.85546875" bestFit="1" customWidth="1"/>
  </cols>
  <sheetData>
    <row r="1" spans="1:6" x14ac:dyDescent="0.25">
      <c r="A1" s="241" t="s">
        <v>1240</v>
      </c>
      <c r="B1" s="241" t="s">
        <v>92</v>
      </c>
      <c r="C1" s="241" t="s">
        <v>96</v>
      </c>
      <c r="D1" s="38" t="s">
        <v>1241</v>
      </c>
    </row>
    <row r="2" spans="1:6" ht="19.5" x14ac:dyDescent="0.3">
      <c r="A2" s="242">
        <f>Pot_UP_Gold!H84</f>
        <v>30693310711.288715</v>
      </c>
      <c r="B2" s="243">
        <f>Floor!C12</f>
        <v>17341650</v>
      </c>
      <c r="C2" s="242">
        <f>Machine!I12</f>
        <v>4576836770</v>
      </c>
      <c r="D2" s="244">
        <f>SUM(A2:C2)</f>
        <v>35287489131.288712</v>
      </c>
      <c r="E2" s="16"/>
      <c r="F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O203"/>
  <sheetViews>
    <sheetView topLeftCell="D100" workbookViewId="0">
      <selection activeCell="I212" sqref="I212"/>
    </sheetView>
  </sheetViews>
  <sheetFormatPr defaultRowHeight="15" x14ac:dyDescent="0.25"/>
  <cols>
    <col min="1" max="1" width="11.85546875" style="11" customWidth="1"/>
    <col min="2" max="2" width="26.42578125" style="11" bestFit="1" customWidth="1"/>
    <col min="3" max="3" width="28.140625" style="11" bestFit="1" customWidth="1"/>
    <col min="4" max="4" width="27.7109375" style="11" bestFit="1" customWidth="1"/>
    <col min="5" max="5" width="28.140625" style="11" bestFit="1" customWidth="1"/>
    <col min="6" max="6" width="30.140625" style="11" customWidth="1"/>
    <col min="7" max="9" width="16.140625" style="11" customWidth="1"/>
    <col min="10" max="13" width="11.5703125" style="11" bestFit="1" customWidth="1"/>
    <col min="14" max="258" width="9.140625" style="11"/>
    <col min="259" max="259" width="11.85546875" style="11" customWidth="1"/>
    <col min="260" max="260" width="26.42578125" style="11" bestFit="1" customWidth="1"/>
    <col min="261" max="261" width="28.140625" style="11" bestFit="1" customWidth="1"/>
    <col min="262" max="262" width="27.7109375" style="11" bestFit="1" customWidth="1"/>
    <col min="263" max="263" width="23.5703125" style="11" bestFit="1" customWidth="1"/>
    <col min="264" max="264" width="28.140625" style="11" bestFit="1" customWidth="1"/>
    <col min="265" max="514" width="9.140625" style="11"/>
    <col min="515" max="515" width="11.85546875" style="11" customWidth="1"/>
    <col min="516" max="516" width="26.42578125" style="11" bestFit="1" customWidth="1"/>
    <col min="517" max="517" width="28.140625" style="11" bestFit="1" customWidth="1"/>
    <col min="518" max="518" width="27.7109375" style="11" bestFit="1" customWidth="1"/>
    <col min="519" max="519" width="23.5703125" style="11" bestFit="1" customWidth="1"/>
    <col min="520" max="520" width="28.140625" style="11" bestFit="1" customWidth="1"/>
    <col min="521" max="770" width="9.140625" style="11"/>
    <col min="771" max="771" width="11.85546875" style="11" customWidth="1"/>
    <col min="772" max="772" width="26.42578125" style="11" bestFit="1" customWidth="1"/>
    <col min="773" max="773" width="28.140625" style="11" bestFit="1" customWidth="1"/>
    <col min="774" max="774" width="27.7109375" style="11" bestFit="1" customWidth="1"/>
    <col min="775" max="775" width="23.5703125" style="11" bestFit="1" customWidth="1"/>
    <col min="776" max="776" width="28.140625" style="11" bestFit="1" customWidth="1"/>
    <col min="777" max="1026" width="9.140625" style="11"/>
    <col min="1027" max="1027" width="11.85546875" style="11" customWidth="1"/>
    <col min="1028" max="1028" width="26.42578125" style="11" bestFit="1" customWidth="1"/>
    <col min="1029" max="1029" width="28.140625" style="11" bestFit="1" customWidth="1"/>
    <col min="1030" max="1030" width="27.7109375" style="11" bestFit="1" customWidth="1"/>
    <col min="1031" max="1031" width="23.5703125" style="11" bestFit="1" customWidth="1"/>
    <col min="1032" max="1032" width="28.140625" style="11" bestFit="1" customWidth="1"/>
    <col min="1033" max="1282" width="9.140625" style="11"/>
    <col min="1283" max="1283" width="11.85546875" style="11" customWidth="1"/>
    <col min="1284" max="1284" width="26.42578125" style="11" bestFit="1" customWidth="1"/>
    <col min="1285" max="1285" width="28.140625" style="11" bestFit="1" customWidth="1"/>
    <col min="1286" max="1286" width="27.7109375" style="11" bestFit="1" customWidth="1"/>
    <col min="1287" max="1287" width="23.5703125" style="11" bestFit="1" customWidth="1"/>
    <col min="1288" max="1288" width="28.140625" style="11" bestFit="1" customWidth="1"/>
    <col min="1289" max="1538" width="9.140625" style="11"/>
    <col min="1539" max="1539" width="11.85546875" style="11" customWidth="1"/>
    <col min="1540" max="1540" width="26.42578125" style="11" bestFit="1" customWidth="1"/>
    <col min="1541" max="1541" width="28.140625" style="11" bestFit="1" customWidth="1"/>
    <col min="1542" max="1542" width="27.7109375" style="11" bestFit="1" customWidth="1"/>
    <col min="1543" max="1543" width="23.5703125" style="11" bestFit="1" customWidth="1"/>
    <col min="1544" max="1544" width="28.140625" style="11" bestFit="1" customWidth="1"/>
    <col min="1545" max="1794" width="9.140625" style="11"/>
    <col min="1795" max="1795" width="11.85546875" style="11" customWidth="1"/>
    <col min="1796" max="1796" width="26.42578125" style="11" bestFit="1" customWidth="1"/>
    <col min="1797" max="1797" width="28.140625" style="11" bestFit="1" customWidth="1"/>
    <col min="1798" max="1798" width="27.7109375" style="11" bestFit="1" customWidth="1"/>
    <col min="1799" max="1799" width="23.5703125" style="11" bestFit="1" customWidth="1"/>
    <col min="1800" max="1800" width="28.140625" style="11" bestFit="1" customWidth="1"/>
    <col min="1801" max="2050" width="9.140625" style="11"/>
    <col min="2051" max="2051" width="11.85546875" style="11" customWidth="1"/>
    <col min="2052" max="2052" width="26.42578125" style="11" bestFit="1" customWidth="1"/>
    <col min="2053" max="2053" width="28.140625" style="11" bestFit="1" customWidth="1"/>
    <col min="2054" max="2054" width="27.7109375" style="11" bestFit="1" customWidth="1"/>
    <col min="2055" max="2055" width="23.5703125" style="11" bestFit="1" customWidth="1"/>
    <col min="2056" max="2056" width="28.140625" style="11" bestFit="1" customWidth="1"/>
    <col min="2057" max="2306" width="9.140625" style="11"/>
    <col min="2307" max="2307" width="11.85546875" style="11" customWidth="1"/>
    <col min="2308" max="2308" width="26.42578125" style="11" bestFit="1" customWidth="1"/>
    <col min="2309" max="2309" width="28.140625" style="11" bestFit="1" customWidth="1"/>
    <col min="2310" max="2310" width="27.7109375" style="11" bestFit="1" customWidth="1"/>
    <col min="2311" max="2311" width="23.5703125" style="11" bestFit="1" customWidth="1"/>
    <col min="2312" max="2312" width="28.140625" style="11" bestFit="1" customWidth="1"/>
    <col min="2313" max="2562" width="9.140625" style="11"/>
    <col min="2563" max="2563" width="11.85546875" style="11" customWidth="1"/>
    <col min="2564" max="2564" width="26.42578125" style="11" bestFit="1" customWidth="1"/>
    <col min="2565" max="2565" width="28.140625" style="11" bestFit="1" customWidth="1"/>
    <col min="2566" max="2566" width="27.7109375" style="11" bestFit="1" customWidth="1"/>
    <col min="2567" max="2567" width="23.5703125" style="11" bestFit="1" customWidth="1"/>
    <col min="2568" max="2568" width="28.140625" style="11" bestFit="1" customWidth="1"/>
    <col min="2569" max="2818" width="9.140625" style="11"/>
    <col min="2819" max="2819" width="11.85546875" style="11" customWidth="1"/>
    <col min="2820" max="2820" width="26.42578125" style="11" bestFit="1" customWidth="1"/>
    <col min="2821" max="2821" width="28.140625" style="11" bestFit="1" customWidth="1"/>
    <col min="2822" max="2822" width="27.7109375" style="11" bestFit="1" customWidth="1"/>
    <col min="2823" max="2823" width="23.5703125" style="11" bestFit="1" customWidth="1"/>
    <col min="2824" max="2824" width="28.140625" style="11" bestFit="1" customWidth="1"/>
    <col min="2825" max="3074" width="9.140625" style="11"/>
    <col min="3075" max="3075" width="11.85546875" style="11" customWidth="1"/>
    <col min="3076" max="3076" width="26.42578125" style="11" bestFit="1" customWidth="1"/>
    <col min="3077" max="3077" width="28.140625" style="11" bestFit="1" customWidth="1"/>
    <col min="3078" max="3078" width="27.7109375" style="11" bestFit="1" customWidth="1"/>
    <col min="3079" max="3079" width="23.5703125" style="11" bestFit="1" customWidth="1"/>
    <col min="3080" max="3080" width="28.140625" style="11" bestFit="1" customWidth="1"/>
    <col min="3081" max="3330" width="9.140625" style="11"/>
    <col min="3331" max="3331" width="11.85546875" style="11" customWidth="1"/>
    <col min="3332" max="3332" width="26.42578125" style="11" bestFit="1" customWidth="1"/>
    <col min="3333" max="3333" width="28.140625" style="11" bestFit="1" customWidth="1"/>
    <col min="3334" max="3334" width="27.7109375" style="11" bestFit="1" customWidth="1"/>
    <col min="3335" max="3335" width="23.5703125" style="11" bestFit="1" customWidth="1"/>
    <col min="3336" max="3336" width="28.140625" style="11" bestFit="1" customWidth="1"/>
    <col min="3337" max="3586" width="9.140625" style="11"/>
    <col min="3587" max="3587" width="11.85546875" style="11" customWidth="1"/>
    <col min="3588" max="3588" width="26.42578125" style="11" bestFit="1" customWidth="1"/>
    <col min="3589" max="3589" width="28.140625" style="11" bestFit="1" customWidth="1"/>
    <col min="3590" max="3590" width="27.7109375" style="11" bestFit="1" customWidth="1"/>
    <col min="3591" max="3591" width="23.5703125" style="11" bestFit="1" customWidth="1"/>
    <col min="3592" max="3592" width="28.140625" style="11" bestFit="1" customWidth="1"/>
    <col min="3593" max="3842" width="9.140625" style="11"/>
    <col min="3843" max="3843" width="11.85546875" style="11" customWidth="1"/>
    <col min="3844" max="3844" width="26.42578125" style="11" bestFit="1" customWidth="1"/>
    <col min="3845" max="3845" width="28.140625" style="11" bestFit="1" customWidth="1"/>
    <col min="3846" max="3846" width="27.7109375" style="11" bestFit="1" customWidth="1"/>
    <col min="3847" max="3847" width="23.5703125" style="11" bestFit="1" customWidth="1"/>
    <col min="3848" max="3848" width="28.140625" style="11" bestFit="1" customWidth="1"/>
    <col min="3849" max="4098" width="9.140625" style="11"/>
    <col min="4099" max="4099" width="11.85546875" style="11" customWidth="1"/>
    <col min="4100" max="4100" width="26.42578125" style="11" bestFit="1" customWidth="1"/>
    <col min="4101" max="4101" width="28.140625" style="11" bestFit="1" customWidth="1"/>
    <col min="4102" max="4102" width="27.7109375" style="11" bestFit="1" customWidth="1"/>
    <col min="4103" max="4103" width="23.5703125" style="11" bestFit="1" customWidth="1"/>
    <col min="4104" max="4104" width="28.140625" style="11" bestFit="1" customWidth="1"/>
    <col min="4105" max="4354" width="9.140625" style="11"/>
    <col min="4355" max="4355" width="11.85546875" style="11" customWidth="1"/>
    <col min="4356" max="4356" width="26.42578125" style="11" bestFit="1" customWidth="1"/>
    <col min="4357" max="4357" width="28.140625" style="11" bestFit="1" customWidth="1"/>
    <col min="4358" max="4358" width="27.7109375" style="11" bestFit="1" customWidth="1"/>
    <col min="4359" max="4359" width="23.5703125" style="11" bestFit="1" customWidth="1"/>
    <col min="4360" max="4360" width="28.140625" style="11" bestFit="1" customWidth="1"/>
    <col min="4361" max="4610" width="9.140625" style="11"/>
    <col min="4611" max="4611" width="11.85546875" style="11" customWidth="1"/>
    <col min="4612" max="4612" width="26.42578125" style="11" bestFit="1" customWidth="1"/>
    <col min="4613" max="4613" width="28.140625" style="11" bestFit="1" customWidth="1"/>
    <col min="4614" max="4614" width="27.7109375" style="11" bestFit="1" customWidth="1"/>
    <col min="4615" max="4615" width="23.5703125" style="11" bestFit="1" customWidth="1"/>
    <col min="4616" max="4616" width="28.140625" style="11" bestFit="1" customWidth="1"/>
    <col min="4617" max="4866" width="9.140625" style="11"/>
    <col min="4867" max="4867" width="11.85546875" style="11" customWidth="1"/>
    <col min="4868" max="4868" width="26.42578125" style="11" bestFit="1" customWidth="1"/>
    <col min="4869" max="4869" width="28.140625" style="11" bestFit="1" customWidth="1"/>
    <col min="4870" max="4870" width="27.7109375" style="11" bestFit="1" customWidth="1"/>
    <col min="4871" max="4871" width="23.5703125" style="11" bestFit="1" customWidth="1"/>
    <col min="4872" max="4872" width="28.140625" style="11" bestFit="1" customWidth="1"/>
    <col min="4873" max="5122" width="9.140625" style="11"/>
    <col min="5123" max="5123" width="11.85546875" style="11" customWidth="1"/>
    <col min="5124" max="5124" width="26.42578125" style="11" bestFit="1" customWidth="1"/>
    <col min="5125" max="5125" width="28.140625" style="11" bestFit="1" customWidth="1"/>
    <col min="5126" max="5126" width="27.7109375" style="11" bestFit="1" customWidth="1"/>
    <col min="5127" max="5127" width="23.5703125" style="11" bestFit="1" customWidth="1"/>
    <col min="5128" max="5128" width="28.140625" style="11" bestFit="1" customWidth="1"/>
    <col min="5129" max="5378" width="9.140625" style="11"/>
    <col min="5379" max="5379" width="11.85546875" style="11" customWidth="1"/>
    <col min="5380" max="5380" width="26.42578125" style="11" bestFit="1" customWidth="1"/>
    <col min="5381" max="5381" width="28.140625" style="11" bestFit="1" customWidth="1"/>
    <col min="5382" max="5382" width="27.7109375" style="11" bestFit="1" customWidth="1"/>
    <col min="5383" max="5383" width="23.5703125" style="11" bestFit="1" customWidth="1"/>
    <col min="5384" max="5384" width="28.140625" style="11" bestFit="1" customWidth="1"/>
    <col min="5385" max="5634" width="9.140625" style="11"/>
    <col min="5635" max="5635" width="11.85546875" style="11" customWidth="1"/>
    <col min="5636" max="5636" width="26.42578125" style="11" bestFit="1" customWidth="1"/>
    <col min="5637" max="5637" width="28.140625" style="11" bestFit="1" customWidth="1"/>
    <col min="5638" max="5638" width="27.7109375" style="11" bestFit="1" customWidth="1"/>
    <col min="5639" max="5639" width="23.5703125" style="11" bestFit="1" customWidth="1"/>
    <col min="5640" max="5640" width="28.140625" style="11" bestFit="1" customWidth="1"/>
    <col min="5641" max="5890" width="9.140625" style="11"/>
    <col min="5891" max="5891" width="11.85546875" style="11" customWidth="1"/>
    <col min="5892" max="5892" width="26.42578125" style="11" bestFit="1" customWidth="1"/>
    <col min="5893" max="5893" width="28.140625" style="11" bestFit="1" customWidth="1"/>
    <col min="5894" max="5894" width="27.7109375" style="11" bestFit="1" customWidth="1"/>
    <col min="5895" max="5895" width="23.5703125" style="11" bestFit="1" customWidth="1"/>
    <col min="5896" max="5896" width="28.140625" style="11" bestFit="1" customWidth="1"/>
    <col min="5897" max="6146" width="9.140625" style="11"/>
    <col min="6147" max="6147" width="11.85546875" style="11" customWidth="1"/>
    <col min="6148" max="6148" width="26.42578125" style="11" bestFit="1" customWidth="1"/>
    <col min="6149" max="6149" width="28.140625" style="11" bestFit="1" customWidth="1"/>
    <col min="6150" max="6150" width="27.7109375" style="11" bestFit="1" customWidth="1"/>
    <col min="6151" max="6151" width="23.5703125" style="11" bestFit="1" customWidth="1"/>
    <col min="6152" max="6152" width="28.140625" style="11" bestFit="1" customWidth="1"/>
    <col min="6153" max="6402" width="9.140625" style="11"/>
    <col min="6403" max="6403" width="11.85546875" style="11" customWidth="1"/>
    <col min="6404" max="6404" width="26.42578125" style="11" bestFit="1" customWidth="1"/>
    <col min="6405" max="6405" width="28.140625" style="11" bestFit="1" customWidth="1"/>
    <col min="6406" max="6406" width="27.7109375" style="11" bestFit="1" customWidth="1"/>
    <col min="6407" max="6407" width="23.5703125" style="11" bestFit="1" customWidth="1"/>
    <col min="6408" max="6408" width="28.140625" style="11" bestFit="1" customWidth="1"/>
    <col min="6409" max="6658" width="9.140625" style="11"/>
    <col min="6659" max="6659" width="11.85546875" style="11" customWidth="1"/>
    <col min="6660" max="6660" width="26.42578125" style="11" bestFit="1" customWidth="1"/>
    <col min="6661" max="6661" width="28.140625" style="11" bestFit="1" customWidth="1"/>
    <col min="6662" max="6662" width="27.7109375" style="11" bestFit="1" customWidth="1"/>
    <col min="6663" max="6663" width="23.5703125" style="11" bestFit="1" customWidth="1"/>
    <col min="6664" max="6664" width="28.140625" style="11" bestFit="1" customWidth="1"/>
    <col min="6665" max="6914" width="9.140625" style="11"/>
    <col min="6915" max="6915" width="11.85546875" style="11" customWidth="1"/>
    <col min="6916" max="6916" width="26.42578125" style="11" bestFit="1" customWidth="1"/>
    <col min="6917" max="6917" width="28.140625" style="11" bestFit="1" customWidth="1"/>
    <col min="6918" max="6918" width="27.7109375" style="11" bestFit="1" customWidth="1"/>
    <col min="6919" max="6919" width="23.5703125" style="11" bestFit="1" customWidth="1"/>
    <col min="6920" max="6920" width="28.140625" style="11" bestFit="1" customWidth="1"/>
    <col min="6921" max="7170" width="9.140625" style="11"/>
    <col min="7171" max="7171" width="11.85546875" style="11" customWidth="1"/>
    <col min="7172" max="7172" width="26.42578125" style="11" bestFit="1" customWidth="1"/>
    <col min="7173" max="7173" width="28.140625" style="11" bestFit="1" customWidth="1"/>
    <col min="7174" max="7174" width="27.7109375" style="11" bestFit="1" customWidth="1"/>
    <col min="7175" max="7175" width="23.5703125" style="11" bestFit="1" customWidth="1"/>
    <col min="7176" max="7176" width="28.140625" style="11" bestFit="1" customWidth="1"/>
    <col min="7177" max="7426" width="9.140625" style="11"/>
    <col min="7427" max="7427" width="11.85546875" style="11" customWidth="1"/>
    <col min="7428" max="7428" width="26.42578125" style="11" bestFit="1" customWidth="1"/>
    <col min="7429" max="7429" width="28.140625" style="11" bestFit="1" customWidth="1"/>
    <col min="7430" max="7430" width="27.7109375" style="11" bestFit="1" customWidth="1"/>
    <col min="7431" max="7431" width="23.5703125" style="11" bestFit="1" customWidth="1"/>
    <col min="7432" max="7432" width="28.140625" style="11" bestFit="1" customWidth="1"/>
    <col min="7433" max="7682" width="9.140625" style="11"/>
    <col min="7683" max="7683" width="11.85546875" style="11" customWidth="1"/>
    <col min="7684" max="7684" width="26.42578125" style="11" bestFit="1" customWidth="1"/>
    <col min="7685" max="7685" width="28.140625" style="11" bestFit="1" customWidth="1"/>
    <col min="7686" max="7686" width="27.7109375" style="11" bestFit="1" customWidth="1"/>
    <col min="7687" max="7687" width="23.5703125" style="11" bestFit="1" customWidth="1"/>
    <col min="7688" max="7688" width="28.140625" style="11" bestFit="1" customWidth="1"/>
    <col min="7689" max="7938" width="9.140625" style="11"/>
    <col min="7939" max="7939" width="11.85546875" style="11" customWidth="1"/>
    <col min="7940" max="7940" width="26.42578125" style="11" bestFit="1" customWidth="1"/>
    <col min="7941" max="7941" width="28.140625" style="11" bestFit="1" customWidth="1"/>
    <col min="7942" max="7942" width="27.7109375" style="11" bestFit="1" customWidth="1"/>
    <col min="7943" max="7943" width="23.5703125" style="11" bestFit="1" customWidth="1"/>
    <col min="7944" max="7944" width="28.140625" style="11" bestFit="1" customWidth="1"/>
    <col min="7945" max="8194" width="9.140625" style="11"/>
    <col min="8195" max="8195" width="11.85546875" style="11" customWidth="1"/>
    <col min="8196" max="8196" width="26.42578125" style="11" bestFit="1" customWidth="1"/>
    <col min="8197" max="8197" width="28.140625" style="11" bestFit="1" customWidth="1"/>
    <col min="8198" max="8198" width="27.7109375" style="11" bestFit="1" customWidth="1"/>
    <col min="8199" max="8199" width="23.5703125" style="11" bestFit="1" customWidth="1"/>
    <col min="8200" max="8200" width="28.140625" style="11" bestFit="1" customWidth="1"/>
    <col min="8201" max="8450" width="9.140625" style="11"/>
    <col min="8451" max="8451" width="11.85546875" style="11" customWidth="1"/>
    <col min="8452" max="8452" width="26.42578125" style="11" bestFit="1" customWidth="1"/>
    <col min="8453" max="8453" width="28.140625" style="11" bestFit="1" customWidth="1"/>
    <col min="8454" max="8454" width="27.7109375" style="11" bestFit="1" customWidth="1"/>
    <col min="8455" max="8455" width="23.5703125" style="11" bestFit="1" customWidth="1"/>
    <col min="8456" max="8456" width="28.140625" style="11" bestFit="1" customWidth="1"/>
    <col min="8457" max="8706" width="9.140625" style="11"/>
    <col min="8707" max="8707" width="11.85546875" style="11" customWidth="1"/>
    <col min="8708" max="8708" width="26.42578125" style="11" bestFit="1" customWidth="1"/>
    <col min="8709" max="8709" width="28.140625" style="11" bestFit="1" customWidth="1"/>
    <col min="8710" max="8710" width="27.7109375" style="11" bestFit="1" customWidth="1"/>
    <col min="8711" max="8711" width="23.5703125" style="11" bestFit="1" customWidth="1"/>
    <col min="8712" max="8712" width="28.140625" style="11" bestFit="1" customWidth="1"/>
    <col min="8713" max="8962" width="9.140625" style="11"/>
    <col min="8963" max="8963" width="11.85546875" style="11" customWidth="1"/>
    <col min="8964" max="8964" width="26.42578125" style="11" bestFit="1" customWidth="1"/>
    <col min="8965" max="8965" width="28.140625" style="11" bestFit="1" customWidth="1"/>
    <col min="8966" max="8966" width="27.7109375" style="11" bestFit="1" customWidth="1"/>
    <col min="8967" max="8967" width="23.5703125" style="11" bestFit="1" customWidth="1"/>
    <col min="8968" max="8968" width="28.140625" style="11" bestFit="1" customWidth="1"/>
    <col min="8969" max="9218" width="9.140625" style="11"/>
    <col min="9219" max="9219" width="11.85546875" style="11" customWidth="1"/>
    <col min="9220" max="9220" width="26.42578125" style="11" bestFit="1" customWidth="1"/>
    <col min="9221" max="9221" width="28.140625" style="11" bestFit="1" customWidth="1"/>
    <col min="9222" max="9222" width="27.7109375" style="11" bestFit="1" customWidth="1"/>
    <col min="9223" max="9223" width="23.5703125" style="11" bestFit="1" customWidth="1"/>
    <col min="9224" max="9224" width="28.140625" style="11" bestFit="1" customWidth="1"/>
    <col min="9225" max="9474" width="9.140625" style="11"/>
    <col min="9475" max="9475" width="11.85546875" style="11" customWidth="1"/>
    <col min="9476" max="9476" width="26.42578125" style="11" bestFit="1" customWidth="1"/>
    <col min="9477" max="9477" width="28.140625" style="11" bestFit="1" customWidth="1"/>
    <col min="9478" max="9478" width="27.7109375" style="11" bestFit="1" customWidth="1"/>
    <col min="9479" max="9479" width="23.5703125" style="11" bestFit="1" customWidth="1"/>
    <col min="9480" max="9480" width="28.140625" style="11" bestFit="1" customWidth="1"/>
    <col min="9481" max="9730" width="9.140625" style="11"/>
    <col min="9731" max="9731" width="11.85546875" style="11" customWidth="1"/>
    <col min="9732" max="9732" width="26.42578125" style="11" bestFit="1" customWidth="1"/>
    <col min="9733" max="9733" width="28.140625" style="11" bestFit="1" customWidth="1"/>
    <col min="9734" max="9734" width="27.7109375" style="11" bestFit="1" customWidth="1"/>
    <col min="9735" max="9735" width="23.5703125" style="11" bestFit="1" customWidth="1"/>
    <col min="9736" max="9736" width="28.140625" style="11" bestFit="1" customWidth="1"/>
    <col min="9737" max="9986" width="9.140625" style="11"/>
    <col min="9987" max="9987" width="11.85546875" style="11" customWidth="1"/>
    <col min="9988" max="9988" width="26.42578125" style="11" bestFit="1" customWidth="1"/>
    <col min="9989" max="9989" width="28.140625" style="11" bestFit="1" customWidth="1"/>
    <col min="9990" max="9990" width="27.7109375" style="11" bestFit="1" customWidth="1"/>
    <col min="9991" max="9991" width="23.5703125" style="11" bestFit="1" customWidth="1"/>
    <col min="9992" max="9992" width="28.140625" style="11" bestFit="1" customWidth="1"/>
    <col min="9993" max="10242" width="9.140625" style="11"/>
    <col min="10243" max="10243" width="11.85546875" style="11" customWidth="1"/>
    <col min="10244" max="10244" width="26.42578125" style="11" bestFit="1" customWidth="1"/>
    <col min="10245" max="10245" width="28.140625" style="11" bestFit="1" customWidth="1"/>
    <col min="10246" max="10246" width="27.7109375" style="11" bestFit="1" customWidth="1"/>
    <col min="10247" max="10247" width="23.5703125" style="11" bestFit="1" customWidth="1"/>
    <col min="10248" max="10248" width="28.140625" style="11" bestFit="1" customWidth="1"/>
    <col min="10249" max="10498" width="9.140625" style="11"/>
    <col min="10499" max="10499" width="11.85546875" style="11" customWidth="1"/>
    <col min="10500" max="10500" width="26.42578125" style="11" bestFit="1" customWidth="1"/>
    <col min="10501" max="10501" width="28.140625" style="11" bestFit="1" customWidth="1"/>
    <col min="10502" max="10502" width="27.7109375" style="11" bestFit="1" customWidth="1"/>
    <col min="10503" max="10503" width="23.5703125" style="11" bestFit="1" customWidth="1"/>
    <col min="10504" max="10504" width="28.140625" style="11" bestFit="1" customWidth="1"/>
    <col min="10505" max="10754" width="9.140625" style="11"/>
    <col min="10755" max="10755" width="11.85546875" style="11" customWidth="1"/>
    <col min="10756" max="10756" width="26.42578125" style="11" bestFit="1" customWidth="1"/>
    <col min="10757" max="10757" width="28.140625" style="11" bestFit="1" customWidth="1"/>
    <col min="10758" max="10758" width="27.7109375" style="11" bestFit="1" customWidth="1"/>
    <col min="10759" max="10759" width="23.5703125" style="11" bestFit="1" customWidth="1"/>
    <col min="10760" max="10760" width="28.140625" style="11" bestFit="1" customWidth="1"/>
    <col min="10761" max="11010" width="9.140625" style="11"/>
    <col min="11011" max="11011" width="11.85546875" style="11" customWidth="1"/>
    <col min="11012" max="11012" width="26.42578125" style="11" bestFit="1" customWidth="1"/>
    <col min="11013" max="11013" width="28.140625" style="11" bestFit="1" customWidth="1"/>
    <col min="11014" max="11014" width="27.7109375" style="11" bestFit="1" customWidth="1"/>
    <col min="11015" max="11015" width="23.5703125" style="11" bestFit="1" customWidth="1"/>
    <col min="11016" max="11016" width="28.140625" style="11" bestFit="1" customWidth="1"/>
    <col min="11017" max="11266" width="9.140625" style="11"/>
    <col min="11267" max="11267" width="11.85546875" style="11" customWidth="1"/>
    <col min="11268" max="11268" width="26.42578125" style="11" bestFit="1" customWidth="1"/>
    <col min="11269" max="11269" width="28.140625" style="11" bestFit="1" customWidth="1"/>
    <col min="11270" max="11270" width="27.7109375" style="11" bestFit="1" customWidth="1"/>
    <col min="11271" max="11271" width="23.5703125" style="11" bestFit="1" customWidth="1"/>
    <col min="11272" max="11272" width="28.140625" style="11" bestFit="1" customWidth="1"/>
    <col min="11273" max="11522" width="9.140625" style="11"/>
    <col min="11523" max="11523" width="11.85546875" style="11" customWidth="1"/>
    <col min="11524" max="11524" width="26.42578125" style="11" bestFit="1" customWidth="1"/>
    <col min="11525" max="11525" width="28.140625" style="11" bestFit="1" customWidth="1"/>
    <col min="11526" max="11526" width="27.7109375" style="11" bestFit="1" customWidth="1"/>
    <col min="11527" max="11527" width="23.5703125" style="11" bestFit="1" customWidth="1"/>
    <col min="11528" max="11528" width="28.140625" style="11" bestFit="1" customWidth="1"/>
    <col min="11529" max="11778" width="9.140625" style="11"/>
    <col min="11779" max="11779" width="11.85546875" style="11" customWidth="1"/>
    <col min="11780" max="11780" width="26.42578125" style="11" bestFit="1" customWidth="1"/>
    <col min="11781" max="11781" width="28.140625" style="11" bestFit="1" customWidth="1"/>
    <col min="11782" max="11782" width="27.7109375" style="11" bestFit="1" customWidth="1"/>
    <col min="11783" max="11783" width="23.5703125" style="11" bestFit="1" customWidth="1"/>
    <col min="11784" max="11784" width="28.140625" style="11" bestFit="1" customWidth="1"/>
    <col min="11785" max="12034" width="9.140625" style="11"/>
    <col min="12035" max="12035" width="11.85546875" style="11" customWidth="1"/>
    <col min="12036" max="12036" width="26.42578125" style="11" bestFit="1" customWidth="1"/>
    <col min="12037" max="12037" width="28.140625" style="11" bestFit="1" customWidth="1"/>
    <col min="12038" max="12038" width="27.7109375" style="11" bestFit="1" customWidth="1"/>
    <col min="12039" max="12039" width="23.5703125" style="11" bestFit="1" customWidth="1"/>
    <col min="12040" max="12040" width="28.140625" style="11" bestFit="1" customWidth="1"/>
    <col min="12041" max="12290" width="9.140625" style="11"/>
    <col min="12291" max="12291" width="11.85546875" style="11" customWidth="1"/>
    <col min="12292" max="12292" width="26.42578125" style="11" bestFit="1" customWidth="1"/>
    <col min="12293" max="12293" width="28.140625" style="11" bestFit="1" customWidth="1"/>
    <col min="12294" max="12294" width="27.7109375" style="11" bestFit="1" customWidth="1"/>
    <col min="12295" max="12295" width="23.5703125" style="11" bestFit="1" customWidth="1"/>
    <col min="12296" max="12296" width="28.140625" style="11" bestFit="1" customWidth="1"/>
    <col min="12297" max="12546" width="9.140625" style="11"/>
    <col min="12547" max="12547" width="11.85546875" style="11" customWidth="1"/>
    <col min="12548" max="12548" width="26.42578125" style="11" bestFit="1" customWidth="1"/>
    <col min="12549" max="12549" width="28.140625" style="11" bestFit="1" customWidth="1"/>
    <col min="12550" max="12550" width="27.7109375" style="11" bestFit="1" customWidth="1"/>
    <col min="12551" max="12551" width="23.5703125" style="11" bestFit="1" customWidth="1"/>
    <col min="12552" max="12552" width="28.140625" style="11" bestFit="1" customWidth="1"/>
    <col min="12553" max="12802" width="9.140625" style="11"/>
    <col min="12803" max="12803" width="11.85546875" style="11" customWidth="1"/>
    <col min="12804" max="12804" width="26.42578125" style="11" bestFit="1" customWidth="1"/>
    <col min="12805" max="12805" width="28.140625" style="11" bestFit="1" customWidth="1"/>
    <col min="12806" max="12806" width="27.7109375" style="11" bestFit="1" customWidth="1"/>
    <col min="12807" max="12807" width="23.5703125" style="11" bestFit="1" customWidth="1"/>
    <col min="12808" max="12808" width="28.140625" style="11" bestFit="1" customWidth="1"/>
    <col min="12809" max="13058" width="9.140625" style="11"/>
    <col min="13059" max="13059" width="11.85546875" style="11" customWidth="1"/>
    <col min="13060" max="13060" width="26.42578125" style="11" bestFit="1" customWidth="1"/>
    <col min="13061" max="13061" width="28.140625" style="11" bestFit="1" customWidth="1"/>
    <col min="13062" max="13062" width="27.7109375" style="11" bestFit="1" customWidth="1"/>
    <col min="13063" max="13063" width="23.5703125" style="11" bestFit="1" customWidth="1"/>
    <col min="13064" max="13064" width="28.140625" style="11" bestFit="1" customWidth="1"/>
    <col min="13065" max="13314" width="9.140625" style="11"/>
    <col min="13315" max="13315" width="11.85546875" style="11" customWidth="1"/>
    <col min="13316" max="13316" width="26.42578125" style="11" bestFit="1" customWidth="1"/>
    <col min="13317" max="13317" width="28.140625" style="11" bestFit="1" customWidth="1"/>
    <col min="13318" max="13318" width="27.7109375" style="11" bestFit="1" customWidth="1"/>
    <col min="13319" max="13319" width="23.5703125" style="11" bestFit="1" customWidth="1"/>
    <col min="13320" max="13320" width="28.140625" style="11" bestFit="1" customWidth="1"/>
    <col min="13321" max="13570" width="9.140625" style="11"/>
    <col min="13571" max="13571" width="11.85546875" style="11" customWidth="1"/>
    <col min="13572" max="13572" width="26.42578125" style="11" bestFit="1" customWidth="1"/>
    <col min="13573" max="13573" width="28.140625" style="11" bestFit="1" customWidth="1"/>
    <col min="13574" max="13574" width="27.7109375" style="11" bestFit="1" customWidth="1"/>
    <col min="13575" max="13575" width="23.5703125" style="11" bestFit="1" customWidth="1"/>
    <col min="13576" max="13576" width="28.140625" style="11" bestFit="1" customWidth="1"/>
    <col min="13577" max="13826" width="9.140625" style="11"/>
    <col min="13827" max="13827" width="11.85546875" style="11" customWidth="1"/>
    <col min="13828" max="13828" width="26.42578125" style="11" bestFit="1" customWidth="1"/>
    <col min="13829" max="13829" width="28.140625" style="11" bestFit="1" customWidth="1"/>
    <col min="13830" max="13830" width="27.7109375" style="11" bestFit="1" customWidth="1"/>
    <col min="13831" max="13831" width="23.5703125" style="11" bestFit="1" customWidth="1"/>
    <col min="13832" max="13832" width="28.140625" style="11" bestFit="1" customWidth="1"/>
    <col min="13833" max="14082" width="9.140625" style="11"/>
    <col min="14083" max="14083" width="11.85546875" style="11" customWidth="1"/>
    <col min="14084" max="14084" width="26.42578125" style="11" bestFit="1" customWidth="1"/>
    <col min="14085" max="14085" width="28.140625" style="11" bestFit="1" customWidth="1"/>
    <col min="14086" max="14086" width="27.7109375" style="11" bestFit="1" customWidth="1"/>
    <col min="14087" max="14087" width="23.5703125" style="11" bestFit="1" customWidth="1"/>
    <col min="14088" max="14088" width="28.140625" style="11" bestFit="1" customWidth="1"/>
    <col min="14089" max="14338" width="9.140625" style="11"/>
    <col min="14339" max="14339" width="11.85546875" style="11" customWidth="1"/>
    <col min="14340" max="14340" width="26.42578125" style="11" bestFit="1" customWidth="1"/>
    <col min="14341" max="14341" width="28.140625" style="11" bestFit="1" customWidth="1"/>
    <col min="14342" max="14342" width="27.7109375" style="11" bestFit="1" customWidth="1"/>
    <col min="14343" max="14343" width="23.5703125" style="11" bestFit="1" customWidth="1"/>
    <col min="14344" max="14344" width="28.140625" style="11" bestFit="1" customWidth="1"/>
    <col min="14345" max="14594" width="9.140625" style="11"/>
    <col min="14595" max="14595" width="11.85546875" style="11" customWidth="1"/>
    <col min="14596" max="14596" width="26.42578125" style="11" bestFit="1" customWidth="1"/>
    <col min="14597" max="14597" width="28.140625" style="11" bestFit="1" customWidth="1"/>
    <col min="14598" max="14598" width="27.7109375" style="11" bestFit="1" customWidth="1"/>
    <col min="14599" max="14599" width="23.5703125" style="11" bestFit="1" customWidth="1"/>
    <col min="14600" max="14600" width="28.140625" style="11" bestFit="1" customWidth="1"/>
    <col min="14601" max="14850" width="9.140625" style="11"/>
    <col min="14851" max="14851" width="11.85546875" style="11" customWidth="1"/>
    <col min="14852" max="14852" width="26.42578125" style="11" bestFit="1" customWidth="1"/>
    <col min="14853" max="14853" width="28.140625" style="11" bestFit="1" customWidth="1"/>
    <col min="14854" max="14854" width="27.7109375" style="11" bestFit="1" customWidth="1"/>
    <col min="14855" max="14855" width="23.5703125" style="11" bestFit="1" customWidth="1"/>
    <col min="14856" max="14856" width="28.140625" style="11" bestFit="1" customWidth="1"/>
    <col min="14857" max="15106" width="9.140625" style="11"/>
    <col min="15107" max="15107" width="11.85546875" style="11" customWidth="1"/>
    <col min="15108" max="15108" width="26.42578125" style="11" bestFit="1" customWidth="1"/>
    <col min="15109" max="15109" width="28.140625" style="11" bestFit="1" customWidth="1"/>
    <col min="15110" max="15110" width="27.7109375" style="11" bestFit="1" customWidth="1"/>
    <col min="15111" max="15111" width="23.5703125" style="11" bestFit="1" customWidth="1"/>
    <col min="15112" max="15112" width="28.140625" style="11" bestFit="1" customWidth="1"/>
    <col min="15113" max="15362" width="9.140625" style="11"/>
    <col min="15363" max="15363" width="11.85546875" style="11" customWidth="1"/>
    <col min="15364" max="15364" width="26.42578125" style="11" bestFit="1" customWidth="1"/>
    <col min="15365" max="15365" width="28.140625" style="11" bestFit="1" customWidth="1"/>
    <col min="15366" max="15366" width="27.7109375" style="11" bestFit="1" customWidth="1"/>
    <col min="15367" max="15367" width="23.5703125" style="11" bestFit="1" customWidth="1"/>
    <col min="15368" max="15368" width="28.140625" style="11" bestFit="1" customWidth="1"/>
    <col min="15369" max="15618" width="9.140625" style="11"/>
    <col min="15619" max="15619" width="11.85546875" style="11" customWidth="1"/>
    <col min="15620" max="15620" width="26.42578125" style="11" bestFit="1" customWidth="1"/>
    <col min="15621" max="15621" width="28.140625" style="11" bestFit="1" customWidth="1"/>
    <col min="15622" max="15622" width="27.7109375" style="11" bestFit="1" customWidth="1"/>
    <col min="15623" max="15623" width="23.5703125" style="11" bestFit="1" customWidth="1"/>
    <col min="15624" max="15624" width="28.140625" style="11" bestFit="1" customWidth="1"/>
    <col min="15625" max="15874" width="9.140625" style="11"/>
    <col min="15875" max="15875" width="11.85546875" style="11" customWidth="1"/>
    <col min="15876" max="15876" width="26.42578125" style="11" bestFit="1" customWidth="1"/>
    <col min="15877" max="15877" width="28.140625" style="11" bestFit="1" customWidth="1"/>
    <col min="15878" max="15878" width="27.7109375" style="11" bestFit="1" customWidth="1"/>
    <col min="15879" max="15879" width="23.5703125" style="11" bestFit="1" customWidth="1"/>
    <col min="15880" max="15880" width="28.140625" style="11" bestFit="1" customWidth="1"/>
    <col min="15881" max="16130" width="9.140625" style="11"/>
    <col min="16131" max="16131" width="11.85546875" style="11" customWidth="1"/>
    <col min="16132" max="16132" width="26.42578125" style="11" bestFit="1" customWidth="1"/>
    <col min="16133" max="16133" width="28.140625" style="11" bestFit="1" customWidth="1"/>
    <col min="16134" max="16134" width="27.7109375" style="11" bestFit="1" customWidth="1"/>
    <col min="16135" max="16135" width="23.5703125" style="11" bestFit="1" customWidth="1"/>
    <col min="16136" max="16136" width="28.140625" style="11" bestFit="1" customWidth="1"/>
    <col min="16137" max="16384" width="9.140625" style="11"/>
  </cols>
  <sheetData>
    <row r="1" spans="1:15" s="22" customFormat="1" x14ac:dyDescent="0.25">
      <c r="B1" s="21" t="s">
        <v>157</v>
      </c>
      <c r="C1" s="21" t="s">
        <v>158</v>
      </c>
      <c r="D1" s="21" t="s">
        <v>159</v>
      </c>
      <c r="E1" s="21" t="s">
        <v>160</v>
      </c>
      <c r="F1" s="21" t="s">
        <v>161</v>
      </c>
      <c r="G1" s="60" t="s">
        <v>1243</v>
      </c>
      <c r="H1" s="60" t="s">
        <v>1856</v>
      </c>
      <c r="I1" s="390" t="s">
        <v>161</v>
      </c>
      <c r="J1" s="22" t="s">
        <v>157</v>
      </c>
      <c r="K1" s="22" t="s">
        <v>158</v>
      </c>
      <c r="L1" s="22" t="s">
        <v>159</v>
      </c>
      <c r="M1" s="22" t="s">
        <v>644</v>
      </c>
      <c r="N1" s="22" t="s">
        <v>160</v>
      </c>
      <c r="O1" s="22" t="s">
        <v>2273</v>
      </c>
    </row>
    <row r="2" spans="1:15" x14ac:dyDescent="0.25">
      <c r="A2" s="47" t="s">
        <v>162</v>
      </c>
      <c r="B2" s="48" t="s">
        <v>163</v>
      </c>
      <c r="C2" s="48" t="s">
        <v>164</v>
      </c>
      <c r="D2" s="48" t="s">
        <v>165</v>
      </c>
      <c r="E2" s="48" t="s">
        <v>166</v>
      </c>
      <c r="F2" s="64" t="str">
        <f>CONCATENATE(J2&amp;":"&amp;K2&amp;":"&amp;L2&amp;":"&amp;M2&amp;":"&amp;N2&amp;":"&amp;O2)</f>
        <v>8:8:8:0:8:0</v>
      </c>
      <c r="G2" s="41" t="s">
        <v>645</v>
      </c>
      <c r="H2" s="62">
        <f>G2*5</f>
        <v>15</v>
      </c>
      <c r="I2" s="62">
        <f>ROUNDUP(H2/2,0)</f>
        <v>8</v>
      </c>
      <c r="J2" s="63">
        <f t="shared" ref="J2:L21" si="0">I2</f>
        <v>8</v>
      </c>
      <c r="K2" s="63">
        <f t="shared" si="0"/>
        <v>8</v>
      </c>
      <c r="L2" s="63">
        <f t="shared" si="0"/>
        <v>8</v>
      </c>
      <c r="M2" s="63">
        <f>0</f>
        <v>0</v>
      </c>
      <c r="N2" s="63">
        <f>L2</f>
        <v>8</v>
      </c>
      <c r="O2" s="11">
        <f>0</f>
        <v>0</v>
      </c>
    </row>
    <row r="3" spans="1:15" x14ac:dyDescent="0.25">
      <c r="A3" s="47" t="s">
        <v>117</v>
      </c>
      <c r="B3" s="48" t="s">
        <v>167</v>
      </c>
      <c r="C3" s="48" t="s">
        <v>168</v>
      </c>
      <c r="D3" s="48" t="s">
        <v>169</v>
      </c>
      <c r="E3" s="48" t="s">
        <v>170</v>
      </c>
      <c r="F3" s="64" t="str">
        <f t="shared" ref="F3:F66" si="1">CONCATENATE(J3&amp;":"&amp;K3&amp;":"&amp;L3&amp;":"&amp;M3&amp;":"&amp;N3&amp;":"&amp;O3)</f>
        <v>15:15:15:0:15:0</v>
      </c>
      <c r="G3" s="41" t="s">
        <v>646</v>
      </c>
      <c r="H3" s="62">
        <f t="shared" ref="H3:H66" si="2">G3*5</f>
        <v>30</v>
      </c>
      <c r="I3" s="62">
        <f t="shared" ref="I3:I66" si="3">ROUNDUP(H3/2,0)</f>
        <v>15</v>
      </c>
      <c r="J3" s="63">
        <f t="shared" si="0"/>
        <v>15</v>
      </c>
      <c r="K3" s="63">
        <f t="shared" si="0"/>
        <v>15</v>
      </c>
      <c r="L3" s="63">
        <f t="shared" si="0"/>
        <v>15</v>
      </c>
      <c r="M3" s="63">
        <f>0</f>
        <v>0</v>
      </c>
      <c r="N3" s="63">
        <f t="shared" ref="N3:N66" si="4">L3</f>
        <v>15</v>
      </c>
      <c r="O3" s="11">
        <f>0</f>
        <v>0</v>
      </c>
    </row>
    <row r="4" spans="1:15" x14ac:dyDescent="0.25">
      <c r="A4" s="47" t="s">
        <v>118</v>
      </c>
      <c r="B4" s="48" t="s">
        <v>167</v>
      </c>
      <c r="C4" s="48" t="s">
        <v>168</v>
      </c>
      <c r="D4" s="48" t="s">
        <v>169</v>
      </c>
      <c r="E4" s="48" t="s">
        <v>170</v>
      </c>
      <c r="F4" s="64" t="str">
        <f t="shared" si="1"/>
        <v>15:15:15:0:15:0</v>
      </c>
      <c r="G4" s="41" t="s">
        <v>646</v>
      </c>
      <c r="H4" s="62">
        <f t="shared" si="2"/>
        <v>30</v>
      </c>
      <c r="I4" s="62">
        <f t="shared" si="3"/>
        <v>15</v>
      </c>
      <c r="J4" s="63">
        <f t="shared" si="0"/>
        <v>15</v>
      </c>
      <c r="K4" s="63">
        <f t="shared" si="0"/>
        <v>15</v>
      </c>
      <c r="L4" s="63">
        <f t="shared" si="0"/>
        <v>15</v>
      </c>
      <c r="M4" s="63">
        <f>0</f>
        <v>0</v>
      </c>
      <c r="N4" s="63">
        <f t="shared" si="4"/>
        <v>15</v>
      </c>
      <c r="O4" s="11">
        <f>0</f>
        <v>0</v>
      </c>
    </row>
    <row r="5" spans="1:15" x14ac:dyDescent="0.25">
      <c r="A5" s="47" t="s">
        <v>119</v>
      </c>
      <c r="B5" s="48" t="s">
        <v>171</v>
      </c>
      <c r="C5" s="48" t="s">
        <v>172</v>
      </c>
      <c r="D5" s="48" t="s">
        <v>173</v>
      </c>
      <c r="E5" s="48" t="s">
        <v>174</v>
      </c>
      <c r="F5" s="64" t="str">
        <f t="shared" si="1"/>
        <v>23:23:23:0:23:0</v>
      </c>
      <c r="G5" s="41" t="s">
        <v>647</v>
      </c>
      <c r="H5" s="62">
        <f t="shared" si="2"/>
        <v>45</v>
      </c>
      <c r="I5" s="62">
        <f t="shared" si="3"/>
        <v>23</v>
      </c>
      <c r="J5" s="63">
        <f t="shared" si="0"/>
        <v>23</v>
      </c>
      <c r="K5" s="63">
        <f t="shared" si="0"/>
        <v>23</v>
      </c>
      <c r="L5" s="63">
        <f t="shared" si="0"/>
        <v>23</v>
      </c>
      <c r="M5" s="63">
        <f>0</f>
        <v>0</v>
      </c>
      <c r="N5" s="63">
        <f t="shared" si="4"/>
        <v>23</v>
      </c>
      <c r="O5" s="11">
        <f>0</f>
        <v>0</v>
      </c>
    </row>
    <row r="6" spans="1:15" x14ac:dyDescent="0.25">
      <c r="A6" s="47" t="s">
        <v>120</v>
      </c>
      <c r="B6" s="48" t="s">
        <v>171</v>
      </c>
      <c r="C6" s="48" t="s">
        <v>172</v>
      </c>
      <c r="D6" s="48" t="s">
        <v>173</v>
      </c>
      <c r="E6" s="48" t="s">
        <v>174</v>
      </c>
      <c r="F6" s="64" t="str">
        <f t="shared" si="1"/>
        <v>23:23:23:0:23:0</v>
      </c>
      <c r="G6" s="41" t="s">
        <v>647</v>
      </c>
      <c r="H6" s="62">
        <f t="shared" si="2"/>
        <v>45</v>
      </c>
      <c r="I6" s="62">
        <f t="shared" si="3"/>
        <v>23</v>
      </c>
      <c r="J6" s="63">
        <f t="shared" si="0"/>
        <v>23</v>
      </c>
      <c r="K6" s="63">
        <f t="shared" si="0"/>
        <v>23</v>
      </c>
      <c r="L6" s="63">
        <f t="shared" si="0"/>
        <v>23</v>
      </c>
      <c r="M6" s="63">
        <f>0</f>
        <v>0</v>
      </c>
      <c r="N6" s="63">
        <f t="shared" si="4"/>
        <v>23</v>
      </c>
      <c r="O6" s="11">
        <f>0</f>
        <v>0</v>
      </c>
    </row>
    <row r="7" spans="1:15" x14ac:dyDescent="0.25">
      <c r="A7" s="47" t="s">
        <v>121</v>
      </c>
      <c r="B7" s="48" t="s">
        <v>175</v>
      </c>
      <c r="C7" s="48" t="s">
        <v>176</v>
      </c>
      <c r="D7" s="48" t="s">
        <v>177</v>
      </c>
      <c r="E7" s="48" t="s">
        <v>178</v>
      </c>
      <c r="F7" s="64" t="str">
        <f t="shared" si="1"/>
        <v>30:30:30:0:30:0</v>
      </c>
      <c r="G7" s="41" t="s">
        <v>648</v>
      </c>
      <c r="H7" s="62">
        <f t="shared" si="2"/>
        <v>60</v>
      </c>
      <c r="I7" s="62">
        <f t="shared" si="3"/>
        <v>30</v>
      </c>
      <c r="J7" s="63">
        <f t="shared" si="0"/>
        <v>30</v>
      </c>
      <c r="K7" s="63">
        <f t="shared" si="0"/>
        <v>30</v>
      </c>
      <c r="L7" s="63">
        <f t="shared" si="0"/>
        <v>30</v>
      </c>
      <c r="M7" s="63">
        <f>0</f>
        <v>0</v>
      </c>
      <c r="N7" s="63">
        <f t="shared" si="4"/>
        <v>30</v>
      </c>
      <c r="O7" s="11">
        <f>0</f>
        <v>0</v>
      </c>
    </row>
    <row r="8" spans="1:15" x14ac:dyDescent="0.25">
      <c r="A8" s="47" t="s">
        <v>122</v>
      </c>
      <c r="B8" s="48" t="s">
        <v>179</v>
      </c>
      <c r="C8" s="48" t="s">
        <v>180</v>
      </c>
      <c r="D8" s="48" t="s">
        <v>181</v>
      </c>
      <c r="E8" s="48" t="s">
        <v>182</v>
      </c>
      <c r="F8" s="64" t="str">
        <f t="shared" si="1"/>
        <v>38:38:38:0:38:0</v>
      </c>
      <c r="G8" s="41" t="s">
        <v>649</v>
      </c>
      <c r="H8" s="62">
        <f t="shared" si="2"/>
        <v>75</v>
      </c>
      <c r="I8" s="62">
        <f t="shared" si="3"/>
        <v>38</v>
      </c>
      <c r="J8" s="63">
        <f t="shared" si="0"/>
        <v>38</v>
      </c>
      <c r="K8" s="63">
        <f t="shared" si="0"/>
        <v>38</v>
      </c>
      <c r="L8" s="63">
        <f t="shared" si="0"/>
        <v>38</v>
      </c>
      <c r="M8" s="63">
        <f>0</f>
        <v>0</v>
      </c>
      <c r="N8" s="63">
        <f t="shared" si="4"/>
        <v>38</v>
      </c>
      <c r="O8" s="11">
        <f>0</f>
        <v>0</v>
      </c>
    </row>
    <row r="9" spans="1:15" x14ac:dyDescent="0.25">
      <c r="A9" s="47" t="s">
        <v>123</v>
      </c>
      <c r="B9" s="48" t="s">
        <v>183</v>
      </c>
      <c r="C9" s="48" t="s">
        <v>184</v>
      </c>
      <c r="D9" s="48" t="s">
        <v>185</v>
      </c>
      <c r="E9" s="48" t="s">
        <v>186</v>
      </c>
      <c r="F9" s="64" t="str">
        <f t="shared" si="1"/>
        <v>45:45:45:0:45:0</v>
      </c>
      <c r="G9" s="41" t="s">
        <v>650</v>
      </c>
      <c r="H9" s="62">
        <f t="shared" si="2"/>
        <v>90</v>
      </c>
      <c r="I9" s="62">
        <f t="shared" si="3"/>
        <v>45</v>
      </c>
      <c r="J9" s="63">
        <f t="shared" si="0"/>
        <v>45</v>
      </c>
      <c r="K9" s="63">
        <f t="shared" si="0"/>
        <v>45</v>
      </c>
      <c r="L9" s="63">
        <f t="shared" si="0"/>
        <v>45</v>
      </c>
      <c r="M9" s="63">
        <f>0</f>
        <v>0</v>
      </c>
      <c r="N9" s="63">
        <f t="shared" si="4"/>
        <v>45</v>
      </c>
      <c r="O9" s="11">
        <f>0</f>
        <v>0</v>
      </c>
    </row>
    <row r="10" spans="1:15" x14ac:dyDescent="0.25">
      <c r="A10" s="47" t="s">
        <v>124</v>
      </c>
      <c r="B10" s="48" t="s">
        <v>187</v>
      </c>
      <c r="C10" s="48" t="s">
        <v>188</v>
      </c>
      <c r="D10" s="48" t="s">
        <v>189</v>
      </c>
      <c r="E10" s="48" t="s">
        <v>190</v>
      </c>
      <c r="F10" s="64" t="str">
        <f t="shared" si="1"/>
        <v>53:53:53:0:53:0</v>
      </c>
      <c r="G10" s="41" t="s">
        <v>651</v>
      </c>
      <c r="H10" s="62">
        <f t="shared" si="2"/>
        <v>105</v>
      </c>
      <c r="I10" s="62">
        <f t="shared" si="3"/>
        <v>53</v>
      </c>
      <c r="J10" s="63">
        <f t="shared" si="0"/>
        <v>53</v>
      </c>
      <c r="K10" s="63">
        <f t="shared" si="0"/>
        <v>53</v>
      </c>
      <c r="L10" s="63">
        <f t="shared" si="0"/>
        <v>53</v>
      </c>
      <c r="M10" s="63">
        <f>0</f>
        <v>0</v>
      </c>
      <c r="N10" s="63">
        <f t="shared" si="4"/>
        <v>53</v>
      </c>
      <c r="O10" s="11">
        <f>0</f>
        <v>0</v>
      </c>
    </row>
    <row r="11" spans="1:15" x14ac:dyDescent="0.25">
      <c r="A11" s="47" t="s">
        <v>191</v>
      </c>
      <c r="B11" s="48" t="s">
        <v>192</v>
      </c>
      <c r="C11" s="48" t="s">
        <v>193</v>
      </c>
      <c r="D11" s="48" t="s">
        <v>194</v>
      </c>
      <c r="E11" s="48" t="s">
        <v>195</v>
      </c>
      <c r="F11" s="64" t="str">
        <f t="shared" si="1"/>
        <v>60:60:60:0:60:0</v>
      </c>
      <c r="G11" s="41" t="s">
        <v>652</v>
      </c>
      <c r="H11" s="62">
        <f t="shared" si="2"/>
        <v>120</v>
      </c>
      <c r="I11" s="62">
        <f t="shared" si="3"/>
        <v>60</v>
      </c>
      <c r="J11" s="63">
        <f t="shared" si="0"/>
        <v>60</v>
      </c>
      <c r="K11" s="63">
        <f t="shared" si="0"/>
        <v>60</v>
      </c>
      <c r="L11" s="63">
        <f t="shared" si="0"/>
        <v>60</v>
      </c>
      <c r="M11" s="63">
        <f>0</f>
        <v>0</v>
      </c>
      <c r="N11" s="63">
        <f t="shared" si="4"/>
        <v>60</v>
      </c>
      <c r="O11" s="11">
        <f>0</f>
        <v>0</v>
      </c>
    </row>
    <row r="12" spans="1:15" x14ac:dyDescent="0.25">
      <c r="A12" s="47" t="s">
        <v>196</v>
      </c>
      <c r="B12" s="48" t="s">
        <v>197</v>
      </c>
      <c r="C12" s="48" t="s">
        <v>198</v>
      </c>
      <c r="D12" s="48" t="s">
        <v>199</v>
      </c>
      <c r="E12" s="48" t="s">
        <v>200</v>
      </c>
      <c r="F12" s="64" t="str">
        <f t="shared" si="1"/>
        <v>68:68:68:0:68:0</v>
      </c>
      <c r="G12" s="41" t="s">
        <v>653</v>
      </c>
      <c r="H12" s="62">
        <f t="shared" si="2"/>
        <v>135</v>
      </c>
      <c r="I12" s="62">
        <f t="shared" si="3"/>
        <v>68</v>
      </c>
      <c r="J12" s="63">
        <f t="shared" si="0"/>
        <v>68</v>
      </c>
      <c r="K12" s="63">
        <f t="shared" si="0"/>
        <v>68</v>
      </c>
      <c r="L12" s="63">
        <f t="shared" si="0"/>
        <v>68</v>
      </c>
      <c r="M12" s="63">
        <f>0</f>
        <v>0</v>
      </c>
      <c r="N12" s="63">
        <f t="shared" si="4"/>
        <v>68</v>
      </c>
      <c r="O12" s="11">
        <f>0</f>
        <v>0</v>
      </c>
    </row>
    <row r="13" spans="1:15" x14ac:dyDescent="0.25">
      <c r="A13" s="47" t="s">
        <v>201</v>
      </c>
      <c r="B13" s="48" t="s">
        <v>202</v>
      </c>
      <c r="C13" s="48" t="s">
        <v>203</v>
      </c>
      <c r="D13" s="48" t="s">
        <v>204</v>
      </c>
      <c r="E13" s="48" t="s">
        <v>205</v>
      </c>
      <c r="F13" s="64" t="str">
        <f t="shared" si="1"/>
        <v>75:75:75:0:75:0</v>
      </c>
      <c r="G13" s="41" t="s">
        <v>138</v>
      </c>
      <c r="H13" s="62">
        <f t="shared" si="2"/>
        <v>150</v>
      </c>
      <c r="I13" s="62">
        <f t="shared" si="3"/>
        <v>75</v>
      </c>
      <c r="J13" s="63">
        <f t="shared" si="0"/>
        <v>75</v>
      </c>
      <c r="K13" s="63">
        <f t="shared" si="0"/>
        <v>75</v>
      </c>
      <c r="L13" s="63">
        <f t="shared" si="0"/>
        <v>75</v>
      </c>
      <c r="M13" s="63">
        <f>0</f>
        <v>0</v>
      </c>
      <c r="N13" s="63">
        <f t="shared" si="4"/>
        <v>75</v>
      </c>
      <c r="O13" s="11">
        <f>0</f>
        <v>0</v>
      </c>
    </row>
    <row r="14" spans="1:15" x14ac:dyDescent="0.25">
      <c r="A14" s="47" t="s">
        <v>206</v>
      </c>
      <c r="B14" s="48" t="s">
        <v>207</v>
      </c>
      <c r="C14" s="48" t="s">
        <v>208</v>
      </c>
      <c r="D14" s="48" t="s">
        <v>209</v>
      </c>
      <c r="E14" s="48" t="s">
        <v>210</v>
      </c>
      <c r="F14" s="64" t="str">
        <f t="shared" si="1"/>
        <v>83:83:83:0:83:0</v>
      </c>
      <c r="G14" s="41" t="s">
        <v>654</v>
      </c>
      <c r="H14" s="62">
        <f t="shared" si="2"/>
        <v>165</v>
      </c>
      <c r="I14" s="62">
        <f t="shared" si="3"/>
        <v>83</v>
      </c>
      <c r="J14" s="63">
        <f t="shared" si="0"/>
        <v>83</v>
      </c>
      <c r="K14" s="63">
        <f t="shared" si="0"/>
        <v>83</v>
      </c>
      <c r="L14" s="63">
        <f t="shared" si="0"/>
        <v>83</v>
      </c>
      <c r="M14" s="63">
        <f>0</f>
        <v>0</v>
      </c>
      <c r="N14" s="63">
        <f t="shared" si="4"/>
        <v>83</v>
      </c>
      <c r="O14" s="11">
        <f>0</f>
        <v>0</v>
      </c>
    </row>
    <row r="15" spans="1:15" x14ac:dyDescent="0.25">
      <c r="A15" s="47" t="s">
        <v>211</v>
      </c>
      <c r="B15" s="48" t="s">
        <v>212</v>
      </c>
      <c r="C15" s="48" t="s">
        <v>213</v>
      </c>
      <c r="D15" s="48" t="s">
        <v>214</v>
      </c>
      <c r="E15" s="48" t="s">
        <v>215</v>
      </c>
      <c r="F15" s="64" t="str">
        <f t="shared" si="1"/>
        <v>90:90:90:0:90:0</v>
      </c>
      <c r="G15" s="41" t="s">
        <v>655</v>
      </c>
      <c r="H15" s="62">
        <f t="shared" si="2"/>
        <v>180</v>
      </c>
      <c r="I15" s="62">
        <f t="shared" si="3"/>
        <v>90</v>
      </c>
      <c r="J15" s="63">
        <f t="shared" si="0"/>
        <v>90</v>
      </c>
      <c r="K15" s="63">
        <f t="shared" si="0"/>
        <v>90</v>
      </c>
      <c r="L15" s="63">
        <f t="shared" si="0"/>
        <v>90</v>
      </c>
      <c r="M15" s="63">
        <f>0</f>
        <v>0</v>
      </c>
      <c r="N15" s="63">
        <f t="shared" si="4"/>
        <v>90</v>
      </c>
      <c r="O15" s="11">
        <f>0</f>
        <v>0</v>
      </c>
    </row>
    <row r="16" spans="1:15" x14ac:dyDescent="0.25">
      <c r="A16" s="47" t="s">
        <v>216</v>
      </c>
      <c r="B16" s="48" t="s">
        <v>212</v>
      </c>
      <c r="C16" s="48" t="s">
        <v>213</v>
      </c>
      <c r="D16" s="48" t="s">
        <v>214</v>
      </c>
      <c r="E16" s="48" t="s">
        <v>215</v>
      </c>
      <c r="F16" s="64" t="str">
        <f t="shared" si="1"/>
        <v>98:98:98:0:98:0</v>
      </c>
      <c r="G16" s="41" t="s">
        <v>656</v>
      </c>
      <c r="H16" s="62">
        <f t="shared" si="2"/>
        <v>195</v>
      </c>
      <c r="I16" s="62">
        <f t="shared" si="3"/>
        <v>98</v>
      </c>
      <c r="J16" s="63">
        <f t="shared" si="0"/>
        <v>98</v>
      </c>
      <c r="K16" s="63">
        <f t="shared" si="0"/>
        <v>98</v>
      </c>
      <c r="L16" s="63">
        <f t="shared" si="0"/>
        <v>98</v>
      </c>
      <c r="M16" s="63">
        <f>0</f>
        <v>0</v>
      </c>
      <c r="N16" s="63">
        <f t="shared" si="4"/>
        <v>98</v>
      </c>
      <c r="O16" s="11">
        <f>0</f>
        <v>0</v>
      </c>
    </row>
    <row r="17" spans="1:15" x14ac:dyDescent="0.25">
      <c r="A17" s="47" t="s">
        <v>217</v>
      </c>
      <c r="B17" s="48" t="s">
        <v>218</v>
      </c>
      <c r="C17" s="48" t="s">
        <v>219</v>
      </c>
      <c r="D17" s="48" t="s">
        <v>220</v>
      </c>
      <c r="E17" s="48" t="s">
        <v>221</v>
      </c>
      <c r="F17" s="64" t="str">
        <f t="shared" si="1"/>
        <v>105:105:105:0:105:0</v>
      </c>
      <c r="G17" s="41" t="s">
        <v>657</v>
      </c>
      <c r="H17" s="62">
        <f t="shared" si="2"/>
        <v>210</v>
      </c>
      <c r="I17" s="62">
        <f t="shared" si="3"/>
        <v>105</v>
      </c>
      <c r="J17" s="63">
        <f t="shared" si="0"/>
        <v>105</v>
      </c>
      <c r="K17" s="63">
        <f t="shared" si="0"/>
        <v>105</v>
      </c>
      <c r="L17" s="63">
        <f t="shared" si="0"/>
        <v>105</v>
      </c>
      <c r="M17" s="63">
        <f>0</f>
        <v>0</v>
      </c>
      <c r="N17" s="63">
        <f t="shared" si="4"/>
        <v>105</v>
      </c>
      <c r="O17" s="11">
        <f>0</f>
        <v>0</v>
      </c>
    </row>
    <row r="18" spans="1:15" x14ac:dyDescent="0.25">
      <c r="A18" s="47" t="s">
        <v>222</v>
      </c>
      <c r="B18" s="48" t="s">
        <v>218</v>
      </c>
      <c r="C18" s="48" t="s">
        <v>219</v>
      </c>
      <c r="D18" s="48" t="s">
        <v>220</v>
      </c>
      <c r="E18" s="48" t="s">
        <v>221</v>
      </c>
      <c r="F18" s="64" t="str">
        <f t="shared" si="1"/>
        <v>113:113:113:0:113:0</v>
      </c>
      <c r="G18" s="41" t="s">
        <v>658</v>
      </c>
      <c r="H18" s="62">
        <f t="shared" si="2"/>
        <v>225</v>
      </c>
      <c r="I18" s="62">
        <f t="shared" si="3"/>
        <v>113</v>
      </c>
      <c r="J18" s="63">
        <f t="shared" si="0"/>
        <v>113</v>
      </c>
      <c r="K18" s="63">
        <f t="shared" si="0"/>
        <v>113</v>
      </c>
      <c r="L18" s="63">
        <f t="shared" si="0"/>
        <v>113</v>
      </c>
      <c r="M18" s="63">
        <f>0</f>
        <v>0</v>
      </c>
      <c r="N18" s="63">
        <f t="shared" si="4"/>
        <v>113</v>
      </c>
      <c r="O18" s="11">
        <f>0</f>
        <v>0</v>
      </c>
    </row>
    <row r="19" spans="1:15" x14ac:dyDescent="0.25">
      <c r="A19" s="47" t="s">
        <v>223</v>
      </c>
      <c r="B19" s="48" t="s">
        <v>224</v>
      </c>
      <c r="C19" s="48" t="s">
        <v>225</v>
      </c>
      <c r="D19" s="48" t="s">
        <v>226</v>
      </c>
      <c r="E19" s="48" t="s">
        <v>227</v>
      </c>
      <c r="F19" s="64" t="str">
        <f t="shared" si="1"/>
        <v>120:120:120:0:120:0</v>
      </c>
      <c r="G19" s="41" t="s">
        <v>659</v>
      </c>
      <c r="H19" s="62">
        <f t="shared" si="2"/>
        <v>240</v>
      </c>
      <c r="I19" s="62">
        <f t="shared" si="3"/>
        <v>120</v>
      </c>
      <c r="J19" s="63">
        <f t="shared" si="0"/>
        <v>120</v>
      </c>
      <c r="K19" s="63">
        <f t="shared" si="0"/>
        <v>120</v>
      </c>
      <c r="L19" s="63">
        <f t="shared" si="0"/>
        <v>120</v>
      </c>
      <c r="M19" s="63">
        <f>0</f>
        <v>0</v>
      </c>
      <c r="N19" s="63">
        <f t="shared" si="4"/>
        <v>120</v>
      </c>
      <c r="O19" s="11">
        <f>0</f>
        <v>0</v>
      </c>
    </row>
    <row r="20" spans="1:15" x14ac:dyDescent="0.25">
      <c r="A20" s="47" t="s">
        <v>228</v>
      </c>
      <c r="B20" s="48" t="s">
        <v>224</v>
      </c>
      <c r="C20" s="48" t="s">
        <v>225</v>
      </c>
      <c r="D20" s="48" t="s">
        <v>226</v>
      </c>
      <c r="E20" s="48" t="s">
        <v>227</v>
      </c>
      <c r="F20" s="64" t="str">
        <f t="shared" si="1"/>
        <v>128:128:128:0:128:0</v>
      </c>
      <c r="G20" s="41" t="s">
        <v>660</v>
      </c>
      <c r="H20" s="62">
        <f t="shared" si="2"/>
        <v>255</v>
      </c>
      <c r="I20" s="62">
        <f t="shared" si="3"/>
        <v>128</v>
      </c>
      <c r="J20" s="63">
        <f t="shared" si="0"/>
        <v>128</v>
      </c>
      <c r="K20" s="63">
        <f t="shared" si="0"/>
        <v>128</v>
      </c>
      <c r="L20" s="63">
        <f t="shared" si="0"/>
        <v>128</v>
      </c>
      <c r="M20" s="63">
        <f>0</f>
        <v>0</v>
      </c>
      <c r="N20" s="63">
        <f t="shared" si="4"/>
        <v>128</v>
      </c>
      <c r="O20" s="11">
        <f>0</f>
        <v>0</v>
      </c>
    </row>
    <row r="21" spans="1:15" x14ac:dyDescent="0.25">
      <c r="A21" s="47" t="s">
        <v>229</v>
      </c>
      <c r="B21" s="48" t="s">
        <v>230</v>
      </c>
      <c r="C21" s="48" t="s">
        <v>231</v>
      </c>
      <c r="D21" s="48" t="s">
        <v>232</v>
      </c>
      <c r="E21" s="48" t="s">
        <v>233</v>
      </c>
      <c r="F21" s="64" t="str">
        <f t="shared" si="1"/>
        <v>135:135:135:0:135:0</v>
      </c>
      <c r="G21" s="41" t="s">
        <v>661</v>
      </c>
      <c r="H21" s="62">
        <f t="shared" si="2"/>
        <v>270</v>
      </c>
      <c r="I21" s="62">
        <f t="shared" si="3"/>
        <v>135</v>
      </c>
      <c r="J21" s="63">
        <f t="shared" si="0"/>
        <v>135</v>
      </c>
      <c r="K21" s="63">
        <f t="shared" si="0"/>
        <v>135</v>
      </c>
      <c r="L21" s="63">
        <f t="shared" si="0"/>
        <v>135</v>
      </c>
      <c r="M21" s="63">
        <f>0</f>
        <v>0</v>
      </c>
      <c r="N21" s="63">
        <f t="shared" si="4"/>
        <v>135</v>
      </c>
      <c r="O21" s="11">
        <f>0</f>
        <v>0</v>
      </c>
    </row>
    <row r="22" spans="1:15" x14ac:dyDescent="0.25">
      <c r="A22" s="47" t="s">
        <v>234</v>
      </c>
      <c r="B22" s="48" t="s">
        <v>230</v>
      </c>
      <c r="C22" s="48" t="s">
        <v>231</v>
      </c>
      <c r="D22" s="48" t="s">
        <v>232</v>
      </c>
      <c r="E22" s="48" t="s">
        <v>233</v>
      </c>
      <c r="F22" s="64" t="str">
        <f t="shared" si="1"/>
        <v>143:143:143:0:143:0</v>
      </c>
      <c r="G22" s="41" t="s">
        <v>662</v>
      </c>
      <c r="H22" s="62">
        <f t="shared" si="2"/>
        <v>285</v>
      </c>
      <c r="I22" s="62">
        <f t="shared" si="3"/>
        <v>143</v>
      </c>
      <c r="J22" s="63">
        <f t="shared" ref="J22:L41" si="5">I22</f>
        <v>143</v>
      </c>
      <c r="K22" s="63">
        <f t="shared" si="5"/>
        <v>143</v>
      </c>
      <c r="L22" s="63">
        <f t="shared" si="5"/>
        <v>143</v>
      </c>
      <c r="M22" s="63">
        <f>0</f>
        <v>0</v>
      </c>
      <c r="N22" s="63">
        <f t="shared" si="4"/>
        <v>143</v>
      </c>
      <c r="O22" s="11">
        <f>0</f>
        <v>0</v>
      </c>
    </row>
    <row r="23" spans="1:15" x14ac:dyDescent="0.25">
      <c r="A23" s="47" t="s">
        <v>235</v>
      </c>
      <c r="B23" s="48" t="s">
        <v>236</v>
      </c>
      <c r="C23" s="48" t="s">
        <v>237</v>
      </c>
      <c r="D23" s="48" t="s">
        <v>238</v>
      </c>
      <c r="E23" s="48" t="s">
        <v>239</v>
      </c>
      <c r="F23" s="64" t="str">
        <f t="shared" si="1"/>
        <v>150:150:150:0:150:0</v>
      </c>
      <c r="G23" s="41" t="s">
        <v>144</v>
      </c>
      <c r="H23" s="62">
        <f t="shared" si="2"/>
        <v>300</v>
      </c>
      <c r="I23" s="62">
        <f t="shared" si="3"/>
        <v>150</v>
      </c>
      <c r="J23" s="63">
        <f t="shared" si="5"/>
        <v>150</v>
      </c>
      <c r="K23" s="63">
        <f t="shared" si="5"/>
        <v>150</v>
      </c>
      <c r="L23" s="63">
        <f t="shared" si="5"/>
        <v>150</v>
      </c>
      <c r="M23" s="63">
        <f>0</f>
        <v>0</v>
      </c>
      <c r="N23" s="63">
        <f t="shared" si="4"/>
        <v>150</v>
      </c>
      <c r="O23" s="11">
        <f>0</f>
        <v>0</v>
      </c>
    </row>
    <row r="24" spans="1:15" x14ac:dyDescent="0.25">
      <c r="A24" s="47" t="s">
        <v>240</v>
      </c>
      <c r="B24" s="48" t="s">
        <v>236</v>
      </c>
      <c r="C24" s="48" t="s">
        <v>237</v>
      </c>
      <c r="D24" s="48" t="s">
        <v>238</v>
      </c>
      <c r="E24" s="48" t="s">
        <v>239</v>
      </c>
      <c r="F24" s="64" t="str">
        <f t="shared" si="1"/>
        <v>158:158:158:0:158:0</v>
      </c>
      <c r="G24" s="41" t="s">
        <v>663</v>
      </c>
      <c r="H24" s="62">
        <f t="shared" si="2"/>
        <v>315</v>
      </c>
      <c r="I24" s="62">
        <f t="shared" si="3"/>
        <v>158</v>
      </c>
      <c r="J24" s="63">
        <f t="shared" si="5"/>
        <v>158</v>
      </c>
      <c r="K24" s="63">
        <f t="shared" si="5"/>
        <v>158</v>
      </c>
      <c r="L24" s="63">
        <f t="shared" si="5"/>
        <v>158</v>
      </c>
      <c r="M24" s="63">
        <f>0</f>
        <v>0</v>
      </c>
      <c r="N24" s="63">
        <f t="shared" si="4"/>
        <v>158</v>
      </c>
      <c r="O24" s="11">
        <f>0</f>
        <v>0</v>
      </c>
    </row>
    <row r="25" spans="1:15" x14ac:dyDescent="0.25">
      <c r="A25" s="47" t="s">
        <v>241</v>
      </c>
      <c r="B25" s="48" t="s">
        <v>242</v>
      </c>
      <c r="C25" s="48" t="s">
        <v>243</v>
      </c>
      <c r="D25" s="48" t="s">
        <v>244</v>
      </c>
      <c r="E25" s="48" t="s">
        <v>245</v>
      </c>
      <c r="F25" s="64" t="str">
        <f t="shared" si="1"/>
        <v>165:165:165:0:165:0</v>
      </c>
      <c r="G25" s="41" t="s">
        <v>664</v>
      </c>
      <c r="H25" s="62">
        <f t="shared" si="2"/>
        <v>330</v>
      </c>
      <c r="I25" s="62">
        <f t="shared" si="3"/>
        <v>165</v>
      </c>
      <c r="J25" s="63">
        <f t="shared" si="5"/>
        <v>165</v>
      </c>
      <c r="K25" s="63">
        <f t="shared" si="5"/>
        <v>165</v>
      </c>
      <c r="L25" s="63">
        <f t="shared" si="5"/>
        <v>165</v>
      </c>
      <c r="M25" s="63">
        <f>0</f>
        <v>0</v>
      </c>
      <c r="N25" s="63">
        <f t="shared" si="4"/>
        <v>165</v>
      </c>
      <c r="O25" s="11">
        <f>0</f>
        <v>0</v>
      </c>
    </row>
    <row r="26" spans="1:15" x14ac:dyDescent="0.25">
      <c r="A26" s="47" t="s">
        <v>246</v>
      </c>
      <c r="B26" s="48" t="s">
        <v>242</v>
      </c>
      <c r="C26" s="48" t="s">
        <v>243</v>
      </c>
      <c r="D26" s="48" t="s">
        <v>244</v>
      </c>
      <c r="E26" s="48" t="s">
        <v>245</v>
      </c>
      <c r="F26" s="64" t="str">
        <f t="shared" si="1"/>
        <v>173:173:173:0:173:0</v>
      </c>
      <c r="G26" s="41" t="s">
        <v>665</v>
      </c>
      <c r="H26" s="62">
        <f t="shared" si="2"/>
        <v>345</v>
      </c>
      <c r="I26" s="62">
        <f t="shared" si="3"/>
        <v>173</v>
      </c>
      <c r="J26" s="63">
        <f t="shared" si="5"/>
        <v>173</v>
      </c>
      <c r="K26" s="63">
        <f t="shared" si="5"/>
        <v>173</v>
      </c>
      <c r="L26" s="63">
        <f t="shared" si="5"/>
        <v>173</v>
      </c>
      <c r="M26" s="63">
        <f>0</f>
        <v>0</v>
      </c>
      <c r="N26" s="63">
        <f t="shared" si="4"/>
        <v>173</v>
      </c>
      <c r="O26" s="11">
        <f>0</f>
        <v>0</v>
      </c>
    </row>
    <row r="27" spans="1:15" x14ac:dyDescent="0.25">
      <c r="A27" s="47" t="s">
        <v>247</v>
      </c>
      <c r="B27" s="48" t="s">
        <v>248</v>
      </c>
      <c r="C27" s="48" t="s">
        <v>249</v>
      </c>
      <c r="D27" s="48" t="s">
        <v>250</v>
      </c>
      <c r="E27" s="48" t="s">
        <v>251</v>
      </c>
      <c r="F27" s="64" t="str">
        <f t="shared" si="1"/>
        <v>180:180:180:0:180:0</v>
      </c>
      <c r="G27" s="41" t="s">
        <v>666</v>
      </c>
      <c r="H27" s="62">
        <f t="shared" si="2"/>
        <v>360</v>
      </c>
      <c r="I27" s="62">
        <f t="shared" si="3"/>
        <v>180</v>
      </c>
      <c r="J27" s="63">
        <f t="shared" si="5"/>
        <v>180</v>
      </c>
      <c r="K27" s="63">
        <f t="shared" si="5"/>
        <v>180</v>
      </c>
      <c r="L27" s="63">
        <f t="shared" si="5"/>
        <v>180</v>
      </c>
      <c r="M27" s="63">
        <f>0</f>
        <v>0</v>
      </c>
      <c r="N27" s="63">
        <f t="shared" si="4"/>
        <v>180</v>
      </c>
      <c r="O27" s="11">
        <f>0</f>
        <v>0</v>
      </c>
    </row>
    <row r="28" spans="1:15" x14ac:dyDescent="0.25">
      <c r="A28" s="47" t="s">
        <v>252</v>
      </c>
      <c r="B28" s="48" t="s">
        <v>248</v>
      </c>
      <c r="C28" s="48" t="s">
        <v>249</v>
      </c>
      <c r="D28" s="48" t="s">
        <v>250</v>
      </c>
      <c r="E28" s="48" t="s">
        <v>251</v>
      </c>
      <c r="F28" s="64" t="str">
        <f t="shared" si="1"/>
        <v>188:188:188:0:188:0</v>
      </c>
      <c r="G28" s="41" t="s">
        <v>150</v>
      </c>
      <c r="H28" s="62">
        <f t="shared" si="2"/>
        <v>375</v>
      </c>
      <c r="I28" s="62">
        <f t="shared" si="3"/>
        <v>188</v>
      </c>
      <c r="J28" s="63">
        <f t="shared" si="5"/>
        <v>188</v>
      </c>
      <c r="K28" s="63">
        <f t="shared" si="5"/>
        <v>188</v>
      </c>
      <c r="L28" s="63">
        <f t="shared" si="5"/>
        <v>188</v>
      </c>
      <c r="M28" s="63">
        <f>0</f>
        <v>0</v>
      </c>
      <c r="N28" s="63">
        <f t="shared" si="4"/>
        <v>188</v>
      </c>
      <c r="O28" s="11">
        <f>0</f>
        <v>0</v>
      </c>
    </row>
    <row r="29" spans="1:15" x14ac:dyDescent="0.25">
      <c r="A29" s="47" t="s">
        <v>253</v>
      </c>
      <c r="B29" s="48" t="s">
        <v>254</v>
      </c>
      <c r="C29" s="48" t="s">
        <v>255</v>
      </c>
      <c r="D29" s="48" t="s">
        <v>256</v>
      </c>
      <c r="E29" s="48" t="s">
        <v>257</v>
      </c>
      <c r="F29" s="64" t="str">
        <f t="shared" si="1"/>
        <v>195:195:195:0:195:0</v>
      </c>
      <c r="G29" s="41" t="s">
        <v>667</v>
      </c>
      <c r="H29" s="62">
        <f t="shared" si="2"/>
        <v>390</v>
      </c>
      <c r="I29" s="62">
        <f t="shared" si="3"/>
        <v>195</v>
      </c>
      <c r="J29" s="63">
        <f t="shared" si="5"/>
        <v>195</v>
      </c>
      <c r="K29" s="63">
        <f t="shared" si="5"/>
        <v>195</v>
      </c>
      <c r="L29" s="63">
        <f t="shared" si="5"/>
        <v>195</v>
      </c>
      <c r="M29" s="63">
        <f>0</f>
        <v>0</v>
      </c>
      <c r="N29" s="63">
        <f t="shared" si="4"/>
        <v>195</v>
      </c>
      <c r="O29" s="11">
        <f>0</f>
        <v>0</v>
      </c>
    </row>
    <row r="30" spans="1:15" x14ac:dyDescent="0.25">
      <c r="A30" s="47" t="s">
        <v>258</v>
      </c>
      <c r="B30" s="48" t="s">
        <v>254</v>
      </c>
      <c r="C30" s="48" t="s">
        <v>255</v>
      </c>
      <c r="D30" s="48" t="s">
        <v>256</v>
      </c>
      <c r="E30" s="48" t="s">
        <v>257</v>
      </c>
      <c r="F30" s="64" t="str">
        <f t="shared" si="1"/>
        <v>203:203:203:0:203:0</v>
      </c>
      <c r="G30" s="41" t="s">
        <v>668</v>
      </c>
      <c r="H30" s="62">
        <f t="shared" si="2"/>
        <v>405</v>
      </c>
      <c r="I30" s="62">
        <f t="shared" si="3"/>
        <v>203</v>
      </c>
      <c r="J30" s="63">
        <f t="shared" si="5"/>
        <v>203</v>
      </c>
      <c r="K30" s="63">
        <f t="shared" si="5"/>
        <v>203</v>
      </c>
      <c r="L30" s="63">
        <f t="shared" si="5"/>
        <v>203</v>
      </c>
      <c r="M30" s="63">
        <f>0</f>
        <v>0</v>
      </c>
      <c r="N30" s="63">
        <f t="shared" si="4"/>
        <v>203</v>
      </c>
      <c r="O30" s="11">
        <f>0</f>
        <v>0</v>
      </c>
    </row>
    <row r="31" spans="1:15" x14ac:dyDescent="0.25">
      <c r="A31" s="47" t="s">
        <v>259</v>
      </c>
      <c r="B31" s="48" t="s">
        <v>260</v>
      </c>
      <c r="C31" s="48" t="s">
        <v>261</v>
      </c>
      <c r="D31" s="48" t="s">
        <v>262</v>
      </c>
      <c r="E31" s="48" t="s">
        <v>263</v>
      </c>
      <c r="F31" s="64" t="str">
        <f t="shared" si="1"/>
        <v>210:210:210:0:210:0</v>
      </c>
      <c r="G31" s="41" t="s">
        <v>669</v>
      </c>
      <c r="H31" s="62">
        <f t="shared" si="2"/>
        <v>420</v>
      </c>
      <c r="I31" s="62">
        <f t="shared" si="3"/>
        <v>210</v>
      </c>
      <c r="J31" s="63">
        <f t="shared" si="5"/>
        <v>210</v>
      </c>
      <c r="K31" s="63">
        <f t="shared" si="5"/>
        <v>210</v>
      </c>
      <c r="L31" s="63">
        <f t="shared" si="5"/>
        <v>210</v>
      </c>
      <c r="M31" s="63">
        <f>0</f>
        <v>0</v>
      </c>
      <c r="N31" s="63">
        <f t="shared" si="4"/>
        <v>210</v>
      </c>
      <c r="O31" s="11">
        <f>0</f>
        <v>0</v>
      </c>
    </row>
    <row r="32" spans="1:15" x14ac:dyDescent="0.25">
      <c r="A32" s="47" t="s">
        <v>264</v>
      </c>
      <c r="B32" s="48" t="s">
        <v>260</v>
      </c>
      <c r="C32" s="48" t="s">
        <v>261</v>
      </c>
      <c r="D32" s="48" t="s">
        <v>262</v>
      </c>
      <c r="E32" s="48" t="s">
        <v>263</v>
      </c>
      <c r="F32" s="64" t="str">
        <f t="shared" si="1"/>
        <v>218:218:218:0:218:0</v>
      </c>
      <c r="G32" s="41" t="s">
        <v>670</v>
      </c>
      <c r="H32" s="62">
        <f t="shared" si="2"/>
        <v>435</v>
      </c>
      <c r="I32" s="62">
        <f t="shared" si="3"/>
        <v>218</v>
      </c>
      <c r="J32" s="63">
        <f t="shared" si="5"/>
        <v>218</v>
      </c>
      <c r="K32" s="63">
        <f t="shared" si="5"/>
        <v>218</v>
      </c>
      <c r="L32" s="63">
        <f t="shared" si="5"/>
        <v>218</v>
      </c>
      <c r="M32" s="63">
        <f>0</f>
        <v>0</v>
      </c>
      <c r="N32" s="63">
        <f t="shared" si="4"/>
        <v>218</v>
      </c>
      <c r="O32" s="11">
        <f>0</f>
        <v>0</v>
      </c>
    </row>
    <row r="33" spans="1:15" x14ac:dyDescent="0.25">
      <c r="A33" s="47" t="s">
        <v>265</v>
      </c>
      <c r="B33" s="48" t="s">
        <v>266</v>
      </c>
      <c r="C33" s="48" t="s">
        <v>267</v>
      </c>
      <c r="D33" s="48" t="s">
        <v>268</v>
      </c>
      <c r="E33" s="48" t="s">
        <v>269</v>
      </c>
      <c r="F33" s="64" t="str">
        <f t="shared" si="1"/>
        <v>225:225:225:0:225:0</v>
      </c>
      <c r="G33" s="41" t="s">
        <v>671</v>
      </c>
      <c r="H33" s="62">
        <f t="shared" si="2"/>
        <v>450</v>
      </c>
      <c r="I33" s="62">
        <f t="shared" si="3"/>
        <v>225</v>
      </c>
      <c r="J33" s="63">
        <f t="shared" si="5"/>
        <v>225</v>
      </c>
      <c r="K33" s="63">
        <f t="shared" si="5"/>
        <v>225</v>
      </c>
      <c r="L33" s="63">
        <f t="shared" si="5"/>
        <v>225</v>
      </c>
      <c r="M33" s="63">
        <f>0</f>
        <v>0</v>
      </c>
      <c r="N33" s="63">
        <f t="shared" si="4"/>
        <v>225</v>
      </c>
      <c r="O33" s="11">
        <f>0</f>
        <v>0</v>
      </c>
    </row>
    <row r="34" spans="1:15" x14ac:dyDescent="0.25">
      <c r="A34" s="47" t="s">
        <v>270</v>
      </c>
      <c r="B34" s="48" t="s">
        <v>266</v>
      </c>
      <c r="C34" s="48" t="s">
        <v>267</v>
      </c>
      <c r="D34" s="48" t="s">
        <v>268</v>
      </c>
      <c r="E34" s="48" t="s">
        <v>269</v>
      </c>
      <c r="F34" s="64" t="str">
        <f t="shared" si="1"/>
        <v>233:233:233:0:233:0</v>
      </c>
      <c r="G34" s="41" t="s">
        <v>672</v>
      </c>
      <c r="H34" s="62">
        <f t="shared" si="2"/>
        <v>465</v>
      </c>
      <c r="I34" s="62">
        <f t="shared" si="3"/>
        <v>233</v>
      </c>
      <c r="J34" s="63">
        <f t="shared" si="5"/>
        <v>233</v>
      </c>
      <c r="K34" s="63">
        <f t="shared" si="5"/>
        <v>233</v>
      </c>
      <c r="L34" s="63">
        <f t="shared" si="5"/>
        <v>233</v>
      </c>
      <c r="M34" s="63">
        <f>0</f>
        <v>0</v>
      </c>
      <c r="N34" s="63">
        <f t="shared" si="4"/>
        <v>233</v>
      </c>
      <c r="O34" s="11">
        <f>0</f>
        <v>0</v>
      </c>
    </row>
    <row r="35" spans="1:15" x14ac:dyDescent="0.25">
      <c r="A35" s="47" t="s">
        <v>271</v>
      </c>
      <c r="B35" s="48" t="s">
        <v>272</v>
      </c>
      <c r="C35" s="48" t="s">
        <v>273</v>
      </c>
      <c r="D35" s="48" t="s">
        <v>274</v>
      </c>
      <c r="E35" s="48" t="s">
        <v>275</v>
      </c>
      <c r="F35" s="64" t="str">
        <f t="shared" si="1"/>
        <v>240:240:240:0:240:0</v>
      </c>
      <c r="G35" s="41" t="s">
        <v>673</v>
      </c>
      <c r="H35" s="62">
        <f t="shared" si="2"/>
        <v>480</v>
      </c>
      <c r="I35" s="62">
        <f t="shared" si="3"/>
        <v>240</v>
      </c>
      <c r="J35" s="63">
        <f t="shared" si="5"/>
        <v>240</v>
      </c>
      <c r="K35" s="63">
        <f t="shared" si="5"/>
        <v>240</v>
      </c>
      <c r="L35" s="63">
        <f t="shared" si="5"/>
        <v>240</v>
      </c>
      <c r="M35" s="63">
        <f>0</f>
        <v>0</v>
      </c>
      <c r="N35" s="63">
        <f t="shared" si="4"/>
        <v>240</v>
      </c>
      <c r="O35" s="11">
        <f>0</f>
        <v>0</v>
      </c>
    </row>
    <row r="36" spans="1:15" x14ac:dyDescent="0.25">
      <c r="A36" s="47" t="s">
        <v>276</v>
      </c>
      <c r="B36" s="48" t="s">
        <v>272</v>
      </c>
      <c r="C36" s="48" t="s">
        <v>273</v>
      </c>
      <c r="D36" s="48" t="s">
        <v>274</v>
      </c>
      <c r="E36" s="48" t="s">
        <v>275</v>
      </c>
      <c r="F36" s="64" t="str">
        <f t="shared" si="1"/>
        <v>248:248:248:0:248:0</v>
      </c>
      <c r="G36" s="41" t="s">
        <v>674</v>
      </c>
      <c r="H36" s="62">
        <f t="shared" si="2"/>
        <v>495</v>
      </c>
      <c r="I36" s="62">
        <f t="shared" si="3"/>
        <v>248</v>
      </c>
      <c r="J36" s="63">
        <f t="shared" si="5"/>
        <v>248</v>
      </c>
      <c r="K36" s="63">
        <f t="shared" si="5"/>
        <v>248</v>
      </c>
      <c r="L36" s="63">
        <f t="shared" si="5"/>
        <v>248</v>
      </c>
      <c r="M36" s="63">
        <f>0</f>
        <v>0</v>
      </c>
      <c r="N36" s="63">
        <f t="shared" si="4"/>
        <v>248</v>
      </c>
      <c r="O36" s="11">
        <f>0</f>
        <v>0</v>
      </c>
    </row>
    <row r="37" spans="1:15" x14ac:dyDescent="0.25">
      <c r="A37" s="47" t="s">
        <v>277</v>
      </c>
      <c r="B37" s="48" t="s">
        <v>278</v>
      </c>
      <c r="C37" s="48" t="s">
        <v>279</v>
      </c>
      <c r="D37" s="48" t="s">
        <v>280</v>
      </c>
      <c r="E37" s="48" t="s">
        <v>281</v>
      </c>
      <c r="F37" s="64" t="str">
        <f t="shared" si="1"/>
        <v>255:255:255:0:255:0</v>
      </c>
      <c r="G37" s="41" t="s">
        <v>675</v>
      </c>
      <c r="H37" s="62">
        <f t="shared" si="2"/>
        <v>510</v>
      </c>
      <c r="I37" s="62">
        <f t="shared" si="3"/>
        <v>255</v>
      </c>
      <c r="J37" s="63">
        <f t="shared" si="5"/>
        <v>255</v>
      </c>
      <c r="K37" s="63">
        <f t="shared" si="5"/>
        <v>255</v>
      </c>
      <c r="L37" s="63">
        <f t="shared" si="5"/>
        <v>255</v>
      </c>
      <c r="M37" s="63">
        <f>0</f>
        <v>0</v>
      </c>
      <c r="N37" s="63">
        <f t="shared" si="4"/>
        <v>255</v>
      </c>
      <c r="O37" s="11">
        <f>0</f>
        <v>0</v>
      </c>
    </row>
    <row r="38" spans="1:15" x14ac:dyDescent="0.25">
      <c r="A38" s="47" t="s">
        <v>282</v>
      </c>
      <c r="B38" s="48" t="s">
        <v>278</v>
      </c>
      <c r="C38" s="48" t="s">
        <v>279</v>
      </c>
      <c r="D38" s="48" t="s">
        <v>280</v>
      </c>
      <c r="E38" s="48" t="s">
        <v>281</v>
      </c>
      <c r="F38" s="64" t="str">
        <f t="shared" si="1"/>
        <v>263:263:263:0:263:0</v>
      </c>
      <c r="G38" s="41" t="s">
        <v>676</v>
      </c>
      <c r="H38" s="62">
        <f t="shared" si="2"/>
        <v>525</v>
      </c>
      <c r="I38" s="62">
        <f t="shared" si="3"/>
        <v>263</v>
      </c>
      <c r="J38" s="63">
        <f t="shared" si="5"/>
        <v>263</v>
      </c>
      <c r="K38" s="63">
        <f t="shared" si="5"/>
        <v>263</v>
      </c>
      <c r="L38" s="63">
        <f t="shared" si="5"/>
        <v>263</v>
      </c>
      <c r="M38" s="63">
        <f>0</f>
        <v>0</v>
      </c>
      <c r="N38" s="63">
        <f t="shared" si="4"/>
        <v>263</v>
      </c>
      <c r="O38" s="11">
        <f>0</f>
        <v>0</v>
      </c>
    </row>
    <row r="39" spans="1:15" x14ac:dyDescent="0.25">
      <c r="A39" s="47" t="s">
        <v>283</v>
      </c>
      <c r="B39" s="48" t="s">
        <v>284</v>
      </c>
      <c r="C39" s="48" t="s">
        <v>285</v>
      </c>
      <c r="D39" s="48" t="s">
        <v>286</v>
      </c>
      <c r="E39" s="48" t="s">
        <v>287</v>
      </c>
      <c r="F39" s="64" t="str">
        <f t="shared" si="1"/>
        <v>270:270:270:0:270:0</v>
      </c>
      <c r="G39" s="41" t="s">
        <v>677</v>
      </c>
      <c r="H39" s="62">
        <f t="shared" si="2"/>
        <v>540</v>
      </c>
      <c r="I39" s="62">
        <f t="shared" si="3"/>
        <v>270</v>
      </c>
      <c r="J39" s="63">
        <f t="shared" si="5"/>
        <v>270</v>
      </c>
      <c r="K39" s="63">
        <f t="shared" si="5"/>
        <v>270</v>
      </c>
      <c r="L39" s="63">
        <f t="shared" si="5"/>
        <v>270</v>
      </c>
      <c r="M39" s="63">
        <f>0</f>
        <v>0</v>
      </c>
      <c r="N39" s="63">
        <f t="shared" si="4"/>
        <v>270</v>
      </c>
      <c r="O39" s="11">
        <f>0</f>
        <v>0</v>
      </c>
    </row>
    <row r="40" spans="1:15" x14ac:dyDescent="0.25">
      <c r="A40" s="47" t="s">
        <v>288</v>
      </c>
      <c r="B40" s="48" t="s">
        <v>284</v>
      </c>
      <c r="C40" s="48" t="s">
        <v>285</v>
      </c>
      <c r="D40" s="48" t="s">
        <v>286</v>
      </c>
      <c r="E40" s="48" t="s">
        <v>287</v>
      </c>
      <c r="F40" s="64" t="str">
        <f t="shared" si="1"/>
        <v>278:278:278:0:278:0</v>
      </c>
      <c r="G40" s="41" t="s">
        <v>678</v>
      </c>
      <c r="H40" s="62">
        <f t="shared" si="2"/>
        <v>555</v>
      </c>
      <c r="I40" s="62">
        <f t="shared" si="3"/>
        <v>278</v>
      </c>
      <c r="J40" s="63">
        <f t="shared" si="5"/>
        <v>278</v>
      </c>
      <c r="K40" s="63">
        <f t="shared" si="5"/>
        <v>278</v>
      </c>
      <c r="L40" s="63">
        <f t="shared" si="5"/>
        <v>278</v>
      </c>
      <c r="M40" s="63">
        <f>0</f>
        <v>0</v>
      </c>
      <c r="N40" s="63">
        <f t="shared" si="4"/>
        <v>278</v>
      </c>
      <c r="O40" s="11">
        <f>0</f>
        <v>0</v>
      </c>
    </row>
    <row r="41" spans="1:15" x14ac:dyDescent="0.25">
      <c r="A41" s="47" t="s">
        <v>289</v>
      </c>
      <c r="B41" s="48" t="s">
        <v>290</v>
      </c>
      <c r="C41" s="48" t="s">
        <v>291</v>
      </c>
      <c r="D41" s="48" t="s">
        <v>292</v>
      </c>
      <c r="E41" s="48" t="s">
        <v>293</v>
      </c>
      <c r="F41" s="64" t="str">
        <f t="shared" si="1"/>
        <v>285:285:285:0:285:0</v>
      </c>
      <c r="G41" s="41" t="s">
        <v>679</v>
      </c>
      <c r="H41" s="62">
        <f t="shared" si="2"/>
        <v>570</v>
      </c>
      <c r="I41" s="62">
        <f t="shared" si="3"/>
        <v>285</v>
      </c>
      <c r="J41" s="63">
        <f t="shared" si="5"/>
        <v>285</v>
      </c>
      <c r="K41" s="63">
        <f t="shared" si="5"/>
        <v>285</v>
      </c>
      <c r="L41" s="63">
        <f t="shared" si="5"/>
        <v>285</v>
      </c>
      <c r="M41" s="63">
        <f>0</f>
        <v>0</v>
      </c>
      <c r="N41" s="63">
        <f t="shared" si="4"/>
        <v>285</v>
      </c>
      <c r="O41" s="11">
        <f>0</f>
        <v>0</v>
      </c>
    </row>
    <row r="42" spans="1:15" x14ac:dyDescent="0.25">
      <c r="A42" s="47" t="s">
        <v>294</v>
      </c>
      <c r="B42" s="48" t="s">
        <v>290</v>
      </c>
      <c r="C42" s="48" t="s">
        <v>291</v>
      </c>
      <c r="D42" s="48" t="s">
        <v>292</v>
      </c>
      <c r="E42" s="48" t="s">
        <v>293</v>
      </c>
      <c r="F42" s="64" t="str">
        <f t="shared" si="1"/>
        <v>293:293:293:0:293:0</v>
      </c>
      <c r="G42" s="41" t="s">
        <v>680</v>
      </c>
      <c r="H42" s="62">
        <f t="shared" si="2"/>
        <v>585</v>
      </c>
      <c r="I42" s="62">
        <f t="shared" si="3"/>
        <v>293</v>
      </c>
      <c r="J42" s="63">
        <f t="shared" ref="J42:L61" si="6">I42</f>
        <v>293</v>
      </c>
      <c r="K42" s="63">
        <f t="shared" si="6"/>
        <v>293</v>
      </c>
      <c r="L42" s="63">
        <f t="shared" si="6"/>
        <v>293</v>
      </c>
      <c r="M42" s="63">
        <f>0</f>
        <v>0</v>
      </c>
      <c r="N42" s="63">
        <f t="shared" si="4"/>
        <v>293</v>
      </c>
      <c r="O42" s="11">
        <f>0</f>
        <v>0</v>
      </c>
    </row>
    <row r="43" spans="1:15" x14ac:dyDescent="0.25">
      <c r="A43" s="47" t="s">
        <v>295</v>
      </c>
      <c r="B43" s="48" t="s">
        <v>296</v>
      </c>
      <c r="C43" s="48" t="s">
        <v>297</v>
      </c>
      <c r="D43" s="48" t="s">
        <v>298</v>
      </c>
      <c r="E43" s="48" t="s">
        <v>299</v>
      </c>
      <c r="F43" s="64" t="str">
        <f t="shared" si="1"/>
        <v>300:300:300:0:300:0</v>
      </c>
      <c r="G43" s="41" t="s">
        <v>681</v>
      </c>
      <c r="H43" s="62">
        <f t="shared" si="2"/>
        <v>600</v>
      </c>
      <c r="I43" s="62">
        <f t="shared" si="3"/>
        <v>300</v>
      </c>
      <c r="J43" s="63">
        <f t="shared" si="6"/>
        <v>300</v>
      </c>
      <c r="K43" s="63">
        <f t="shared" si="6"/>
        <v>300</v>
      </c>
      <c r="L43" s="63">
        <f t="shared" si="6"/>
        <v>300</v>
      </c>
      <c r="M43" s="63">
        <f>0</f>
        <v>0</v>
      </c>
      <c r="N43" s="63">
        <f t="shared" si="4"/>
        <v>300</v>
      </c>
      <c r="O43" s="11">
        <f>0</f>
        <v>0</v>
      </c>
    </row>
    <row r="44" spans="1:15" x14ac:dyDescent="0.25">
      <c r="A44" s="47" t="s">
        <v>300</v>
      </c>
      <c r="B44" s="48" t="s">
        <v>296</v>
      </c>
      <c r="C44" s="48" t="s">
        <v>297</v>
      </c>
      <c r="D44" s="48" t="s">
        <v>298</v>
      </c>
      <c r="E44" s="48" t="s">
        <v>299</v>
      </c>
      <c r="F44" s="64" t="str">
        <f t="shared" si="1"/>
        <v>308:308:308:0:308:0</v>
      </c>
      <c r="G44" s="41" t="s">
        <v>682</v>
      </c>
      <c r="H44" s="62">
        <f t="shared" si="2"/>
        <v>615</v>
      </c>
      <c r="I44" s="62">
        <f t="shared" si="3"/>
        <v>308</v>
      </c>
      <c r="J44" s="63">
        <f t="shared" si="6"/>
        <v>308</v>
      </c>
      <c r="K44" s="63">
        <f t="shared" si="6"/>
        <v>308</v>
      </c>
      <c r="L44" s="63">
        <f t="shared" si="6"/>
        <v>308</v>
      </c>
      <c r="M44" s="63">
        <f>0</f>
        <v>0</v>
      </c>
      <c r="N44" s="63">
        <f t="shared" si="4"/>
        <v>308</v>
      </c>
      <c r="O44" s="11">
        <f>0</f>
        <v>0</v>
      </c>
    </row>
    <row r="45" spans="1:15" x14ac:dyDescent="0.25">
      <c r="A45" s="47" t="s">
        <v>301</v>
      </c>
      <c r="B45" s="48" t="s">
        <v>302</v>
      </c>
      <c r="C45" s="48" t="s">
        <v>303</v>
      </c>
      <c r="D45" s="48" t="s">
        <v>304</v>
      </c>
      <c r="E45" s="48" t="s">
        <v>305</v>
      </c>
      <c r="F45" s="64" t="str">
        <f t="shared" si="1"/>
        <v>315:315:315:0:315:0</v>
      </c>
      <c r="G45" s="41" t="s">
        <v>683</v>
      </c>
      <c r="H45" s="62">
        <f t="shared" si="2"/>
        <v>630</v>
      </c>
      <c r="I45" s="62">
        <f t="shared" si="3"/>
        <v>315</v>
      </c>
      <c r="J45" s="63">
        <f t="shared" si="6"/>
        <v>315</v>
      </c>
      <c r="K45" s="63">
        <f t="shared" si="6"/>
        <v>315</v>
      </c>
      <c r="L45" s="63">
        <f t="shared" si="6"/>
        <v>315</v>
      </c>
      <c r="M45" s="63">
        <f>0</f>
        <v>0</v>
      </c>
      <c r="N45" s="63">
        <f t="shared" si="4"/>
        <v>315</v>
      </c>
      <c r="O45" s="11">
        <f>0</f>
        <v>0</v>
      </c>
    </row>
    <row r="46" spans="1:15" x14ac:dyDescent="0.25">
      <c r="A46" s="47" t="s">
        <v>306</v>
      </c>
      <c r="B46" s="48" t="s">
        <v>302</v>
      </c>
      <c r="C46" s="48" t="s">
        <v>303</v>
      </c>
      <c r="D46" s="48" t="s">
        <v>304</v>
      </c>
      <c r="E46" s="48" t="s">
        <v>305</v>
      </c>
      <c r="F46" s="64" t="str">
        <f t="shared" si="1"/>
        <v>323:323:323:0:323:0</v>
      </c>
      <c r="G46" s="41" t="s">
        <v>684</v>
      </c>
      <c r="H46" s="62">
        <f t="shared" si="2"/>
        <v>645</v>
      </c>
      <c r="I46" s="62">
        <f t="shared" si="3"/>
        <v>323</v>
      </c>
      <c r="J46" s="63">
        <f t="shared" si="6"/>
        <v>323</v>
      </c>
      <c r="K46" s="63">
        <f t="shared" si="6"/>
        <v>323</v>
      </c>
      <c r="L46" s="63">
        <f t="shared" si="6"/>
        <v>323</v>
      </c>
      <c r="M46" s="63">
        <f>0</f>
        <v>0</v>
      </c>
      <c r="N46" s="63">
        <f t="shared" si="4"/>
        <v>323</v>
      </c>
      <c r="O46" s="11">
        <f>0</f>
        <v>0</v>
      </c>
    </row>
    <row r="47" spans="1:15" x14ac:dyDescent="0.25">
      <c r="A47" s="47" t="s">
        <v>307</v>
      </c>
      <c r="B47" s="48" t="s">
        <v>308</v>
      </c>
      <c r="C47" s="48" t="s">
        <v>309</v>
      </c>
      <c r="D47" s="48" t="s">
        <v>310</v>
      </c>
      <c r="E47" s="48" t="s">
        <v>311</v>
      </c>
      <c r="F47" s="64" t="str">
        <f t="shared" si="1"/>
        <v>330:330:330:0:330:0</v>
      </c>
      <c r="G47" s="41" t="s">
        <v>685</v>
      </c>
      <c r="H47" s="62">
        <f t="shared" si="2"/>
        <v>660</v>
      </c>
      <c r="I47" s="62">
        <f t="shared" si="3"/>
        <v>330</v>
      </c>
      <c r="J47" s="63">
        <f t="shared" si="6"/>
        <v>330</v>
      </c>
      <c r="K47" s="63">
        <f t="shared" si="6"/>
        <v>330</v>
      </c>
      <c r="L47" s="63">
        <f t="shared" si="6"/>
        <v>330</v>
      </c>
      <c r="M47" s="63">
        <f>0</f>
        <v>0</v>
      </c>
      <c r="N47" s="63">
        <f t="shared" si="4"/>
        <v>330</v>
      </c>
      <c r="O47" s="11">
        <f>0</f>
        <v>0</v>
      </c>
    </row>
    <row r="48" spans="1:15" x14ac:dyDescent="0.25">
      <c r="A48" s="47" t="s">
        <v>312</v>
      </c>
      <c r="B48" s="48" t="s">
        <v>308</v>
      </c>
      <c r="C48" s="48" t="s">
        <v>309</v>
      </c>
      <c r="D48" s="48" t="s">
        <v>310</v>
      </c>
      <c r="E48" s="48" t="s">
        <v>311</v>
      </c>
      <c r="F48" s="64" t="str">
        <f t="shared" si="1"/>
        <v>338:338:338:0:338:0</v>
      </c>
      <c r="G48" s="41" t="s">
        <v>686</v>
      </c>
      <c r="H48" s="62">
        <f t="shared" si="2"/>
        <v>675</v>
      </c>
      <c r="I48" s="62">
        <f t="shared" si="3"/>
        <v>338</v>
      </c>
      <c r="J48" s="63">
        <f t="shared" si="6"/>
        <v>338</v>
      </c>
      <c r="K48" s="63">
        <f t="shared" si="6"/>
        <v>338</v>
      </c>
      <c r="L48" s="63">
        <f t="shared" si="6"/>
        <v>338</v>
      </c>
      <c r="M48" s="63">
        <f>0</f>
        <v>0</v>
      </c>
      <c r="N48" s="63">
        <f t="shared" si="4"/>
        <v>338</v>
      </c>
      <c r="O48" s="11">
        <f>0</f>
        <v>0</v>
      </c>
    </row>
    <row r="49" spans="1:15" x14ac:dyDescent="0.25">
      <c r="A49" s="47" t="s">
        <v>313</v>
      </c>
      <c r="B49" s="48" t="s">
        <v>314</v>
      </c>
      <c r="C49" s="48" t="s">
        <v>315</v>
      </c>
      <c r="D49" s="48" t="s">
        <v>316</v>
      </c>
      <c r="E49" s="48" t="s">
        <v>317</v>
      </c>
      <c r="F49" s="64" t="str">
        <f t="shared" si="1"/>
        <v>345:345:345:0:345:0</v>
      </c>
      <c r="G49" s="41" t="s">
        <v>687</v>
      </c>
      <c r="H49" s="62">
        <f t="shared" si="2"/>
        <v>690</v>
      </c>
      <c r="I49" s="62">
        <f t="shared" si="3"/>
        <v>345</v>
      </c>
      <c r="J49" s="63">
        <f t="shared" si="6"/>
        <v>345</v>
      </c>
      <c r="K49" s="63">
        <f t="shared" si="6"/>
        <v>345</v>
      </c>
      <c r="L49" s="63">
        <f t="shared" si="6"/>
        <v>345</v>
      </c>
      <c r="M49" s="63">
        <f>0</f>
        <v>0</v>
      </c>
      <c r="N49" s="63">
        <f t="shared" si="4"/>
        <v>345</v>
      </c>
      <c r="O49" s="11">
        <f>0</f>
        <v>0</v>
      </c>
    </row>
    <row r="50" spans="1:15" x14ac:dyDescent="0.25">
      <c r="A50" s="47" t="s">
        <v>318</v>
      </c>
      <c r="B50" s="48" t="s">
        <v>314</v>
      </c>
      <c r="C50" s="48" t="s">
        <v>315</v>
      </c>
      <c r="D50" s="48" t="s">
        <v>316</v>
      </c>
      <c r="E50" s="48" t="s">
        <v>317</v>
      </c>
      <c r="F50" s="64" t="str">
        <f t="shared" si="1"/>
        <v>353:353:353:0:353:0</v>
      </c>
      <c r="G50" s="41" t="s">
        <v>688</v>
      </c>
      <c r="H50" s="62">
        <f t="shared" si="2"/>
        <v>705</v>
      </c>
      <c r="I50" s="62">
        <f t="shared" si="3"/>
        <v>353</v>
      </c>
      <c r="J50" s="63">
        <f t="shared" si="6"/>
        <v>353</v>
      </c>
      <c r="K50" s="63">
        <f t="shared" si="6"/>
        <v>353</v>
      </c>
      <c r="L50" s="63">
        <f t="shared" si="6"/>
        <v>353</v>
      </c>
      <c r="M50" s="63">
        <f>0</f>
        <v>0</v>
      </c>
      <c r="N50" s="63">
        <f t="shared" si="4"/>
        <v>353</v>
      </c>
      <c r="O50" s="11">
        <f>0</f>
        <v>0</v>
      </c>
    </row>
    <row r="51" spans="1:15" x14ac:dyDescent="0.25">
      <c r="A51" s="47" t="s">
        <v>319</v>
      </c>
      <c r="B51" s="48" t="s">
        <v>314</v>
      </c>
      <c r="C51" s="48" t="s">
        <v>315</v>
      </c>
      <c r="D51" s="48" t="s">
        <v>316</v>
      </c>
      <c r="E51" s="48" t="s">
        <v>317</v>
      </c>
      <c r="F51" s="64" t="str">
        <f t="shared" si="1"/>
        <v>360:360:360:0:360:0</v>
      </c>
      <c r="G51" s="41" t="s">
        <v>689</v>
      </c>
      <c r="H51" s="62">
        <f t="shared" si="2"/>
        <v>720</v>
      </c>
      <c r="I51" s="62">
        <f t="shared" si="3"/>
        <v>360</v>
      </c>
      <c r="J51" s="63">
        <f t="shared" si="6"/>
        <v>360</v>
      </c>
      <c r="K51" s="63">
        <f t="shared" si="6"/>
        <v>360</v>
      </c>
      <c r="L51" s="63">
        <f t="shared" si="6"/>
        <v>360</v>
      </c>
      <c r="M51" s="63">
        <f>0</f>
        <v>0</v>
      </c>
      <c r="N51" s="63">
        <f t="shared" si="4"/>
        <v>360</v>
      </c>
      <c r="O51" s="11">
        <f>0</f>
        <v>0</v>
      </c>
    </row>
    <row r="52" spans="1:15" x14ac:dyDescent="0.25">
      <c r="A52" s="47" t="s">
        <v>320</v>
      </c>
      <c r="B52" s="48" t="s">
        <v>321</v>
      </c>
      <c r="C52" s="48" t="s">
        <v>322</v>
      </c>
      <c r="D52" s="48" t="s">
        <v>323</v>
      </c>
      <c r="E52" s="48" t="s">
        <v>324</v>
      </c>
      <c r="F52" s="64" t="str">
        <f t="shared" si="1"/>
        <v>368:368:368:0:368:0</v>
      </c>
      <c r="G52" s="41" t="s">
        <v>690</v>
      </c>
      <c r="H52" s="62">
        <f t="shared" si="2"/>
        <v>735</v>
      </c>
      <c r="I52" s="62">
        <f t="shared" si="3"/>
        <v>368</v>
      </c>
      <c r="J52" s="63">
        <f t="shared" si="6"/>
        <v>368</v>
      </c>
      <c r="K52" s="63">
        <f t="shared" si="6"/>
        <v>368</v>
      </c>
      <c r="L52" s="63">
        <f t="shared" si="6"/>
        <v>368</v>
      </c>
      <c r="M52" s="63">
        <f>0</f>
        <v>0</v>
      </c>
      <c r="N52" s="63">
        <f t="shared" si="4"/>
        <v>368</v>
      </c>
      <c r="O52" s="11">
        <f>0</f>
        <v>0</v>
      </c>
    </row>
    <row r="53" spans="1:15" x14ac:dyDescent="0.25">
      <c r="A53" s="47" t="s">
        <v>325</v>
      </c>
      <c r="B53" s="48" t="s">
        <v>326</v>
      </c>
      <c r="C53" s="48" t="s">
        <v>327</v>
      </c>
      <c r="D53" s="48" t="s">
        <v>328</v>
      </c>
      <c r="E53" s="48" t="s">
        <v>329</v>
      </c>
      <c r="F53" s="64" t="str">
        <f t="shared" si="1"/>
        <v>375:375:375:0:375:0</v>
      </c>
      <c r="G53" s="41" t="s">
        <v>691</v>
      </c>
      <c r="H53" s="62">
        <f t="shared" si="2"/>
        <v>750</v>
      </c>
      <c r="I53" s="62">
        <f t="shared" si="3"/>
        <v>375</v>
      </c>
      <c r="J53" s="63">
        <f t="shared" si="6"/>
        <v>375</v>
      </c>
      <c r="K53" s="63">
        <f t="shared" si="6"/>
        <v>375</v>
      </c>
      <c r="L53" s="63">
        <f t="shared" si="6"/>
        <v>375</v>
      </c>
      <c r="M53" s="63">
        <f>0</f>
        <v>0</v>
      </c>
      <c r="N53" s="63">
        <f t="shared" si="4"/>
        <v>375</v>
      </c>
      <c r="O53" s="11">
        <f>0</f>
        <v>0</v>
      </c>
    </row>
    <row r="54" spans="1:15" x14ac:dyDescent="0.25">
      <c r="A54" s="47" t="s">
        <v>330</v>
      </c>
      <c r="B54" s="48" t="s">
        <v>331</v>
      </c>
      <c r="C54" s="48" t="s">
        <v>332</v>
      </c>
      <c r="D54" s="48" t="s">
        <v>333</v>
      </c>
      <c r="E54" s="48" t="s">
        <v>334</v>
      </c>
      <c r="F54" s="64" t="str">
        <f t="shared" si="1"/>
        <v>383:383:383:0:383:0</v>
      </c>
      <c r="G54" s="41" t="s">
        <v>692</v>
      </c>
      <c r="H54" s="62">
        <f t="shared" si="2"/>
        <v>765</v>
      </c>
      <c r="I54" s="62">
        <f t="shared" si="3"/>
        <v>383</v>
      </c>
      <c r="J54" s="63">
        <f t="shared" si="6"/>
        <v>383</v>
      </c>
      <c r="K54" s="63">
        <f t="shared" si="6"/>
        <v>383</v>
      </c>
      <c r="L54" s="63">
        <f t="shared" si="6"/>
        <v>383</v>
      </c>
      <c r="M54" s="63">
        <f>0</f>
        <v>0</v>
      </c>
      <c r="N54" s="63">
        <f t="shared" si="4"/>
        <v>383</v>
      </c>
      <c r="O54" s="11">
        <f>0</f>
        <v>0</v>
      </c>
    </row>
    <row r="55" spans="1:15" x14ac:dyDescent="0.25">
      <c r="A55" s="47" t="s">
        <v>335</v>
      </c>
      <c r="B55" s="48" t="s">
        <v>336</v>
      </c>
      <c r="C55" s="48" t="s">
        <v>337</v>
      </c>
      <c r="D55" s="48" t="s">
        <v>338</v>
      </c>
      <c r="E55" s="48" t="s">
        <v>339</v>
      </c>
      <c r="F55" s="64" t="str">
        <f t="shared" si="1"/>
        <v>390:390:390:0:390:0</v>
      </c>
      <c r="G55" s="41" t="s">
        <v>693</v>
      </c>
      <c r="H55" s="62">
        <f t="shared" si="2"/>
        <v>780</v>
      </c>
      <c r="I55" s="62">
        <f t="shared" si="3"/>
        <v>390</v>
      </c>
      <c r="J55" s="63">
        <f t="shared" si="6"/>
        <v>390</v>
      </c>
      <c r="K55" s="63">
        <f t="shared" si="6"/>
        <v>390</v>
      </c>
      <c r="L55" s="63">
        <f t="shared" si="6"/>
        <v>390</v>
      </c>
      <c r="M55" s="63">
        <f>0</f>
        <v>0</v>
      </c>
      <c r="N55" s="63">
        <f t="shared" si="4"/>
        <v>390</v>
      </c>
      <c r="O55" s="11">
        <f>0</f>
        <v>0</v>
      </c>
    </row>
    <row r="56" spans="1:15" x14ac:dyDescent="0.25">
      <c r="A56" s="47" t="s">
        <v>340</v>
      </c>
      <c r="B56" s="48" t="s">
        <v>341</v>
      </c>
      <c r="C56" s="48" t="s">
        <v>342</v>
      </c>
      <c r="D56" s="48" t="s">
        <v>343</v>
      </c>
      <c r="E56" s="48" t="s">
        <v>344</v>
      </c>
      <c r="F56" s="64" t="str">
        <f t="shared" si="1"/>
        <v>398:398:398:0:398:0</v>
      </c>
      <c r="G56" s="41" t="s">
        <v>694</v>
      </c>
      <c r="H56" s="62">
        <f t="shared" si="2"/>
        <v>795</v>
      </c>
      <c r="I56" s="62">
        <f t="shared" si="3"/>
        <v>398</v>
      </c>
      <c r="J56" s="63">
        <f t="shared" si="6"/>
        <v>398</v>
      </c>
      <c r="K56" s="63">
        <f t="shared" si="6"/>
        <v>398</v>
      </c>
      <c r="L56" s="63">
        <f t="shared" si="6"/>
        <v>398</v>
      </c>
      <c r="M56" s="63">
        <f>0</f>
        <v>0</v>
      </c>
      <c r="N56" s="63">
        <f t="shared" si="4"/>
        <v>398</v>
      </c>
      <c r="O56" s="11">
        <f>0</f>
        <v>0</v>
      </c>
    </row>
    <row r="57" spans="1:15" x14ac:dyDescent="0.25">
      <c r="A57" s="47" t="s">
        <v>345</v>
      </c>
      <c r="B57" s="48" t="s">
        <v>346</v>
      </c>
      <c r="C57" s="48" t="s">
        <v>347</v>
      </c>
      <c r="D57" s="48" t="s">
        <v>348</v>
      </c>
      <c r="E57" s="48" t="s">
        <v>349</v>
      </c>
      <c r="F57" s="64" t="str">
        <f t="shared" si="1"/>
        <v>405:405:405:0:405:0</v>
      </c>
      <c r="G57" s="41" t="s">
        <v>695</v>
      </c>
      <c r="H57" s="62">
        <f t="shared" si="2"/>
        <v>810</v>
      </c>
      <c r="I57" s="62">
        <f t="shared" si="3"/>
        <v>405</v>
      </c>
      <c r="J57" s="63">
        <f t="shared" si="6"/>
        <v>405</v>
      </c>
      <c r="K57" s="63">
        <f t="shared" si="6"/>
        <v>405</v>
      </c>
      <c r="L57" s="63">
        <f t="shared" si="6"/>
        <v>405</v>
      </c>
      <c r="M57" s="63">
        <f>0</f>
        <v>0</v>
      </c>
      <c r="N57" s="63">
        <f t="shared" si="4"/>
        <v>405</v>
      </c>
      <c r="O57" s="11">
        <f>0</f>
        <v>0</v>
      </c>
    </row>
    <row r="58" spans="1:15" x14ac:dyDescent="0.25">
      <c r="A58" s="47" t="s">
        <v>350</v>
      </c>
      <c r="B58" s="48" t="s">
        <v>351</v>
      </c>
      <c r="C58" s="48" t="s">
        <v>352</v>
      </c>
      <c r="D58" s="48" t="s">
        <v>353</v>
      </c>
      <c r="E58" s="48" t="s">
        <v>354</v>
      </c>
      <c r="F58" s="64" t="str">
        <f t="shared" si="1"/>
        <v>413:413:413:0:413:0</v>
      </c>
      <c r="G58" s="41" t="s">
        <v>696</v>
      </c>
      <c r="H58" s="62">
        <f t="shared" si="2"/>
        <v>825</v>
      </c>
      <c r="I58" s="62">
        <f t="shared" si="3"/>
        <v>413</v>
      </c>
      <c r="J58" s="63">
        <f t="shared" si="6"/>
        <v>413</v>
      </c>
      <c r="K58" s="63">
        <f t="shared" si="6"/>
        <v>413</v>
      </c>
      <c r="L58" s="63">
        <f t="shared" si="6"/>
        <v>413</v>
      </c>
      <c r="M58" s="63">
        <f>0</f>
        <v>0</v>
      </c>
      <c r="N58" s="63">
        <f t="shared" si="4"/>
        <v>413</v>
      </c>
      <c r="O58" s="11">
        <f>0</f>
        <v>0</v>
      </c>
    </row>
    <row r="59" spans="1:15" x14ac:dyDescent="0.25">
      <c r="A59" s="47" t="s">
        <v>355</v>
      </c>
      <c r="B59" s="48" t="s">
        <v>356</v>
      </c>
      <c r="C59" s="48" t="s">
        <v>357</v>
      </c>
      <c r="D59" s="48" t="s">
        <v>358</v>
      </c>
      <c r="E59" s="48" t="s">
        <v>359</v>
      </c>
      <c r="F59" s="64" t="str">
        <f t="shared" si="1"/>
        <v>420:420:420:0:420:0</v>
      </c>
      <c r="G59" s="41" t="s">
        <v>697</v>
      </c>
      <c r="H59" s="62">
        <f t="shared" si="2"/>
        <v>840</v>
      </c>
      <c r="I59" s="62">
        <f t="shared" si="3"/>
        <v>420</v>
      </c>
      <c r="J59" s="63">
        <f t="shared" si="6"/>
        <v>420</v>
      </c>
      <c r="K59" s="63">
        <f t="shared" si="6"/>
        <v>420</v>
      </c>
      <c r="L59" s="63">
        <f t="shared" si="6"/>
        <v>420</v>
      </c>
      <c r="M59" s="63">
        <f>0</f>
        <v>0</v>
      </c>
      <c r="N59" s="63">
        <f t="shared" si="4"/>
        <v>420</v>
      </c>
      <c r="O59" s="11">
        <f>0</f>
        <v>0</v>
      </c>
    </row>
    <row r="60" spans="1:15" x14ac:dyDescent="0.25">
      <c r="A60" s="47" t="s">
        <v>360</v>
      </c>
      <c r="B60" s="48" t="s">
        <v>361</v>
      </c>
      <c r="C60" s="48" t="s">
        <v>362</v>
      </c>
      <c r="D60" s="48" t="s">
        <v>363</v>
      </c>
      <c r="E60" s="48" t="s">
        <v>364</v>
      </c>
      <c r="F60" s="64" t="str">
        <f t="shared" si="1"/>
        <v>428:428:428:0:428:0</v>
      </c>
      <c r="G60" s="41" t="s">
        <v>698</v>
      </c>
      <c r="H60" s="62">
        <f t="shared" si="2"/>
        <v>855</v>
      </c>
      <c r="I60" s="62">
        <f t="shared" si="3"/>
        <v>428</v>
      </c>
      <c r="J60" s="63">
        <f t="shared" si="6"/>
        <v>428</v>
      </c>
      <c r="K60" s="63">
        <f t="shared" si="6"/>
        <v>428</v>
      </c>
      <c r="L60" s="63">
        <f t="shared" si="6"/>
        <v>428</v>
      </c>
      <c r="M60" s="63">
        <f>0</f>
        <v>0</v>
      </c>
      <c r="N60" s="63">
        <f t="shared" si="4"/>
        <v>428</v>
      </c>
      <c r="O60" s="11">
        <f>0</f>
        <v>0</v>
      </c>
    </row>
    <row r="61" spans="1:15" x14ac:dyDescent="0.25">
      <c r="A61" s="47" t="s">
        <v>365</v>
      </c>
      <c r="B61" s="48" t="s">
        <v>366</v>
      </c>
      <c r="C61" s="48" t="s">
        <v>367</v>
      </c>
      <c r="D61" s="48" t="s">
        <v>368</v>
      </c>
      <c r="E61" s="48" t="s">
        <v>369</v>
      </c>
      <c r="F61" s="64" t="str">
        <f t="shared" si="1"/>
        <v>435:435:435:0:435:0</v>
      </c>
      <c r="G61" s="41" t="s">
        <v>699</v>
      </c>
      <c r="H61" s="62">
        <f t="shared" si="2"/>
        <v>870</v>
      </c>
      <c r="I61" s="62">
        <f t="shared" si="3"/>
        <v>435</v>
      </c>
      <c r="J61" s="63">
        <f t="shared" si="6"/>
        <v>435</v>
      </c>
      <c r="K61" s="63">
        <f t="shared" si="6"/>
        <v>435</v>
      </c>
      <c r="L61" s="63">
        <f t="shared" si="6"/>
        <v>435</v>
      </c>
      <c r="M61" s="63">
        <f>0</f>
        <v>0</v>
      </c>
      <c r="N61" s="63">
        <f t="shared" si="4"/>
        <v>435</v>
      </c>
      <c r="O61" s="11">
        <f>0</f>
        <v>0</v>
      </c>
    </row>
    <row r="62" spans="1:15" x14ac:dyDescent="0.25">
      <c r="A62" s="47" t="s">
        <v>370</v>
      </c>
      <c r="B62" s="48" t="s">
        <v>371</v>
      </c>
      <c r="C62" s="48" t="s">
        <v>372</v>
      </c>
      <c r="D62" s="48" t="s">
        <v>373</v>
      </c>
      <c r="E62" s="48" t="s">
        <v>374</v>
      </c>
      <c r="F62" s="64" t="str">
        <f t="shared" si="1"/>
        <v>443:443:443:0:443:0</v>
      </c>
      <c r="G62" s="41" t="s">
        <v>700</v>
      </c>
      <c r="H62" s="62">
        <f t="shared" si="2"/>
        <v>885</v>
      </c>
      <c r="I62" s="62">
        <f t="shared" si="3"/>
        <v>443</v>
      </c>
      <c r="J62" s="63">
        <f t="shared" ref="J62:L81" si="7">I62</f>
        <v>443</v>
      </c>
      <c r="K62" s="63">
        <f t="shared" si="7"/>
        <v>443</v>
      </c>
      <c r="L62" s="63">
        <f t="shared" si="7"/>
        <v>443</v>
      </c>
      <c r="M62" s="63">
        <f>0</f>
        <v>0</v>
      </c>
      <c r="N62" s="63">
        <f t="shared" si="4"/>
        <v>443</v>
      </c>
      <c r="O62" s="11">
        <f>0</f>
        <v>0</v>
      </c>
    </row>
    <row r="63" spans="1:15" x14ac:dyDescent="0.25">
      <c r="A63" s="47" t="s">
        <v>375</v>
      </c>
      <c r="B63" s="48" t="s">
        <v>376</v>
      </c>
      <c r="C63" s="48" t="s">
        <v>377</v>
      </c>
      <c r="D63" s="48" t="s">
        <v>378</v>
      </c>
      <c r="E63" s="48" t="s">
        <v>379</v>
      </c>
      <c r="F63" s="64" t="str">
        <f t="shared" si="1"/>
        <v>450:450:450:0:450:0</v>
      </c>
      <c r="G63" s="41" t="s">
        <v>701</v>
      </c>
      <c r="H63" s="62">
        <f t="shared" si="2"/>
        <v>900</v>
      </c>
      <c r="I63" s="62">
        <f t="shared" si="3"/>
        <v>450</v>
      </c>
      <c r="J63" s="63">
        <f t="shared" si="7"/>
        <v>450</v>
      </c>
      <c r="K63" s="63">
        <f t="shared" si="7"/>
        <v>450</v>
      </c>
      <c r="L63" s="63">
        <f t="shared" si="7"/>
        <v>450</v>
      </c>
      <c r="M63" s="63">
        <f>0</f>
        <v>0</v>
      </c>
      <c r="N63" s="63">
        <f t="shared" si="4"/>
        <v>450</v>
      </c>
      <c r="O63" s="11">
        <f>0</f>
        <v>0</v>
      </c>
    </row>
    <row r="64" spans="1:15" x14ac:dyDescent="0.25">
      <c r="A64" s="47" t="s">
        <v>380</v>
      </c>
      <c r="B64" s="48" t="s">
        <v>381</v>
      </c>
      <c r="C64" s="48" t="s">
        <v>382</v>
      </c>
      <c r="D64" s="48" t="s">
        <v>383</v>
      </c>
      <c r="E64" s="48" t="s">
        <v>384</v>
      </c>
      <c r="F64" s="64" t="str">
        <f t="shared" si="1"/>
        <v>458:458:458:0:458:0</v>
      </c>
      <c r="G64" s="41" t="s">
        <v>702</v>
      </c>
      <c r="H64" s="62">
        <f t="shared" si="2"/>
        <v>915</v>
      </c>
      <c r="I64" s="62">
        <f t="shared" si="3"/>
        <v>458</v>
      </c>
      <c r="J64" s="63">
        <f t="shared" si="7"/>
        <v>458</v>
      </c>
      <c r="K64" s="63">
        <f t="shared" si="7"/>
        <v>458</v>
      </c>
      <c r="L64" s="63">
        <f t="shared" si="7"/>
        <v>458</v>
      </c>
      <c r="M64" s="63">
        <f>0</f>
        <v>0</v>
      </c>
      <c r="N64" s="63">
        <f t="shared" si="4"/>
        <v>458</v>
      </c>
      <c r="O64" s="11">
        <f>0</f>
        <v>0</v>
      </c>
    </row>
    <row r="65" spans="1:15" x14ac:dyDescent="0.25">
      <c r="A65" s="47" t="s">
        <v>385</v>
      </c>
      <c r="B65" s="48" t="s">
        <v>386</v>
      </c>
      <c r="C65" s="48" t="s">
        <v>387</v>
      </c>
      <c r="D65" s="48" t="s">
        <v>388</v>
      </c>
      <c r="E65" s="48" t="s">
        <v>389</v>
      </c>
      <c r="F65" s="64" t="str">
        <f t="shared" si="1"/>
        <v>465:465:465:0:465:0</v>
      </c>
      <c r="G65" s="41" t="s">
        <v>703</v>
      </c>
      <c r="H65" s="62">
        <f t="shared" si="2"/>
        <v>930</v>
      </c>
      <c r="I65" s="62">
        <f t="shared" si="3"/>
        <v>465</v>
      </c>
      <c r="J65" s="63">
        <f t="shared" si="7"/>
        <v>465</v>
      </c>
      <c r="K65" s="63">
        <f t="shared" si="7"/>
        <v>465</v>
      </c>
      <c r="L65" s="63">
        <f t="shared" si="7"/>
        <v>465</v>
      </c>
      <c r="M65" s="63">
        <f>0</f>
        <v>0</v>
      </c>
      <c r="N65" s="63">
        <f t="shared" si="4"/>
        <v>465</v>
      </c>
      <c r="O65" s="11">
        <f>0</f>
        <v>0</v>
      </c>
    </row>
    <row r="66" spans="1:15" x14ac:dyDescent="0.25">
      <c r="A66" s="47" t="s">
        <v>390</v>
      </c>
      <c r="B66" s="48" t="s">
        <v>391</v>
      </c>
      <c r="C66" s="48" t="s">
        <v>392</v>
      </c>
      <c r="D66" s="48" t="s">
        <v>393</v>
      </c>
      <c r="E66" s="48" t="s">
        <v>394</v>
      </c>
      <c r="F66" s="64" t="str">
        <f t="shared" si="1"/>
        <v>473:473:473:0:473:0</v>
      </c>
      <c r="G66" s="41" t="s">
        <v>704</v>
      </c>
      <c r="H66" s="62">
        <f t="shared" si="2"/>
        <v>945</v>
      </c>
      <c r="I66" s="62">
        <f t="shared" si="3"/>
        <v>473</v>
      </c>
      <c r="J66" s="63">
        <f t="shared" si="7"/>
        <v>473</v>
      </c>
      <c r="K66" s="63">
        <f t="shared" si="7"/>
        <v>473</v>
      </c>
      <c r="L66" s="63">
        <f t="shared" si="7"/>
        <v>473</v>
      </c>
      <c r="M66" s="63">
        <f>0</f>
        <v>0</v>
      </c>
      <c r="N66" s="63">
        <f t="shared" si="4"/>
        <v>473</v>
      </c>
      <c r="O66" s="11">
        <f>0</f>
        <v>0</v>
      </c>
    </row>
    <row r="67" spans="1:15" x14ac:dyDescent="0.25">
      <c r="A67" s="47" t="s">
        <v>395</v>
      </c>
      <c r="B67" s="49" t="s">
        <v>396</v>
      </c>
      <c r="C67" s="49" t="s">
        <v>397</v>
      </c>
      <c r="D67" s="49" t="s">
        <v>398</v>
      </c>
      <c r="E67" s="49" t="s">
        <v>399</v>
      </c>
      <c r="F67" s="64" t="str">
        <f t="shared" ref="F67:F130" si="8">CONCATENATE(J67&amp;":"&amp;K67&amp;":"&amp;L67&amp;":"&amp;M67&amp;":"&amp;N67&amp;":"&amp;O67)</f>
        <v>480:480:480:0:480:0</v>
      </c>
      <c r="G67" s="41" t="s">
        <v>705</v>
      </c>
      <c r="H67" s="62">
        <f t="shared" ref="H67:H130" si="9">G67*5</f>
        <v>960</v>
      </c>
      <c r="I67" s="62">
        <f t="shared" ref="I67:I130" si="10">ROUNDUP(H67/2,0)</f>
        <v>480</v>
      </c>
      <c r="J67" s="63">
        <f t="shared" si="7"/>
        <v>480</v>
      </c>
      <c r="K67" s="63">
        <f t="shared" si="7"/>
        <v>480</v>
      </c>
      <c r="L67" s="63">
        <f t="shared" si="7"/>
        <v>480</v>
      </c>
      <c r="M67" s="63">
        <f>0</f>
        <v>0</v>
      </c>
      <c r="N67" s="63">
        <f t="shared" ref="N67:N130" si="11">L67</f>
        <v>480</v>
      </c>
      <c r="O67" s="11">
        <f>0</f>
        <v>0</v>
      </c>
    </row>
    <row r="68" spans="1:15" x14ac:dyDescent="0.25">
      <c r="A68" s="47" t="s">
        <v>400</v>
      </c>
      <c r="B68" s="49" t="s">
        <v>401</v>
      </c>
      <c r="C68" s="49" t="s">
        <v>402</v>
      </c>
      <c r="D68" s="49" t="s">
        <v>403</v>
      </c>
      <c r="E68" s="49" t="s">
        <v>404</v>
      </c>
      <c r="F68" s="64" t="str">
        <f t="shared" si="8"/>
        <v>488:488:488:0:488:0</v>
      </c>
      <c r="G68" s="41" t="s">
        <v>706</v>
      </c>
      <c r="H68" s="62">
        <f t="shared" si="9"/>
        <v>975</v>
      </c>
      <c r="I68" s="62">
        <f t="shared" si="10"/>
        <v>488</v>
      </c>
      <c r="J68" s="63">
        <f t="shared" si="7"/>
        <v>488</v>
      </c>
      <c r="K68" s="63">
        <f t="shared" si="7"/>
        <v>488</v>
      </c>
      <c r="L68" s="63">
        <f t="shared" si="7"/>
        <v>488</v>
      </c>
      <c r="M68" s="63">
        <f>0</f>
        <v>0</v>
      </c>
      <c r="N68" s="63">
        <f t="shared" si="11"/>
        <v>488</v>
      </c>
      <c r="O68" s="11">
        <f>0</f>
        <v>0</v>
      </c>
    </row>
    <row r="69" spans="1:15" x14ac:dyDescent="0.25">
      <c r="A69" s="47" t="s">
        <v>405</v>
      </c>
      <c r="B69" s="49" t="s">
        <v>406</v>
      </c>
      <c r="C69" s="49" t="s">
        <v>407</v>
      </c>
      <c r="D69" s="49" t="s">
        <v>408</v>
      </c>
      <c r="E69" s="49" t="s">
        <v>409</v>
      </c>
      <c r="F69" s="64" t="str">
        <f t="shared" si="8"/>
        <v>495:495:495:0:495:0</v>
      </c>
      <c r="G69" s="41" t="s">
        <v>707</v>
      </c>
      <c r="H69" s="62">
        <f t="shared" si="9"/>
        <v>990</v>
      </c>
      <c r="I69" s="62">
        <f t="shared" si="10"/>
        <v>495</v>
      </c>
      <c r="J69" s="63">
        <f t="shared" si="7"/>
        <v>495</v>
      </c>
      <c r="K69" s="63">
        <f t="shared" si="7"/>
        <v>495</v>
      </c>
      <c r="L69" s="63">
        <f t="shared" si="7"/>
        <v>495</v>
      </c>
      <c r="M69" s="63">
        <f>0</f>
        <v>0</v>
      </c>
      <c r="N69" s="63">
        <f t="shared" si="11"/>
        <v>495</v>
      </c>
      <c r="O69" s="11">
        <f>0</f>
        <v>0</v>
      </c>
    </row>
    <row r="70" spans="1:15" x14ac:dyDescent="0.25">
      <c r="A70" s="47" t="s">
        <v>410</v>
      </c>
      <c r="B70" s="49" t="s">
        <v>411</v>
      </c>
      <c r="C70" s="49" t="s">
        <v>412</v>
      </c>
      <c r="D70" s="49" t="s">
        <v>413</v>
      </c>
      <c r="E70" s="49" t="s">
        <v>414</v>
      </c>
      <c r="F70" s="64" t="str">
        <f t="shared" si="8"/>
        <v>503:503:503:0:503:0</v>
      </c>
      <c r="G70" s="41" t="s">
        <v>708</v>
      </c>
      <c r="H70" s="62">
        <f t="shared" si="9"/>
        <v>1005</v>
      </c>
      <c r="I70" s="62">
        <f t="shared" si="10"/>
        <v>503</v>
      </c>
      <c r="J70" s="63">
        <f t="shared" si="7"/>
        <v>503</v>
      </c>
      <c r="K70" s="63">
        <f t="shared" si="7"/>
        <v>503</v>
      </c>
      <c r="L70" s="63">
        <f t="shared" si="7"/>
        <v>503</v>
      </c>
      <c r="M70" s="63">
        <f>0</f>
        <v>0</v>
      </c>
      <c r="N70" s="63">
        <f t="shared" si="11"/>
        <v>503</v>
      </c>
      <c r="O70" s="11">
        <f>0</f>
        <v>0</v>
      </c>
    </row>
    <row r="71" spans="1:15" x14ac:dyDescent="0.25">
      <c r="A71" s="47" t="s">
        <v>415</v>
      </c>
      <c r="B71" s="49" t="s">
        <v>416</v>
      </c>
      <c r="C71" s="49" t="s">
        <v>417</v>
      </c>
      <c r="D71" s="49" t="s">
        <v>418</v>
      </c>
      <c r="E71" s="49" t="s">
        <v>419</v>
      </c>
      <c r="F71" s="64" t="str">
        <f t="shared" si="8"/>
        <v>510:510:510:0:510:0</v>
      </c>
      <c r="G71" s="41" t="s">
        <v>709</v>
      </c>
      <c r="H71" s="62">
        <f t="shared" si="9"/>
        <v>1020</v>
      </c>
      <c r="I71" s="62">
        <f t="shared" si="10"/>
        <v>510</v>
      </c>
      <c r="J71" s="63">
        <f t="shared" si="7"/>
        <v>510</v>
      </c>
      <c r="K71" s="63">
        <f t="shared" si="7"/>
        <v>510</v>
      </c>
      <c r="L71" s="63">
        <f t="shared" si="7"/>
        <v>510</v>
      </c>
      <c r="M71" s="63">
        <f>0</f>
        <v>0</v>
      </c>
      <c r="N71" s="63">
        <f t="shared" si="11"/>
        <v>510</v>
      </c>
      <c r="O71" s="11">
        <f>0</f>
        <v>0</v>
      </c>
    </row>
    <row r="72" spans="1:15" x14ac:dyDescent="0.25">
      <c r="A72" s="47" t="s">
        <v>420</v>
      </c>
      <c r="B72" s="49" t="s">
        <v>421</v>
      </c>
      <c r="C72" s="49" t="s">
        <v>422</v>
      </c>
      <c r="D72" s="49" t="s">
        <v>423</v>
      </c>
      <c r="E72" s="49" t="s">
        <v>424</v>
      </c>
      <c r="F72" s="64" t="str">
        <f t="shared" si="8"/>
        <v>518:518:518:0:518:0</v>
      </c>
      <c r="G72" s="41" t="s">
        <v>710</v>
      </c>
      <c r="H72" s="62">
        <f t="shared" si="9"/>
        <v>1035</v>
      </c>
      <c r="I72" s="62">
        <f t="shared" si="10"/>
        <v>518</v>
      </c>
      <c r="J72" s="63">
        <f t="shared" si="7"/>
        <v>518</v>
      </c>
      <c r="K72" s="63">
        <f t="shared" si="7"/>
        <v>518</v>
      </c>
      <c r="L72" s="63">
        <f t="shared" si="7"/>
        <v>518</v>
      </c>
      <c r="M72" s="63">
        <f>0</f>
        <v>0</v>
      </c>
      <c r="N72" s="63">
        <f t="shared" si="11"/>
        <v>518</v>
      </c>
      <c r="O72" s="11">
        <f>0</f>
        <v>0</v>
      </c>
    </row>
    <row r="73" spans="1:15" x14ac:dyDescent="0.25">
      <c r="A73" s="47" t="s">
        <v>425</v>
      </c>
      <c r="B73" s="49" t="s">
        <v>426</v>
      </c>
      <c r="C73" s="49" t="s">
        <v>427</v>
      </c>
      <c r="D73" s="49" t="s">
        <v>428</v>
      </c>
      <c r="E73" s="49" t="s">
        <v>429</v>
      </c>
      <c r="F73" s="64" t="str">
        <f t="shared" si="8"/>
        <v>525:525:525:0:525:0</v>
      </c>
      <c r="G73" s="41" t="s">
        <v>711</v>
      </c>
      <c r="H73" s="62">
        <f t="shared" si="9"/>
        <v>1050</v>
      </c>
      <c r="I73" s="62">
        <f t="shared" si="10"/>
        <v>525</v>
      </c>
      <c r="J73" s="63">
        <f t="shared" si="7"/>
        <v>525</v>
      </c>
      <c r="K73" s="63">
        <f t="shared" si="7"/>
        <v>525</v>
      </c>
      <c r="L73" s="63">
        <f t="shared" si="7"/>
        <v>525</v>
      </c>
      <c r="M73" s="63">
        <f>0</f>
        <v>0</v>
      </c>
      <c r="N73" s="63">
        <f t="shared" si="11"/>
        <v>525</v>
      </c>
      <c r="O73" s="11">
        <f>0</f>
        <v>0</v>
      </c>
    </row>
    <row r="74" spans="1:15" x14ac:dyDescent="0.25">
      <c r="A74" s="47" t="s">
        <v>430</v>
      </c>
      <c r="B74" s="49" t="s">
        <v>431</v>
      </c>
      <c r="C74" s="49" t="s">
        <v>432</v>
      </c>
      <c r="D74" s="49" t="s">
        <v>433</v>
      </c>
      <c r="E74" s="49" t="s">
        <v>434</v>
      </c>
      <c r="F74" s="64" t="str">
        <f t="shared" si="8"/>
        <v>533:533:533:0:533:0</v>
      </c>
      <c r="G74" s="41" t="s">
        <v>712</v>
      </c>
      <c r="H74" s="62">
        <f t="shared" si="9"/>
        <v>1065</v>
      </c>
      <c r="I74" s="62">
        <f t="shared" si="10"/>
        <v>533</v>
      </c>
      <c r="J74" s="63">
        <f t="shared" si="7"/>
        <v>533</v>
      </c>
      <c r="K74" s="63">
        <f t="shared" si="7"/>
        <v>533</v>
      </c>
      <c r="L74" s="63">
        <f t="shared" si="7"/>
        <v>533</v>
      </c>
      <c r="M74" s="63">
        <f>0</f>
        <v>0</v>
      </c>
      <c r="N74" s="63">
        <f t="shared" si="11"/>
        <v>533</v>
      </c>
      <c r="O74" s="11">
        <f>0</f>
        <v>0</v>
      </c>
    </row>
    <row r="75" spans="1:15" x14ac:dyDescent="0.25">
      <c r="A75" s="47" t="s">
        <v>435</v>
      </c>
      <c r="B75" s="49" t="s">
        <v>436</v>
      </c>
      <c r="C75" s="49" t="s">
        <v>437</v>
      </c>
      <c r="D75" s="49" t="s">
        <v>438</v>
      </c>
      <c r="E75" s="49" t="s">
        <v>439</v>
      </c>
      <c r="F75" s="64" t="str">
        <f t="shared" si="8"/>
        <v>540:540:540:0:540:0</v>
      </c>
      <c r="G75" s="41" t="s">
        <v>713</v>
      </c>
      <c r="H75" s="62">
        <f t="shared" si="9"/>
        <v>1080</v>
      </c>
      <c r="I75" s="62">
        <f t="shared" si="10"/>
        <v>540</v>
      </c>
      <c r="J75" s="63">
        <f t="shared" si="7"/>
        <v>540</v>
      </c>
      <c r="K75" s="63">
        <f t="shared" si="7"/>
        <v>540</v>
      </c>
      <c r="L75" s="63">
        <f t="shared" si="7"/>
        <v>540</v>
      </c>
      <c r="M75" s="63">
        <f>0</f>
        <v>0</v>
      </c>
      <c r="N75" s="63">
        <f t="shared" si="11"/>
        <v>540</v>
      </c>
      <c r="O75" s="11">
        <f>0</f>
        <v>0</v>
      </c>
    </row>
    <row r="76" spans="1:15" x14ac:dyDescent="0.25">
      <c r="A76" s="47" t="s">
        <v>440</v>
      </c>
      <c r="B76" s="49" t="s">
        <v>441</v>
      </c>
      <c r="C76" s="49" t="s">
        <v>442</v>
      </c>
      <c r="D76" s="49" t="s">
        <v>443</v>
      </c>
      <c r="E76" s="49" t="s">
        <v>444</v>
      </c>
      <c r="F76" s="64" t="str">
        <f t="shared" si="8"/>
        <v>548:548:548:0:548:0</v>
      </c>
      <c r="G76" s="41" t="s">
        <v>714</v>
      </c>
      <c r="H76" s="62">
        <f t="shared" si="9"/>
        <v>1095</v>
      </c>
      <c r="I76" s="62">
        <f t="shared" si="10"/>
        <v>548</v>
      </c>
      <c r="J76" s="63">
        <f t="shared" si="7"/>
        <v>548</v>
      </c>
      <c r="K76" s="63">
        <f t="shared" si="7"/>
        <v>548</v>
      </c>
      <c r="L76" s="63">
        <f t="shared" si="7"/>
        <v>548</v>
      </c>
      <c r="M76" s="63">
        <f>0</f>
        <v>0</v>
      </c>
      <c r="N76" s="63">
        <f t="shared" si="11"/>
        <v>548</v>
      </c>
      <c r="O76" s="11">
        <f>0</f>
        <v>0</v>
      </c>
    </row>
    <row r="77" spans="1:15" x14ac:dyDescent="0.25">
      <c r="A77" s="47" t="s">
        <v>445</v>
      </c>
      <c r="B77" s="49" t="s">
        <v>446</v>
      </c>
      <c r="C77" s="49" t="s">
        <v>447</v>
      </c>
      <c r="D77" s="49" t="s">
        <v>448</v>
      </c>
      <c r="E77" s="49" t="s">
        <v>449</v>
      </c>
      <c r="F77" s="64" t="str">
        <f t="shared" si="8"/>
        <v>555:555:555:0:555:0</v>
      </c>
      <c r="G77" s="41" t="s">
        <v>715</v>
      </c>
      <c r="H77" s="62">
        <f t="shared" si="9"/>
        <v>1110</v>
      </c>
      <c r="I77" s="62">
        <f t="shared" si="10"/>
        <v>555</v>
      </c>
      <c r="J77" s="63">
        <f t="shared" si="7"/>
        <v>555</v>
      </c>
      <c r="K77" s="63">
        <f t="shared" si="7"/>
        <v>555</v>
      </c>
      <c r="L77" s="63">
        <f t="shared" si="7"/>
        <v>555</v>
      </c>
      <c r="M77" s="63">
        <f>0</f>
        <v>0</v>
      </c>
      <c r="N77" s="63">
        <f t="shared" si="11"/>
        <v>555</v>
      </c>
      <c r="O77" s="11">
        <f>0</f>
        <v>0</v>
      </c>
    </row>
    <row r="78" spans="1:15" x14ac:dyDescent="0.25">
      <c r="A78" s="47" t="s">
        <v>450</v>
      </c>
      <c r="B78" s="49" t="s">
        <v>451</v>
      </c>
      <c r="C78" s="49" t="s">
        <v>452</v>
      </c>
      <c r="D78" s="49" t="s">
        <v>453</v>
      </c>
      <c r="E78" s="49" t="s">
        <v>454</v>
      </c>
      <c r="F78" s="64" t="str">
        <f t="shared" si="8"/>
        <v>563:563:563:0:563:0</v>
      </c>
      <c r="G78" s="41" t="s">
        <v>716</v>
      </c>
      <c r="H78" s="62">
        <f t="shared" si="9"/>
        <v>1125</v>
      </c>
      <c r="I78" s="62">
        <f t="shared" si="10"/>
        <v>563</v>
      </c>
      <c r="J78" s="63">
        <f t="shared" si="7"/>
        <v>563</v>
      </c>
      <c r="K78" s="63">
        <f t="shared" si="7"/>
        <v>563</v>
      </c>
      <c r="L78" s="63">
        <f t="shared" si="7"/>
        <v>563</v>
      </c>
      <c r="M78" s="63">
        <f>0</f>
        <v>0</v>
      </c>
      <c r="N78" s="63">
        <f t="shared" si="11"/>
        <v>563</v>
      </c>
      <c r="O78" s="11">
        <f>0</f>
        <v>0</v>
      </c>
    </row>
    <row r="79" spans="1:15" x14ac:dyDescent="0.25">
      <c r="A79" s="47" t="s">
        <v>455</v>
      </c>
      <c r="B79" s="49" t="s">
        <v>456</v>
      </c>
      <c r="C79" s="49" t="s">
        <v>457</v>
      </c>
      <c r="D79" s="49" t="s">
        <v>458</v>
      </c>
      <c r="E79" s="49" t="s">
        <v>459</v>
      </c>
      <c r="F79" s="64" t="str">
        <f t="shared" si="8"/>
        <v>570:570:570:0:570:0</v>
      </c>
      <c r="G79" s="41" t="s">
        <v>717</v>
      </c>
      <c r="H79" s="62">
        <f t="shared" si="9"/>
        <v>1140</v>
      </c>
      <c r="I79" s="62">
        <f t="shared" si="10"/>
        <v>570</v>
      </c>
      <c r="J79" s="63">
        <f t="shared" si="7"/>
        <v>570</v>
      </c>
      <c r="K79" s="63">
        <f t="shared" si="7"/>
        <v>570</v>
      </c>
      <c r="L79" s="63">
        <f t="shared" si="7"/>
        <v>570</v>
      </c>
      <c r="M79" s="63">
        <f>0</f>
        <v>0</v>
      </c>
      <c r="N79" s="63">
        <f t="shared" si="11"/>
        <v>570</v>
      </c>
      <c r="O79" s="11">
        <f>0</f>
        <v>0</v>
      </c>
    </row>
    <row r="80" spans="1:15" x14ac:dyDescent="0.25">
      <c r="A80" s="47" t="s">
        <v>460</v>
      </c>
      <c r="B80" s="49" t="s">
        <v>461</v>
      </c>
      <c r="C80" s="49" t="s">
        <v>462</v>
      </c>
      <c r="D80" s="49" t="s">
        <v>463</v>
      </c>
      <c r="E80" s="49" t="s">
        <v>464</v>
      </c>
      <c r="F80" s="64" t="str">
        <f t="shared" si="8"/>
        <v>578:578:578:0:578:0</v>
      </c>
      <c r="G80" s="41" t="s">
        <v>718</v>
      </c>
      <c r="H80" s="62">
        <f t="shared" si="9"/>
        <v>1155</v>
      </c>
      <c r="I80" s="62">
        <f t="shared" si="10"/>
        <v>578</v>
      </c>
      <c r="J80" s="63">
        <f t="shared" si="7"/>
        <v>578</v>
      </c>
      <c r="K80" s="63">
        <f t="shared" si="7"/>
        <v>578</v>
      </c>
      <c r="L80" s="63">
        <f t="shared" si="7"/>
        <v>578</v>
      </c>
      <c r="M80" s="63">
        <f>0</f>
        <v>0</v>
      </c>
      <c r="N80" s="63">
        <f t="shared" si="11"/>
        <v>578</v>
      </c>
      <c r="O80" s="11">
        <f>0</f>
        <v>0</v>
      </c>
    </row>
    <row r="81" spans="1:15" x14ac:dyDescent="0.25">
      <c r="A81" s="47" t="s">
        <v>465</v>
      </c>
      <c r="B81" s="49" t="s">
        <v>466</v>
      </c>
      <c r="C81" s="49" t="s">
        <v>467</v>
      </c>
      <c r="D81" s="49" t="s">
        <v>468</v>
      </c>
      <c r="E81" s="49" t="s">
        <v>469</v>
      </c>
      <c r="F81" s="64" t="str">
        <f t="shared" si="8"/>
        <v>585:585:585:0:585:0</v>
      </c>
      <c r="G81" s="41" t="s">
        <v>719</v>
      </c>
      <c r="H81" s="62">
        <f t="shared" si="9"/>
        <v>1170</v>
      </c>
      <c r="I81" s="62">
        <f t="shared" si="10"/>
        <v>585</v>
      </c>
      <c r="J81" s="63">
        <f t="shared" si="7"/>
        <v>585</v>
      </c>
      <c r="K81" s="63">
        <f t="shared" si="7"/>
        <v>585</v>
      </c>
      <c r="L81" s="63">
        <f t="shared" si="7"/>
        <v>585</v>
      </c>
      <c r="M81" s="63">
        <f>0</f>
        <v>0</v>
      </c>
      <c r="N81" s="63">
        <f t="shared" si="11"/>
        <v>585</v>
      </c>
      <c r="O81" s="11">
        <f>0</f>
        <v>0</v>
      </c>
    </row>
    <row r="82" spans="1:15" x14ac:dyDescent="0.25">
      <c r="A82" s="47" t="s">
        <v>470</v>
      </c>
      <c r="B82" s="49" t="s">
        <v>471</v>
      </c>
      <c r="C82" s="49" t="s">
        <v>472</v>
      </c>
      <c r="D82" s="49" t="s">
        <v>473</v>
      </c>
      <c r="E82" s="49" t="s">
        <v>474</v>
      </c>
      <c r="F82" s="64" t="str">
        <f t="shared" si="8"/>
        <v>593:593:593:0:593:0</v>
      </c>
      <c r="G82" s="41" t="s">
        <v>720</v>
      </c>
      <c r="H82" s="62">
        <f t="shared" si="9"/>
        <v>1185</v>
      </c>
      <c r="I82" s="62">
        <f t="shared" si="10"/>
        <v>593</v>
      </c>
      <c r="J82" s="63">
        <f t="shared" ref="J82:L101" si="12">I82</f>
        <v>593</v>
      </c>
      <c r="K82" s="63">
        <f t="shared" si="12"/>
        <v>593</v>
      </c>
      <c r="L82" s="63">
        <f t="shared" si="12"/>
        <v>593</v>
      </c>
      <c r="M82" s="63">
        <f>0</f>
        <v>0</v>
      </c>
      <c r="N82" s="63">
        <f t="shared" si="11"/>
        <v>593</v>
      </c>
      <c r="O82" s="11">
        <f>0</f>
        <v>0</v>
      </c>
    </row>
    <row r="83" spans="1:15" x14ac:dyDescent="0.25">
      <c r="A83" s="47" t="s">
        <v>475</v>
      </c>
      <c r="B83" s="49" t="s">
        <v>476</v>
      </c>
      <c r="C83" s="49" t="s">
        <v>477</v>
      </c>
      <c r="D83" s="49" t="s">
        <v>478</v>
      </c>
      <c r="E83" s="49" t="s">
        <v>479</v>
      </c>
      <c r="F83" s="64" t="str">
        <f t="shared" si="8"/>
        <v>600:600:600:0:600:0</v>
      </c>
      <c r="G83" s="41" t="s">
        <v>721</v>
      </c>
      <c r="H83" s="62">
        <f t="shared" si="9"/>
        <v>1200</v>
      </c>
      <c r="I83" s="62">
        <f t="shared" si="10"/>
        <v>600</v>
      </c>
      <c r="J83" s="63">
        <f t="shared" si="12"/>
        <v>600</v>
      </c>
      <c r="K83" s="63">
        <f t="shared" si="12"/>
        <v>600</v>
      </c>
      <c r="L83" s="63">
        <f t="shared" si="12"/>
        <v>600</v>
      </c>
      <c r="M83" s="63">
        <f>0</f>
        <v>0</v>
      </c>
      <c r="N83" s="63">
        <f t="shared" si="11"/>
        <v>600</v>
      </c>
      <c r="O83" s="11">
        <f>0</f>
        <v>0</v>
      </c>
    </row>
    <row r="84" spans="1:15" x14ac:dyDescent="0.25">
      <c r="A84" s="47" t="s">
        <v>480</v>
      </c>
      <c r="B84" s="49" t="s">
        <v>481</v>
      </c>
      <c r="C84" s="49" t="s">
        <v>482</v>
      </c>
      <c r="D84" s="49" t="s">
        <v>483</v>
      </c>
      <c r="E84" s="49" t="s">
        <v>484</v>
      </c>
      <c r="F84" s="64" t="str">
        <f t="shared" si="8"/>
        <v>608:608:608:0:608:0</v>
      </c>
      <c r="G84" s="41" t="s">
        <v>722</v>
      </c>
      <c r="H84" s="62">
        <f t="shared" si="9"/>
        <v>1215</v>
      </c>
      <c r="I84" s="62">
        <f t="shared" si="10"/>
        <v>608</v>
      </c>
      <c r="J84" s="63">
        <f t="shared" si="12"/>
        <v>608</v>
      </c>
      <c r="K84" s="63">
        <f t="shared" si="12"/>
        <v>608</v>
      </c>
      <c r="L84" s="63">
        <f t="shared" si="12"/>
        <v>608</v>
      </c>
      <c r="M84" s="63">
        <f>0</f>
        <v>0</v>
      </c>
      <c r="N84" s="63">
        <f t="shared" si="11"/>
        <v>608</v>
      </c>
      <c r="O84" s="11">
        <f>0</f>
        <v>0</v>
      </c>
    </row>
    <row r="85" spans="1:15" x14ac:dyDescent="0.25">
      <c r="A85" s="51" t="s">
        <v>485</v>
      </c>
      <c r="B85" s="52" t="s">
        <v>486</v>
      </c>
      <c r="C85" s="52" t="s">
        <v>487</v>
      </c>
      <c r="D85" s="52" t="s">
        <v>488</v>
      </c>
      <c r="E85" s="52" t="s">
        <v>489</v>
      </c>
      <c r="F85" s="64" t="str">
        <f t="shared" si="8"/>
        <v>615:615:615:0:615:0</v>
      </c>
      <c r="G85" s="41" t="s">
        <v>723</v>
      </c>
      <c r="H85" s="62">
        <f t="shared" si="9"/>
        <v>1230</v>
      </c>
      <c r="I85" s="62">
        <f t="shared" si="10"/>
        <v>615</v>
      </c>
      <c r="J85" s="63">
        <f t="shared" si="12"/>
        <v>615</v>
      </c>
      <c r="K85" s="63">
        <f t="shared" si="12"/>
        <v>615</v>
      </c>
      <c r="L85" s="63">
        <f t="shared" si="12"/>
        <v>615</v>
      </c>
      <c r="M85" s="63">
        <f>0</f>
        <v>0</v>
      </c>
      <c r="N85" s="63">
        <f t="shared" si="11"/>
        <v>615</v>
      </c>
      <c r="O85" s="11">
        <f>0</f>
        <v>0</v>
      </c>
    </row>
    <row r="86" spans="1:15" x14ac:dyDescent="0.25">
      <c r="A86" s="51" t="s">
        <v>490</v>
      </c>
      <c r="B86" s="52" t="s">
        <v>491</v>
      </c>
      <c r="C86" s="52" t="s">
        <v>492</v>
      </c>
      <c r="D86" s="52" t="s">
        <v>493</v>
      </c>
      <c r="E86" s="52" t="s">
        <v>494</v>
      </c>
      <c r="F86" s="64" t="str">
        <f t="shared" si="8"/>
        <v>623:623:623:0:623:0</v>
      </c>
      <c r="G86" s="41" t="s">
        <v>724</v>
      </c>
      <c r="H86" s="62">
        <f t="shared" si="9"/>
        <v>1245</v>
      </c>
      <c r="I86" s="62">
        <f t="shared" si="10"/>
        <v>623</v>
      </c>
      <c r="J86" s="63">
        <f t="shared" si="12"/>
        <v>623</v>
      </c>
      <c r="K86" s="63">
        <f t="shared" si="12"/>
        <v>623</v>
      </c>
      <c r="L86" s="63">
        <f t="shared" si="12"/>
        <v>623</v>
      </c>
      <c r="M86" s="63">
        <f>0</f>
        <v>0</v>
      </c>
      <c r="N86" s="63">
        <f t="shared" si="11"/>
        <v>623</v>
      </c>
      <c r="O86" s="11">
        <f>0</f>
        <v>0</v>
      </c>
    </row>
    <row r="87" spans="1:15" x14ac:dyDescent="0.25">
      <c r="A87" s="51" t="s">
        <v>495</v>
      </c>
      <c r="B87" s="52" t="s">
        <v>496</v>
      </c>
      <c r="C87" s="52" t="s">
        <v>497</v>
      </c>
      <c r="D87" s="52" t="s">
        <v>498</v>
      </c>
      <c r="E87" s="52" t="s">
        <v>499</v>
      </c>
      <c r="F87" s="64" t="str">
        <f t="shared" si="8"/>
        <v>630:630:630:0:630:0</v>
      </c>
      <c r="G87" s="41" t="s">
        <v>725</v>
      </c>
      <c r="H87" s="62">
        <f t="shared" si="9"/>
        <v>1260</v>
      </c>
      <c r="I87" s="62">
        <f t="shared" si="10"/>
        <v>630</v>
      </c>
      <c r="J87" s="63">
        <f t="shared" si="12"/>
        <v>630</v>
      </c>
      <c r="K87" s="63">
        <f t="shared" si="12"/>
        <v>630</v>
      </c>
      <c r="L87" s="63">
        <f t="shared" si="12"/>
        <v>630</v>
      </c>
      <c r="M87" s="63">
        <f>0</f>
        <v>0</v>
      </c>
      <c r="N87" s="63">
        <f t="shared" si="11"/>
        <v>630</v>
      </c>
      <c r="O87" s="11">
        <f>0</f>
        <v>0</v>
      </c>
    </row>
    <row r="88" spans="1:15" x14ac:dyDescent="0.25">
      <c r="A88" s="51" t="s">
        <v>500</v>
      </c>
      <c r="B88" s="52" t="s">
        <v>501</v>
      </c>
      <c r="C88" s="52" t="s">
        <v>502</v>
      </c>
      <c r="D88" s="52" t="s">
        <v>503</v>
      </c>
      <c r="E88" s="52" t="s">
        <v>504</v>
      </c>
      <c r="F88" s="64" t="str">
        <f t="shared" si="8"/>
        <v>638:638:638:0:638:0</v>
      </c>
      <c r="G88" s="41" t="s">
        <v>726</v>
      </c>
      <c r="H88" s="62">
        <f t="shared" si="9"/>
        <v>1275</v>
      </c>
      <c r="I88" s="62">
        <f t="shared" si="10"/>
        <v>638</v>
      </c>
      <c r="J88" s="63">
        <f t="shared" si="12"/>
        <v>638</v>
      </c>
      <c r="K88" s="63">
        <f t="shared" si="12"/>
        <v>638</v>
      </c>
      <c r="L88" s="63">
        <f t="shared" si="12"/>
        <v>638</v>
      </c>
      <c r="M88" s="63">
        <f>0</f>
        <v>0</v>
      </c>
      <c r="N88" s="63">
        <f t="shared" si="11"/>
        <v>638</v>
      </c>
      <c r="O88" s="11">
        <f>0</f>
        <v>0</v>
      </c>
    </row>
    <row r="89" spans="1:15" x14ac:dyDescent="0.25">
      <c r="A89" s="51" t="s">
        <v>505</v>
      </c>
      <c r="B89" s="52" t="s">
        <v>506</v>
      </c>
      <c r="C89" s="52" t="s">
        <v>507</v>
      </c>
      <c r="D89" s="52" t="s">
        <v>508</v>
      </c>
      <c r="E89" s="52" t="s">
        <v>509</v>
      </c>
      <c r="F89" s="64" t="str">
        <f t="shared" si="8"/>
        <v>645:645:645:0:645:0</v>
      </c>
      <c r="G89" s="41" t="s">
        <v>727</v>
      </c>
      <c r="H89" s="62">
        <f t="shared" si="9"/>
        <v>1290</v>
      </c>
      <c r="I89" s="62">
        <f t="shared" si="10"/>
        <v>645</v>
      </c>
      <c r="J89" s="63">
        <f t="shared" si="12"/>
        <v>645</v>
      </c>
      <c r="K89" s="63">
        <f t="shared" si="12"/>
        <v>645</v>
      </c>
      <c r="L89" s="63">
        <f t="shared" si="12"/>
        <v>645</v>
      </c>
      <c r="M89" s="63">
        <f>0</f>
        <v>0</v>
      </c>
      <c r="N89" s="63">
        <f t="shared" si="11"/>
        <v>645</v>
      </c>
      <c r="O89" s="11">
        <f>0</f>
        <v>0</v>
      </c>
    </row>
    <row r="90" spans="1:15" x14ac:dyDescent="0.25">
      <c r="A90" s="51" t="s">
        <v>510</v>
      </c>
      <c r="B90" s="52" t="s">
        <v>511</v>
      </c>
      <c r="C90" s="52" t="s">
        <v>512</v>
      </c>
      <c r="D90" s="52" t="s">
        <v>513</v>
      </c>
      <c r="E90" s="52" t="s">
        <v>514</v>
      </c>
      <c r="F90" s="64" t="str">
        <f t="shared" si="8"/>
        <v>653:653:653:0:653:0</v>
      </c>
      <c r="G90" s="41" t="s">
        <v>728</v>
      </c>
      <c r="H90" s="62">
        <f t="shared" si="9"/>
        <v>1305</v>
      </c>
      <c r="I90" s="62">
        <f t="shared" si="10"/>
        <v>653</v>
      </c>
      <c r="J90" s="63">
        <f t="shared" si="12"/>
        <v>653</v>
      </c>
      <c r="K90" s="63">
        <f t="shared" si="12"/>
        <v>653</v>
      </c>
      <c r="L90" s="63">
        <f t="shared" si="12"/>
        <v>653</v>
      </c>
      <c r="M90" s="63">
        <f>0</f>
        <v>0</v>
      </c>
      <c r="N90" s="63">
        <f t="shared" si="11"/>
        <v>653</v>
      </c>
      <c r="O90" s="11">
        <f>0</f>
        <v>0</v>
      </c>
    </row>
    <row r="91" spans="1:15" x14ac:dyDescent="0.25">
      <c r="A91" s="51" t="s">
        <v>515</v>
      </c>
      <c r="B91" s="52" t="s">
        <v>516</v>
      </c>
      <c r="C91" s="52" t="s">
        <v>517</v>
      </c>
      <c r="D91" s="52" t="s">
        <v>518</v>
      </c>
      <c r="E91" s="52" t="s">
        <v>519</v>
      </c>
      <c r="F91" s="64" t="str">
        <f t="shared" si="8"/>
        <v>660:660:660:0:660:0</v>
      </c>
      <c r="G91" s="41" t="s">
        <v>729</v>
      </c>
      <c r="H91" s="62">
        <f t="shared" si="9"/>
        <v>1320</v>
      </c>
      <c r="I91" s="62">
        <f t="shared" si="10"/>
        <v>660</v>
      </c>
      <c r="J91" s="63">
        <f t="shared" si="12"/>
        <v>660</v>
      </c>
      <c r="K91" s="63">
        <f t="shared" si="12"/>
        <v>660</v>
      </c>
      <c r="L91" s="63">
        <f t="shared" si="12"/>
        <v>660</v>
      </c>
      <c r="M91" s="63">
        <f>0</f>
        <v>0</v>
      </c>
      <c r="N91" s="63">
        <f t="shared" si="11"/>
        <v>660</v>
      </c>
      <c r="O91" s="11">
        <f>0</f>
        <v>0</v>
      </c>
    </row>
    <row r="92" spans="1:15" x14ac:dyDescent="0.25">
      <c r="A92" s="51" t="s">
        <v>520</v>
      </c>
      <c r="B92" s="52" t="s">
        <v>521</v>
      </c>
      <c r="C92" s="52" t="s">
        <v>522</v>
      </c>
      <c r="D92" s="52" t="s">
        <v>523</v>
      </c>
      <c r="E92" s="52" t="s">
        <v>524</v>
      </c>
      <c r="F92" s="64" t="str">
        <f t="shared" si="8"/>
        <v>668:668:668:0:668:0</v>
      </c>
      <c r="G92" s="41" t="s">
        <v>730</v>
      </c>
      <c r="H92" s="62">
        <f t="shared" si="9"/>
        <v>1335</v>
      </c>
      <c r="I92" s="62">
        <f t="shared" si="10"/>
        <v>668</v>
      </c>
      <c r="J92" s="63">
        <f t="shared" si="12"/>
        <v>668</v>
      </c>
      <c r="K92" s="63">
        <f t="shared" si="12"/>
        <v>668</v>
      </c>
      <c r="L92" s="63">
        <f t="shared" si="12"/>
        <v>668</v>
      </c>
      <c r="M92" s="63">
        <f>0</f>
        <v>0</v>
      </c>
      <c r="N92" s="63">
        <f t="shared" si="11"/>
        <v>668</v>
      </c>
      <c r="O92" s="11">
        <f>0</f>
        <v>0</v>
      </c>
    </row>
    <row r="93" spans="1:15" x14ac:dyDescent="0.25">
      <c r="A93" s="51" t="s">
        <v>525</v>
      </c>
      <c r="B93" s="52" t="s">
        <v>526</v>
      </c>
      <c r="C93" s="52" t="s">
        <v>527</v>
      </c>
      <c r="D93" s="52" t="s">
        <v>528</v>
      </c>
      <c r="E93" s="52" t="s">
        <v>529</v>
      </c>
      <c r="F93" s="64" t="str">
        <f t="shared" si="8"/>
        <v>675:675:675:0:675:0</v>
      </c>
      <c r="G93" s="41" t="s">
        <v>731</v>
      </c>
      <c r="H93" s="62">
        <f t="shared" si="9"/>
        <v>1350</v>
      </c>
      <c r="I93" s="62">
        <f t="shared" si="10"/>
        <v>675</v>
      </c>
      <c r="J93" s="63">
        <f t="shared" si="12"/>
        <v>675</v>
      </c>
      <c r="K93" s="63">
        <f t="shared" si="12"/>
        <v>675</v>
      </c>
      <c r="L93" s="63">
        <f t="shared" si="12"/>
        <v>675</v>
      </c>
      <c r="M93" s="63">
        <f>0</f>
        <v>0</v>
      </c>
      <c r="N93" s="63">
        <f t="shared" si="11"/>
        <v>675</v>
      </c>
      <c r="O93" s="11">
        <f>0</f>
        <v>0</v>
      </c>
    </row>
    <row r="94" spans="1:15" x14ac:dyDescent="0.25">
      <c r="A94" s="51" t="s">
        <v>530</v>
      </c>
      <c r="B94" s="52" t="s">
        <v>531</v>
      </c>
      <c r="C94" s="52" t="s">
        <v>532</v>
      </c>
      <c r="D94" s="52" t="s">
        <v>533</v>
      </c>
      <c r="E94" s="52" t="s">
        <v>534</v>
      </c>
      <c r="F94" s="64" t="str">
        <f t="shared" si="8"/>
        <v>683:683:683:0:683:0</v>
      </c>
      <c r="G94" s="41" t="s">
        <v>732</v>
      </c>
      <c r="H94" s="62">
        <f t="shared" si="9"/>
        <v>1365</v>
      </c>
      <c r="I94" s="62">
        <f t="shared" si="10"/>
        <v>683</v>
      </c>
      <c r="J94" s="63">
        <f t="shared" si="12"/>
        <v>683</v>
      </c>
      <c r="K94" s="63">
        <f t="shared" si="12"/>
        <v>683</v>
      </c>
      <c r="L94" s="63">
        <f t="shared" si="12"/>
        <v>683</v>
      </c>
      <c r="M94" s="63">
        <f>0</f>
        <v>0</v>
      </c>
      <c r="N94" s="63">
        <f t="shared" si="11"/>
        <v>683</v>
      </c>
      <c r="O94" s="11">
        <f>0</f>
        <v>0</v>
      </c>
    </row>
    <row r="95" spans="1:15" x14ac:dyDescent="0.25">
      <c r="A95" s="53" t="s">
        <v>535</v>
      </c>
      <c r="B95" s="50" t="s">
        <v>531</v>
      </c>
      <c r="C95" s="50" t="s">
        <v>532</v>
      </c>
      <c r="D95" s="50" t="s">
        <v>533</v>
      </c>
      <c r="E95" s="50" t="s">
        <v>534</v>
      </c>
      <c r="F95" s="64" t="str">
        <f t="shared" si="8"/>
        <v>750:750:750:0:750:0</v>
      </c>
      <c r="G95" s="61">
        <v>300</v>
      </c>
      <c r="H95" s="62">
        <f t="shared" si="9"/>
        <v>1500</v>
      </c>
      <c r="I95" s="62">
        <f t="shared" si="10"/>
        <v>750</v>
      </c>
      <c r="J95" s="63">
        <f t="shared" si="12"/>
        <v>750</v>
      </c>
      <c r="K95" s="63">
        <f t="shared" si="12"/>
        <v>750</v>
      </c>
      <c r="L95" s="63">
        <f t="shared" si="12"/>
        <v>750</v>
      </c>
      <c r="M95" s="63">
        <f>0</f>
        <v>0</v>
      </c>
      <c r="N95" s="63">
        <f t="shared" si="11"/>
        <v>750</v>
      </c>
      <c r="O95" s="11">
        <f>0</f>
        <v>0</v>
      </c>
    </row>
    <row r="96" spans="1:15" x14ac:dyDescent="0.25">
      <c r="A96" s="53" t="s">
        <v>536</v>
      </c>
      <c r="B96" s="50" t="s">
        <v>531</v>
      </c>
      <c r="C96" s="50" t="s">
        <v>532</v>
      </c>
      <c r="D96" s="50" t="s">
        <v>533</v>
      </c>
      <c r="E96" s="50" t="s">
        <v>534</v>
      </c>
      <c r="F96" s="64" t="str">
        <f t="shared" si="8"/>
        <v>750:750:750:0:750:0</v>
      </c>
      <c r="G96" s="61">
        <v>300</v>
      </c>
      <c r="H96" s="62">
        <f t="shared" si="9"/>
        <v>1500</v>
      </c>
      <c r="I96" s="62">
        <f t="shared" si="10"/>
        <v>750</v>
      </c>
      <c r="J96" s="63">
        <f t="shared" si="12"/>
        <v>750</v>
      </c>
      <c r="K96" s="63">
        <f t="shared" si="12"/>
        <v>750</v>
      </c>
      <c r="L96" s="63">
        <f t="shared" si="12"/>
        <v>750</v>
      </c>
      <c r="M96" s="63">
        <f>0</f>
        <v>0</v>
      </c>
      <c r="N96" s="63">
        <f t="shared" si="11"/>
        <v>750</v>
      </c>
      <c r="O96" s="11">
        <f>0</f>
        <v>0</v>
      </c>
    </row>
    <row r="97" spans="1:15" x14ac:dyDescent="0.25">
      <c r="A97" s="53" t="s">
        <v>537</v>
      </c>
      <c r="B97" s="50" t="s">
        <v>531</v>
      </c>
      <c r="C97" s="50" t="s">
        <v>532</v>
      </c>
      <c r="D97" s="50" t="s">
        <v>533</v>
      </c>
      <c r="E97" s="50" t="s">
        <v>534</v>
      </c>
      <c r="F97" s="64" t="str">
        <f t="shared" si="8"/>
        <v>750:750:750:0:750:0</v>
      </c>
      <c r="G97" s="61">
        <v>300</v>
      </c>
      <c r="H97" s="62">
        <f t="shared" si="9"/>
        <v>1500</v>
      </c>
      <c r="I97" s="62">
        <f t="shared" si="10"/>
        <v>750</v>
      </c>
      <c r="J97" s="63">
        <f t="shared" si="12"/>
        <v>750</v>
      </c>
      <c r="K97" s="63">
        <f t="shared" si="12"/>
        <v>750</v>
      </c>
      <c r="L97" s="63">
        <f t="shared" si="12"/>
        <v>750</v>
      </c>
      <c r="M97" s="63">
        <f>0</f>
        <v>0</v>
      </c>
      <c r="N97" s="63">
        <f t="shared" si="11"/>
        <v>750</v>
      </c>
      <c r="O97" s="11">
        <f>0</f>
        <v>0</v>
      </c>
    </row>
    <row r="98" spans="1:15" x14ac:dyDescent="0.25">
      <c r="A98" s="53" t="s">
        <v>538</v>
      </c>
      <c r="B98" s="50" t="s">
        <v>531</v>
      </c>
      <c r="C98" s="50" t="s">
        <v>532</v>
      </c>
      <c r="D98" s="50" t="s">
        <v>533</v>
      </c>
      <c r="E98" s="50" t="s">
        <v>534</v>
      </c>
      <c r="F98" s="64" t="str">
        <f t="shared" si="8"/>
        <v>750:750:750:0:750:0</v>
      </c>
      <c r="G98" s="61">
        <v>300</v>
      </c>
      <c r="H98" s="62">
        <f t="shared" si="9"/>
        <v>1500</v>
      </c>
      <c r="I98" s="62">
        <f t="shared" si="10"/>
        <v>750</v>
      </c>
      <c r="J98" s="63">
        <f t="shared" si="12"/>
        <v>750</v>
      </c>
      <c r="K98" s="63">
        <f t="shared" si="12"/>
        <v>750</v>
      </c>
      <c r="L98" s="63">
        <f t="shared" si="12"/>
        <v>750</v>
      </c>
      <c r="M98" s="63">
        <f>0</f>
        <v>0</v>
      </c>
      <c r="N98" s="63">
        <f t="shared" si="11"/>
        <v>750</v>
      </c>
      <c r="O98" s="11">
        <f>0</f>
        <v>0</v>
      </c>
    </row>
    <row r="99" spans="1:15" x14ac:dyDescent="0.25">
      <c r="A99" s="53" t="s">
        <v>539</v>
      </c>
      <c r="B99" s="50" t="s">
        <v>531</v>
      </c>
      <c r="C99" s="50" t="s">
        <v>532</v>
      </c>
      <c r="D99" s="50" t="s">
        <v>533</v>
      </c>
      <c r="E99" s="50" t="s">
        <v>534</v>
      </c>
      <c r="F99" s="64" t="str">
        <f t="shared" si="8"/>
        <v>750:750:750:0:750:0</v>
      </c>
      <c r="G99" s="61">
        <v>300</v>
      </c>
      <c r="H99" s="62">
        <f t="shared" si="9"/>
        <v>1500</v>
      </c>
      <c r="I99" s="62">
        <f t="shared" si="10"/>
        <v>750</v>
      </c>
      <c r="J99" s="63">
        <f t="shared" si="12"/>
        <v>750</v>
      </c>
      <c r="K99" s="63">
        <f t="shared" si="12"/>
        <v>750</v>
      </c>
      <c r="L99" s="63">
        <f t="shared" si="12"/>
        <v>750</v>
      </c>
      <c r="M99" s="63">
        <f>0</f>
        <v>0</v>
      </c>
      <c r="N99" s="63">
        <f t="shared" si="11"/>
        <v>750</v>
      </c>
      <c r="O99" s="11">
        <f>0</f>
        <v>0</v>
      </c>
    </row>
    <row r="100" spans="1:15" x14ac:dyDescent="0.25">
      <c r="A100" s="53" t="s">
        <v>540</v>
      </c>
      <c r="B100" s="50" t="s">
        <v>531</v>
      </c>
      <c r="C100" s="50" t="s">
        <v>532</v>
      </c>
      <c r="D100" s="50" t="s">
        <v>533</v>
      </c>
      <c r="E100" s="50" t="s">
        <v>534</v>
      </c>
      <c r="F100" s="64" t="str">
        <f t="shared" si="8"/>
        <v>750:750:750:0:750:0</v>
      </c>
      <c r="G100" s="61">
        <v>300</v>
      </c>
      <c r="H100" s="62">
        <f t="shared" si="9"/>
        <v>1500</v>
      </c>
      <c r="I100" s="62">
        <f t="shared" si="10"/>
        <v>750</v>
      </c>
      <c r="J100" s="63">
        <f t="shared" si="12"/>
        <v>750</v>
      </c>
      <c r="K100" s="63">
        <f t="shared" si="12"/>
        <v>750</v>
      </c>
      <c r="L100" s="63">
        <f t="shared" si="12"/>
        <v>750</v>
      </c>
      <c r="M100" s="63">
        <f>0</f>
        <v>0</v>
      </c>
      <c r="N100" s="63">
        <f t="shared" si="11"/>
        <v>750</v>
      </c>
      <c r="O100" s="11">
        <f>0</f>
        <v>0</v>
      </c>
    </row>
    <row r="101" spans="1:15" x14ac:dyDescent="0.25">
      <c r="A101" s="53" t="s">
        <v>541</v>
      </c>
      <c r="B101" s="50" t="s">
        <v>531</v>
      </c>
      <c r="C101" s="50" t="s">
        <v>532</v>
      </c>
      <c r="D101" s="50" t="s">
        <v>533</v>
      </c>
      <c r="E101" s="50" t="s">
        <v>534</v>
      </c>
      <c r="F101" s="64" t="str">
        <f t="shared" si="8"/>
        <v>750:750:750:0:750:0</v>
      </c>
      <c r="G101" s="61">
        <v>300</v>
      </c>
      <c r="H101" s="62">
        <f t="shared" si="9"/>
        <v>1500</v>
      </c>
      <c r="I101" s="62">
        <f t="shared" si="10"/>
        <v>750</v>
      </c>
      <c r="J101" s="63">
        <f t="shared" si="12"/>
        <v>750</v>
      </c>
      <c r="K101" s="63">
        <f t="shared" si="12"/>
        <v>750</v>
      </c>
      <c r="L101" s="63">
        <f t="shared" si="12"/>
        <v>750</v>
      </c>
      <c r="M101" s="63">
        <f>0</f>
        <v>0</v>
      </c>
      <c r="N101" s="63">
        <f t="shared" si="11"/>
        <v>750</v>
      </c>
      <c r="O101" s="11">
        <f>0</f>
        <v>0</v>
      </c>
    </row>
    <row r="102" spans="1:15" x14ac:dyDescent="0.25">
      <c r="A102" s="53" t="s">
        <v>542</v>
      </c>
      <c r="B102" s="50" t="s">
        <v>531</v>
      </c>
      <c r="C102" s="50" t="s">
        <v>532</v>
      </c>
      <c r="D102" s="50" t="s">
        <v>533</v>
      </c>
      <c r="E102" s="50" t="s">
        <v>534</v>
      </c>
      <c r="F102" s="64" t="str">
        <f t="shared" si="8"/>
        <v>750:750:750:0:750:0</v>
      </c>
      <c r="G102" s="61">
        <v>300</v>
      </c>
      <c r="H102" s="62">
        <f t="shared" si="9"/>
        <v>1500</v>
      </c>
      <c r="I102" s="62">
        <f t="shared" si="10"/>
        <v>750</v>
      </c>
      <c r="J102" s="63">
        <f t="shared" ref="J102:L121" si="13">I102</f>
        <v>750</v>
      </c>
      <c r="K102" s="63">
        <f t="shared" si="13"/>
        <v>750</v>
      </c>
      <c r="L102" s="63">
        <f t="shared" si="13"/>
        <v>750</v>
      </c>
      <c r="M102" s="63">
        <f>0</f>
        <v>0</v>
      </c>
      <c r="N102" s="63">
        <f t="shared" si="11"/>
        <v>750</v>
      </c>
      <c r="O102" s="11">
        <f>0</f>
        <v>0</v>
      </c>
    </row>
    <row r="103" spans="1:15" x14ac:dyDescent="0.25">
      <c r="A103" s="53" t="s">
        <v>543</v>
      </c>
      <c r="B103" s="50" t="s">
        <v>531</v>
      </c>
      <c r="C103" s="50" t="s">
        <v>532</v>
      </c>
      <c r="D103" s="50" t="s">
        <v>533</v>
      </c>
      <c r="E103" s="50" t="s">
        <v>534</v>
      </c>
      <c r="F103" s="64" t="str">
        <f t="shared" si="8"/>
        <v>750:750:750:0:750:0</v>
      </c>
      <c r="G103" s="61">
        <v>300</v>
      </c>
      <c r="H103" s="62">
        <f t="shared" si="9"/>
        <v>1500</v>
      </c>
      <c r="I103" s="62">
        <f t="shared" si="10"/>
        <v>750</v>
      </c>
      <c r="J103" s="63">
        <f t="shared" si="13"/>
        <v>750</v>
      </c>
      <c r="K103" s="63">
        <f t="shared" si="13"/>
        <v>750</v>
      </c>
      <c r="L103" s="63">
        <f t="shared" si="13"/>
        <v>750</v>
      </c>
      <c r="M103" s="63">
        <f>0</f>
        <v>0</v>
      </c>
      <c r="N103" s="63">
        <f t="shared" si="11"/>
        <v>750</v>
      </c>
      <c r="O103" s="11">
        <f>0</f>
        <v>0</v>
      </c>
    </row>
    <row r="104" spans="1:15" x14ac:dyDescent="0.25">
      <c r="A104" s="53" t="s">
        <v>544</v>
      </c>
      <c r="B104" s="50" t="s">
        <v>531</v>
      </c>
      <c r="C104" s="50" t="s">
        <v>532</v>
      </c>
      <c r="D104" s="50" t="s">
        <v>533</v>
      </c>
      <c r="E104" s="50" t="s">
        <v>534</v>
      </c>
      <c r="F104" s="64" t="str">
        <f t="shared" si="8"/>
        <v>750:750:750:0:750:0</v>
      </c>
      <c r="G104" s="61">
        <v>300</v>
      </c>
      <c r="H104" s="62">
        <f t="shared" si="9"/>
        <v>1500</v>
      </c>
      <c r="I104" s="62">
        <f t="shared" si="10"/>
        <v>750</v>
      </c>
      <c r="J104" s="63">
        <f t="shared" si="13"/>
        <v>750</v>
      </c>
      <c r="K104" s="63">
        <f t="shared" si="13"/>
        <v>750</v>
      </c>
      <c r="L104" s="63">
        <f t="shared" si="13"/>
        <v>750</v>
      </c>
      <c r="M104" s="63">
        <f>0</f>
        <v>0</v>
      </c>
      <c r="N104" s="63">
        <f t="shared" si="11"/>
        <v>750</v>
      </c>
      <c r="O104" s="11">
        <f>0</f>
        <v>0</v>
      </c>
    </row>
    <row r="105" spans="1:15" x14ac:dyDescent="0.25">
      <c r="A105" s="53" t="s">
        <v>545</v>
      </c>
      <c r="B105" s="50" t="s">
        <v>531</v>
      </c>
      <c r="C105" s="50" t="s">
        <v>532</v>
      </c>
      <c r="D105" s="50" t="s">
        <v>533</v>
      </c>
      <c r="E105" s="50" t="s">
        <v>534</v>
      </c>
      <c r="F105" s="64" t="str">
        <f t="shared" si="8"/>
        <v>750:750:750:0:750:0</v>
      </c>
      <c r="G105" s="61">
        <v>300</v>
      </c>
      <c r="H105" s="62">
        <f t="shared" si="9"/>
        <v>1500</v>
      </c>
      <c r="I105" s="62">
        <f t="shared" si="10"/>
        <v>750</v>
      </c>
      <c r="J105" s="63">
        <f t="shared" si="13"/>
        <v>750</v>
      </c>
      <c r="K105" s="63">
        <f t="shared" si="13"/>
        <v>750</v>
      </c>
      <c r="L105" s="63">
        <f t="shared" si="13"/>
        <v>750</v>
      </c>
      <c r="M105" s="63">
        <f>0</f>
        <v>0</v>
      </c>
      <c r="N105" s="63">
        <f t="shared" si="11"/>
        <v>750</v>
      </c>
      <c r="O105" s="11">
        <f>0</f>
        <v>0</v>
      </c>
    </row>
    <row r="106" spans="1:15" x14ac:dyDescent="0.25">
      <c r="A106" s="53" t="s">
        <v>546</v>
      </c>
      <c r="B106" s="50" t="s">
        <v>531</v>
      </c>
      <c r="C106" s="50" t="s">
        <v>532</v>
      </c>
      <c r="D106" s="50" t="s">
        <v>533</v>
      </c>
      <c r="E106" s="50" t="s">
        <v>534</v>
      </c>
      <c r="F106" s="64" t="str">
        <f t="shared" si="8"/>
        <v>750:750:750:0:750:0</v>
      </c>
      <c r="G106" s="61">
        <v>300</v>
      </c>
      <c r="H106" s="62">
        <f t="shared" si="9"/>
        <v>1500</v>
      </c>
      <c r="I106" s="62">
        <f t="shared" si="10"/>
        <v>750</v>
      </c>
      <c r="J106" s="63">
        <f t="shared" si="13"/>
        <v>750</v>
      </c>
      <c r="K106" s="63">
        <f t="shared" si="13"/>
        <v>750</v>
      </c>
      <c r="L106" s="63">
        <f t="shared" si="13"/>
        <v>750</v>
      </c>
      <c r="M106" s="63">
        <f>0</f>
        <v>0</v>
      </c>
      <c r="N106" s="63">
        <f t="shared" si="11"/>
        <v>750</v>
      </c>
      <c r="O106" s="11">
        <f>0</f>
        <v>0</v>
      </c>
    </row>
    <row r="107" spans="1:15" x14ac:dyDescent="0.25">
      <c r="A107" s="53" t="s">
        <v>547</v>
      </c>
      <c r="B107" s="50" t="s">
        <v>531</v>
      </c>
      <c r="C107" s="50" t="s">
        <v>532</v>
      </c>
      <c r="D107" s="50" t="s">
        <v>533</v>
      </c>
      <c r="E107" s="50" t="s">
        <v>534</v>
      </c>
      <c r="F107" s="64" t="str">
        <f t="shared" si="8"/>
        <v>750:750:750:0:750:0</v>
      </c>
      <c r="G107" s="61">
        <v>300</v>
      </c>
      <c r="H107" s="62">
        <f t="shared" si="9"/>
        <v>1500</v>
      </c>
      <c r="I107" s="62">
        <f t="shared" si="10"/>
        <v>750</v>
      </c>
      <c r="J107" s="63">
        <f t="shared" si="13"/>
        <v>750</v>
      </c>
      <c r="K107" s="63">
        <f t="shared" si="13"/>
        <v>750</v>
      </c>
      <c r="L107" s="63">
        <f t="shared" si="13"/>
        <v>750</v>
      </c>
      <c r="M107" s="63">
        <f>0</f>
        <v>0</v>
      </c>
      <c r="N107" s="63">
        <f t="shared" si="11"/>
        <v>750</v>
      </c>
      <c r="O107" s="11">
        <f>0</f>
        <v>0</v>
      </c>
    </row>
    <row r="108" spans="1:15" x14ac:dyDescent="0.25">
      <c r="A108" s="53" t="s">
        <v>548</v>
      </c>
      <c r="B108" s="50" t="s">
        <v>531</v>
      </c>
      <c r="C108" s="50" t="s">
        <v>532</v>
      </c>
      <c r="D108" s="50" t="s">
        <v>533</v>
      </c>
      <c r="E108" s="50" t="s">
        <v>534</v>
      </c>
      <c r="F108" s="64" t="str">
        <f t="shared" si="8"/>
        <v>750:750:750:0:750:0</v>
      </c>
      <c r="G108" s="61">
        <v>300</v>
      </c>
      <c r="H108" s="62">
        <f t="shared" si="9"/>
        <v>1500</v>
      </c>
      <c r="I108" s="62">
        <f t="shared" si="10"/>
        <v>750</v>
      </c>
      <c r="J108" s="63">
        <f t="shared" si="13"/>
        <v>750</v>
      </c>
      <c r="K108" s="63">
        <f t="shared" si="13"/>
        <v>750</v>
      </c>
      <c r="L108" s="63">
        <f t="shared" si="13"/>
        <v>750</v>
      </c>
      <c r="M108" s="63">
        <f>0</f>
        <v>0</v>
      </c>
      <c r="N108" s="63">
        <f t="shared" si="11"/>
        <v>750</v>
      </c>
      <c r="O108" s="11">
        <f>0</f>
        <v>0</v>
      </c>
    </row>
    <row r="109" spans="1:15" x14ac:dyDescent="0.25">
      <c r="A109" s="53" t="s">
        <v>549</v>
      </c>
      <c r="B109" s="50" t="s">
        <v>531</v>
      </c>
      <c r="C109" s="50" t="s">
        <v>532</v>
      </c>
      <c r="D109" s="50" t="s">
        <v>533</v>
      </c>
      <c r="E109" s="50" t="s">
        <v>534</v>
      </c>
      <c r="F109" s="64" t="str">
        <f t="shared" si="8"/>
        <v>750:750:750:0:750:0</v>
      </c>
      <c r="G109" s="61">
        <v>300</v>
      </c>
      <c r="H109" s="62">
        <f t="shared" si="9"/>
        <v>1500</v>
      </c>
      <c r="I109" s="62">
        <f t="shared" si="10"/>
        <v>750</v>
      </c>
      <c r="J109" s="63">
        <f t="shared" si="13"/>
        <v>750</v>
      </c>
      <c r="K109" s="63">
        <f t="shared" si="13"/>
        <v>750</v>
      </c>
      <c r="L109" s="63">
        <f t="shared" si="13"/>
        <v>750</v>
      </c>
      <c r="M109" s="63">
        <f>0</f>
        <v>0</v>
      </c>
      <c r="N109" s="63">
        <f t="shared" si="11"/>
        <v>750</v>
      </c>
      <c r="O109" s="11">
        <f>0</f>
        <v>0</v>
      </c>
    </row>
    <row r="110" spans="1:15" x14ac:dyDescent="0.25">
      <c r="A110" s="53" t="s">
        <v>550</v>
      </c>
      <c r="B110" s="50" t="s">
        <v>531</v>
      </c>
      <c r="C110" s="50" t="s">
        <v>532</v>
      </c>
      <c r="D110" s="50" t="s">
        <v>533</v>
      </c>
      <c r="E110" s="50" t="s">
        <v>534</v>
      </c>
      <c r="F110" s="64" t="str">
        <f t="shared" si="8"/>
        <v>750:750:750:0:750:0</v>
      </c>
      <c r="G110" s="61">
        <v>300</v>
      </c>
      <c r="H110" s="62">
        <f t="shared" si="9"/>
        <v>1500</v>
      </c>
      <c r="I110" s="62">
        <f t="shared" si="10"/>
        <v>750</v>
      </c>
      <c r="J110" s="63">
        <f t="shared" si="13"/>
        <v>750</v>
      </c>
      <c r="K110" s="63">
        <f t="shared" si="13"/>
        <v>750</v>
      </c>
      <c r="L110" s="63">
        <f t="shared" si="13"/>
        <v>750</v>
      </c>
      <c r="M110" s="63">
        <f>0</f>
        <v>0</v>
      </c>
      <c r="N110" s="63">
        <f t="shared" si="11"/>
        <v>750</v>
      </c>
      <c r="O110" s="11">
        <f>0</f>
        <v>0</v>
      </c>
    </row>
    <row r="111" spans="1:15" x14ac:dyDescent="0.25">
      <c r="A111" s="53" t="s">
        <v>551</v>
      </c>
      <c r="B111" s="50" t="s">
        <v>531</v>
      </c>
      <c r="C111" s="50" t="s">
        <v>532</v>
      </c>
      <c r="D111" s="50" t="s">
        <v>533</v>
      </c>
      <c r="E111" s="50" t="s">
        <v>534</v>
      </c>
      <c r="F111" s="64" t="str">
        <f t="shared" si="8"/>
        <v>750:750:750:0:750:0</v>
      </c>
      <c r="G111" s="61">
        <v>300</v>
      </c>
      <c r="H111" s="62">
        <f t="shared" si="9"/>
        <v>1500</v>
      </c>
      <c r="I111" s="62">
        <f t="shared" si="10"/>
        <v>750</v>
      </c>
      <c r="J111" s="63">
        <f t="shared" si="13"/>
        <v>750</v>
      </c>
      <c r="K111" s="63">
        <f t="shared" si="13"/>
        <v>750</v>
      </c>
      <c r="L111" s="63">
        <f t="shared" si="13"/>
        <v>750</v>
      </c>
      <c r="M111" s="63">
        <f>0</f>
        <v>0</v>
      </c>
      <c r="N111" s="63">
        <f t="shared" si="11"/>
        <v>750</v>
      </c>
      <c r="O111" s="11">
        <f>0</f>
        <v>0</v>
      </c>
    </row>
    <row r="112" spans="1:15" x14ac:dyDescent="0.25">
      <c r="A112" s="53" t="s">
        <v>552</v>
      </c>
      <c r="B112" s="50" t="s">
        <v>531</v>
      </c>
      <c r="C112" s="50" t="s">
        <v>532</v>
      </c>
      <c r="D112" s="50" t="s">
        <v>533</v>
      </c>
      <c r="E112" s="50" t="s">
        <v>534</v>
      </c>
      <c r="F112" s="64" t="str">
        <f t="shared" si="8"/>
        <v>750:750:750:0:750:0</v>
      </c>
      <c r="G112" s="61">
        <v>300</v>
      </c>
      <c r="H112" s="62">
        <f t="shared" si="9"/>
        <v>1500</v>
      </c>
      <c r="I112" s="62">
        <f t="shared" si="10"/>
        <v>750</v>
      </c>
      <c r="J112" s="63">
        <f t="shared" si="13"/>
        <v>750</v>
      </c>
      <c r="K112" s="63">
        <f t="shared" si="13"/>
        <v>750</v>
      </c>
      <c r="L112" s="63">
        <f t="shared" si="13"/>
        <v>750</v>
      </c>
      <c r="M112" s="63">
        <f>0</f>
        <v>0</v>
      </c>
      <c r="N112" s="63">
        <f t="shared" si="11"/>
        <v>750</v>
      </c>
      <c r="O112" s="11">
        <f>0</f>
        <v>0</v>
      </c>
    </row>
    <row r="113" spans="1:15" x14ac:dyDescent="0.25">
      <c r="A113" s="53" t="s">
        <v>553</v>
      </c>
      <c r="B113" s="50" t="s">
        <v>531</v>
      </c>
      <c r="C113" s="50" t="s">
        <v>532</v>
      </c>
      <c r="D113" s="50" t="s">
        <v>533</v>
      </c>
      <c r="E113" s="50" t="s">
        <v>534</v>
      </c>
      <c r="F113" s="64" t="str">
        <f t="shared" si="8"/>
        <v>750:750:750:0:750:0</v>
      </c>
      <c r="G113" s="61">
        <v>300</v>
      </c>
      <c r="H113" s="62">
        <f t="shared" si="9"/>
        <v>1500</v>
      </c>
      <c r="I113" s="62">
        <f t="shared" si="10"/>
        <v>750</v>
      </c>
      <c r="J113" s="63">
        <f t="shared" si="13"/>
        <v>750</v>
      </c>
      <c r="K113" s="63">
        <f t="shared" si="13"/>
        <v>750</v>
      </c>
      <c r="L113" s="63">
        <f t="shared" si="13"/>
        <v>750</v>
      </c>
      <c r="M113" s="63">
        <f>0</f>
        <v>0</v>
      </c>
      <c r="N113" s="63">
        <f t="shared" si="11"/>
        <v>750</v>
      </c>
      <c r="O113" s="11">
        <f>0</f>
        <v>0</v>
      </c>
    </row>
    <row r="114" spans="1:15" x14ac:dyDescent="0.25">
      <c r="A114" s="53" t="s">
        <v>554</v>
      </c>
      <c r="B114" s="50" t="s">
        <v>531</v>
      </c>
      <c r="C114" s="50" t="s">
        <v>532</v>
      </c>
      <c r="D114" s="50" t="s">
        <v>533</v>
      </c>
      <c r="E114" s="50" t="s">
        <v>534</v>
      </c>
      <c r="F114" s="64" t="str">
        <f t="shared" si="8"/>
        <v>750:750:750:0:750:0</v>
      </c>
      <c r="G114" s="61">
        <v>300</v>
      </c>
      <c r="H114" s="62">
        <f t="shared" si="9"/>
        <v>1500</v>
      </c>
      <c r="I114" s="62">
        <f t="shared" si="10"/>
        <v>750</v>
      </c>
      <c r="J114" s="63">
        <f t="shared" si="13"/>
        <v>750</v>
      </c>
      <c r="K114" s="63">
        <f t="shared" si="13"/>
        <v>750</v>
      </c>
      <c r="L114" s="63">
        <f t="shared" si="13"/>
        <v>750</v>
      </c>
      <c r="M114" s="63">
        <f>0</f>
        <v>0</v>
      </c>
      <c r="N114" s="63">
        <f t="shared" si="11"/>
        <v>750</v>
      </c>
      <c r="O114" s="11">
        <f>0</f>
        <v>0</v>
      </c>
    </row>
    <row r="115" spans="1:15" x14ac:dyDescent="0.25">
      <c r="A115" s="53" t="s">
        <v>555</v>
      </c>
      <c r="B115" s="50" t="s">
        <v>531</v>
      </c>
      <c r="C115" s="50" t="s">
        <v>532</v>
      </c>
      <c r="D115" s="50" t="s">
        <v>533</v>
      </c>
      <c r="E115" s="50" t="s">
        <v>534</v>
      </c>
      <c r="F115" s="64" t="str">
        <f t="shared" si="8"/>
        <v>750:750:750:0:750:0</v>
      </c>
      <c r="G115" s="61">
        <v>300</v>
      </c>
      <c r="H115" s="62">
        <f t="shared" si="9"/>
        <v>1500</v>
      </c>
      <c r="I115" s="62">
        <f t="shared" si="10"/>
        <v>750</v>
      </c>
      <c r="J115" s="63">
        <f t="shared" si="13"/>
        <v>750</v>
      </c>
      <c r="K115" s="63">
        <f t="shared" si="13"/>
        <v>750</v>
      </c>
      <c r="L115" s="63">
        <f t="shared" si="13"/>
        <v>750</v>
      </c>
      <c r="M115" s="63">
        <f>0</f>
        <v>0</v>
      </c>
      <c r="N115" s="63">
        <f t="shared" si="11"/>
        <v>750</v>
      </c>
      <c r="O115" s="11">
        <f>0</f>
        <v>0</v>
      </c>
    </row>
    <row r="116" spans="1:15" x14ac:dyDescent="0.25">
      <c r="A116" s="53" t="s">
        <v>556</v>
      </c>
      <c r="B116" s="50" t="s">
        <v>531</v>
      </c>
      <c r="C116" s="50" t="s">
        <v>532</v>
      </c>
      <c r="D116" s="50" t="s">
        <v>533</v>
      </c>
      <c r="E116" s="50" t="s">
        <v>534</v>
      </c>
      <c r="F116" s="64" t="str">
        <f t="shared" si="8"/>
        <v>750:750:750:0:750:0</v>
      </c>
      <c r="G116" s="61">
        <v>300</v>
      </c>
      <c r="H116" s="62">
        <f t="shared" si="9"/>
        <v>1500</v>
      </c>
      <c r="I116" s="62">
        <f t="shared" si="10"/>
        <v>750</v>
      </c>
      <c r="J116" s="63">
        <f t="shared" si="13"/>
        <v>750</v>
      </c>
      <c r="K116" s="63">
        <f t="shared" si="13"/>
        <v>750</v>
      </c>
      <c r="L116" s="63">
        <f t="shared" si="13"/>
        <v>750</v>
      </c>
      <c r="M116" s="63">
        <f>0</f>
        <v>0</v>
      </c>
      <c r="N116" s="63">
        <f t="shared" si="11"/>
        <v>750</v>
      </c>
      <c r="O116" s="11">
        <f>0</f>
        <v>0</v>
      </c>
    </row>
    <row r="117" spans="1:15" x14ac:dyDescent="0.25">
      <c r="A117" s="53" t="s">
        <v>557</v>
      </c>
      <c r="B117" s="50" t="s">
        <v>531</v>
      </c>
      <c r="C117" s="50" t="s">
        <v>532</v>
      </c>
      <c r="D117" s="50" t="s">
        <v>533</v>
      </c>
      <c r="E117" s="50" t="s">
        <v>534</v>
      </c>
      <c r="F117" s="64" t="str">
        <f t="shared" si="8"/>
        <v>750:750:750:0:750:0</v>
      </c>
      <c r="G117" s="61">
        <v>300</v>
      </c>
      <c r="H117" s="62">
        <f t="shared" si="9"/>
        <v>1500</v>
      </c>
      <c r="I117" s="62">
        <f t="shared" si="10"/>
        <v>750</v>
      </c>
      <c r="J117" s="63">
        <f t="shared" si="13"/>
        <v>750</v>
      </c>
      <c r="K117" s="63">
        <f t="shared" si="13"/>
        <v>750</v>
      </c>
      <c r="L117" s="63">
        <f t="shared" si="13"/>
        <v>750</v>
      </c>
      <c r="M117" s="63">
        <f>0</f>
        <v>0</v>
      </c>
      <c r="N117" s="63">
        <f t="shared" si="11"/>
        <v>750</v>
      </c>
      <c r="O117" s="11">
        <f>0</f>
        <v>0</v>
      </c>
    </row>
    <row r="118" spans="1:15" x14ac:dyDescent="0.25">
      <c r="A118" s="53" t="s">
        <v>558</v>
      </c>
      <c r="B118" s="50" t="s">
        <v>531</v>
      </c>
      <c r="C118" s="50" t="s">
        <v>532</v>
      </c>
      <c r="D118" s="50" t="s">
        <v>533</v>
      </c>
      <c r="E118" s="50" t="s">
        <v>534</v>
      </c>
      <c r="F118" s="64" t="str">
        <f t="shared" si="8"/>
        <v>750:750:750:0:750:0</v>
      </c>
      <c r="G118" s="61">
        <v>300</v>
      </c>
      <c r="H118" s="62">
        <f t="shared" si="9"/>
        <v>1500</v>
      </c>
      <c r="I118" s="62">
        <f t="shared" si="10"/>
        <v>750</v>
      </c>
      <c r="J118" s="63">
        <f t="shared" si="13"/>
        <v>750</v>
      </c>
      <c r="K118" s="63">
        <f t="shared" si="13"/>
        <v>750</v>
      </c>
      <c r="L118" s="63">
        <f t="shared" si="13"/>
        <v>750</v>
      </c>
      <c r="M118" s="63">
        <f>0</f>
        <v>0</v>
      </c>
      <c r="N118" s="63">
        <f t="shared" si="11"/>
        <v>750</v>
      </c>
      <c r="O118" s="11">
        <f>0</f>
        <v>0</v>
      </c>
    </row>
    <row r="119" spans="1:15" x14ac:dyDescent="0.25">
      <c r="A119" s="53" t="s">
        <v>559</v>
      </c>
      <c r="B119" s="50" t="s">
        <v>531</v>
      </c>
      <c r="C119" s="50" t="s">
        <v>532</v>
      </c>
      <c r="D119" s="50" t="s">
        <v>533</v>
      </c>
      <c r="E119" s="50" t="s">
        <v>534</v>
      </c>
      <c r="F119" s="64" t="str">
        <f t="shared" si="8"/>
        <v>750:750:750:0:750:0</v>
      </c>
      <c r="G119" s="61">
        <v>300</v>
      </c>
      <c r="H119" s="62">
        <f t="shared" si="9"/>
        <v>1500</v>
      </c>
      <c r="I119" s="62">
        <f t="shared" si="10"/>
        <v>750</v>
      </c>
      <c r="J119" s="63">
        <f t="shared" si="13"/>
        <v>750</v>
      </c>
      <c r="K119" s="63">
        <f t="shared" si="13"/>
        <v>750</v>
      </c>
      <c r="L119" s="63">
        <f t="shared" si="13"/>
        <v>750</v>
      </c>
      <c r="M119" s="63">
        <f>0</f>
        <v>0</v>
      </c>
      <c r="N119" s="63">
        <f t="shared" si="11"/>
        <v>750</v>
      </c>
      <c r="O119" s="11">
        <f>0</f>
        <v>0</v>
      </c>
    </row>
    <row r="120" spans="1:15" x14ac:dyDescent="0.25">
      <c r="A120" s="53" t="s">
        <v>560</v>
      </c>
      <c r="B120" s="50" t="s">
        <v>531</v>
      </c>
      <c r="C120" s="50" t="s">
        <v>532</v>
      </c>
      <c r="D120" s="50" t="s">
        <v>533</v>
      </c>
      <c r="E120" s="50" t="s">
        <v>534</v>
      </c>
      <c r="F120" s="64" t="str">
        <f t="shared" si="8"/>
        <v>750:750:750:0:750:0</v>
      </c>
      <c r="G120" s="61">
        <v>300</v>
      </c>
      <c r="H120" s="62">
        <f t="shared" si="9"/>
        <v>1500</v>
      </c>
      <c r="I120" s="62">
        <f t="shared" si="10"/>
        <v>750</v>
      </c>
      <c r="J120" s="63">
        <f t="shared" si="13"/>
        <v>750</v>
      </c>
      <c r="K120" s="63">
        <f t="shared" si="13"/>
        <v>750</v>
      </c>
      <c r="L120" s="63">
        <f t="shared" si="13"/>
        <v>750</v>
      </c>
      <c r="M120" s="63">
        <f>0</f>
        <v>0</v>
      </c>
      <c r="N120" s="63">
        <f t="shared" si="11"/>
        <v>750</v>
      </c>
      <c r="O120" s="11">
        <f>0</f>
        <v>0</v>
      </c>
    </row>
    <row r="121" spans="1:15" x14ac:dyDescent="0.25">
      <c r="A121" s="53" t="s">
        <v>561</v>
      </c>
      <c r="B121" s="50" t="s">
        <v>531</v>
      </c>
      <c r="C121" s="50" t="s">
        <v>532</v>
      </c>
      <c r="D121" s="50" t="s">
        <v>533</v>
      </c>
      <c r="E121" s="50" t="s">
        <v>534</v>
      </c>
      <c r="F121" s="64" t="str">
        <f t="shared" si="8"/>
        <v>750:750:750:0:750:0</v>
      </c>
      <c r="G121" s="61">
        <v>300</v>
      </c>
      <c r="H121" s="62">
        <f t="shared" si="9"/>
        <v>1500</v>
      </c>
      <c r="I121" s="62">
        <f t="shared" si="10"/>
        <v>750</v>
      </c>
      <c r="J121" s="63">
        <f t="shared" si="13"/>
        <v>750</v>
      </c>
      <c r="K121" s="63">
        <f t="shared" si="13"/>
        <v>750</v>
      </c>
      <c r="L121" s="63">
        <f t="shared" si="13"/>
        <v>750</v>
      </c>
      <c r="M121" s="63">
        <f>0</f>
        <v>0</v>
      </c>
      <c r="N121" s="63">
        <f t="shared" si="11"/>
        <v>750</v>
      </c>
      <c r="O121" s="11">
        <f>0</f>
        <v>0</v>
      </c>
    </row>
    <row r="122" spans="1:15" x14ac:dyDescent="0.25">
      <c r="A122" s="53" t="s">
        <v>562</v>
      </c>
      <c r="B122" s="50" t="s">
        <v>531</v>
      </c>
      <c r="C122" s="50" t="s">
        <v>532</v>
      </c>
      <c r="D122" s="50" t="s">
        <v>533</v>
      </c>
      <c r="E122" s="50" t="s">
        <v>534</v>
      </c>
      <c r="F122" s="64" t="str">
        <f t="shared" si="8"/>
        <v>750:750:750:0:750:0</v>
      </c>
      <c r="G122" s="61">
        <v>300</v>
      </c>
      <c r="H122" s="62">
        <f t="shared" si="9"/>
        <v>1500</v>
      </c>
      <c r="I122" s="62">
        <f t="shared" si="10"/>
        <v>750</v>
      </c>
      <c r="J122" s="63">
        <f t="shared" ref="J122:L141" si="14">I122</f>
        <v>750</v>
      </c>
      <c r="K122" s="63">
        <f t="shared" si="14"/>
        <v>750</v>
      </c>
      <c r="L122" s="63">
        <f t="shared" si="14"/>
        <v>750</v>
      </c>
      <c r="M122" s="63">
        <f>0</f>
        <v>0</v>
      </c>
      <c r="N122" s="63">
        <f t="shared" si="11"/>
        <v>750</v>
      </c>
      <c r="O122" s="11">
        <f>0</f>
        <v>0</v>
      </c>
    </row>
    <row r="123" spans="1:15" x14ac:dyDescent="0.25">
      <c r="A123" s="53" t="s">
        <v>563</v>
      </c>
      <c r="B123" s="50" t="s">
        <v>531</v>
      </c>
      <c r="C123" s="50" t="s">
        <v>532</v>
      </c>
      <c r="D123" s="50" t="s">
        <v>533</v>
      </c>
      <c r="E123" s="50" t="s">
        <v>534</v>
      </c>
      <c r="F123" s="64" t="str">
        <f t="shared" si="8"/>
        <v>750:750:750:0:750:0</v>
      </c>
      <c r="G123" s="61">
        <v>300</v>
      </c>
      <c r="H123" s="62">
        <f t="shared" si="9"/>
        <v>1500</v>
      </c>
      <c r="I123" s="62">
        <f t="shared" si="10"/>
        <v>750</v>
      </c>
      <c r="J123" s="63">
        <f t="shared" si="14"/>
        <v>750</v>
      </c>
      <c r="K123" s="63">
        <f t="shared" si="14"/>
        <v>750</v>
      </c>
      <c r="L123" s="63">
        <f t="shared" si="14"/>
        <v>750</v>
      </c>
      <c r="M123" s="63">
        <f>0</f>
        <v>0</v>
      </c>
      <c r="N123" s="63">
        <f t="shared" si="11"/>
        <v>750</v>
      </c>
      <c r="O123" s="11">
        <f>0</f>
        <v>0</v>
      </c>
    </row>
    <row r="124" spans="1:15" x14ac:dyDescent="0.25">
      <c r="A124" s="53" t="s">
        <v>564</v>
      </c>
      <c r="B124" s="50" t="s">
        <v>531</v>
      </c>
      <c r="C124" s="50" t="s">
        <v>532</v>
      </c>
      <c r="D124" s="50" t="s">
        <v>533</v>
      </c>
      <c r="E124" s="50" t="s">
        <v>534</v>
      </c>
      <c r="F124" s="64" t="str">
        <f t="shared" si="8"/>
        <v>750:750:750:0:750:0</v>
      </c>
      <c r="G124" s="61">
        <v>300</v>
      </c>
      <c r="H124" s="62">
        <f t="shared" si="9"/>
        <v>1500</v>
      </c>
      <c r="I124" s="62">
        <f t="shared" si="10"/>
        <v>750</v>
      </c>
      <c r="J124" s="63">
        <f t="shared" si="14"/>
        <v>750</v>
      </c>
      <c r="K124" s="63">
        <f t="shared" si="14"/>
        <v>750</v>
      </c>
      <c r="L124" s="63">
        <f t="shared" si="14"/>
        <v>750</v>
      </c>
      <c r="M124" s="63">
        <f>0</f>
        <v>0</v>
      </c>
      <c r="N124" s="63">
        <f t="shared" si="11"/>
        <v>750</v>
      </c>
      <c r="O124" s="11">
        <f>0</f>
        <v>0</v>
      </c>
    </row>
    <row r="125" spans="1:15" x14ac:dyDescent="0.25">
      <c r="A125" s="53" t="s">
        <v>565</v>
      </c>
      <c r="B125" s="50" t="s">
        <v>531</v>
      </c>
      <c r="C125" s="50" t="s">
        <v>532</v>
      </c>
      <c r="D125" s="50" t="s">
        <v>533</v>
      </c>
      <c r="E125" s="50" t="s">
        <v>534</v>
      </c>
      <c r="F125" s="64" t="str">
        <f t="shared" si="8"/>
        <v>750:750:750:0:750:0</v>
      </c>
      <c r="G125" s="61">
        <v>300</v>
      </c>
      <c r="H125" s="62">
        <f t="shared" si="9"/>
        <v>1500</v>
      </c>
      <c r="I125" s="62">
        <f t="shared" si="10"/>
        <v>750</v>
      </c>
      <c r="J125" s="63">
        <f t="shared" si="14"/>
        <v>750</v>
      </c>
      <c r="K125" s="63">
        <f t="shared" si="14"/>
        <v>750</v>
      </c>
      <c r="L125" s="63">
        <f t="shared" si="14"/>
        <v>750</v>
      </c>
      <c r="M125" s="63">
        <f>0</f>
        <v>0</v>
      </c>
      <c r="N125" s="63">
        <f t="shared" si="11"/>
        <v>750</v>
      </c>
      <c r="O125" s="11">
        <f>0</f>
        <v>0</v>
      </c>
    </row>
    <row r="126" spans="1:15" x14ac:dyDescent="0.25">
      <c r="A126" s="53" t="s">
        <v>566</v>
      </c>
      <c r="B126" s="50" t="s">
        <v>531</v>
      </c>
      <c r="C126" s="50" t="s">
        <v>532</v>
      </c>
      <c r="D126" s="50" t="s">
        <v>533</v>
      </c>
      <c r="E126" s="50" t="s">
        <v>534</v>
      </c>
      <c r="F126" s="64" t="str">
        <f t="shared" si="8"/>
        <v>750:750:750:0:750:0</v>
      </c>
      <c r="G126" s="61">
        <v>300</v>
      </c>
      <c r="H126" s="62">
        <f t="shared" si="9"/>
        <v>1500</v>
      </c>
      <c r="I126" s="62">
        <f t="shared" si="10"/>
        <v>750</v>
      </c>
      <c r="J126" s="63">
        <f t="shared" si="14"/>
        <v>750</v>
      </c>
      <c r="K126" s="63">
        <f t="shared" si="14"/>
        <v>750</v>
      </c>
      <c r="L126" s="63">
        <f t="shared" si="14"/>
        <v>750</v>
      </c>
      <c r="M126" s="63">
        <f>0</f>
        <v>0</v>
      </c>
      <c r="N126" s="63">
        <f t="shared" si="11"/>
        <v>750</v>
      </c>
      <c r="O126" s="11">
        <f>0</f>
        <v>0</v>
      </c>
    </row>
    <row r="127" spans="1:15" x14ac:dyDescent="0.25">
      <c r="A127" s="53" t="s">
        <v>567</v>
      </c>
      <c r="B127" s="50" t="s">
        <v>531</v>
      </c>
      <c r="C127" s="50" t="s">
        <v>532</v>
      </c>
      <c r="D127" s="50" t="s">
        <v>533</v>
      </c>
      <c r="E127" s="50" t="s">
        <v>534</v>
      </c>
      <c r="F127" s="64" t="str">
        <f t="shared" si="8"/>
        <v>750:750:750:0:750:0</v>
      </c>
      <c r="G127" s="61">
        <v>300</v>
      </c>
      <c r="H127" s="62">
        <f t="shared" si="9"/>
        <v>1500</v>
      </c>
      <c r="I127" s="62">
        <f t="shared" si="10"/>
        <v>750</v>
      </c>
      <c r="J127" s="63">
        <f t="shared" si="14"/>
        <v>750</v>
      </c>
      <c r="K127" s="63">
        <f t="shared" si="14"/>
        <v>750</v>
      </c>
      <c r="L127" s="63">
        <f t="shared" si="14"/>
        <v>750</v>
      </c>
      <c r="M127" s="63">
        <f>0</f>
        <v>0</v>
      </c>
      <c r="N127" s="63">
        <f t="shared" si="11"/>
        <v>750</v>
      </c>
      <c r="O127" s="11">
        <f>0</f>
        <v>0</v>
      </c>
    </row>
    <row r="128" spans="1:15" x14ac:dyDescent="0.25">
      <c r="A128" s="53" t="s">
        <v>568</v>
      </c>
      <c r="B128" s="50" t="s">
        <v>531</v>
      </c>
      <c r="C128" s="50" t="s">
        <v>532</v>
      </c>
      <c r="D128" s="50" t="s">
        <v>533</v>
      </c>
      <c r="E128" s="50" t="s">
        <v>534</v>
      </c>
      <c r="F128" s="64" t="str">
        <f t="shared" si="8"/>
        <v>750:750:750:0:750:0</v>
      </c>
      <c r="G128" s="61">
        <v>300</v>
      </c>
      <c r="H128" s="62">
        <f t="shared" si="9"/>
        <v>1500</v>
      </c>
      <c r="I128" s="62">
        <f t="shared" si="10"/>
        <v>750</v>
      </c>
      <c r="J128" s="63">
        <f t="shared" si="14"/>
        <v>750</v>
      </c>
      <c r="K128" s="63">
        <f t="shared" si="14"/>
        <v>750</v>
      </c>
      <c r="L128" s="63">
        <f t="shared" si="14"/>
        <v>750</v>
      </c>
      <c r="M128" s="63">
        <f>0</f>
        <v>0</v>
      </c>
      <c r="N128" s="63">
        <f t="shared" si="11"/>
        <v>750</v>
      </c>
      <c r="O128" s="11">
        <f>0</f>
        <v>0</v>
      </c>
    </row>
    <row r="129" spans="1:15" x14ac:dyDescent="0.25">
      <c r="A129" s="53" t="s">
        <v>569</v>
      </c>
      <c r="B129" s="50" t="s">
        <v>531</v>
      </c>
      <c r="C129" s="50" t="s">
        <v>532</v>
      </c>
      <c r="D129" s="50" t="s">
        <v>533</v>
      </c>
      <c r="E129" s="50" t="s">
        <v>534</v>
      </c>
      <c r="F129" s="64" t="str">
        <f t="shared" si="8"/>
        <v>750:750:750:0:750:0</v>
      </c>
      <c r="G129" s="61">
        <v>300</v>
      </c>
      <c r="H129" s="62">
        <f t="shared" si="9"/>
        <v>1500</v>
      </c>
      <c r="I129" s="62">
        <f t="shared" si="10"/>
        <v>750</v>
      </c>
      <c r="J129" s="63">
        <f t="shared" si="14"/>
        <v>750</v>
      </c>
      <c r="K129" s="63">
        <f t="shared" si="14"/>
        <v>750</v>
      </c>
      <c r="L129" s="63">
        <f t="shared" si="14"/>
        <v>750</v>
      </c>
      <c r="M129" s="63">
        <f>0</f>
        <v>0</v>
      </c>
      <c r="N129" s="63">
        <f t="shared" si="11"/>
        <v>750</v>
      </c>
      <c r="O129" s="11">
        <f>0</f>
        <v>0</v>
      </c>
    </row>
    <row r="130" spans="1:15" x14ac:dyDescent="0.25">
      <c r="A130" s="53" t="s">
        <v>570</v>
      </c>
      <c r="B130" s="50" t="s">
        <v>531</v>
      </c>
      <c r="C130" s="50" t="s">
        <v>532</v>
      </c>
      <c r="D130" s="50" t="s">
        <v>533</v>
      </c>
      <c r="E130" s="50" t="s">
        <v>534</v>
      </c>
      <c r="F130" s="64" t="str">
        <f t="shared" si="8"/>
        <v>750:750:750:0:750:0</v>
      </c>
      <c r="G130" s="61">
        <v>300</v>
      </c>
      <c r="H130" s="62">
        <f t="shared" si="9"/>
        <v>1500</v>
      </c>
      <c r="I130" s="62">
        <f t="shared" si="10"/>
        <v>750</v>
      </c>
      <c r="J130" s="63">
        <f t="shared" si="14"/>
        <v>750</v>
      </c>
      <c r="K130" s="63">
        <f t="shared" si="14"/>
        <v>750</v>
      </c>
      <c r="L130" s="63">
        <f t="shared" si="14"/>
        <v>750</v>
      </c>
      <c r="M130" s="63">
        <f>0</f>
        <v>0</v>
      </c>
      <c r="N130" s="63">
        <f t="shared" si="11"/>
        <v>750</v>
      </c>
      <c r="O130" s="11">
        <f>0</f>
        <v>0</v>
      </c>
    </row>
    <row r="131" spans="1:15" x14ac:dyDescent="0.25">
      <c r="A131" s="53" t="s">
        <v>571</v>
      </c>
      <c r="B131" s="50" t="s">
        <v>531</v>
      </c>
      <c r="C131" s="50" t="s">
        <v>532</v>
      </c>
      <c r="D131" s="50" t="s">
        <v>533</v>
      </c>
      <c r="E131" s="50" t="s">
        <v>534</v>
      </c>
      <c r="F131" s="64" t="str">
        <f t="shared" ref="F131:F194" si="15">CONCATENATE(J131&amp;":"&amp;K131&amp;":"&amp;L131&amp;":"&amp;M131&amp;":"&amp;N131&amp;":"&amp;O131)</f>
        <v>750:750:750:0:750:0</v>
      </c>
      <c r="G131" s="61">
        <v>300</v>
      </c>
      <c r="H131" s="62">
        <f t="shared" ref="H131:H194" si="16">G131*5</f>
        <v>1500</v>
      </c>
      <c r="I131" s="62">
        <f t="shared" ref="I131:I194" si="17">ROUNDUP(H131/2,0)</f>
        <v>750</v>
      </c>
      <c r="J131" s="63">
        <f t="shared" si="14"/>
        <v>750</v>
      </c>
      <c r="K131" s="63">
        <f t="shared" si="14"/>
        <v>750</v>
      </c>
      <c r="L131" s="63">
        <f t="shared" si="14"/>
        <v>750</v>
      </c>
      <c r="M131" s="63">
        <f>0</f>
        <v>0</v>
      </c>
      <c r="N131" s="63">
        <f t="shared" ref="N131:N194" si="18">L131</f>
        <v>750</v>
      </c>
      <c r="O131" s="11">
        <f>0</f>
        <v>0</v>
      </c>
    </row>
    <row r="132" spans="1:15" x14ac:dyDescent="0.25">
      <c r="A132" s="53" t="s">
        <v>572</v>
      </c>
      <c r="B132" s="50" t="s">
        <v>531</v>
      </c>
      <c r="C132" s="50" t="s">
        <v>532</v>
      </c>
      <c r="D132" s="50" t="s">
        <v>533</v>
      </c>
      <c r="E132" s="50" t="s">
        <v>534</v>
      </c>
      <c r="F132" s="64" t="str">
        <f t="shared" si="15"/>
        <v>750:750:750:0:750:0</v>
      </c>
      <c r="G132" s="61">
        <v>300</v>
      </c>
      <c r="H132" s="62">
        <f t="shared" si="16"/>
        <v>1500</v>
      </c>
      <c r="I132" s="62">
        <f t="shared" si="17"/>
        <v>750</v>
      </c>
      <c r="J132" s="63">
        <f t="shared" si="14"/>
        <v>750</v>
      </c>
      <c r="K132" s="63">
        <f t="shared" si="14"/>
        <v>750</v>
      </c>
      <c r="L132" s="63">
        <f t="shared" si="14"/>
        <v>750</v>
      </c>
      <c r="M132" s="63">
        <f>0</f>
        <v>0</v>
      </c>
      <c r="N132" s="63">
        <f t="shared" si="18"/>
        <v>750</v>
      </c>
      <c r="O132" s="11">
        <f>0</f>
        <v>0</v>
      </c>
    </row>
    <row r="133" spans="1:15" x14ac:dyDescent="0.25">
      <c r="A133" s="53" t="s">
        <v>573</v>
      </c>
      <c r="B133" s="50" t="s">
        <v>531</v>
      </c>
      <c r="C133" s="50" t="s">
        <v>532</v>
      </c>
      <c r="D133" s="50" t="s">
        <v>533</v>
      </c>
      <c r="E133" s="50" t="s">
        <v>534</v>
      </c>
      <c r="F133" s="64" t="str">
        <f t="shared" si="15"/>
        <v>750:750:750:0:750:0</v>
      </c>
      <c r="G133" s="61">
        <v>300</v>
      </c>
      <c r="H133" s="62">
        <f t="shared" si="16"/>
        <v>1500</v>
      </c>
      <c r="I133" s="62">
        <f t="shared" si="17"/>
        <v>750</v>
      </c>
      <c r="J133" s="63">
        <f t="shared" si="14"/>
        <v>750</v>
      </c>
      <c r="K133" s="63">
        <f t="shared" si="14"/>
        <v>750</v>
      </c>
      <c r="L133" s="63">
        <f t="shared" si="14"/>
        <v>750</v>
      </c>
      <c r="M133" s="63">
        <f>0</f>
        <v>0</v>
      </c>
      <c r="N133" s="63">
        <f t="shared" si="18"/>
        <v>750</v>
      </c>
      <c r="O133" s="11">
        <f>0</f>
        <v>0</v>
      </c>
    </row>
    <row r="134" spans="1:15" x14ac:dyDescent="0.25">
      <c r="A134" s="53" t="s">
        <v>574</v>
      </c>
      <c r="B134" s="50" t="s">
        <v>531</v>
      </c>
      <c r="C134" s="50" t="s">
        <v>532</v>
      </c>
      <c r="D134" s="50" t="s">
        <v>533</v>
      </c>
      <c r="E134" s="50" t="s">
        <v>534</v>
      </c>
      <c r="F134" s="64" t="str">
        <f t="shared" si="15"/>
        <v>750:750:750:0:750:0</v>
      </c>
      <c r="G134" s="61">
        <v>300</v>
      </c>
      <c r="H134" s="62">
        <f t="shared" si="16"/>
        <v>1500</v>
      </c>
      <c r="I134" s="62">
        <f t="shared" si="17"/>
        <v>750</v>
      </c>
      <c r="J134" s="63">
        <f t="shared" si="14"/>
        <v>750</v>
      </c>
      <c r="K134" s="63">
        <f t="shared" si="14"/>
        <v>750</v>
      </c>
      <c r="L134" s="63">
        <f t="shared" si="14"/>
        <v>750</v>
      </c>
      <c r="M134" s="63">
        <f>0</f>
        <v>0</v>
      </c>
      <c r="N134" s="63">
        <f t="shared" si="18"/>
        <v>750</v>
      </c>
      <c r="O134" s="11">
        <f>0</f>
        <v>0</v>
      </c>
    </row>
    <row r="135" spans="1:15" x14ac:dyDescent="0.25">
      <c r="A135" s="53" t="s">
        <v>575</v>
      </c>
      <c r="B135" s="50" t="s">
        <v>531</v>
      </c>
      <c r="C135" s="50" t="s">
        <v>532</v>
      </c>
      <c r="D135" s="50" t="s">
        <v>533</v>
      </c>
      <c r="E135" s="50" t="s">
        <v>534</v>
      </c>
      <c r="F135" s="64" t="str">
        <f t="shared" si="15"/>
        <v>750:750:750:0:750:0</v>
      </c>
      <c r="G135" s="61">
        <v>300</v>
      </c>
      <c r="H135" s="62">
        <f t="shared" si="16"/>
        <v>1500</v>
      </c>
      <c r="I135" s="62">
        <f t="shared" si="17"/>
        <v>750</v>
      </c>
      <c r="J135" s="63">
        <f t="shared" si="14"/>
        <v>750</v>
      </c>
      <c r="K135" s="63">
        <f t="shared" si="14"/>
        <v>750</v>
      </c>
      <c r="L135" s="63">
        <f t="shared" si="14"/>
        <v>750</v>
      </c>
      <c r="M135" s="63">
        <f>0</f>
        <v>0</v>
      </c>
      <c r="N135" s="63">
        <f t="shared" si="18"/>
        <v>750</v>
      </c>
      <c r="O135" s="11">
        <f>0</f>
        <v>0</v>
      </c>
    </row>
    <row r="136" spans="1:15" x14ac:dyDescent="0.25">
      <c r="A136" s="53" t="s">
        <v>576</v>
      </c>
      <c r="B136" s="50" t="s">
        <v>531</v>
      </c>
      <c r="C136" s="50" t="s">
        <v>532</v>
      </c>
      <c r="D136" s="50" t="s">
        <v>533</v>
      </c>
      <c r="E136" s="50" t="s">
        <v>534</v>
      </c>
      <c r="F136" s="64" t="str">
        <f t="shared" si="15"/>
        <v>750:750:750:0:750:0</v>
      </c>
      <c r="G136" s="61">
        <v>300</v>
      </c>
      <c r="H136" s="62">
        <f t="shared" si="16"/>
        <v>1500</v>
      </c>
      <c r="I136" s="62">
        <f t="shared" si="17"/>
        <v>750</v>
      </c>
      <c r="J136" s="63">
        <f t="shared" si="14"/>
        <v>750</v>
      </c>
      <c r="K136" s="63">
        <f t="shared" si="14"/>
        <v>750</v>
      </c>
      <c r="L136" s="63">
        <f t="shared" si="14"/>
        <v>750</v>
      </c>
      <c r="M136" s="63">
        <f>0</f>
        <v>0</v>
      </c>
      <c r="N136" s="63">
        <f t="shared" si="18"/>
        <v>750</v>
      </c>
      <c r="O136" s="11">
        <f>0</f>
        <v>0</v>
      </c>
    </row>
    <row r="137" spans="1:15" x14ac:dyDescent="0.25">
      <c r="A137" s="53" t="s">
        <v>577</v>
      </c>
      <c r="B137" s="50" t="s">
        <v>531</v>
      </c>
      <c r="C137" s="50" t="s">
        <v>532</v>
      </c>
      <c r="D137" s="50" t="s">
        <v>533</v>
      </c>
      <c r="E137" s="50" t="s">
        <v>534</v>
      </c>
      <c r="F137" s="64" t="str">
        <f t="shared" si="15"/>
        <v>750:750:750:0:750:0</v>
      </c>
      <c r="G137" s="61">
        <v>300</v>
      </c>
      <c r="H137" s="62">
        <f t="shared" si="16"/>
        <v>1500</v>
      </c>
      <c r="I137" s="62">
        <f t="shared" si="17"/>
        <v>750</v>
      </c>
      <c r="J137" s="63">
        <f t="shared" si="14"/>
        <v>750</v>
      </c>
      <c r="K137" s="63">
        <f t="shared" si="14"/>
        <v>750</v>
      </c>
      <c r="L137" s="63">
        <f t="shared" si="14"/>
        <v>750</v>
      </c>
      <c r="M137" s="63">
        <f>0</f>
        <v>0</v>
      </c>
      <c r="N137" s="63">
        <f t="shared" si="18"/>
        <v>750</v>
      </c>
      <c r="O137" s="11">
        <f>0</f>
        <v>0</v>
      </c>
    </row>
    <row r="138" spans="1:15" x14ac:dyDescent="0.25">
      <c r="A138" s="53" t="s">
        <v>578</v>
      </c>
      <c r="B138" s="50" t="s">
        <v>531</v>
      </c>
      <c r="C138" s="50" t="s">
        <v>532</v>
      </c>
      <c r="D138" s="50" t="s">
        <v>533</v>
      </c>
      <c r="E138" s="50" t="s">
        <v>534</v>
      </c>
      <c r="F138" s="64" t="str">
        <f t="shared" si="15"/>
        <v>750:750:750:0:750:0</v>
      </c>
      <c r="G138" s="61">
        <v>300</v>
      </c>
      <c r="H138" s="62">
        <f t="shared" si="16"/>
        <v>1500</v>
      </c>
      <c r="I138" s="62">
        <f t="shared" si="17"/>
        <v>750</v>
      </c>
      <c r="J138" s="63">
        <f t="shared" si="14"/>
        <v>750</v>
      </c>
      <c r="K138" s="63">
        <f t="shared" si="14"/>
        <v>750</v>
      </c>
      <c r="L138" s="63">
        <f t="shared" si="14"/>
        <v>750</v>
      </c>
      <c r="M138" s="63">
        <f>0</f>
        <v>0</v>
      </c>
      <c r="N138" s="63">
        <f t="shared" si="18"/>
        <v>750</v>
      </c>
      <c r="O138" s="11">
        <f>0</f>
        <v>0</v>
      </c>
    </row>
    <row r="139" spans="1:15" x14ac:dyDescent="0.25">
      <c r="A139" s="53" t="s">
        <v>579</v>
      </c>
      <c r="B139" s="50" t="s">
        <v>531</v>
      </c>
      <c r="C139" s="50" t="s">
        <v>532</v>
      </c>
      <c r="D139" s="50" t="s">
        <v>533</v>
      </c>
      <c r="E139" s="50" t="s">
        <v>534</v>
      </c>
      <c r="F139" s="64" t="str">
        <f t="shared" si="15"/>
        <v>750:750:750:0:750:0</v>
      </c>
      <c r="G139" s="61">
        <v>300</v>
      </c>
      <c r="H139" s="62">
        <f t="shared" si="16"/>
        <v>1500</v>
      </c>
      <c r="I139" s="62">
        <f t="shared" si="17"/>
        <v>750</v>
      </c>
      <c r="J139" s="63">
        <f t="shared" si="14"/>
        <v>750</v>
      </c>
      <c r="K139" s="63">
        <f t="shared" si="14"/>
        <v>750</v>
      </c>
      <c r="L139" s="63">
        <f t="shared" si="14"/>
        <v>750</v>
      </c>
      <c r="M139" s="63">
        <f>0</f>
        <v>0</v>
      </c>
      <c r="N139" s="63">
        <f t="shared" si="18"/>
        <v>750</v>
      </c>
      <c r="O139" s="11">
        <f>0</f>
        <v>0</v>
      </c>
    </row>
    <row r="140" spans="1:15" x14ac:dyDescent="0.25">
      <c r="A140" s="53" t="s">
        <v>580</v>
      </c>
      <c r="B140" s="50" t="s">
        <v>531</v>
      </c>
      <c r="C140" s="50" t="s">
        <v>532</v>
      </c>
      <c r="D140" s="50" t="s">
        <v>533</v>
      </c>
      <c r="E140" s="50" t="s">
        <v>534</v>
      </c>
      <c r="F140" s="64" t="str">
        <f t="shared" si="15"/>
        <v>750:750:750:0:750:0</v>
      </c>
      <c r="G140" s="61">
        <v>300</v>
      </c>
      <c r="H140" s="62">
        <f t="shared" si="16"/>
        <v>1500</v>
      </c>
      <c r="I140" s="62">
        <f t="shared" si="17"/>
        <v>750</v>
      </c>
      <c r="J140" s="63">
        <f t="shared" si="14"/>
        <v>750</v>
      </c>
      <c r="K140" s="63">
        <f t="shared" si="14"/>
        <v>750</v>
      </c>
      <c r="L140" s="63">
        <f t="shared" si="14"/>
        <v>750</v>
      </c>
      <c r="M140" s="63">
        <f>0</f>
        <v>0</v>
      </c>
      <c r="N140" s="63">
        <f t="shared" si="18"/>
        <v>750</v>
      </c>
      <c r="O140" s="11">
        <f>0</f>
        <v>0</v>
      </c>
    </row>
    <row r="141" spans="1:15" x14ac:dyDescent="0.25">
      <c r="A141" s="53" t="s">
        <v>581</v>
      </c>
      <c r="B141" s="50" t="s">
        <v>531</v>
      </c>
      <c r="C141" s="50" t="s">
        <v>532</v>
      </c>
      <c r="D141" s="50" t="s">
        <v>533</v>
      </c>
      <c r="E141" s="50" t="s">
        <v>534</v>
      </c>
      <c r="F141" s="64" t="str">
        <f t="shared" si="15"/>
        <v>750:750:750:0:750:0</v>
      </c>
      <c r="G141" s="61">
        <v>300</v>
      </c>
      <c r="H141" s="62">
        <f t="shared" si="16"/>
        <v>1500</v>
      </c>
      <c r="I141" s="62">
        <f t="shared" si="17"/>
        <v>750</v>
      </c>
      <c r="J141" s="63">
        <f t="shared" si="14"/>
        <v>750</v>
      </c>
      <c r="K141" s="63">
        <f t="shared" si="14"/>
        <v>750</v>
      </c>
      <c r="L141" s="63">
        <f t="shared" si="14"/>
        <v>750</v>
      </c>
      <c r="M141" s="63">
        <f>0</f>
        <v>0</v>
      </c>
      <c r="N141" s="63">
        <f t="shared" si="18"/>
        <v>750</v>
      </c>
      <c r="O141" s="11">
        <f>0</f>
        <v>0</v>
      </c>
    </row>
    <row r="142" spans="1:15" x14ac:dyDescent="0.25">
      <c r="A142" s="53" t="s">
        <v>582</v>
      </c>
      <c r="B142" s="50" t="s">
        <v>531</v>
      </c>
      <c r="C142" s="50" t="s">
        <v>532</v>
      </c>
      <c r="D142" s="50" t="s">
        <v>533</v>
      </c>
      <c r="E142" s="50" t="s">
        <v>534</v>
      </c>
      <c r="F142" s="64" t="str">
        <f t="shared" si="15"/>
        <v>750:750:750:0:750:0</v>
      </c>
      <c r="G142" s="61">
        <v>300</v>
      </c>
      <c r="H142" s="62">
        <f t="shared" si="16"/>
        <v>1500</v>
      </c>
      <c r="I142" s="62">
        <f t="shared" si="17"/>
        <v>750</v>
      </c>
      <c r="J142" s="63">
        <f t="shared" ref="J142:L161" si="19">I142</f>
        <v>750</v>
      </c>
      <c r="K142" s="63">
        <f t="shared" si="19"/>
        <v>750</v>
      </c>
      <c r="L142" s="63">
        <f t="shared" si="19"/>
        <v>750</v>
      </c>
      <c r="M142" s="63">
        <f>0</f>
        <v>0</v>
      </c>
      <c r="N142" s="63">
        <f t="shared" si="18"/>
        <v>750</v>
      </c>
      <c r="O142" s="11">
        <f>0</f>
        <v>0</v>
      </c>
    </row>
    <row r="143" spans="1:15" x14ac:dyDescent="0.25">
      <c r="A143" s="53" t="s">
        <v>583</v>
      </c>
      <c r="B143" s="50" t="s">
        <v>531</v>
      </c>
      <c r="C143" s="50" t="s">
        <v>532</v>
      </c>
      <c r="D143" s="50" t="s">
        <v>533</v>
      </c>
      <c r="E143" s="50" t="s">
        <v>534</v>
      </c>
      <c r="F143" s="64" t="str">
        <f t="shared" si="15"/>
        <v>750:750:750:0:750:0</v>
      </c>
      <c r="G143" s="61">
        <v>300</v>
      </c>
      <c r="H143" s="62">
        <f t="shared" si="16"/>
        <v>1500</v>
      </c>
      <c r="I143" s="62">
        <f t="shared" si="17"/>
        <v>750</v>
      </c>
      <c r="J143" s="63">
        <f t="shared" si="19"/>
        <v>750</v>
      </c>
      <c r="K143" s="63">
        <f t="shared" si="19"/>
        <v>750</v>
      </c>
      <c r="L143" s="63">
        <f t="shared" si="19"/>
        <v>750</v>
      </c>
      <c r="M143" s="63">
        <f>0</f>
        <v>0</v>
      </c>
      <c r="N143" s="63">
        <f t="shared" si="18"/>
        <v>750</v>
      </c>
      <c r="O143" s="11">
        <f>0</f>
        <v>0</v>
      </c>
    </row>
    <row r="144" spans="1:15" x14ac:dyDescent="0.25">
      <c r="A144" s="53" t="s">
        <v>584</v>
      </c>
      <c r="B144" s="50" t="s">
        <v>531</v>
      </c>
      <c r="C144" s="50" t="s">
        <v>532</v>
      </c>
      <c r="D144" s="50" t="s">
        <v>533</v>
      </c>
      <c r="E144" s="50" t="s">
        <v>534</v>
      </c>
      <c r="F144" s="64" t="str">
        <f t="shared" si="15"/>
        <v>750:750:750:0:750:0</v>
      </c>
      <c r="G144" s="61">
        <v>300</v>
      </c>
      <c r="H144" s="62">
        <f t="shared" si="16"/>
        <v>1500</v>
      </c>
      <c r="I144" s="62">
        <f t="shared" si="17"/>
        <v>750</v>
      </c>
      <c r="J144" s="63">
        <f t="shared" si="19"/>
        <v>750</v>
      </c>
      <c r="K144" s="63">
        <f t="shared" si="19"/>
        <v>750</v>
      </c>
      <c r="L144" s="63">
        <f t="shared" si="19"/>
        <v>750</v>
      </c>
      <c r="M144" s="63">
        <f>0</f>
        <v>0</v>
      </c>
      <c r="N144" s="63">
        <f t="shared" si="18"/>
        <v>750</v>
      </c>
      <c r="O144" s="11">
        <f>0</f>
        <v>0</v>
      </c>
    </row>
    <row r="145" spans="1:15" x14ac:dyDescent="0.25">
      <c r="A145" s="53" t="s">
        <v>585</v>
      </c>
      <c r="B145" s="50" t="s">
        <v>531</v>
      </c>
      <c r="C145" s="50" t="s">
        <v>532</v>
      </c>
      <c r="D145" s="50" t="s">
        <v>533</v>
      </c>
      <c r="E145" s="50" t="s">
        <v>534</v>
      </c>
      <c r="F145" s="64" t="str">
        <f t="shared" si="15"/>
        <v>750:750:750:0:750:0</v>
      </c>
      <c r="G145" s="61">
        <v>300</v>
      </c>
      <c r="H145" s="62">
        <f t="shared" si="16"/>
        <v>1500</v>
      </c>
      <c r="I145" s="62">
        <f t="shared" si="17"/>
        <v>750</v>
      </c>
      <c r="J145" s="63">
        <f t="shared" si="19"/>
        <v>750</v>
      </c>
      <c r="K145" s="63">
        <f t="shared" si="19"/>
        <v>750</v>
      </c>
      <c r="L145" s="63">
        <f t="shared" si="19"/>
        <v>750</v>
      </c>
      <c r="M145" s="63">
        <f>0</f>
        <v>0</v>
      </c>
      <c r="N145" s="63">
        <f t="shared" si="18"/>
        <v>750</v>
      </c>
      <c r="O145" s="11">
        <f>0</f>
        <v>0</v>
      </c>
    </row>
    <row r="146" spans="1:15" x14ac:dyDescent="0.25">
      <c r="A146" s="53" t="s">
        <v>586</v>
      </c>
      <c r="B146" s="50" t="s">
        <v>531</v>
      </c>
      <c r="C146" s="50" t="s">
        <v>532</v>
      </c>
      <c r="D146" s="50" t="s">
        <v>533</v>
      </c>
      <c r="E146" s="50" t="s">
        <v>534</v>
      </c>
      <c r="F146" s="64" t="str">
        <f t="shared" si="15"/>
        <v>750:750:750:0:750:0</v>
      </c>
      <c r="G146" s="61">
        <v>300</v>
      </c>
      <c r="H146" s="62">
        <f t="shared" si="16"/>
        <v>1500</v>
      </c>
      <c r="I146" s="62">
        <f t="shared" si="17"/>
        <v>750</v>
      </c>
      <c r="J146" s="63">
        <f t="shared" si="19"/>
        <v>750</v>
      </c>
      <c r="K146" s="63">
        <f t="shared" si="19"/>
        <v>750</v>
      </c>
      <c r="L146" s="63">
        <f t="shared" si="19"/>
        <v>750</v>
      </c>
      <c r="M146" s="63">
        <f>0</f>
        <v>0</v>
      </c>
      <c r="N146" s="63">
        <f t="shared" si="18"/>
        <v>750</v>
      </c>
      <c r="O146" s="11">
        <f>0</f>
        <v>0</v>
      </c>
    </row>
    <row r="147" spans="1:15" x14ac:dyDescent="0.25">
      <c r="A147" s="53" t="s">
        <v>587</v>
      </c>
      <c r="B147" s="50" t="s">
        <v>531</v>
      </c>
      <c r="C147" s="50" t="s">
        <v>532</v>
      </c>
      <c r="D147" s="50" t="s">
        <v>533</v>
      </c>
      <c r="E147" s="50" t="s">
        <v>534</v>
      </c>
      <c r="F147" s="64" t="str">
        <f t="shared" si="15"/>
        <v>750:750:750:0:750:0</v>
      </c>
      <c r="G147" s="61">
        <v>300</v>
      </c>
      <c r="H147" s="62">
        <f t="shared" si="16"/>
        <v>1500</v>
      </c>
      <c r="I147" s="62">
        <f t="shared" si="17"/>
        <v>750</v>
      </c>
      <c r="J147" s="63">
        <f t="shared" si="19"/>
        <v>750</v>
      </c>
      <c r="K147" s="63">
        <f t="shared" si="19"/>
        <v>750</v>
      </c>
      <c r="L147" s="63">
        <f t="shared" si="19"/>
        <v>750</v>
      </c>
      <c r="M147" s="63">
        <f>0</f>
        <v>0</v>
      </c>
      <c r="N147" s="63">
        <f t="shared" si="18"/>
        <v>750</v>
      </c>
      <c r="O147" s="11">
        <f>0</f>
        <v>0</v>
      </c>
    </row>
    <row r="148" spans="1:15" x14ac:dyDescent="0.25">
      <c r="A148" s="53" t="s">
        <v>588</v>
      </c>
      <c r="B148" s="50" t="s">
        <v>531</v>
      </c>
      <c r="C148" s="50" t="s">
        <v>532</v>
      </c>
      <c r="D148" s="50" t="s">
        <v>533</v>
      </c>
      <c r="E148" s="50" t="s">
        <v>534</v>
      </c>
      <c r="F148" s="64" t="str">
        <f t="shared" si="15"/>
        <v>750:750:750:0:750:0</v>
      </c>
      <c r="G148" s="61">
        <v>300</v>
      </c>
      <c r="H148" s="62">
        <f t="shared" si="16"/>
        <v>1500</v>
      </c>
      <c r="I148" s="62">
        <f t="shared" si="17"/>
        <v>750</v>
      </c>
      <c r="J148" s="63">
        <f t="shared" si="19"/>
        <v>750</v>
      </c>
      <c r="K148" s="63">
        <f t="shared" si="19"/>
        <v>750</v>
      </c>
      <c r="L148" s="63">
        <f t="shared" si="19"/>
        <v>750</v>
      </c>
      <c r="M148" s="63">
        <f>0</f>
        <v>0</v>
      </c>
      <c r="N148" s="63">
        <f t="shared" si="18"/>
        <v>750</v>
      </c>
      <c r="O148" s="11">
        <f>0</f>
        <v>0</v>
      </c>
    </row>
    <row r="149" spans="1:15" x14ac:dyDescent="0.25">
      <c r="A149" s="53" t="s">
        <v>589</v>
      </c>
      <c r="B149" s="50" t="s">
        <v>531</v>
      </c>
      <c r="C149" s="50" t="s">
        <v>532</v>
      </c>
      <c r="D149" s="50" t="s">
        <v>533</v>
      </c>
      <c r="E149" s="50" t="s">
        <v>534</v>
      </c>
      <c r="F149" s="64" t="str">
        <f t="shared" si="15"/>
        <v>750:750:750:0:750:0</v>
      </c>
      <c r="G149" s="61">
        <v>300</v>
      </c>
      <c r="H149" s="62">
        <f t="shared" si="16"/>
        <v>1500</v>
      </c>
      <c r="I149" s="62">
        <f t="shared" si="17"/>
        <v>750</v>
      </c>
      <c r="J149" s="63">
        <f t="shared" si="19"/>
        <v>750</v>
      </c>
      <c r="K149" s="63">
        <f t="shared" si="19"/>
        <v>750</v>
      </c>
      <c r="L149" s="63">
        <f t="shared" si="19"/>
        <v>750</v>
      </c>
      <c r="M149" s="63">
        <f>0</f>
        <v>0</v>
      </c>
      <c r="N149" s="63">
        <f t="shared" si="18"/>
        <v>750</v>
      </c>
      <c r="O149" s="11">
        <f>0</f>
        <v>0</v>
      </c>
    </row>
    <row r="150" spans="1:15" x14ac:dyDescent="0.25">
      <c r="A150" s="53" t="s">
        <v>590</v>
      </c>
      <c r="B150" s="50" t="s">
        <v>531</v>
      </c>
      <c r="C150" s="50" t="s">
        <v>532</v>
      </c>
      <c r="D150" s="50" t="s">
        <v>533</v>
      </c>
      <c r="E150" s="50" t="s">
        <v>534</v>
      </c>
      <c r="F150" s="64" t="str">
        <f t="shared" si="15"/>
        <v>750:750:750:0:750:0</v>
      </c>
      <c r="G150" s="61">
        <v>300</v>
      </c>
      <c r="H150" s="62">
        <f t="shared" si="16"/>
        <v>1500</v>
      </c>
      <c r="I150" s="62">
        <f t="shared" si="17"/>
        <v>750</v>
      </c>
      <c r="J150" s="63">
        <f t="shared" si="19"/>
        <v>750</v>
      </c>
      <c r="K150" s="63">
        <f t="shared" si="19"/>
        <v>750</v>
      </c>
      <c r="L150" s="63">
        <f t="shared" si="19"/>
        <v>750</v>
      </c>
      <c r="M150" s="63">
        <f>0</f>
        <v>0</v>
      </c>
      <c r="N150" s="63">
        <f t="shared" si="18"/>
        <v>750</v>
      </c>
      <c r="O150" s="11">
        <f>0</f>
        <v>0</v>
      </c>
    </row>
    <row r="151" spans="1:15" x14ac:dyDescent="0.25">
      <c r="A151" s="53" t="s">
        <v>591</v>
      </c>
      <c r="B151" s="50" t="s">
        <v>531</v>
      </c>
      <c r="C151" s="50" t="s">
        <v>532</v>
      </c>
      <c r="D151" s="50" t="s">
        <v>533</v>
      </c>
      <c r="E151" s="50" t="s">
        <v>534</v>
      </c>
      <c r="F151" s="64" t="str">
        <f t="shared" si="15"/>
        <v>750:750:750:0:750:0</v>
      </c>
      <c r="G151" s="61">
        <v>300</v>
      </c>
      <c r="H151" s="62">
        <f t="shared" si="16"/>
        <v>1500</v>
      </c>
      <c r="I151" s="62">
        <f t="shared" si="17"/>
        <v>750</v>
      </c>
      <c r="J151" s="63">
        <f t="shared" si="19"/>
        <v>750</v>
      </c>
      <c r="K151" s="63">
        <f t="shared" si="19"/>
        <v>750</v>
      </c>
      <c r="L151" s="63">
        <f t="shared" si="19"/>
        <v>750</v>
      </c>
      <c r="M151" s="63">
        <f>0</f>
        <v>0</v>
      </c>
      <c r="N151" s="63">
        <f t="shared" si="18"/>
        <v>750</v>
      </c>
      <c r="O151" s="11">
        <f>0</f>
        <v>0</v>
      </c>
    </row>
    <row r="152" spans="1:15" x14ac:dyDescent="0.25">
      <c r="A152" s="53" t="s">
        <v>592</v>
      </c>
      <c r="B152" s="50" t="s">
        <v>531</v>
      </c>
      <c r="C152" s="50" t="s">
        <v>532</v>
      </c>
      <c r="D152" s="50" t="s">
        <v>533</v>
      </c>
      <c r="E152" s="50" t="s">
        <v>534</v>
      </c>
      <c r="F152" s="64" t="str">
        <f t="shared" si="15"/>
        <v>750:750:750:0:750:0</v>
      </c>
      <c r="G152" s="61">
        <v>300</v>
      </c>
      <c r="H152" s="62">
        <f t="shared" si="16"/>
        <v>1500</v>
      </c>
      <c r="I152" s="62">
        <f t="shared" si="17"/>
        <v>750</v>
      </c>
      <c r="J152" s="63">
        <f t="shared" si="19"/>
        <v>750</v>
      </c>
      <c r="K152" s="63">
        <f t="shared" si="19"/>
        <v>750</v>
      </c>
      <c r="L152" s="63">
        <f t="shared" si="19"/>
        <v>750</v>
      </c>
      <c r="M152" s="63">
        <f>0</f>
        <v>0</v>
      </c>
      <c r="N152" s="63">
        <f t="shared" si="18"/>
        <v>750</v>
      </c>
      <c r="O152" s="11">
        <f>0</f>
        <v>0</v>
      </c>
    </row>
    <row r="153" spans="1:15" x14ac:dyDescent="0.25">
      <c r="A153" s="53" t="s">
        <v>593</v>
      </c>
      <c r="B153" s="50" t="s">
        <v>531</v>
      </c>
      <c r="C153" s="50" t="s">
        <v>532</v>
      </c>
      <c r="D153" s="50" t="s">
        <v>533</v>
      </c>
      <c r="E153" s="50" t="s">
        <v>534</v>
      </c>
      <c r="F153" s="64" t="str">
        <f t="shared" si="15"/>
        <v>750:750:750:0:750:0</v>
      </c>
      <c r="G153" s="61">
        <v>300</v>
      </c>
      <c r="H153" s="62">
        <f t="shared" si="16"/>
        <v>1500</v>
      </c>
      <c r="I153" s="62">
        <f t="shared" si="17"/>
        <v>750</v>
      </c>
      <c r="J153" s="63">
        <f t="shared" si="19"/>
        <v>750</v>
      </c>
      <c r="K153" s="63">
        <f t="shared" si="19"/>
        <v>750</v>
      </c>
      <c r="L153" s="63">
        <f t="shared" si="19"/>
        <v>750</v>
      </c>
      <c r="M153" s="63">
        <f>0</f>
        <v>0</v>
      </c>
      <c r="N153" s="63">
        <f t="shared" si="18"/>
        <v>750</v>
      </c>
      <c r="O153" s="11">
        <f>0</f>
        <v>0</v>
      </c>
    </row>
    <row r="154" spans="1:15" x14ac:dyDescent="0.25">
      <c r="A154" s="53" t="s">
        <v>594</v>
      </c>
      <c r="B154" s="50" t="s">
        <v>531</v>
      </c>
      <c r="C154" s="50" t="s">
        <v>532</v>
      </c>
      <c r="D154" s="50" t="s">
        <v>533</v>
      </c>
      <c r="E154" s="50" t="s">
        <v>534</v>
      </c>
      <c r="F154" s="64" t="str">
        <f t="shared" si="15"/>
        <v>750:750:750:0:750:0</v>
      </c>
      <c r="G154" s="61">
        <v>300</v>
      </c>
      <c r="H154" s="62">
        <f t="shared" si="16"/>
        <v>1500</v>
      </c>
      <c r="I154" s="62">
        <f t="shared" si="17"/>
        <v>750</v>
      </c>
      <c r="J154" s="63">
        <f t="shared" si="19"/>
        <v>750</v>
      </c>
      <c r="K154" s="63">
        <f t="shared" si="19"/>
        <v>750</v>
      </c>
      <c r="L154" s="63">
        <f t="shared" si="19"/>
        <v>750</v>
      </c>
      <c r="M154" s="63">
        <f>0</f>
        <v>0</v>
      </c>
      <c r="N154" s="63">
        <f t="shared" si="18"/>
        <v>750</v>
      </c>
      <c r="O154" s="11">
        <f>0</f>
        <v>0</v>
      </c>
    </row>
    <row r="155" spans="1:15" x14ac:dyDescent="0.25">
      <c r="A155" s="53" t="s">
        <v>595</v>
      </c>
      <c r="B155" s="50" t="s">
        <v>531</v>
      </c>
      <c r="C155" s="50" t="s">
        <v>532</v>
      </c>
      <c r="D155" s="50" t="s">
        <v>533</v>
      </c>
      <c r="E155" s="50" t="s">
        <v>534</v>
      </c>
      <c r="F155" s="64" t="str">
        <f t="shared" si="15"/>
        <v>750:750:750:0:750:0</v>
      </c>
      <c r="G155" s="61">
        <v>300</v>
      </c>
      <c r="H155" s="62">
        <f t="shared" si="16"/>
        <v>1500</v>
      </c>
      <c r="I155" s="62">
        <f t="shared" si="17"/>
        <v>750</v>
      </c>
      <c r="J155" s="63">
        <f t="shared" si="19"/>
        <v>750</v>
      </c>
      <c r="K155" s="63">
        <f t="shared" si="19"/>
        <v>750</v>
      </c>
      <c r="L155" s="63">
        <f t="shared" si="19"/>
        <v>750</v>
      </c>
      <c r="M155" s="63">
        <f>0</f>
        <v>0</v>
      </c>
      <c r="N155" s="63">
        <f t="shared" si="18"/>
        <v>750</v>
      </c>
      <c r="O155" s="11">
        <f>0</f>
        <v>0</v>
      </c>
    </row>
    <row r="156" spans="1:15" x14ac:dyDescent="0.25">
      <c r="A156" s="53" t="s">
        <v>596</v>
      </c>
      <c r="B156" s="50" t="s">
        <v>531</v>
      </c>
      <c r="C156" s="50" t="s">
        <v>532</v>
      </c>
      <c r="D156" s="50" t="s">
        <v>533</v>
      </c>
      <c r="E156" s="50" t="s">
        <v>534</v>
      </c>
      <c r="F156" s="64" t="str">
        <f t="shared" si="15"/>
        <v>750:750:750:0:750:0</v>
      </c>
      <c r="G156" s="61">
        <v>300</v>
      </c>
      <c r="H156" s="62">
        <f t="shared" si="16"/>
        <v>1500</v>
      </c>
      <c r="I156" s="62">
        <f t="shared" si="17"/>
        <v>750</v>
      </c>
      <c r="J156" s="63">
        <f t="shared" si="19"/>
        <v>750</v>
      </c>
      <c r="K156" s="63">
        <f t="shared" si="19"/>
        <v>750</v>
      </c>
      <c r="L156" s="63">
        <f t="shared" si="19"/>
        <v>750</v>
      </c>
      <c r="M156" s="63">
        <f>0</f>
        <v>0</v>
      </c>
      <c r="N156" s="63">
        <f t="shared" si="18"/>
        <v>750</v>
      </c>
      <c r="O156" s="11">
        <f>0</f>
        <v>0</v>
      </c>
    </row>
    <row r="157" spans="1:15" x14ac:dyDescent="0.25">
      <c r="A157" s="53" t="s">
        <v>597</v>
      </c>
      <c r="B157" s="50" t="s">
        <v>531</v>
      </c>
      <c r="C157" s="50" t="s">
        <v>532</v>
      </c>
      <c r="D157" s="50" t="s">
        <v>533</v>
      </c>
      <c r="E157" s="50" t="s">
        <v>534</v>
      </c>
      <c r="F157" s="64" t="str">
        <f t="shared" si="15"/>
        <v>750:750:750:0:750:0</v>
      </c>
      <c r="G157" s="61">
        <v>300</v>
      </c>
      <c r="H157" s="62">
        <f t="shared" si="16"/>
        <v>1500</v>
      </c>
      <c r="I157" s="62">
        <f t="shared" si="17"/>
        <v>750</v>
      </c>
      <c r="J157" s="63">
        <f t="shared" si="19"/>
        <v>750</v>
      </c>
      <c r="K157" s="63">
        <f t="shared" si="19"/>
        <v>750</v>
      </c>
      <c r="L157" s="63">
        <f t="shared" si="19"/>
        <v>750</v>
      </c>
      <c r="M157" s="63">
        <f>0</f>
        <v>0</v>
      </c>
      <c r="N157" s="63">
        <f t="shared" si="18"/>
        <v>750</v>
      </c>
      <c r="O157" s="11">
        <f>0</f>
        <v>0</v>
      </c>
    </row>
    <row r="158" spans="1:15" x14ac:dyDescent="0.25">
      <c r="A158" s="53" t="s">
        <v>598</v>
      </c>
      <c r="B158" s="50" t="s">
        <v>531</v>
      </c>
      <c r="C158" s="50" t="s">
        <v>532</v>
      </c>
      <c r="D158" s="50" t="s">
        <v>533</v>
      </c>
      <c r="E158" s="50" t="s">
        <v>534</v>
      </c>
      <c r="F158" s="64" t="str">
        <f t="shared" si="15"/>
        <v>750:750:750:0:750:0</v>
      </c>
      <c r="G158" s="61">
        <v>300</v>
      </c>
      <c r="H158" s="62">
        <f t="shared" si="16"/>
        <v>1500</v>
      </c>
      <c r="I158" s="62">
        <f t="shared" si="17"/>
        <v>750</v>
      </c>
      <c r="J158" s="63">
        <f t="shared" si="19"/>
        <v>750</v>
      </c>
      <c r="K158" s="63">
        <f t="shared" si="19"/>
        <v>750</v>
      </c>
      <c r="L158" s="63">
        <f t="shared" si="19"/>
        <v>750</v>
      </c>
      <c r="M158" s="63">
        <f>0</f>
        <v>0</v>
      </c>
      <c r="N158" s="63">
        <f t="shared" si="18"/>
        <v>750</v>
      </c>
      <c r="O158" s="11">
        <f>0</f>
        <v>0</v>
      </c>
    </row>
    <row r="159" spans="1:15" x14ac:dyDescent="0.25">
      <c r="A159" s="53" t="s">
        <v>599</v>
      </c>
      <c r="B159" s="50" t="s">
        <v>531</v>
      </c>
      <c r="C159" s="50" t="s">
        <v>532</v>
      </c>
      <c r="D159" s="50" t="s">
        <v>533</v>
      </c>
      <c r="E159" s="50" t="s">
        <v>534</v>
      </c>
      <c r="F159" s="64" t="str">
        <f t="shared" si="15"/>
        <v>750:750:750:0:750:0</v>
      </c>
      <c r="G159" s="61">
        <v>300</v>
      </c>
      <c r="H159" s="62">
        <f t="shared" si="16"/>
        <v>1500</v>
      </c>
      <c r="I159" s="62">
        <f t="shared" si="17"/>
        <v>750</v>
      </c>
      <c r="J159" s="63">
        <f t="shared" si="19"/>
        <v>750</v>
      </c>
      <c r="K159" s="63">
        <f t="shared" si="19"/>
        <v>750</v>
      </c>
      <c r="L159" s="63">
        <f t="shared" si="19"/>
        <v>750</v>
      </c>
      <c r="M159" s="63">
        <f>0</f>
        <v>0</v>
      </c>
      <c r="N159" s="63">
        <f t="shared" si="18"/>
        <v>750</v>
      </c>
      <c r="O159" s="11">
        <f>0</f>
        <v>0</v>
      </c>
    </row>
    <row r="160" spans="1:15" x14ac:dyDescent="0.25">
      <c r="A160" s="53" t="s">
        <v>600</v>
      </c>
      <c r="B160" s="50" t="s">
        <v>531</v>
      </c>
      <c r="C160" s="50" t="s">
        <v>532</v>
      </c>
      <c r="D160" s="50" t="s">
        <v>533</v>
      </c>
      <c r="E160" s="50" t="s">
        <v>534</v>
      </c>
      <c r="F160" s="64" t="str">
        <f t="shared" si="15"/>
        <v>750:750:750:0:750:0</v>
      </c>
      <c r="G160" s="61">
        <v>300</v>
      </c>
      <c r="H160" s="62">
        <f t="shared" si="16"/>
        <v>1500</v>
      </c>
      <c r="I160" s="62">
        <f t="shared" si="17"/>
        <v>750</v>
      </c>
      <c r="J160" s="63">
        <f t="shared" si="19"/>
        <v>750</v>
      </c>
      <c r="K160" s="63">
        <f t="shared" si="19"/>
        <v>750</v>
      </c>
      <c r="L160" s="63">
        <f t="shared" si="19"/>
        <v>750</v>
      </c>
      <c r="M160" s="63">
        <f>0</f>
        <v>0</v>
      </c>
      <c r="N160" s="63">
        <f t="shared" si="18"/>
        <v>750</v>
      </c>
      <c r="O160" s="11">
        <f>0</f>
        <v>0</v>
      </c>
    </row>
    <row r="161" spans="1:15" x14ac:dyDescent="0.25">
      <c r="A161" s="53" t="s">
        <v>601</v>
      </c>
      <c r="B161" s="50" t="s">
        <v>531</v>
      </c>
      <c r="C161" s="50" t="s">
        <v>532</v>
      </c>
      <c r="D161" s="50" t="s">
        <v>533</v>
      </c>
      <c r="E161" s="50" t="s">
        <v>534</v>
      </c>
      <c r="F161" s="64" t="str">
        <f t="shared" si="15"/>
        <v>750:750:750:0:750:0</v>
      </c>
      <c r="G161" s="61">
        <v>300</v>
      </c>
      <c r="H161" s="62">
        <f t="shared" si="16"/>
        <v>1500</v>
      </c>
      <c r="I161" s="62">
        <f t="shared" si="17"/>
        <v>750</v>
      </c>
      <c r="J161" s="63">
        <f t="shared" si="19"/>
        <v>750</v>
      </c>
      <c r="K161" s="63">
        <f t="shared" si="19"/>
        <v>750</v>
      </c>
      <c r="L161" s="63">
        <f t="shared" si="19"/>
        <v>750</v>
      </c>
      <c r="M161" s="63">
        <f>0</f>
        <v>0</v>
      </c>
      <c r="N161" s="63">
        <f t="shared" si="18"/>
        <v>750</v>
      </c>
      <c r="O161" s="11">
        <f>0</f>
        <v>0</v>
      </c>
    </row>
    <row r="162" spans="1:15" x14ac:dyDescent="0.25">
      <c r="A162" s="53" t="s">
        <v>602</v>
      </c>
      <c r="B162" s="50" t="s">
        <v>531</v>
      </c>
      <c r="C162" s="50" t="s">
        <v>532</v>
      </c>
      <c r="D162" s="50" t="s">
        <v>533</v>
      </c>
      <c r="E162" s="50" t="s">
        <v>534</v>
      </c>
      <c r="F162" s="64" t="str">
        <f t="shared" si="15"/>
        <v>750:750:750:0:750:0</v>
      </c>
      <c r="G162" s="61">
        <v>300</v>
      </c>
      <c r="H162" s="62">
        <f t="shared" si="16"/>
        <v>1500</v>
      </c>
      <c r="I162" s="62">
        <f t="shared" si="17"/>
        <v>750</v>
      </c>
      <c r="J162" s="63">
        <f t="shared" ref="J162:L181" si="20">I162</f>
        <v>750</v>
      </c>
      <c r="K162" s="63">
        <f t="shared" si="20"/>
        <v>750</v>
      </c>
      <c r="L162" s="63">
        <f t="shared" si="20"/>
        <v>750</v>
      </c>
      <c r="M162" s="63">
        <f>0</f>
        <v>0</v>
      </c>
      <c r="N162" s="63">
        <f t="shared" si="18"/>
        <v>750</v>
      </c>
      <c r="O162" s="11">
        <f>0</f>
        <v>0</v>
      </c>
    </row>
    <row r="163" spans="1:15" x14ac:dyDescent="0.25">
      <c r="A163" s="53" t="s">
        <v>603</v>
      </c>
      <c r="B163" s="50" t="s">
        <v>531</v>
      </c>
      <c r="C163" s="50" t="s">
        <v>532</v>
      </c>
      <c r="D163" s="50" t="s">
        <v>533</v>
      </c>
      <c r="E163" s="50" t="s">
        <v>534</v>
      </c>
      <c r="F163" s="64" t="str">
        <f t="shared" si="15"/>
        <v>750:750:750:0:750:0</v>
      </c>
      <c r="G163" s="61">
        <v>300</v>
      </c>
      <c r="H163" s="62">
        <f t="shared" si="16"/>
        <v>1500</v>
      </c>
      <c r="I163" s="62">
        <f t="shared" si="17"/>
        <v>750</v>
      </c>
      <c r="J163" s="63">
        <f t="shared" si="20"/>
        <v>750</v>
      </c>
      <c r="K163" s="63">
        <f t="shared" si="20"/>
        <v>750</v>
      </c>
      <c r="L163" s="63">
        <f t="shared" si="20"/>
        <v>750</v>
      </c>
      <c r="M163" s="63">
        <f>0</f>
        <v>0</v>
      </c>
      <c r="N163" s="63">
        <f t="shared" si="18"/>
        <v>750</v>
      </c>
      <c r="O163" s="11">
        <f>0</f>
        <v>0</v>
      </c>
    </row>
    <row r="164" spans="1:15" x14ac:dyDescent="0.25">
      <c r="A164" s="53" t="s">
        <v>604</v>
      </c>
      <c r="B164" s="50" t="s">
        <v>531</v>
      </c>
      <c r="C164" s="50" t="s">
        <v>532</v>
      </c>
      <c r="D164" s="50" t="s">
        <v>533</v>
      </c>
      <c r="E164" s="50" t="s">
        <v>534</v>
      </c>
      <c r="F164" s="64" t="str">
        <f t="shared" si="15"/>
        <v>750:750:750:0:750:0</v>
      </c>
      <c r="G164" s="61">
        <v>300</v>
      </c>
      <c r="H164" s="62">
        <f t="shared" si="16"/>
        <v>1500</v>
      </c>
      <c r="I164" s="62">
        <f t="shared" si="17"/>
        <v>750</v>
      </c>
      <c r="J164" s="63">
        <f t="shared" si="20"/>
        <v>750</v>
      </c>
      <c r="K164" s="63">
        <f t="shared" si="20"/>
        <v>750</v>
      </c>
      <c r="L164" s="63">
        <f t="shared" si="20"/>
        <v>750</v>
      </c>
      <c r="M164" s="63">
        <f>0</f>
        <v>0</v>
      </c>
      <c r="N164" s="63">
        <f t="shared" si="18"/>
        <v>750</v>
      </c>
      <c r="O164" s="11">
        <f>0</f>
        <v>0</v>
      </c>
    </row>
    <row r="165" spans="1:15" x14ac:dyDescent="0.25">
      <c r="A165" s="53" t="s">
        <v>605</v>
      </c>
      <c r="B165" s="50" t="s">
        <v>531</v>
      </c>
      <c r="C165" s="50" t="s">
        <v>532</v>
      </c>
      <c r="D165" s="50" t="s">
        <v>533</v>
      </c>
      <c r="E165" s="50" t="s">
        <v>534</v>
      </c>
      <c r="F165" s="64" t="str">
        <f t="shared" si="15"/>
        <v>750:750:750:0:750:0</v>
      </c>
      <c r="G165" s="61">
        <v>300</v>
      </c>
      <c r="H165" s="62">
        <f t="shared" si="16"/>
        <v>1500</v>
      </c>
      <c r="I165" s="62">
        <f t="shared" si="17"/>
        <v>750</v>
      </c>
      <c r="J165" s="63">
        <f t="shared" si="20"/>
        <v>750</v>
      </c>
      <c r="K165" s="63">
        <f t="shared" si="20"/>
        <v>750</v>
      </c>
      <c r="L165" s="63">
        <f t="shared" si="20"/>
        <v>750</v>
      </c>
      <c r="M165" s="63">
        <f>0</f>
        <v>0</v>
      </c>
      <c r="N165" s="63">
        <f t="shared" si="18"/>
        <v>750</v>
      </c>
      <c r="O165" s="11">
        <f>0</f>
        <v>0</v>
      </c>
    </row>
    <row r="166" spans="1:15" x14ac:dyDescent="0.25">
      <c r="A166" s="53" t="s">
        <v>606</v>
      </c>
      <c r="B166" s="50" t="s">
        <v>531</v>
      </c>
      <c r="C166" s="50" t="s">
        <v>532</v>
      </c>
      <c r="D166" s="50" t="s">
        <v>533</v>
      </c>
      <c r="E166" s="50" t="s">
        <v>534</v>
      </c>
      <c r="F166" s="64" t="str">
        <f t="shared" si="15"/>
        <v>750:750:750:0:750:0</v>
      </c>
      <c r="G166" s="61">
        <v>300</v>
      </c>
      <c r="H166" s="62">
        <f t="shared" si="16"/>
        <v>1500</v>
      </c>
      <c r="I166" s="62">
        <f t="shared" si="17"/>
        <v>750</v>
      </c>
      <c r="J166" s="63">
        <f t="shared" si="20"/>
        <v>750</v>
      </c>
      <c r="K166" s="63">
        <f t="shared" si="20"/>
        <v>750</v>
      </c>
      <c r="L166" s="63">
        <f t="shared" si="20"/>
        <v>750</v>
      </c>
      <c r="M166" s="63">
        <f>0</f>
        <v>0</v>
      </c>
      <c r="N166" s="63">
        <f t="shared" si="18"/>
        <v>750</v>
      </c>
      <c r="O166" s="11">
        <f>0</f>
        <v>0</v>
      </c>
    </row>
    <row r="167" spans="1:15" x14ac:dyDescent="0.25">
      <c r="A167" s="53" t="s">
        <v>607</v>
      </c>
      <c r="B167" s="50" t="s">
        <v>531</v>
      </c>
      <c r="C167" s="50" t="s">
        <v>532</v>
      </c>
      <c r="D167" s="50" t="s">
        <v>533</v>
      </c>
      <c r="E167" s="50" t="s">
        <v>534</v>
      </c>
      <c r="F167" s="64" t="str">
        <f t="shared" si="15"/>
        <v>750:750:750:0:750:0</v>
      </c>
      <c r="G167" s="61">
        <v>300</v>
      </c>
      <c r="H167" s="62">
        <f t="shared" si="16"/>
        <v>1500</v>
      </c>
      <c r="I167" s="62">
        <f t="shared" si="17"/>
        <v>750</v>
      </c>
      <c r="J167" s="63">
        <f t="shared" si="20"/>
        <v>750</v>
      </c>
      <c r="K167" s="63">
        <f t="shared" si="20"/>
        <v>750</v>
      </c>
      <c r="L167" s="63">
        <f t="shared" si="20"/>
        <v>750</v>
      </c>
      <c r="M167" s="63">
        <f>0</f>
        <v>0</v>
      </c>
      <c r="N167" s="63">
        <f t="shared" si="18"/>
        <v>750</v>
      </c>
      <c r="O167" s="11">
        <f>0</f>
        <v>0</v>
      </c>
    </row>
    <row r="168" spans="1:15" x14ac:dyDescent="0.25">
      <c r="A168" s="53" t="s">
        <v>608</v>
      </c>
      <c r="B168" s="50" t="s">
        <v>531</v>
      </c>
      <c r="C168" s="50" t="s">
        <v>532</v>
      </c>
      <c r="D168" s="50" t="s">
        <v>533</v>
      </c>
      <c r="E168" s="50" t="s">
        <v>534</v>
      </c>
      <c r="F168" s="64" t="str">
        <f t="shared" si="15"/>
        <v>750:750:750:0:750:0</v>
      </c>
      <c r="G168" s="61">
        <v>300</v>
      </c>
      <c r="H168" s="62">
        <f t="shared" si="16"/>
        <v>1500</v>
      </c>
      <c r="I168" s="62">
        <f t="shared" si="17"/>
        <v>750</v>
      </c>
      <c r="J168" s="63">
        <f t="shared" si="20"/>
        <v>750</v>
      </c>
      <c r="K168" s="63">
        <f t="shared" si="20"/>
        <v>750</v>
      </c>
      <c r="L168" s="63">
        <f t="shared" si="20"/>
        <v>750</v>
      </c>
      <c r="M168" s="63">
        <f>0</f>
        <v>0</v>
      </c>
      <c r="N168" s="63">
        <f t="shared" si="18"/>
        <v>750</v>
      </c>
      <c r="O168" s="11">
        <f>0</f>
        <v>0</v>
      </c>
    </row>
    <row r="169" spans="1:15" x14ac:dyDescent="0.25">
      <c r="A169" s="53" t="s">
        <v>609</v>
      </c>
      <c r="B169" s="50" t="s">
        <v>531</v>
      </c>
      <c r="C169" s="50" t="s">
        <v>532</v>
      </c>
      <c r="D169" s="50" t="s">
        <v>533</v>
      </c>
      <c r="E169" s="50" t="s">
        <v>534</v>
      </c>
      <c r="F169" s="64" t="str">
        <f t="shared" si="15"/>
        <v>750:750:750:0:750:0</v>
      </c>
      <c r="G169" s="61">
        <v>300</v>
      </c>
      <c r="H169" s="62">
        <f t="shared" si="16"/>
        <v>1500</v>
      </c>
      <c r="I169" s="62">
        <f t="shared" si="17"/>
        <v>750</v>
      </c>
      <c r="J169" s="63">
        <f t="shared" si="20"/>
        <v>750</v>
      </c>
      <c r="K169" s="63">
        <f t="shared" si="20"/>
        <v>750</v>
      </c>
      <c r="L169" s="63">
        <f t="shared" si="20"/>
        <v>750</v>
      </c>
      <c r="M169" s="63">
        <f>0</f>
        <v>0</v>
      </c>
      <c r="N169" s="63">
        <f t="shared" si="18"/>
        <v>750</v>
      </c>
      <c r="O169" s="11">
        <f>0</f>
        <v>0</v>
      </c>
    </row>
    <row r="170" spans="1:15" x14ac:dyDescent="0.25">
      <c r="A170" s="53" t="s">
        <v>610</v>
      </c>
      <c r="B170" s="50" t="s">
        <v>531</v>
      </c>
      <c r="C170" s="50" t="s">
        <v>532</v>
      </c>
      <c r="D170" s="50" t="s">
        <v>533</v>
      </c>
      <c r="E170" s="50" t="s">
        <v>534</v>
      </c>
      <c r="F170" s="64" t="str">
        <f t="shared" si="15"/>
        <v>750:750:750:0:750:0</v>
      </c>
      <c r="G170" s="61">
        <v>300</v>
      </c>
      <c r="H170" s="62">
        <f t="shared" si="16"/>
        <v>1500</v>
      </c>
      <c r="I170" s="62">
        <f t="shared" si="17"/>
        <v>750</v>
      </c>
      <c r="J170" s="63">
        <f t="shared" si="20"/>
        <v>750</v>
      </c>
      <c r="K170" s="63">
        <f t="shared" si="20"/>
        <v>750</v>
      </c>
      <c r="L170" s="63">
        <f t="shared" si="20"/>
        <v>750</v>
      </c>
      <c r="M170" s="63">
        <f>0</f>
        <v>0</v>
      </c>
      <c r="N170" s="63">
        <f t="shared" si="18"/>
        <v>750</v>
      </c>
      <c r="O170" s="11">
        <f>0</f>
        <v>0</v>
      </c>
    </row>
    <row r="171" spans="1:15" x14ac:dyDescent="0.25">
      <c r="A171" s="53" t="s">
        <v>611</v>
      </c>
      <c r="B171" s="50" t="s">
        <v>531</v>
      </c>
      <c r="C171" s="50" t="s">
        <v>532</v>
      </c>
      <c r="D171" s="50" t="s">
        <v>533</v>
      </c>
      <c r="E171" s="50" t="s">
        <v>534</v>
      </c>
      <c r="F171" s="64" t="str">
        <f t="shared" si="15"/>
        <v>750:750:750:0:750:0</v>
      </c>
      <c r="G171" s="61">
        <v>300</v>
      </c>
      <c r="H171" s="62">
        <f t="shared" si="16"/>
        <v>1500</v>
      </c>
      <c r="I171" s="62">
        <f t="shared" si="17"/>
        <v>750</v>
      </c>
      <c r="J171" s="63">
        <f t="shared" si="20"/>
        <v>750</v>
      </c>
      <c r="K171" s="63">
        <f t="shared" si="20"/>
        <v>750</v>
      </c>
      <c r="L171" s="63">
        <f t="shared" si="20"/>
        <v>750</v>
      </c>
      <c r="M171" s="63">
        <f>0</f>
        <v>0</v>
      </c>
      <c r="N171" s="63">
        <f t="shared" si="18"/>
        <v>750</v>
      </c>
      <c r="O171" s="11">
        <f>0</f>
        <v>0</v>
      </c>
    </row>
    <row r="172" spans="1:15" x14ac:dyDescent="0.25">
      <c r="A172" s="53" t="s">
        <v>612</v>
      </c>
      <c r="B172" s="50" t="s">
        <v>531</v>
      </c>
      <c r="C172" s="50" t="s">
        <v>532</v>
      </c>
      <c r="D172" s="50" t="s">
        <v>533</v>
      </c>
      <c r="E172" s="50" t="s">
        <v>534</v>
      </c>
      <c r="F172" s="64" t="str">
        <f t="shared" si="15"/>
        <v>750:750:750:0:750:0</v>
      </c>
      <c r="G172" s="61">
        <v>300</v>
      </c>
      <c r="H172" s="62">
        <f t="shared" si="16"/>
        <v>1500</v>
      </c>
      <c r="I172" s="62">
        <f t="shared" si="17"/>
        <v>750</v>
      </c>
      <c r="J172" s="63">
        <f t="shared" si="20"/>
        <v>750</v>
      </c>
      <c r="K172" s="63">
        <f t="shared" si="20"/>
        <v>750</v>
      </c>
      <c r="L172" s="63">
        <f t="shared" si="20"/>
        <v>750</v>
      </c>
      <c r="M172" s="63">
        <f>0</f>
        <v>0</v>
      </c>
      <c r="N172" s="63">
        <f t="shared" si="18"/>
        <v>750</v>
      </c>
      <c r="O172" s="11">
        <f>0</f>
        <v>0</v>
      </c>
    </row>
    <row r="173" spans="1:15" x14ac:dyDescent="0.25">
      <c r="A173" s="53" t="s">
        <v>613</v>
      </c>
      <c r="B173" s="50" t="s">
        <v>531</v>
      </c>
      <c r="C173" s="50" t="s">
        <v>532</v>
      </c>
      <c r="D173" s="50" t="s">
        <v>533</v>
      </c>
      <c r="E173" s="50" t="s">
        <v>534</v>
      </c>
      <c r="F173" s="64" t="str">
        <f t="shared" si="15"/>
        <v>750:750:750:0:750:0</v>
      </c>
      <c r="G173" s="61">
        <v>300</v>
      </c>
      <c r="H173" s="62">
        <f t="shared" si="16"/>
        <v>1500</v>
      </c>
      <c r="I173" s="62">
        <f t="shared" si="17"/>
        <v>750</v>
      </c>
      <c r="J173" s="63">
        <f t="shared" si="20"/>
        <v>750</v>
      </c>
      <c r="K173" s="63">
        <f t="shared" si="20"/>
        <v>750</v>
      </c>
      <c r="L173" s="63">
        <f t="shared" si="20"/>
        <v>750</v>
      </c>
      <c r="M173" s="63">
        <f>0</f>
        <v>0</v>
      </c>
      <c r="N173" s="63">
        <f t="shared" si="18"/>
        <v>750</v>
      </c>
      <c r="O173" s="11">
        <f>0</f>
        <v>0</v>
      </c>
    </row>
    <row r="174" spans="1:15" x14ac:dyDescent="0.25">
      <c r="A174" s="53" t="s">
        <v>614</v>
      </c>
      <c r="B174" s="50" t="s">
        <v>531</v>
      </c>
      <c r="C174" s="50" t="s">
        <v>532</v>
      </c>
      <c r="D174" s="50" t="s">
        <v>533</v>
      </c>
      <c r="E174" s="50" t="s">
        <v>534</v>
      </c>
      <c r="F174" s="64" t="str">
        <f t="shared" si="15"/>
        <v>750:750:750:0:750:0</v>
      </c>
      <c r="G174" s="61">
        <v>300</v>
      </c>
      <c r="H174" s="62">
        <f t="shared" si="16"/>
        <v>1500</v>
      </c>
      <c r="I174" s="62">
        <f t="shared" si="17"/>
        <v>750</v>
      </c>
      <c r="J174" s="63">
        <f t="shared" si="20"/>
        <v>750</v>
      </c>
      <c r="K174" s="63">
        <f t="shared" si="20"/>
        <v>750</v>
      </c>
      <c r="L174" s="63">
        <f t="shared" si="20"/>
        <v>750</v>
      </c>
      <c r="M174" s="63">
        <f>0</f>
        <v>0</v>
      </c>
      <c r="N174" s="63">
        <f t="shared" si="18"/>
        <v>750</v>
      </c>
      <c r="O174" s="11">
        <f>0</f>
        <v>0</v>
      </c>
    </row>
    <row r="175" spans="1:15" x14ac:dyDescent="0.25">
      <c r="A175" s="53" t="s">
        <v>615</v>
      </c>
      <c r="B175" s="50" t="s">
        <v>531</v>
      </c>
      <c r="C175" s="50" t="s">
        <v>532</v>
      </c>
      <c r="D175" s="50" t="s">
        <v>533</v>
      </c>
      <c r="E175" s="50" t="s">
        <v>534</v>
      </c>
      <c r="F175" s="64" t="str">
        <f t="shared" si="15"/>
        <v>750:750:750:0:750:0</v>
      </c>
      <c r="G175" s="61">
        <v>300</v>
      </c>
      <c r="H175" s="62">
        <f t="shared" si="16"/>
        <v>1500</v>
      </c>
      <c r="I175" s="62">
        <f t="shared" si="17"/>
        <v>750</v>
      </c>
      <c r="J175" s="63">
        <f t="shared" si="20"/>
        <v>750</v>
      </c>
      <c r="K175" s="63">
        <f t="shared" si="20"/>
        <v>750</v>
      </c>
      <c r="L175" s="63">
        <f t="shared" si="20"/>
        <v>750</v>
      </c>
      <c r="M175" s="63">
        <f>0</f>
        <v>0</v>
      </c>
      <c r="N175" s="63">
        <f t="shared" si="18"/>
        <v>750</v>
      </c>
      <c r="O175" s="11">
        <f>0</f>
        <v>0</v>
      </c>
    </row>
    <row r="176" spans="1:15" x14ac:dyDescent="0.25">
      <c r="A176" s="53" t="s">
        <v>616</v>
      </c>
      <c r="B176" s="50" t="s">
        <v>531</v>
      </c>
      <c r="C176" s="50" t="s">
        <v>532</v>
      </c>
      <c r="D176" s="50" t="s">
        <v>533</v>
      </c>
      <c r="E176" s="50" t="s">
        <v>534</v>
      </c>
      <c r="F176" s="64" t="str">
        <f t="shared" si="15"/>
        <v>750:750:750:0:750:0</v>
      </c>
      <c r="G176" s="61">
        <v>300</v>
      </c>
      <c r="H176" s="62">
        <f t="shared" si="16"/>
        <v>1500</v>
      </c>
      <c r="I176" s="62">
        <f t="shared" si="17"/>
        <v>750</v>
      </c>
      <c r="J176" s="63">
        <f t="shared" si="20"/>
        <v>750</v>
      </c>
      <c r="K176" s="63">
        <f t="shared" si="20"/>
        <v>750</v>
      </c>
      <c r="L176" s="63">
        <f t="shared" si="20"/>
        <v>750</v>
      </c>
      <c r="M176" s="63">
        <f>0</f>
        <v>0</v>
      </c>
      <c r="N176" s="63">
        <f t="shared" si="18"/>
        <v>750</v>
      </c>
      <c r="O176" s="11">
        <f>0</f>
        <v>0</v>
      </c>
    </row>
    <row r="177" spans="1:15" x14ac:dyDescent="0.25">
      <c r="A177" s="53" t="s">
        <v>617</v>
      </c>
      <c r="B177" s="50" t="s">
        <v>531</v>
      </c>
      <c r="C177" s="50" t="s">
        <v>532</v>
      </c>
      <c r="D177" s="50" t="s">
        <v>533</v>
      </c>
      <c r="E177" s="50" t="s">
        <v>534</v>
      </c>
      <c r="F177" s="64" t="str">
        <f t="shared" si="15"/>
        <v>750:750:750:0:750:0</v>
      </c>
      <c r="G177" s="61">
        <v>300</v>
      </c>
      <c r="H177" s="62">
        <f t="shared" si="16"/>
        <v>1500</v>
      </c>
      <c r="I177" s="62">
        <f t="shared" si="17"/>
        <v>750</v>
      </c>
      <c r="J177" s="63">
        <f t="shared" si="20"/>
        <v>750</v>
      </c>
      <c r="K177" s="63">
        <f t="shared" si="20"/>
        <v>750</v>
      </c>
      <c r="L177" s="63">
        <f t="shared" si="20"/>
        <v>750</v>
      </c>
      <c r="M177" s="63">
        <f>0</f>
        <v>0</v>
      </c>
      <c r="N177" s="63">
        <f t="shared" si="18"/>
        <v>750</v>
      </c>
      <c r="O177" s="11">
        <f>0</f>
        <v>0</v>
      </c>
    </row>
    <row r="178" spans="1:15" x14ac:dyDescent="0.25">
      <c r="A178" s="53" t="s">
        <v>618</v>
      </c>
      <c r="B178" s="50" t="s">
        <v>531</v>
      </c>
      <c r="C178" s="50" t="s">
        <v>532</v>
      </c>
      <c r="D178" s="50" t="s">
        <v>533</v>
      </c>
      <c r="E178" s="50" t="s">
        <v>534</v>
      </c>
      <c r="F178" s="64" t="str">
        <f t="shared" si="15"/>
        <v>750:750:750:0:750:0</v>
      </c>
      <c r="G178" s="61">
        <v>300</v>
      </c>
      <c r="H178" s="62">
        <f t="shared" si="16"/>
        <v>1500</v>
      </c>
      <c r="I178" s="62">
        <f t="shared" si="17"/>
        <v>750</v>
      </c>
      <c r="J178" s="63">
        <f t="shared" si="20"/>
        <v>750</v>
      </c>
      <c r="K178" s="63">
        <f t="shared" si="20"/>
        <v>750</v>
      </c>
      <c r="L178" s="63">
        <f t="shared" si="20"/>
        <v>750</v>
      </c>
      <c r="M178" s="63">
        <f>0</f>
        <v>0</v>
      </c>
      <c r="N178" s="63">
        <f t="shared" si="18"/>
        <v>750</v>
      </c>
      <c r="O178" s="11">
        <f>0</f>
        <v>0</v>
      </c>
    </row>
    <row r="179" spans="1:15" x14ac:dyDescent="0.25">
      <c r="A179" s="53" t="s">
        <v>619</v>
      </c>
      <c r="B179" s="50" t="s">
        <v>531</v>
      </c>
      <c r="C179" s="50" t="s">
        <v>532</v>
      </c>
      <c r="D179" s="50" t="s">
        <v>533</v>
      </c>
      <c r="E179" s="50" t="s">
        <v>534</v>
      </c>
      <c r="F179" s="64" t="str">
        <f t="shared" si="15"/>
        <v>750:750:750:0:750:0</v>
      </c>
      <c r="G179" s="61">
        <v>300</v>
      </c>
      <c r="H179" s="62">
        <f t="shared" si="16"/>
        <v>1500</v>
      </c>
      <c r="I179" s="62">
        <f t="shared" si="17"/>
        <v>750</v>
      </c>
      <c r="J179" s="63">
        <f t="shared" si="20"/>
        <v>750</v>
      </c>
      <c r="K179" s="63">
        <f t="shared" si="20"/>
        <v>750</v>
      </c>
      <c r="L179" s="63">
        <f t="shared" si="20"/>
        <v>750</v>
      </c>
      <c r="M179" s="63">
        <f>0</f>
        <v>0</v>
      </c>
      <c r="N179" s="63">
        <f t="shared" si="18"/>
        <v>750</v>
      </c>
      <c r="O179" s="11">
        <f>0</f>
        <v>0</v>
      </c>
    </row>
    <row r="180" spans="1:15" x14ac:dyDescent="0.25">
      <c r="A180" s="53" t="s">
        <v>620</v>
      </c>
      <c r="B180" s="50" t="s">
        <v>531</v>
      </c>
      <c r="C180" s="50" t="s">
        <v>532</v>
      </c>
      <c r="D180" s="50" t="s">
        <v>533</v>
      </c>
      <c r="E180" s="50" t="s">
        <v>534</v>
      </c>
      <c r="F180" s="64" t="str">
        <f t="shared" si="15"/>
        <v>750:750:750:0:750:0</v>
      </c>
      <c r="G180" s="61">
        <v>300</v>
      </c>
      <c r="H180" s="62">
        <f t="shared" si="16"/>
        <v>1500</v>
      </c>
      <c r="I180" s="62">
        <f t="shared" si="17"/>
        <v>750</v>
      </c>
      <c r="J180" s="63">
        <f t="shared" si="20"/>
        <v>750</v>
      </c>
      <c r="K180" s="63">
        <f t="shared" si="20"/>
        <v>750</v>
      </c>
      <c r="L180" s="63">
        <f t="shared" si="20"/>
        <v>750</v>
      </c>
      <c r="M180" s="63">
        <f>0</f>
        <v>0</v>
      </c>
      <c r="N180" s="63">
        <f t="shared" si="18"/>
        <v>750</v>
      </c>
      <c r="O180" s="11">
        <f>0</f>
        <v>0</v>
      </c>
    </row>
    <row r="181" spans="1:15" x14ac:dyDescent="0.25">
      <c r="A181" s="53" t="s">
        <v>621</v>
      </c>
      <c r="B181" s="50" t="s">
        <v>531</v>
      </c>
      <c r="C181" s="50" t="s">
        <v>532</v>
      </c>
      <c r="D181" s="50" t="s">
        <v>533</v>
      </c>
      <c r="E181" s="50" t="s">
        <v>534</v>
      </c>
      <c r="F181" s="64" t="str">
        <f t="shared" si="15"/>
        <v>750:750:750:0:750:0</v>
      </c>
      <c r="G181" s="61">
        <v>300</v>
      </c>
      <c r="H181" s="62">
        <f t="shared" si="16"/>
        <v>1500</v>
      </c>
      <c r="I181" s="62">
        <f t="shared" si="17"/>
        <v>750</v>
      </c>
      <c r="J181" s="63">
        <f t="shared" si="20"/>
        <v>750</v>
      </c>
      <c r="K181" s="63">
        <f t="shared" si="20"/>
        <v>750</v>
      </c>
      <c r="L181" s="63">
        <f t="shared" si="20"/>
        <v>750</v>
      </c>
      <c r="M181" s="63">
        <f>0</f>
        <v>0</v>
      </c>
      <c r="N181" s="63">
        <f t="shared" si="18"/>
        <v>750</v>
      </c>
      <c r="O181" s="11">
        <f>0</f>
        <v>0</v>
      </c>
    </row>
    <row r="182" spans="1:15" x14ac:dyDescent="0.25">
      <c r="A182" s="53" t="s">
        <v>622</v>
      </c>
      <c r="B182" s="50" t="s">
        <v>531</v>
      </c>
      <c r="C182" s="50" t="s">
        <v>532</v>
      </c>
      <c r="D182" s="50" t="s">
        <v>533</v>
      </c>
      <c r="E182" s="50" t="s">
        <v>534</v>
      </c>
      <c r="F182" s="64" t="str">
        <f t="shared" si="15"/>
        <v>750:750:750:0:750:0</v>
      </c>
      <c r="G182" s="61">
        <v>300</v>
      </c>
      <c r="H182" s="62">
        <f t="shared" si="16"/>
        <v>1500</v>
      </c>
      <c r="I182" s="62">
        <f t="shared" si="17"/>
        <v>750</v>
      </c>
      <c r="J182" s="63">
        <f t="shared" ref="J182:L200" si="21">I182</f>
        <v>750</v>
      </c>
      <c r="K182" s="63">
        <f t="shared" si="21"/>
        <v>750</v>
      </c>
      <c r="L182" s="63">
        <f t="shared" si="21"/>
        <v>750</v>
      </c>
      <c r="M182" s="63">
        <f>0</f>
        <v>0</v>
      </c>
      <c r="N182" s="63">
        <f t="shared" si="18"/>
        <v>750</v>
      </c>
      <c r="O182" s="11">
        <f>0</f>
        <v>0</v>
      </c>
    </row>
    <row r="183" spans="1:15" x14ac:dyDescent="0.25">
      <c r="A183" s="53" t="s">
        <v>623</v>
      </c>
      <c r="B183" s="50" t="s">
        <v>531</v>
      </c>
      <c r="C183" s="50" t="s">
        <v>532</v>
      </c>
      <c r="D183" s="50" t="s">
        <v>533</v>
      </c>
      <c r="E183" s="50" t="s">
        <v>534</v>
      </c>
      <c r="F183" s="64" t="str">
        <f t="shared" si="15"/>
        <v>750:750:750:0:750:0</v>
      </c>
      <c r="G183" s="61">
        <v>300</v>
      </c>
      <c r="H183" s="62">
        <f t="shared" si="16"/>
        <v>1500</v>
      </c>
      <c r="I183" s="62">
        <f t="shared" si="17"/>
        <v>750</v>
      </c>
      <c r="J183" s="63">
        <f t="shared" si="21"/>
        <v>750</v>
      </c>
      <c r="K183" s="63">
        <f t="shared" si="21"/>
        <v>750</v>
      </c>
      <c r="L183" s="63">
        <f t="shared" si="21"/>
        <v>750</v>
      </c>
      <c r="M183" s="63">
        <f>0</f>
        <v>0</v>
      </c>
      <c r="N183" s="63">
        <f t="shared" si="18"/>
        <v>750</v>
      </c>
      <c r="O183" s="11">
        <f>0</f>
        <v>0</v>
      </c>
    </row>
    <row r="184" spans="1:15" x14ac:dyDescent="0.25">
      <c r="A184" s="53" t="s">
        <v>624</v>
      </c>
      <c r="B184" s="50" t="s">
        <v>531</v>
      </c>
      <c r="C184" s="50" t="s">
        <v>532</v>
      </c>
      <c r="D184" s="50" t="s">
        <v>533</v>
      </c>
      <c r="E184" s="50" t="s">
        <v>534</v>
      </c>
      <c r="F184" s="64" t="str">
        <f t="shared" si="15"/>
        <v>750:750:750:0:750:0</v>
      </c>
      <c r="G184" s="61">
        <v>300</v>
      </c>
      <c r="H184" s="62">
        <f t="shared" si="16"/>
        <v>1500</v>
      </c>
      <c r="I184" s="62">
        <f t="shared" si="17"/>
        <v>750</v>
      </c>
      <c r="J184" s="63">
        <f t="shared" si="21"/>
        <v>750</v>
      </c>
      <c r="K184" s="63">
        <f t="shared" si="21"/>
        <v>750</v>
      </c>
      <c r="L184" s="63">
        <f t="shared" si="21"/>
        <v>750</v>
      </c>
      <c r="M184" s="63">
        <f>0</f>
        <v>0</v>
      </c>
      <c r="N184" s="63">
        <f t="shared" si="18"/>
        <v>750</v>
      </c>
      <c r="O184" s="11">
        <f>0</f>
        <v>0</v>
      </c>
    </row>
    <row r="185" spans="1:15" x14ac:dyDescent="0.25">
      <c r="A185" s="53" t="s">
        <v>625</v>
      </c>
      <c r="B185" s="50" t="s">
        <v>531</v>
      </c>
      <c r="C185" s="50" t="s">
        <v>532</v>
      </c>
      <c r="D185" s="50" t="s">
        <v>533</v>
      </c>
      <c r="E185" s="50" t="s">
        <v>534</v>
      </c>
      <c r="F185" s="64" t="str">
        <f t="shared" si="15"/>
        <v>750:750:750:0:750:0</v>
      </c>
      <c r="G185" s="61">
        <v>300</v>
      </c>
      <c r="H185" s="62">
        <f t="shared" si="16"/>
        <v>1500</v>
      </c>
      <c r="I185" s="62">
        <f t="shared" si="17"/>
        <v>750</v>
      </c>
      <c r="J185" s="63">
        <f t="shared" si="21"/>
        <v>750</v>
      </c>
      <c r="K185" s="63">
        <f t="shared" si="21"/>
        <v>750</v>
      </c>
      <c r="L185" s="63">
        <f t="shared" si="21"/>
        <v>750</v>
      </c>
      <c r="M185" s="63">
        <f>0</f>
        <v>0</v>
      </c>
      <c r="N185" s="63">
        <f t="shared" si="18"/>
        <v>750</v>
      </c>
      <c r="O185" s="11">
        <f>0</f>
        <v>0</v>
      </c>
    </row>
    <row r="186" spans="1:15" x14ac:dyDescent="0.25">
      <c r="A186" s="53" t="s">
        <v>626</v>
      </c>
      <c r="B186" s="50" t="s">
        <v>531</v>
      </c>
      <c r="C186" s="50" t="s">
        <v>532</v>
      </c>
      <c r="D186" s="50" t="s">
        <v>533</v>
      </c>
      <c r="E186" s="50" t="s">
        <v>534</v>
      </c>
      <c r="F186" s="64" t="str">
        <f t="shared" si="15"/>
        <v>750:750:750:0:750:0</v>
      </c>
      <c r="G186" s="61">
        <v>300</v>
      </c>
      <c r="H186" s="62">
        <f t="shared" si="16"/>
        <v>1500</v>
      </c>
      <c r="I186" s="62">
        <f t="shared" si="17"/>
        <v>750</v>
      </c>
      <c r="J186" s="63">
        <f t="shared" si="21"/>
        <v>750</v>
      </c>
      <c r="K186" s="63">
        <f t="shared" si="21"/>
        <v>750</v>
      </c>
      <c r="L186" s="63">
        <f t="shared" si="21"/>
        <v>750</v>
      </c>
      <c r="M186" s="63">
        <f>0</f>
        <v>0</v>
      </c>
      <c r="N186" s="63">
        <f t="shared" si="18"/>
        <v>750</v>
      </c>
      <c r="O186" s="11">
        <f>0</f>
        <v>0</v>
      </c>
    </row>
    <row r="187" spans="1:15" x14ac:dyDescent="0.25">
      <c r="A187" s="53" t="s">
        <v>627</v>
      </c>
      <c r="B187" s="50" t="s">
        <v>531</v>
      </c>
      <c r="C187" s="50" t="s">
        <v>532</v>
      </c>
      <c r="D187" s="50" t="s">
        <v>533</v>
      </c>
      <c r="E187" s="50" t="s">
        <v>534</v>
      </c>
      <c r="F187" s="64" t="str">
        <f t="shared" si="15"/>
        <v>750:750:750:0:750:0</v>
      </c>
      <c r="G187" s="61">
        <v>300</v>
      </c>
      <c r="H187" s="62">
        <f t="shared" si="16"/>
        <v>1500</v>
      </c>
      <c r="I187" s="62">
        <f t="shared" si="17"/>
        <v>750</v>
      </c>
      <c r="J187" s="63">
        <f t="shared" si="21"/>
        <v>750</v>
      </c>
      <c r="K187" s="63">
        <f t="shared" si="21"/>
        <v>750</v>
      </c>
      <c r="L187" s="63">
        <f t="shared" si="21"/>
        <v>750</v>
      </c>
      <c r="M187" s="63">
        <f>0</f>
        <v>0</v>
      </c>
      <c r="N187" s="63">
        <f t="shared" si="18"/>
        <v>750</v>
      </c>
      <c r="O187" s="11">
        <f>0</f>
        <v>0</v>
      </c>
    </row>
    <row r="188" spans="1:15" x14ac:dyDescent="0.25">
      <c r="A188" s="53" t="s">
        <v>628</v>
      </c>
      <c r="B188" s="50" t="s">
        <v>531</v>
      </c>
      <c r="C188" s="50" t="s">
        <v>532</v>
      </c>
      <c r="D188" s="50" t="s">
        <v>533</v>
      </c>
      <c r="E188" s="50" t="s">
        <v>534</v>
      </c>
      <c r="F188" s="64" t="str">
        <f t="shared" si="15"/>
        <v>750:750:750:0:750:0</v>
      </c>
      <c r="G188" s="61">
        <v>300</v>
      </c>
      <c r="H188" s="62">
        <f t="shared" si="16"/>
        <v>1500</v>
      </c>
      <c r="I188" s="62">
        <f t="shared" si="17"/>
        <v>750</v>
      </c>
      <c r="J188" s="63">
        <f t="shared" si="21"/>
        <v>750</v>
      </c>
      <c r="K188" s="63">
        <f t="shared" si="21"/>
        <v>750</v>
      </c>
      <c r="L188" s="63">
        <f t="shared" si="21"/>
        <v>750</v>
      </c>
      <c r="M188" s="63">
        <f>0</f>
        <v>0</v>
      </c>
      <c r="N188" s="63">
        <f t="shared" si="18"/>
        <v>750</v>
      </c>
      <c r="O188" s="11">
        <f>0</f>
        <v>0</v>
      </c>
    </row>
    <row r="189" spans="1:15" x14ac:dyDescent="0.25">
      <c r="A189" s="53" t="s">
        <v>629</v>
      </c>
      <c r="B189" s="50" t="s">
        <v>531</v>
      </c>
      <c r="C189" s="50" t="s">
        <v>532</v>
      </c>
      <c r="D189" s="50" t="s">
        <v>533</v>
      </c>
      <c r="E189" s="50" t="s">
        <v>534</v>
      </c>
      <c r="F189" s="64" t="str">
        <f t="shared" si="15"/>
        <v>750:750:750:0:750:0</v>
      </c>
      <c r="G189" s="61">
        <v>300</v>
      </c>
      <c r="H189" s="62">
        <f t="shared" si="16"/>
        <v>1500</v>
      </c>
      <c r="I189" s="62">
        <f t="shared" si="17"/>
        <v>750</v>
      </c>
      <c r="J189" s="63">
        <f t="shared" si="21"/>
        <v>750</v>
      </c>
      <c r="K189" s="63">
        <f t="shared" si="21"/>
        <v>750</v>
      </c>
      <c r="L189" s="63">
        <f t="shared" si="21"/>
        <v>750</v>
      </c>
      <c r="M189" s="63">
        <f>0</f>
        <v>0</v>
      </c>
      <c r="N189" s="63">
        <f t="shared" si="18"/>
        <v>750</v>
      </c>
      <c r="O189" s="11">
        <f>0</f>
        <v>0</v>
      </c>
    </row>
    <row r="190" spans="1:15" x14ac:dyDescent="0.25">
      <c r="A190" s="53" t="s">
        <v>630</v>
      </c>
      <c r="B190" s="50" t="s">
        <v>531</v>
      </c>
      <c r="C190" s="50" t="s">
        <v>532</v>
      </c>
      <c r="D190" s="50" t="s">
        <v>533</v>
      </c>
      <c r="E190" s="50" t="s">
        <v>534</v>
      </c>
      <c r="F190" s="64" t="str">
        <f t="shared" si="15"/>
        <v>750:750:750:0:750:0</v>
      </c>
      <c r="G190" s="61">
        <v>300</v>
      </c>
      <c r="H190" s="62">
        <f t="shared" si="16"/>
        <v>1500</v>
      </c>
      <c r="I190" s="62">
        <f t="shared" si="17"/>
        <v>750</v>
      </c>
      <c r="J190" s="63">
        <f t="shared" si="21"/>
        <v>750</v>
      </c>
      <c r="K190" s="63">
        <f t="shared" si="21"/>
        <v>750</v>
      </c>
      <c r="L190" s="63">
        <f t="shared" si="21"/>
        <v>750</v>
      </c>
      <c r="M190" s="63">
        <f>0</f>
        <v>0</v>
      </c>
      <c r="N190" s="63">
        <f t="shared" si="18"/>
        <v>750</v>
      </c>
      <c r="O190" s="11">
        <f>0</f>
        <v>0</v>
      </c>
    </row>
    <row r="191" spans="1:15" x14ac:dyDescent="0.25">
      <c r="A191" s="53" t="s">
        <v>631</v>
      </c>
      <c r="B191" s="50" t="s">
        <v>531</v>
      </c>
      <c r="C191" s="50" t="s">
        <v>532</v>
      </c>
      <c r="D191" s="50" t="s">
        <v>533</v>
      </c>
      <c r="E191" s="50" t="s">
        <v>534</v>
      </c>
      <c r="F191" s="64" t="str">
        <f t="shared" si="15"/>
        <v>750:750:750:0:750:0</v>
      </c>
      <c r="G191" s="61">
        <v>300</v>
      </c>
      <c r="H191" s="62">
        <f t="shared" si="16"/>
        <v>1500</v>
      </c>
      <c r="I191" s="62">
        <f t="shared" si="17"/>
        <v>750</v>
      </c>
      <c r="J191" s="63">
        <f t="shared" si="21"/>
        <v>750</v>
      </c>
      <c r="K191" s="63">
        <f t="shared" si="21"/>
        <v>750</v>
      </c>
      <c r="L191" s="63">
        <f t="shared" si="21"/>
        <v>750</v>
      </c>
      <c r="M191" s="63">
        <f>0</f>
        <v>0</v>
      </c>
      <c r="N191" s="63">
        <f t="shared" si="18"/>
        <v>750</v>
      </c>
      <c r="O191" s="11">
        <f>0</f>
        <v>0</v>
      </c>
    </row>
    <row r="192" spans="1:15" x14ac:dyDescent="0.25">
      <c r="A192" s="53" t="s">
        <v>632</v>
      </c>
      <c r="B192" s="50" t="s">
        <v>531</v>
      </c>
      <c r="C192" s="50" t="s">
        <v>532</v>
      </c>
      <c r="D192" s="50" t="s">
        <v>533</v>
      </c>
      <c r="E192" s="50" t="s">
        <v>534</v>
      </c>
      <c r="F192" s="64" t="str">
        <f t="shared" si="15"/>
        <v>750:750:750:0:750:0</v>
      </c>
      <c r="G192" s="61">
        <v>300</v>
      </c>
      <c r="H192" s="62">
        <f t="shared" si="16"/>
        <v>1500</v>
      </c>
      <c r="I192" s="62">
        <f t="shared" si="17"/>
        <v>750</v>
      </c>
      <c r="J192" s="63">
        <f t="shared" si="21"/>
        <v>750</v>
      </c>
      <c r="K192" s="63">
        <f t="shared" si="21"/>
        <v>750</v>
      </c>
      <c r="L192" s="63">
        <f t="shared" si="21"/>
        <v>750</v>
      </c>
      <c r="M192" s="63">
        <f>0</f>
        <v>0</v>
      </c>
      <c r="N192" s="63">
        <f t="shared" si="18"/>
        <v>750</v>
      </c>
      <c r="O192" s="11">
        <f>0</f>
        <v>0</v>
      </c>
    </row>
    <row r="193" spans="1:15" x14ac:dyDescent="0.25">
      <c r="A193" s="53" t="s">
        <v>633</v>
      </c>
      <c r="B193" s="50" t="s">
        <v>531</v>
      </c>
      <c r="C193" s="50" t="s">
        <v>532</v>
      </c>
      <c r="D193" s="50" t="s">
        <v>533</v>
      </c>
      <c r="E193" s="50" t="s">
        <v>534</v>
      </c>
      <c r="F193" s="64" t="str">
        <f t="shared" si="15"/>
        <v>750:750:750:0:750:0</v>
      </c>
      <c r="G193" s="61">
        <v>300</v>
      </c>
      <c r="H193" s="62">
        <f t="shared" si="16"/>
        <v>1500</v>
      </c>
      <c r="I193" s="62">
        <f t="shared" si="17"/>
        <v>750</v>
      </c>
      <c r="J193" s="63">
        <f t="shared" si="21"/>
        <v>750</v>
      </c>
      <c r="K193" s="63">
        <f t="shared" si="21"/>
        <v>750</v>
      </c>
      <c r="L193" s="63">
        <f t="shared" si="21"/>
        <v>750</v>
      </c>
      <c r="M193" s="63">
        <f>0</f>
        <v>0</v>
      </c>
      <c r="N193" s="63">
        <f t="shared" si="18"/>
        <v>750</v>
      </c>
      <c r="O193" s="11">
        <f>0</f>
        <v>0</v>
      </c>
    </row>
    <row r="194" spans="1:15" x14ac:dyDescent="0.25">
      <c r="A194" s="53" t="s">
        <v>634</v>
      </c>
      <c r="B194" s="50" t="s">
        <v>531</v>
      </c>
      <c r="C194" s="50" t="s">
        <v>532</v>
      </c>
      <c r="D194" s="50" t="s">
        <v>533</v>
      </c>
      <c r="E194" s="50" t="s">
        <v>534</v>
      </c>
      <c r="F194" s="64" t="str">
        <f t="shared" si="15"/>
        <v>750:750:750:0:750:0</v>
      </c>
      <c r="G194" s="61">
        <v>300</v>
      </c>
      <c r="H194" s="62">
        <f t="shared" si="16"/>
        <v>1500</v>
      </c>
      <c r="I194" s="62">
        <f t="shared" si="17"/>
        <v>750</v>
      </c>
      <c r="J194" s="63">
        <f t="shared" si="21"/>
        <v>750</v>
      </c>
      <c r="K194" s="63">
        <f t="shared" si="21"/>
        <v>750</v>
      </c>
      <c r="L194" s="63">
        <f t="shared" si="21"/>
        <v>750</v>
      </c>
      <c r="M194" s="63">
        <f>0</f>
        <v>0</v>
      </c>
      <c r="N194" s="63">
        <f t="shared" si="18"/>
        <v>750</v>
      </c>
      <c r="O194" s="11">
        <f>0</f>
        <v>0</v>
      </c>
    </row>
    <row r="195" spans="1:15" x14ac:dyDescent="0.25">
      <c r="A195" s="53" t="s">
        <v>635</v>
      </c>
      <c r="B195" s="50" t="s">
        <v>531</v>
      </c>
      <c r="C195" s="50" t="s">
        <v>532</v>
      </c>
      <c r="D195" s="50" t="s">
        <v>533</v>
      </c>
      <c r="E195" s="50" t="s">
        <v>534</v>
      </c>
      <c r="F195" s="64" t="str">
        <f t="shared" ref="F195:F201" si="22">CONCATENATE(J195&amp;":"&amp;K195&amp;":"&amp;L195&amp;":"&amp;M195&amp;":"&amp;N195&amp;":"&amp;O195)</f>
        <v>750:750:750:0:750:0</v>
      </c>
      <c r="G195" s="61">
        <v>300</v>
      </c>
      <c r="H195" s="62">
        <f t="shared" ref="H195:H201" si="23">G195*5</f>
        <v>1500</v>
      </c>
      <c r="I195" s="62">
        <f t="shared" ref="I195:I201" si="24">ROUNDUP(H195/2,0)</f>
        <v>750</v>
      </c>
      <c r="J195" s="63">
        <f t="shared" si="21"/>
        <v>750</v>
      </c>
      <c r="K195" s="63">
        <f t="shared" si="21"/>
        <v>750</v>
      </c>
      <c r="L195" s="63">
        <f t="shared" si="21"/>
        <v>750</v>
      </c>
      <c r="M195" s="63">
        <f>0</f>
        <v>0</v>
      </c>
      <c r="N195" s="63">
        <f t="shared" ref="N195:N203" si="25">L195</f>
        <v>750</v>
      </c>
      <c r="O195" s="11">
        <f>0</f>
        <v>0</v>
      </c>
    </row>
    <row r="196" spans="1:15" x14ac:dyDescent="0.25">
      <c r="A196" s="53" t="s">
        <v>636</v>
      </c>
      <c r="B196" s="50" t="s">
        <v>531</v>
      </c>
      <c r="C196" s="50" t="s">
        <v>532</v>
      </c>
      <c r="D196" s="50" t="s">
        <v>533</v>
      </c>
      <c r="E196" s="50" t="s">
        <v>534</v>
      </c>
      <c r="F196" s="64" t="str">
        <f t="shared" si="22"/>
        <v>750:750:750:0:750:0</v>
      </c>
      <c r="G196" s="61">
        <v>300</v>
      </c>
      <c r="H196" s="62">
        <f t="shared" si="23"/>
        <v>1500</v>
      </c>
      <c r="I196" s="62">
        <f t="shared" si="24"/>
        <v>750</v>
      </c>
      <c r="J196" s="63">
        <f t="shared" si="21"/>
        <v>750</v>
      </c>
      <c r="K196" s="63">
        <f t="shared" si="21"/>
        <v>750</v>
      </c>
      <c r="L196" s="63">
        <f t="shared" si="21"/>
        <v>750</v>
      </c>
      <c r="M196" s="63">
        <f>0</f>
        <v>0</v>
      </c>
      <c r="N196" s="63">
        <f t="shared" si="25"/>
        <v>750</v>
      </c>
      <c r="O196" s="11">
        <f>0</f>
        <v>0</v>
      </c>
    </row>
    <row r="197" spans="1:15" x14ac:dyDescent="0.25">
      <c r="A197" s="53" t="s">
        <v>637</v>
      </c>
      <c r="B197" s="50" t="s">
        <v>531</v>
      </c>
      <c r="C197" s="50" t="s">
        <v>532</v>
      </c>
      <c r="D197" s="50" t="s">
        <v>533</v>
      </c>
      <c r="E197" s="50" t="s">
        <v>534</v>
      </c>
      <c r="F197" s="64" t="str">
        <f t="shared" si="22"/>
        <v>750:750:750:0:750:0</v>
      </c>
      <c r="G197" s="61">
        <v>300</v>
      </c>
      <c r="H197" s="62">
        <f t="shared" si="23"/>
        <v>1500</v>
      </c>
      <c r="I197" s="62">
        <f t="shared" si="24"/>
        <v>750</v>
      </c>
      <c r="J197" s="63">
        <f t="shared" si="21"/>
        <v>750</v>
      </c>
      <c r="K197" s="63">
        <f t="shared" si="21"/>
        <v>750</v>
      </c>
      <c r="L197" s="63">
        <f t="shared" si="21"/>
        <v>750</v>
      </c>
      <c r="M197" s="63">
        <f>0</f>
        <v>0</v>
      </c>
      <c r="N197" s="63">
        <f t="shared" si="25"/>
        <v>750</v>
      </c>
      <c r="O197" s="11">
        <f>0</f>
        <v>0</v>
      </c>
    </row>
    <row r="198" spans="1:15" x14ac:dyDescent="0.25">
      <c r="A198" s="53" t="s">
        <v>638</v>
      </c>
      <c r="B198" s="50" t="s">
        <v>531</v>
      </c>
      <c r="C198" s="50" t="s">
        <v>532</v>
      </c>
      <c r="D198" s="50" t="s">
        <v>533</v>
      </c>
      <c r="E198" s="50" t="s">
        <v>534</v>
      </c>
      <c r="F198" s="64" t="str">
        <f t="shared" si="22"/>
        <v>750:750:750:0:750:0</v>
      </c>
      <c r="G198" s="61">
        <v>300</v>
      </c>
      <c r="H198" s="62">
        <f t="shared" si="23"/>
        <v>1500</v>
      </c>
      <c r="I198" s="62">
        <f t="shared" si="24"/>
        <v>750</v>
      </c>
      <c r="J198" s="63">
        <f t="shared" si="21"/>
        <v>750</v>
      </c>
      <c r="K198" s="63">
        <f t="shared" si="21"/>
        <v>750</v>
      </c>
      <c r="L198" s="63">
        <f t="shared" si="21"/>
        <v>750</v>
      </c>
      <c r="M198" s="63">
        <f>0</f>
        <v>0</v>
      </c>
      <c r="N198" s="63">
        <f t="shared" si="25"/>
        <v>750</v>
      </c>
      <c r="O198" s="11">
        <f>0</f>
        <v>0</v>
      </c>
    </row>
    <row r="199" spans="1:15" x14ac:dyDescent="0.25">
      <c r="A199" s="53" t="s">
        <v>639</v>
      </c>
      <c r="B199" s="50" t="s">
        <v>531</v>
      </c>
      <c r="C199" s="50" t="s">
        <v>532</v>
      </c>
      <c r="D199" s="50" t="s">
        <v>533</v>
      </c>
      <c r="E199" s="50" t="s">
        <v>534</v>
      </c>
      <c r="F199" s="64" t="str">
        <f t="shared" si="22"/>
        <v>750:750:750:0:750:0</v>
      </c>
      <c r="G199" s="61">
        <v>300</v>
      </c>
      <c r="H199" s="62">
        <f t="shared" si="23"/>
        <v>1500</v>
      </c>
      <c r="I199" s="62">
        <f t="shared" si="24"/>
        <v>750</v>
      </c>
      <c r="J199" s="63">
        <f t="shared" si="21"/>
        <v>750</v>
      </c>
      <c r="K199" s="63">
        <f t="shared" si="21"/>
        <v>750</v>
      </c>
      <c r="L199" s="63">
        <f t="shared" si="21"/>
        <v>750</v>
      </c>
      <c r="M199" s="63">
        <f>0</f>
        <v>0</v>
      </c>
      <c r="N199" s="63">
        <f t="shared" si="25"/>
        <v>750</v>
      </c>
      <c r="O199" s="11">
        <f>0</f>
        <v>0</v>
      </c>
    </row>
    <row r="200" spans="1:15" x14ac:dyDescent="0.25">
      <c r="A200" s="53" t="s">
        <v>640</v>
      </c>
      <c r="B200" s="50" t="s">
        <v>531</v>
      </c>
      <c r="C200" s="50" t="s">
        <v>532</v>
      </c>
      <c r="D200" s="50" t="s">
        <v>533</v>
      </c>
      <c r="E200" s="50" t="s">
        <v>534</v>
      </c>
      <c r="F200" s="64" t="str">
        <f t="shared" si="22"/>
        <v>750:750:750:0:750:0</v>
      </c>
      <c r="G200" s="61">
        <v>300</v>
      </c>
      <c r="H200" s="62">
        <f t="shared" si="23"/>
        <v>1500</v>
      </c>
      <c r="I200" s="62">
        <f t="shared" si="24"/>
        <v>750</v>
      </c>
      <c r="J200" s="63">
        <f t="shared" si="21"/>
        <v>750</v>
      </c>
      <c r="K200" s="63">
        <f t="shared" si="21"/>
        <v>750</v>
      </c>
      <c r="L200" s="63">
        <f t="shared" si="21"/>
        <v>750</v>
      </c>
      <c r="M200" s="63">
        <f>0</f>
        <v>0</v>
      </c>
      <c r="N200" s="63">
        <f t="shared" si="25"/>
        <v>750</v>
      </c>
      <c r="O200" s="11">
        <f>0</f>
        <v>0</v>
      </c>
    </row>
    <row r="201" spans="1:15" x14ac:dyDescent="0.25">
      <c r="A201" s="53" t="s">
        <v>641</v>
      </c>
      <c r="B201" s="50" t="s">
        <v>531</v>
      </c>
      <c r="C201" s="50" t="s">
        <v>532</v>
      </c>
      <c r="D201" s="50" t="s">
        <v>533</v>
      </c>
      <c r="E201" s="50" t="s">
        <v>534</v>
      </c>
      <c r="F201" s="64" t="str">
        <f t="shared" si="22"/>
        <v>750:750:750:0:750:0</v>
      </c>
      <c r="G201" s="61">
        <v>300</v>
      </c>
      <c r="H201" s="62">
        <f t="shared" si="23"/>
        <v>1500</v>
      </c>
      <c r="I201" s="62">
        <f t="shared" si="24"/>
        <v>750</v>
      </c>
      <c r="J201" s="63">
        <f t="shared" ref="J201:L202" si="26">I201</f>
        <v>750</v>
      </c>
      <c r="K201" s="63">
        <f t="shared" si="26"/>
        <v>750</v>
      </c>
      <c r="L201" s="63">
        <f t="shared" si="26"/>
        <v>750</v>
      </c>
      <c r="M201" s="63">
        <f>0</f>
        <v>0</v>
      </c>
      <c r="N201" s="63">
        <f t="shared" si="25"/>
        <v>750</v>
      </c>
      <c r="O201" s="11">
        <f>0</f>
        <v>0</v>
      </c>
    </row>
    <row r="202" spans="1:15" x14ac:dyDescent="0.25">
      <c r="F202" s="64"/>
      <c r="H202" s="245">
        <f>SUM(H2:H201)*4</f>
        <v>893460</v>
      </c>
      <c r="J202" s="303">
        <f>SUM(J2:J201)</f>
        <v>111706</v>
      </c>
      <c r="K202" s="303">
        <f t="shared" si="26"/>
        <v>111706</v>
      </c>
      <c r="L202" s="303">
        <f t="shared" si="26"/>
        <v>111706</v>
      </c>
      <c r="M202" s="63">
        <f>0</f>
        <v>0</v>
      </c>
      <c r="N202" s="63">
        <f t="shared" si="25"/>
        <v>111706</v>
      </c>
      <c r="O202" s="11">
        <f>0</f>
        <v>0</v>
      </c>
    </row>
    <row r="203" spans="1:15" x14ac:dyDescent="0.25">
      <c r="H203" s="246">
        <f>H202*100</f>
        <v>89346000</v>
      </c>
      <c r="N203" s="63">
        <f t="shared" si="25"/>
        <v>0</v>
      </c>
      <c r="O203" s="11">
        <f>0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Pot_UP_Gold</vt:lpstr>
      <vt:lpstr>Pot_Up_Material</vt:lpstr>
      <vt:lpstr>Pot_Up_Material_0104</vt:lpstr>
      <vt:lpstr>Floor</vt:lpstr>
      <vt:lpstr>Machine</vt:lpstr>
      <vt:lpstr>Machine_unlock_Balance</vt:lpstr>
      <vt:lpstr>Machine_Appraisal</vt:lpstr>
      <vt:lpstr>GOLD_SUMUP</vt:lpstr>
      <vt:lpstr>Stock_Upgrade</vt:lpstr>
      <vt:lpstr>Production_diamond_buy</vt:lpstr>
      <vt:lpstr>Decor_info</vt:lpstr>
      <vt:lpstr>Skin</vt:lpstr>
      <vt:lpstr>Cloud_Skin</vt:lpstr>
      <vt:lpstr>Production_diamond_buy (2)</vt:lpstr>
      <vt:lpstr>ItemInfo</vt:lpstr>
      <vt:lpstr>Rewards</vt:lpstr>
      <vt:lpstr>Rate</vt:lpstr>
      <vt:lpstr>Diamond_skip_time</vt:lpstr>
      <vt:lpstr>Achievement</vt:lpstr>
      <vt:lpstr>Trophy</vt:lpstr>
      <vt:lpstr>OfferConfig</vt:lpstr>
      <vt:lpstr>OfferInfo</vt:lpstr>
      <vt:lpstr>OfferConfig_Rare</vt:lpstr>
      <vt:lpstr>OfferInfo RARE</vt:lpstr>
      <vt:lpstr>OfferInfo_MM</vt:lpstr>
      <vt:lpstr>Pot_combo</vt:lpstr>
      <vt:lpstr>Sheet1</vt:lpstr>
      <vt:lpstr>NEW_USER</vt:lpstr>
      <vt:lpstr>Constant</vt:lpstr>
      <vt:lpstr>Plant_Collect</vt:lpstr>
      <vt:lpstr>Info</vt:lpstr>
      <vt:lpstr>VIP Info</vt:lpstr>
      <vt:lpstr>User_level</vt:lpstr>
    </vt:vector>
  </TitlesOfParts>
  <Company>Vina 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Xuka</cp:lastModifiedBy>
  <dcterms:created xsi:type="dcterms:W3CDTF">2018-09-28T09:57:06Z</dcterms:created>
  <dcterms:modified xsi:type="dcterms:W3CDTF">2020-04-01T07:25:00Z</dcterms:modified>
</cp:coreProperties>
</file>