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i/Git/experimental-data/2024/chemical-engineering/surface-area/"/>
    </mc:Choice>
  </mc:AlternateContent>
  <xr:revisionPtr revIDLastSave="0" documentId="13_ncr:1_{76F1B52E-5ACB-C149-8498-D73DD16251DE}" xr6:coauthVersionLast="47" xr6:coauthVersionMax="47" xr10:uidLastSave="{00000000-0000-0000-0000-000000000000}"/>
  <bookViews>
    <workbookView xWindow="17140" yWindow="860" windowWidth="17060" windowHeight="21380" xr2:uid="{02EC7604-79C8-4E34-A7B7-A07661B8D7F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X2" i="1"/>
  <c r="V2" i="1"/>
  <c r="D4" i="1"/>
  <c r="D3" i="1"/>
  <c r="I10" i="1"/>
  <c r="E10" i="1" s="1"/>
  <c r="D7" i="1"/>
  <c r="D6" i="1"/>
  <c r="D10" i="1"/>
  <c r="D9" i="1"/>
  <c r="D26" i="1"/>
  <c r="D25" i="1"/>
  <c r="D15" i="1"/>
  <c r="I15" i="1" s="1"/>
  <c r="E15" i="1" s="1"/>
  <c r="F15" i="1" s="1"/>
  <c r="D14" i="1"/>
  <c r="D13" i="1"/>
  <c r="D29" i="1"/>
  <c r="D28" i="1"/>
  <c r="D18" i="1"/>
  <c r="D17" i="1"/>
  <c r="D21" i="1"/>
  <c r="I21" i="1" s="1"/>
  <c r="E21" i="1" s="1"/>
  <c r="L26" i="1" s="1"/>
  <c r="D20" i="1"/>
  <c r="D32" i="1"/>
  <c r="D31" i="1"/>
  <c r="D43" i="1"/>
  <c r="D42" i="1"/>
  <c r="I42" i="1" s="1"/>
  <c r="D41" i="1"/>
  <c r="D37" i="1"/>
  <c r="D36" i="1"/>
  <c r="D40" i="1"/>
  <c r="D39" i="1"/>
  <c r="D48" i="1"/>
  <c r="I48" i="1" s="1"/>
  <c r="D47" i="1"/>
  <c r="I47" i="1" s="1"/>
  <c r="I46" i="1"/>
  <c r="I49" i="1"/>
  <c r="I54" i="1"/>
  <c r="I53" i="1"/>
  <c r="I52" i="1"/>
  <c r="I51" i="1"/>
  <c r="E52" i="1"/>
  <c r="D51" i="1"/>
  <c r="D50" i="1"/>
  <c r="I50" i="1" s="1"/>
  <c r="D49" i="1"/>
  <c r="D54" i="1"/>
  <c r="D53" i="1"/>
  <c r="O2" i="1"/>
  <c r="P2" i="1" s="1"/>
  <c r="M3" i="1"/>
  <c r="N3" i="1"/>
  <c r="I5" i="1"/>
  <c r="E5" i="1" s="1"/>
  <c r="F5" i="1" s="1"/>
  <c r="I4" i="1"/>
  <c r="E4" i="1" s="1"/>
  <c r="F4" i="1" s="1"/>
  <c r="I32" i="1"/>
  <c r="I36" i="1"/>
  <c r="I37" i="1"/>
  <c r="I38" i="1"/>
  <c r="I39" i="1"/>
  <c r="I40" i="1"/>
  <c r="I41" i="1"/>
  <c r="I43" i="1"/>
  <c r="I35" i="1"/>
  <c r="I25" i="1"/>
  <c r="E25" i="1" s="1"/>
  <c r="F25" i="1" s="1"/>
  <c r="I26" i="1"/>
  <c r="I27" i="1"/>
  <c r="I28" i="1"/>
  <c r="I29" i="1"/>
  <c r="E29" i="1" s="1"/>
  <c r="M21" i="1" s="1"/>
  <c r="I30" i="1"/>
  <c r="I31" i="1"/>
  <c r="I24" i="1"/>
  <c r="E24" i="1" s="1"/>
  <c r="F24" i="1" s="1"/>
  <c r="I14" i="1"/>
  <c r="E14" i="1" s="1"/>
  <c r="F14" i="1" s="1"/>
  <c r="I16" i="1"/>
  <c r="E16" i="1" s="1"/>
  <c r="F16" i="1" s="1"/>
  <c r="I17" i="1"/>
  <c r="E17" i="1" s="1"/>
  <c r="F17" i="1" s="1"/>
  <c r="I18" i="1"/>
  <c r="E18" i="1" s="1"/>
  <c r="I19" i="1"/>
  <c r="E19" i="1" s="1"/>
  <c r="F19" i="1" s="1"/>
  <c r="I20" i="1"/>
  <c r="E20" i="1" s="1"/>
  <c r="I13" i="1"/>
  <c r="E13" i="1" s="1"/>
  <c r="F13" i="1" s="1"/>
  <c r="I3" i="1"/>
  <c r="E3" i="1" s="1"/>
  <c r="F3" i="1" s="1"/>
  <c r="I6" i="1"/>
  <c r="E6" i="1" s="1"/>
  <c r="F6" i="1" s="1"/>
  <c r="I7" i="1"/>
  <c r="E7" i="1" s="1"/>
  <c r="K21" i="1" s="1"/>
  <c r="I8" i="1"/>
  <c r="E8" i="1" s="1"/>
  <c r="I9" i="1"/>
  <c r="E9" i="1" s="1"/>
  <c r="I2" i="1"/>
  <c r="E2" i="1" s="1"/>
  <c r="F2" i="1" s="1"/>
  <c r="E39" i="1" l="1"/>
  <c r="F39" i="1" s="1"/>
  <c r="Q2" i="1"/>
  <c r="E50" i="1" s="1"/>
  <c r="F50" i="1" s="1"/>
  <c r="L25" i="1"/>
  <c r="F20" i="1"/>
  <c r="F9" i="1"/>
  <c r="K25" i="1"/>
  <c r="K24" i="1"/>
  <c r="F8" i="1"/>
  <c r="K22" i="1"/>
  <c r="K26" i="1"/>
  <c r="F10" i="1"/>
  <c r="N10" i="1" s="1"/>
  <c r="L21" i="1"/>
  <c r="F18" i="1"/>
  <c r="E46" i="1"/>
  <c r="F46" i="1" s="1"/>
  <c r="F29" i="1"/>
  <c r="P3" i="1"/>
  <c r="L24" i="1"/>
  <c r="E37" i="1"/>
  <c r="Q3" i="1"/>
  <c r="E27" i="1"/>
  <c r="F27" i="1" s="1"/>
  <c r="E36" i="1"/>
  <c r="F36" i="1" s="1"/>
  <c r="E47" i="1"/>
  <c r="F47" i="1" s="1"/>
  <c r="O3" i="1"/>
  <c r="E53" i="1"/>
  <c r="E28" i="1"/>
  <c r="F28" i="1" s="1"/>
  <c r="E48" i="1"/>
  <c r="E41" i="1"/>
  <c r="E31" i="1"/>
  <c r="E26" i="1"/>
  <c r="F26" i="1" s="1"/>
  <c r="E40" i="1"/>
  <c r="E51" i="1"/>
  <c r="E54" i="1"/>
  <c r="E49" i="1"/>
  <c r="F49" i="1" s="1"/>
  <c r="E38" i="1"/>
  <c r="F38" i="1" s="1"/>
  <c r="E42" i="1"/>
  <c r="E32" i="1"/>
  <c r="E43" i="1"/>
  <c r="E30" i="1"/>
  <c r="F30" i="1" s="1"/>
  <c r="E35" i="1"/>
  <c r="F35" i="1" s="1"/>
  <c r="L20" i="1"/>
  <c r="F21" i="1"/>
  <c r="N11" i="1" s="1"/>
  <c r="L22" i="1"/>
  <c r="K20" i="1"/>
  <c r="F7" i="1"/>
  <c r="M20" i="1" l="1"/>
  <c r="M24" i="1"/>
  <c r="N21" i="1"/>
  <c r="F40" i="1"/>
  <c r="F37" i="1"/>
  <c r="N20" i="1"/>
  <c r="O20" i="1"/>
  <c r="F48" i="1"/>
  <c r="O24" i="1"/>
  <c r="F52" i="1"/>
  <c r="M25" i="1"/>
  <c r="F31" i="1"/>
  <c r="O22" i="1"/>
  <c r="F54" i="1"/>
  <c r="N14" i="1" s="1"/>
  <c r="O26" i="1"/>
  <c r="F43" i="1"/>
  <c r="N13" i="1" s="1"/>
  <c r="N22" i="1"/>
  <c r="N26" i="1"/>
  <c r="F41" i="1"/>
  <c r="N24" i="1"/>
  <c r="N25" i="1"/>
  <c r="F42" i="1"/>
  <c r="O21" i="1"/>
  <c r="F51" i="1"/>
  <c r="F53" i="1"/>
  <c r="O25" i="1"/>
  <c r="M26" i="1"/>
  <c r="M22" i="1"/>
  <c r="F32" i="1"/>
  <c r="N12" i="1" s="1"/>
</calcChain>
</file>

<file path=xl/sharedStrings.xml><?xml version="1.0" encoding="utf-8"?>
<sst xmlns="http://schemas.openxmlformats.org/spreadsheetml/2006/main" count="48" uniqueCount="20">
  <si>
    <t>ε</t>
    <phoneticPr fontId="1"/>
  </si>
  <si>
    <t>Q</t>
    <phoneticPr fontId="1"/>
  </si>
  <si>
    <t>Sw</t>
    <phoneticPr fontId="1"/>
  </si>
  <si>
    <t>dm</t>
    <phoneticPr fontId="1"/>
  </si>
  <si>
    <t>ε1</t>
    <phoneticPr fontId="1"/>
  </si>
  <si>
    <t>ΔP ( h )</t>
    <phoneticPr fontId="1"/>
  </si>
  <si>
    <t>ε2</t>
    <phoneticPr fontId="1"/>
  </si>
  <si>
    <t>ε3</t>
    <phoneticPr fontId="1"/>
  </si>
  <si>
    <t>ε4</t>
    <phoneticPr fontId="1"/>
  </si>
  <si>
    <t>ε5</t>
    <phoneticPr fontId="1"/>
  </si>
  <si>
    <t>k</t>
    <phoneticPr fontId="1"/>
  </si>
  <si>
    <t>η</t>
    <phoneticPr fontId="1"/>
  </si>
  <si>
    <t>t(秒)</t>
    <rPh sb="2" eb="3">
      <t>ビョウ</t>
    </rPh>
    <phoneticPr fontId="1"/>
  </si>
  <si>
    <t>グラフ2</t>
    <phoneticPr fontId="1"/>
  </si>
  <si>
    <t xml:space="preserve">グラフ3 </t>
    <phoneticPr fontId="1"/>
  </si>
  <si>
    <t>グラフ1</t>
    <phoneticPr fontId="1"/>
  </si>
  <si>
    <t>定めた値</t>
  </si>
  <si>
    <t>理論値</t>
  </si>
  <si>
    <t>実測値</t>
  </si>
  <si>
    <t>ε3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</si>
</sst>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"/>
    <numFmt numFmtId="177" formatCode="0.0000000E+00"/>
    <numFmt numFmtId="178" formatCode="0.00000E+00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Sheet1!$T$2:$X$2</c:f>
              <c:numCache>
                <c:formatCode>General</c:formatCode>
                <c:ptCount val="5"/>
                <c:pt idx="0">
                  <c:v>0.5</c:v>
                </c:pt>
                <c:pt idx="1">
                  <c:v>0.54</c:v>
                </c:pt>
                <c:pt idx="2">
                  <c:v>0.56000000000000005</c:v>
                </c:pt>
                <c:pt idx="3">
                  <c:v>0.58000000000000007</c:v>
                </c:pt>
                <c:pt idx="4">
                  <c:v>0.60000000000000009</c:v>
                </c:pt>
              </c:numCache>
            </c:numRef>
          </c:xVal>
          <c:yVal>
            <c:numRef>
              <c:f>Sheet1!$T$3:$X$3</c:f>
              <c:numCache>
                <c:formatCode>0.000000000</c:formatCode>
                <c:ptCount val="5"/>
                <c:pt idx="0">
                  <c:v>1.1851800000000001E-4</c:v>
                </c:pt>
                <c:pt idx="1">
                  <c:v>9.1298400000000007E-5</c:v>
                </c:pt>
                <c:pt idx="2">
                  <c:v>1.5676399999999999E-4</c:v>
                </c:pt>
                <c:pt idx="3">
                  <c:v>3.0108799999999997E-4</c:v>
                </c:pt>
                <c:pt idx="4">
                  <c:v>5.5424399999999996E-4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E3AE-B74A-BC73-495AFF88B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238752"/>
        <c:axId val="1301451344"/>
      </c:scatterChart>
      <c:valAx>
        <c:axId val="13022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1451344"/>
        <c:crosses val="autoZero"/>
        <c:crossBetween val="midCat"/>
      </c:valAx>
      <c:valAx>
        <c:axId val="1301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22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270147</xdr:colOff>
      <xdr:row>3</xdr:row>
      <xdr:rowOff>159899</xdr:rowOff>
    </xdr:from>
    <xdr:to>
      <xdr:col>23</xdr:col>
      <xdr:colOff>811390</xdr:colOff>
      <xdr:row>21</xdr:row>
      <xdr:rowOff>98777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75970F8-F471-D671-E69A-FAA225FA7DAB}"/>
            </a:ext>
            <a:ext uri="{147F2762-F138-4A5C-976F-8EAC2B608ADB}">
              <a16:predDERef xmlns:a16="http://schemas.microsoft.com/office/drawing/2014/main" pred="{A80FC2F1-0327-D7AA-CAC8-55F99EB14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67BD-CFE4-4BB0-A3EF-1115B4848CEB}">
  <dimension ref="A1:X79"/>
  <sheetViews>
    <sheetView tabSelected="1" topLeftCell="I1" zoomScale="119" workbookViewId="0">
      <selection activeCell="K16" sqref="K16"/>
    </sheetView>
  </sheetViews>
  <sheetFormatPr baseColWidth="10" defaultColWidth="8.83203125" defaultRowHeight="18"/>
  <cols>
    <col min="2" max="4" width="9" bestFit="1" customWidth="1"/>
    <col min="5" max="5" width="13.5" customWidth="1"/>
    <col min="6" max="6" width="15.5" customWidth="1"/>
    <col min="9" max="9" width="14.5" bestFit="1" customWidth="1"/>
    <col min="10" max="10" width="9" bestFit="1" customWidth="1"/>
    <col min="11" max="11" width="11" customWidth="1"/>
    <col min="12" max="12" width="10" bestFit="1" customWidth="1"/>
    <col min="13" max="13" width="9.1640625" bestFit="1" customWidth="1"/>
    <col min="14" max="14" width="11.33203125" customWidth="1"/>
    <col min="15" max="17" width="9.1640625" bestFit="1" customWidth="1"/>
    <col min="20" max="24" width="13.6640625" bestFit="1" customWidth="1"/>
    <col min="29" max="29" width="12.33203125" bestFit="1" customWidth="1"/>
    <col min="30" max="31" width="11.5" bestFit="1" customWidth="1"/>
    <col min="32" max="33" width="12.33203125" bestFit="1" customWidth="1"/>
  </cols>
  <sheetData>
    <row r="1" spans="1:24">
      <c r="A1" s="1" t="s">
        <v>0</v>
      </c>
      <c r="B1" s="1" t="s">
        <v>5</v>
      </c>
      <c r="C1" s="1" t="s">
        <v>1</v>
      </c>
      <c r="D1" s="1" t="s">
        <v>12</v>
      </c>
      <c r="E1" s="1" t="s">
        <v>2</v>
      </c>
      <c r="F1" s="1" t="s">
        <v>3</v>
      </c>
      <c r="I1" s="1" t="s">
        <v>10</v>
      </c>
      <c r="K1" s="1" t="s">
        <v>11</v>
      </c>
      <c r="M1" s="1" t="s">
        <v>4</v>
      </c>
      <c r="N1" s="1" t="s">
        <v>6</v>
      </c>
      <c r="O1" s="1" t="s">
        <v>7</v>
      </c>
      <c r="P1" s="1" t="s">
        <v>8</v>
      </c>
      <c r="Q1" s="1" t="s">
        <v>9</v>
      </c>
    </row>
    <row r="2" spans="1:24">
      <c r="A2" s="7" t="s">
        <v>4</v>
      </c>
      <c r="B2" s="1">
        <v>15</v>
      </c>
      <c r="C2" s="1">
        <v>5</v>
      </c>
      <c r="D2">
        <v>34.42</v>
      </c>
      <c r="E2">
        <f>(14/4.5)*((1/I2)*($M$2^3)/(1-$M$2)^2)^0.5</f>
        <v>4305.7312230924463</v>
      </c>
      <c r="F2">
        <f>6/(4.5*E2)</f>
        <v>3.0966478496902361E-4</v>
      </c>
      <c r="I2" s="6">
        <f>($K$2 * 0.3*C2) / (2 * B2 * D2)</f>
        <v>2.6104009296920387E-7</v>
      </c>
      <c r="K2">
        <v>1.797E-4</v>
      </c>
      <c r="L2" t="s">
        <v>16</v>
      </c>
      <c r="M2">
        <v>0.5</v>
      </c>
      <c r="N2">
        <v>0.54</v>
      </c>
      <c r="O2">
        <f>N2+0.02</f>
        <v>0.56000000000000005</v>
      </c>
      <c r="P2">
        <f t="shared" ref="P2:Q2" si="0">O2+0.02</f>
        <v>0.58000000000000007</v>
      </c>
      <c r="Q2">
        <f t="shared" si="0"/>
        <v>0.60000000000000009</v>
      </c>
      <c r="T2">
        <v>0.5</v>
      </c>
      <c r="U2">
        <v>0.54</v>
      </c>
      <c r="V2">
        <f>U2+0.02</f>
        <v>0.56000000000000005</v>
      </c>
      <c r="W2">
        <f t="shared" ref="W2:X2" si="1">V2+0.02</f>
        <v>0.58000000000000007</v>
      </c>
      <c r="X2">
        <f t="shared" si="1"/>
        <v>0.60000000000000009</v>
      </c>
    </row>
    <row r="3" spans="1:24">
      <c r="A3" s="7"/>
      <c r="B3" s="1">
        <v>15</v>
      </c>
      <c r="C3" s="1">
        <v>10</v>
      </c>
      <c r="D3">
        <f>D2+33.39</f>
        <v>67.81</v>
      </c>
      <c r="E3">
        <f t="shared" ref="E3:E9" si="2">(14/4.5)*((1/I3)*($M$2^3)/(1-$M$2)^2)^0.5</f>
        <v>4273.3981503976802</v>
      </c>
      <c r="F3">
        <f t="shared" ref="F3:F10" si="3">6/(4.5*E3)</f>
        <v>3.1200774802817141E-4</v>
      </c>
      <c r="I3" s="6">
        <f t="shared" ref="I3:I10" si="4">($K$2 * 0.3*C3) / (2 * B3 * D3)</f>
        <v>2.6500516148060754E-7</v>
      </c>
      <c r="L3" t="s">
        <v>17</v>
      </c>
      <c r="M3">
        <f t="shared" ref="M3:P3" si="5">(1-M2)*(2.73*2*1)</f>
        <v>2.73</v>
      </c>
      <c r="N3">
        <f>(1-N2)*(2.73*2*1)</f>
        <v>2.5115999999999996</v>
      </c>
      <c r="O3">
        <f t="shared" si="5"/>
        <v>2.4023999999999996</v>
      </c>
      <c r="P3">
        <f t="shared" si="5"/>
        <v>2.2931999999999997</v>
      </c>
      <c r="Q3">
        <f>(1-Q2)*(2.73*2*1)</f>
        <v>2.1839999999999997</v>
      </c>
      <c r="T3" s="4">
        <v>1.1851800000000001E-4</v>
      </c>
      <c r="U3" s="4">
        <v>9.1298400000000007E-5</v>
      </c>
      <c r="V3" s="4">
        <v>1.5676399999999999E-4</v>
      </c>
      <c r="W3" s="4">
        <v>3.0108799999999997E-4</v>
      </c>
      <c r="X3" s="4">
        <v>5.5424399999999996E-4</v>
      </c>
    </row>
    <row r="4" spans="1:24">
      <c r="A4" s="7"/>
      <c r="B4" s="1">
        <v>15</v>
      </c>
      <c r="C4" s="1">
        <v>20</v>
      </c>
      <c r="D4">
        <f>D3+67.92</f>
        <v>135.73000000000002</v>
      </c>
      <c r="E4">
        <f t="shared" si="2"/>
        <v>4275.1308539707652</v>
      </c>
      <c r="F4">
        <f t="shared" si="3"/>
        <v>3.1188129179599868E-4</v>
      </c>
      <c r="I4" s="6">
        <f t="shared" si="4"/>
        <v>2.6479039269137251E-7</v>
      </c>
      <c r="L4" t="s">
        <v>18</v>
      </c>
      <c r="M4">
        <v>2.74</v>
      </c>
      <c r="N4">
        <v>2.52</v>
      </c>
      <c r="O4">
        <v>2.4</v>
      </c>
      <c r="P4">
        <v>2.13</v>
      </c>
      <c r="Q4">
        <v>2.1800000000000002</v>
      </c>
    </row>
    <row r="5" spans="1:24">
      <c r="A5" s="7"/>
      <c r="B5" s="1">
        <v>30</v>
      </c>
      <c r="C5" s="1">
        <v>5</v>
      </c>
      <c r="D5">
        <v>9.06</v>
      </c>
      <c r="E5">
        <f t="shared" si="2"/>
        <v>3124.0687311653824</v>
      </c>
      <c r="F5">
        <f t="shared" si="3"/>
        <v>4.26793853807421E-4</v>
      </c>
      <c r="I5" s="6">
        <f>($K$2 * 0.3*C5) / (2 * B5 * D5)</f>
        <v>4.9586092715231783E-7</v>
      </c>
    </row>
    <row r="6" spans="1:24">
      <c r="A6" s="7"/>
      <c r="B6" s="1">
        <v>30</v>
      </c>
      <c r="C6" s="1">
        <v>10</v>
      </c>
      <c r="D6">
        <f>D5+9.4</f>
        <v>18.46</v>
      </c>
      <c r="E6">
        <f t="shared" si="2"/>
        <v>3153.2422114614287</v>
      </c>
      <c r="F6">
        <f>6/(4.5*E6)</f>
        <v>4.2284519993006668E-4</v>
      </c>
      <c r="I6" s="6">
        <f t="shared" si="4"/>
        <v>4.8672806067172251E-7</v>
      </c>
    </row>
    <row r="7" spans="1:24">
      <c r="A7" s="7"/>
      <c r="B7" s="1">
        <v>30</v>
      </c>
      <c r="C7" s="1">
        <v>20</v>
      </c>
      <c r="D7">
        <f>D6+18.96</f>
        <v>37.42</v>
      </c>
      <c r="E7">
        <f>(14/4.5)*((1/I7)*($M$2^3)/(1-$M$2)^2)^0.5</f>
        <v>3174.5222627065123</v>
      </c>
      <c r="F7">
        <f t="shared" si="3"/>
        <v>4.2001070491676728E-4</v>
      </c>
      <c r="I7" s="6">
        <f t="shared" si="4"/>
        <v>4.8022447888829493E-7</v>
      </c>
    </row>
    <row r="8" spans="1:24">
      <c r="A8" s="7"/>
      <c r="B8" s="1">
        <v>60</v>
      </c>
      <c r="C8" s="1">
        <v>5</v>
      </c>
      <c r="D8">
        <v>3.29</v>
      </c>
      <c r="E8">
        <f t="shared" si="2"/>
        <v>2662.3762348449786</v>
      </c>
      <c r="F8">
        <f t="shared" si="3"/>
        <v>5.008057523511394E-4</v>
      </c>
      <c r="I8" s="6">
        <f t="shared" si="4"/>
        <v>6.8275075987841938E-7</v>
      </c>
    </row>
    <row r="9" spans="1:24">
      <c r="A9" s="7"/>
      <c r="B9" s="1">
        <v>60</v>
      </c>
      <c r="C9" s="1">
        <v>10</v>
      </c>
      <c r="D9">
        <f>D8+3.31</f>
        <v>6.6</v>
      </c>
      <c r="E9">
        <f t="shared" si="2"/>
        <v>2666.4193294063225</v>
      </c>
      <c r="F9">
        <f t="shared" si="3"/>
        <v>5.0004638003813137E-4</v>
      </c>
      <c r="I9" s="6">
        <f t="shared" si="4"/>
        <v>6.8068181818181807E-7</v>
      </c>
      <c r="N9" t="s">
        <v>15</v>
      </c>
    </row>
    <row r="10" spans="1:24" ht="19" thickBot="1">
      <c r="A10" s="8"/>
      <c r="B10" s="2">
        <v>60</v>
      </c>
      <c r="C10" s="2">
        <v>20</v>
      </c>
      <c r="D10">
        <f>D9+6.85</f>
        <v>13.45</v>
      </c>
      <c r="E10" s="6">
        <f>(14/4.5)*((1/I10)*($M$2^3)/(1-$M$2)^2)^0.5</f>
        <v>2691.5510755898313</v>
      </c>
      <c r="F10">
        <f t="shared" si="3"/>
        <v>4.9537731066134211E-4</v>
      </c>
      <c r="I10" s="6">
        <f t="shared" si="4"/>
        <v>6.6802973977695155E-7</v>
      </c>
      <c r="N10">
        <f>F10</f>
        <v>4.9537731066134211E-4</v>
      </c>
    </row>
    <row r="11" spans="1:24">
      <c r="I11" s="6"/>
      <c r="K11">
        <v>0</v>
      </c>
      <c r="N11">
        <f>F21</f>
        <v>3.5326916634649433E-4</v>
      </c>
    </row>
    <row r="12" spans="1:24">
      <c r="A12" s="1" t="s">
        <v>0</v>
      </c>
      <c r="B12" s="1" t="s">
        <v>5</v>
      </c>
      <c r="C12" s="1" t="s">
        <v>1</v>
      </c>
      <c r="D12" s="1" t="s">
        <v>12</v>
      </c>
      <c r="E12" s="1" t="s">
        <v>2</v>
      </c>
      <c r="F12" s="1" t="s">
        <v>3</v>
      </c>
      <c r="I12" s="6"/>
      <c r="K12">
        <v>15</v>
      </c>
      <c r="N12">
        <f>F32</f>
        <v>1.3961827196064835E-4</v>
      </c>
    </row>
    <row r="13" spans="1:24">
      <c r="A13" s="7" t="s">
        <v>6</v>
      </c>
      <c r="B13" s="1">
        <v>15</v>
      </c>
      <c r="C13" s="1">
        <v>5</v>
      </c>
      <c r="D13">
        <f>8.07</f>
        <v>8.07</v>
      </c>
      <c r="E13">
        <f t="shared" ref="E13:E21" si="6">(14/4.5)*((1/I13)*($N$2^3)/(1-$N$2)^2)^0.5</f>
        <v>2543.4667031188937</v>
      </c>
      <c r="F13">
        <f>6/(4.5*E13)</f>
        <v>5.2421890630545713E-4</v>
      </c>
      <c r="I13" s="6">
        <f>($K$2 *0.3* C13) / (2 * B13 * D13)</f>
        <v>1.1133828996282525E-6</v>
      </c>
      <c r="K13">
        <v>30</v>
      </c>
      <c r="N13">
        <f>F43</f>
        <v>3.0508636207155258E-4</v>
      </c>
    </row>
    <row r="14" spans="1:24">
      <c r="A14" s="7"/>
      <c r="B14" s="1">
        <v>15</v>
      </c>
      <c r="C14" s="1">
        <v>10</v>
      </c>
      <c r="D14">
        <f>D13+8.42</f>
        <v>16.490000000000002</v>
      </c>
      <c r="E14">
        <f t="shared" si="6"/>
        <v>2570.8966550926725</v>
      </c>
      <c r="F14">
        <f t="shared" ref="F14:F21" si="7">6/(4.5*E14)</f>
        <v>5.1862579955990926E-4</v>
      </c>
      <c r="I14" s="6">
        <f t="shared" ref="I14:I21" si="8">($K$2 *0.3* C14) / (2 * B14 * D14)</f>
        <v>1.0897513644633108E-6</v>
      </c>
      <c r="K14">
        <v>60</v>
      </c>
      <c r="N14">
        <f>F54</f>
        <v>4.1552651570397306E-4</v>
      </c>
    </row>
    <row r="15" spans="1:24">
      <c r="A15" s="7"/>
      <c r="B15" s="1">
        <v>15</v>
      </c>
      <c r="C15" s="1">
        <v>20</v>
      </c>
      <c r="D15">
        <f>D14+16.67</f>
        <v>33.160000000000004</v>
      </c>
      <c r="E15">
        <f t="shared" si="6"/>
        <v>2577.9028966665578</v>
      </c>
      <c r="F15">
        <f t="shared" si="7"/>
        <v>5.1721627492542252E-4</v>
      </c>
      <c r="I15" s="6">
        <f t="shared" si="8"/>
        <v>1.0838359469240046E-6</v>
      </c>
    </row>
    <row r="16" spans="1:24">
      <c r="A16" s="7"/>
      <c r="B16" s="1">
        <v>30</v>
      </c>
      <c r="C16" s="1">
        <v>5</v>
      </c>
      <c r="D16">
        <v>3.96</v>
      </c>
      <c r="E16">
        <f t="shared" si="6"/>
        <v>2519.7176610930123</v>
      </c>
      <c r="F16">
        <f t="shared" si="7"/>
        <v>5.291598157687855E-4</v>
      </c>
      <c r="I16" s="6">
        <f t="shared" si="8"/>
        <v>1.134469696969697E-6</v>
      </c>
    </row>
    <row r="17" spans="1:15">
      <c r="A17" s="7"/>
      <c r="B17" s="1">
        <v>30</v>
      </c>
      <c r="C17" s="1">
        <v>10</v>
      </c>
      <c r="D17">
        <f>D16+4.19</f>
        <v>8.15</v>
      </c>
      <c r="E17">
        <f t="shared" si="6"/>
        <v>2556.0426349355112</v>
      </c>
      <c r="F17">
        <f t="shared" si="7"/>
        <v>5.2163970784742928E-4</v>
      </c>
      <c r="I17" s="6">
        <f t="shared" si="8"/>
        <v>1.1024539877300612E-6</v>
      </c>
    </row>
    <row r="18" spans="1:15">
      <c r="A18" s="7"/>
      <c r="B18" s="1">
        <v>30</v>
      </c>
      <c r="C18" s="1">
        <v>20</v>
      </c>
      <c r="D18">
        <f>D17+9.06</f>
        <v>17.21</v>
      </c>
      <c r="E18">
        <f t="shared" si="6"/>
        <v>2626.4233244029392</v>
      </c>
      <c r="F18">
        <f t="shared" si="7"/>
        <v>5.0766124445549466E-4</v>
      </c>
      <c r="I18" s="6">
        <f t="shared" si="8"/>
        <v>1.0441603718768155E-6</v>
      </c>
    </row>
    <row r="19" spans="1:15">
      <c r="A19" s="7"/>
      <c r="B19" s="1">
        <v>60</v>
      </c>
      <c r="C19" s="1">
        <v>5</v>
      </c>
      <c r="D19">
        <v>4.26</v>
      </c>
      <c r="E19">
        <f t="shared" si="6"/>
        <v>3695.9329551889496</v>
      </c>
      <c r="F19">
        <f t="shared" si="7"/>
        <v>3.6075690481922399E-4</v>
      </c>
      <c r="I19" s="6">
        <f t="shared" si="8"/>
        <v>5.2728873239436616E-7</v>
      </c>
      <c r="J19" t="s">
        <v>13</v>
      </c>
    </row>
    <row r="20" spans="1:15">
      <c r="A20" s="7"/>
      <c r="B20" s="1">
        <v>60</v>
      </c>
      <c r="C20" s="1">
        <v>10</v>
      </c>
      <c r="D20">
        <f>D19+4.65</f>
        <v>8.91</v>
      </c>
      <c r="E20">
        <f t="shared" si="6"/>
        <v>3779.5764916395187</v>
      </c>
      <c r="F20">
        <f t="shared" si="7"/>
        <v>3.5277321051252361E-4</v>
      </c>
      <c r="I20" s="6">
        <f t="shared" si="8"/>
        <v>5.042087542087541E-7</v>
      </c>
      <c r="J20">
        <v>15</v>
      </c>
      <c r="K20">
        <f>E4</f>
        <v>4275.1308539707652</v>
      </c>
      <c r="L20">
        <f>E15</f>
        <v>2577.9028966665578</v>
      </c>
      <c r="M20">
        <f>E26</f>
        <v>8638.535692433974</v>
      </c>
      <c r="N20">
        <f>E37</f>
        <v>2191.9788992218937</v>
      </c>
      <c r="O20">
        <f>E48</f>
        <v>3416.8589193572693</v>
      </c>
    </row>
    <row r="21" spans="1:15" ht="19" thickBot="1">
      <c r="A21" s="8"/>
      <c r="B21" s="2">
        <v>60</v>
      </c>
      <c r="C21" s="2">
        <v>20</v>
      </c>
      <c r="D21" s="3">
        <f>D20+8.86</f>
        <v>17.77</v>
      </c>
      <c r="E21">
        <f t="shared" si="6"/>
        <v>3774.2703308150312</v>
      </c>
      <c r="F21">
        <f t="shared" si="7"/>
        <v>3.5326916634649433E-4</v>
      </c>
      <c r="I21" s="6">
        <f t="shared" si="8"/>
        <v>5.0562746201463129E-7</v>
      </c>
      <c r="J21">
        <v>30</v>
      </c>
      <c r="K21">
        <f>E7</f>
        <v>3174.5222627065123</v>
      </c>
      <c r="L21">
        <f>E18</f>
        <v>2626.4233244029392</v>
      </c>
      <c r="M21">
        <f>E29</f>
        <v>9978.4315391575619</v>
      </c>
      <c r="N21">
        <f>E40</f>
        <v>3005.2719921644389</v>
      </c>
      <c r="O21">
        <f>E51</f>
        <v>2982.5834637063231</v>
      </c>
    </row>
    <row r="22" spans="1:15">
      <c r="I22" s="6"/>
      <c r="J22">
        <v>60</v>
      </c>
      <c r="K22">
        <f>E10</f>
        <v>2691.5510755898313</v>
      </c>
      <c r="L22">
        <f>E21</f>
        <v>3774.2703308150312</v>
      </c>
      <c r="M22">
        <f>E32</f>
        <v>9549.8484160378066</v>
      </c>
      <c r="N22">
        <f>E43</f>
        <v>4370.3472167026066</v>
      </c>
      <c r="O22">
        <f>E54</f>
        <v>3208.7803857100153</v>
      </c>
    </row>
    <row r="23" spans="1:15">
      <c r="A23" s="1" t="s">
        <v>0</v>
      </c>
      <c r="B23" s="1" t="s">
        <v>5</v>
      </c>
      <c r="C23" s="1" t="s">
        <v>1</v>
      </c>
      <c r="D23" s="1" t="s">
        <v>12</v>
      </c>
      <c r="E23" s="1" t="s">
        <v>2</v>
      </c>
      <c r="F23" s="1" t="s">
        <v>3</v>
      </c>
      <c r="I23" s="6"/>
      <c r="J23" t="s">
        <v>14</v>
      </c>
    </row>
    <row r="24" spans="1:15">
      <c r="A24" s="7" t="s">
        <v>19</v>
      </c>
      <c r="B24" s="1">
        <v>15</v>
      </c>
      <c r="C24" s="1">
        <v>5</v>
      </c>
      <c r="D24">
        <v>75.53</v>
      </c>
      <c r="E24">
        <f>(14/4.5)*((1/I24)*($O$2^3)/(1-$O$2)^2)^0.5</f>
        <v>8591.0369621559839</v>
      </c>
      <c r="F24">
        <f>6/(4.5*E24)</f>
        <v>1.5520051178999044E-4</v>
      </c>
      <c r="I24" s="6">
        <f>($K$2 *0.3* C24) / (2 * B24 * D24)</f>
        <v>1.1895935389911291E-7</v>
      </c>
      <c r="J24">
        <v>5</v>
      </c>
      <c r="K24">
        <f>E8</f>
        <v>2662.3762348449786</v>
      </c>
      <c r="L24">
        <f>E19</f>
        <v>3695.9329551889496</v>
      </c>
      <c r="M24">
        <f>E30</f>
        <v>9438.1745177478897</v>
      </c>
      <c r="N24">
        <f>E41</f>
        <v>4322.3726876051105</v>
      </c>
      <c r="O24">
        <f>E52</f>
        <v>3164.9724548494082</v>
      </c>
    </row>
    <row r="25" spans="1:15">
      <c r="A25" s="7"/>
      <c r="B25" s="1">
        <v>15</v>
      </c>
      <c r="C25" s="1">
        <v>10</v>
      </c>
      <c r="D25">
        <f>D24+79.02</f>
        <v>154.55000000000001</v>
      </c>
      <c r="E25">
        <f t="shared" ref="E25:E32" si="9">(14/4.5)*((1/I25)*($O$2^3)/(1-$O$2)^2)^0.5</f>
        <v>8689.7113807244405</v>
      </c>
      <c r="F25">
        <f t="shared" ref="F25:F32" si="10">6/(4.5*E25)</f>
        <v>1.5343816093719057E-4</v>
      </c>
      <c r="I25" s="6">
        <f t="shared" ref="I25:I32" si="11">($K$2 *0.3* C25) / (2 * B25 * D25)</f>
        <v>1.1627305079262373E-7</v>
      </c>
      <c r="J25">
        <v>10</v>
      </c>
      <c r="K25">
        <f>E9</f>
        <v>2666.4193294063225</v>
      </c>
      <c r="L25">
        <f>E20</f>
        <v>3779.5764916395187</v>
      </c>
      <c r="M25">
        <f>E31</f>
        <v>9597.3108808859342</v>
      </c>
      <c r="N25">
        <f>E42</f>
        <v>4415.1029095284566</v>
      </c>
      <c r="O25">
        <f>E53</f>
        <v>3197.8846653337669</v>
      </c>
    </row>
    <row r="26" spans="1:15">
      <c r="A26" s="7"/>
      <c r="B26" s="1">
        <v>15</v>
      </c>
      <c r="C26" s="1">
        <v>20</v>
      </c>
      <c r="D26">
        <f>D25+150.92</f>
        <v>305.47000000000003</v>
      </c>
      <c r="E26">
        <f t="shared" si="9"/>
        <v>8638.535692433974</v>
      </c>
      <c r="F26">
        <f t="shared" si="10"/>
        <v>1.5434714641523423E-4</v>
      </c>
      <c r="I26" s="6">
        <f t="shared" si="11"/>
        <v>1.1765476151504238E-7</v>
      </c>
      <c r="J26">
        <v>20</v>
      </c>
      <c r="K26">
        <f>E10</f>
        <v>2691.5510755898313</v>
      </c>
      <c r="L26">
        <f>E21</f>
        <v>3774.2703308150312</v>
      </c>
      <c r="M26">
        <f>E32</f>
        <v>9549.8484160378066</v>
      </c>
      <c r="N26">
        <f>E43</f>
        <v>4370.3472167026066</v>
      </c>
      <c r="O26">
        <f>E54</f>
        <v>3208.7803857100153</v>
      </c>
    </row>
    <row r="27" spans="1:15">
      <c r="A27" s="7"/>
      <c r="B27" s="1">
        <v>30</v>
      </c>
      <c r="C27" s="1">
        <v>5</v>
      </c>
      <c r="D27">
        <v>50.8</v>
      </c>
      <c r="E27">
        <f t="shared" si="9"/>
        <v>9963.9766053914173</v>
      </c>
      <c r="F27">
        <f t="shared" si="10"/>
        <v>1.3381538176352991E-4</v>
      </c>
      <c r="I27" s="6">
        <f t="shared" si="11"/>
        <v>8.8435039370078733E-8</v>
      </c>
    </row>
    <row r="28" spans="1:15">
      <c r="A28" s="7"/>
      <c r="B28" s="1">
        <v>30</v>
      </c>
      <c r="C28" s="1">
        <v>10</v>
      </c>
      <c r="D28">
        <f>D27+49.7</f>
        <v>100.5</v>
      </c>
      <c r="E28">
        <f t="shared" si="9"/>
        <v>9909.890964034199</v>
      </c>
      <c r="F28">
        <f t="shared" si="10"/>
        <v>1.3454571177143901E-4</v>
      </c>
      <c r="I28" s="6">
        <f t="shared" si="11"/>
        <v>8.9402985074626854E-8</v>
      </c>
    </row>
    <row r="29" spans="1:15">
      <c r="A29" s="7"/>
      <c r="B29" s="1">
        <v>30</v>
      </c>
      <c r="C29" s="1">
        <v>20</v>
      </c>
      <c r="D29">
        <f>D28+103.29</f>
        <v>203.79000000000002</v>
      </c>
      <c r="E29">
        <f t="shared" si="9"/>
        <v>9978.4315391575619</v>
      </c>
      <c r="F29">
        <f t="shared" si="10"/>
        <v>1.3362153441661044E-4</v>
      </c>
      <c r="I29" s="6">
        <f t="shared" si="11"/>
        <v>8.8179007802149251E-8</v>
      </c>
    </row>
    <row r="30" spans="1:15">
      <c r="A30" s="7"/>
      <c r="B30" s="1">
        <v>60</v>
      </c>
      <c r="C30" s="1">
        <v>5</v>
      </c>
      <c r="D30">
        <v>22.79</v>
      </c>
      <c r="E30">
        <f t="shared" si="9"/>
        <v>9438.1745177478897</v>
      </c>
      <c r="F30">
        <f t="shared" si="10"/>
        <v>1.4127025632192799E-4</v>
      </c>
      <c r="I30" s="6">
        <f t="shared" si="11"/>
        <v>9.8562966213251426E-8</v>
      </c>
    </row>
    <row r="31" spans="1:15">
      <c r="A31" s="7"/>
      <c r="B31" s="1">
        <v>60</v>
      </c>
      <c r="C31" s="1">
        <v>10</v>
      </c>
      <c r="D31">
        <f>D30+24.34</f>
        <v>47.129999999999995</v>
      </c>
      <c r="E31">
        <f t="shared" si="9"/>
        <v>9597.3108808859342</v>
      </c>
      <c r="F31">
        <f t="shared" si="10"/>
        <v>1.3892780486967536E-4</v>
      </c>
      <c r="I31" s="6">
        <f t="shared" si="11"/>
        <v>9.5321451304901333E-8</v>
      </c>
    </row>
    <row r="32" spans="1:15" ht="19" thickBot="1">
      <c r="A32" s="8"/>
      <c r="B32" s="2">
        <v>60</v>
      </c>
      <c r="C32" s="2">
        <v>20</v>
      </c>
      <c r="D32" s="3">
        <f>D31+46.2</f>
        <v>93.33</v>
      </c>
      <c r="E32">
        <f t="shared" si="9"/>
        <v>9549.8484160378066</v>
      </c>
      <c r="F32">
        <f t="shared" si="10"/>
        <v>1.3961827196064835E-4</v>
      </c>
      <c r="I32" s="6">
        <f t="shared" si="11"/>
        <v>9.627129540340725E-8</v>
      </c>
    </row>
    <row r="33" spans="1:9">
      <c r="I33" s="6"/>
    </row>
    <row r="34" spans="1:9">
      <c r="A34" s="1" t="s">
        <v>0</v>
      </c>
      <c r="B34" s="1" t="s">
        <v>5</v>
      </c>
      <c r="C34" s="1" t="s">
        <v>1</v>
      </c>
      <c r="D34" s="1" t="s">
        <v>12</v>
      </c>
      <c r="E34" s="1" t="s">
        <v>2</v>
      </c>
      <c r="F34" s="1" t="s">
        <v>3</v>
      </c>
      <c r="I34" s="6"/>
    </row>
    <row r="35" spans="1:9">
      <c r="A35" s="7" t="s">
        <v>8</v>
      </c>
      <c r="B35" s="1">
        <v>15</v>
      </c>
      <c r="C35" s="1">
        <v>5</v>
      </c>
      <c r="D35">
        <v>4.07</v>
      </c>
      <c r="E35">
        <f>(14/4.5)*((1/I35)*($P$2^3)/(1-$P$2)^2)^0.5</f>
        <v>2202.1474039292834</v>
      </c>
      <c r="F35">
        <f>6/(4.5*E35)</f>
        <v>6.0546961159560508E-4</v>
      </c>
      <c r="I35" s="6">
        <f>($K$2 *0.3* C35) / (2 * B35 * D35)</f>
        <v>2.2076167076167073E-6</v>
      </c>
    </row>
    <row r="36" spans="1:9">
      <c r="A36" s="7"/>
      <c r="B36" s="1">
        <v>15</v>
      </c>
      <c r="C36" s="1">
        <v>10</v>
      </c>
      <c r="D36">
        <f>D35+3.79</f>
        <v>7.86</v>
      </c>
      <c r="E36">
        <f t="shared" ref="E36:E42" si="12">(14/4.5)*((1/I36)*($P$2^3)/(1-$P$2)^2)^0.5</f>
        <v>2163.9412032304035</v>
      </c>
      <c r="F36">
        <f t="shared" ref="F36:F42" si="13">6/(4.5*E36)</f>
        <v>6.1615968647525589E-4</v>
      </c>
      <c r="I36" s="6">
        <f t="shared" ref="I36:I43" si="14">($K$2 *0.3* C36) / (2 * B36 * D36)</f>
        <v>2.2862595419847322E-6</v>
      </c>
    </row>
    <row r="37" spans="1:9">
      <c r="A37" s="7"/>
      <c r="B37" s="1">
        <v>15</v>
      </c>
      <c r="C37" s="1">
        <v>20</v>
      </c>
      <c r="D37">
        <f>D36+8.27</f>
        <v>16.13</v>
      </c>
      <c r="E37">
        <f t="shared" si="12"/>
        <v>2191.9788992218937</v>
      </c>
      <c r="F37">
        <f t="shared" si="13"/>
        <v>6.0827836153287728E-4</v>
      </c>
      <c r="I37" s="6">
        <f t="shared" si="14"/>
        <v>2.2281463112213266E-6</v>
      </c>
    </row>
    <row r="38" spans="1:9">
      <c r="A38" s="7"/>
      <c r="B38" s="1">
        <v>30</v>
      </c>
      <c r="C38" s="1">
        <v>5</v>
      </c>
      <c r="D38">
        <v>3.67</v>
      </c>
      <c r="E38">
        <f t="shared" si="12"/>
        <v>2957.3124463434524</v>
      </c>
      <c r="F38">
        <f t="shared" si="13"/>
        <v>4.5085981191535029E-4</v>
      </c>
      <c r="I38" s="6">
        <f t="shared" si="14"/>
        <v>1.2241144414168936E-6</v>
      </c>
    </row>
    <row r="39" spans="1:9">
      <c r="A39" s="7"/>
      <c r="B39" s="1">
        <v>30</v>
      </c>
      <c r="C39" s="1">
        <v>10</v>
      </c>
      <c r="D39">
        <f>D38+3.92</f>
        <v>7.59</v>
      </c>
      <c r="E39">
        <f t="shared" si="12"/>
        <v>3007.2537081675709</v>
      </c>
      <c r="F39">
        <f t="shared" si="13"/>
        <v>4.4337241307976704E-4</v>
      </c>
      <c r="I39" s="6">
        <f t="shared" si="14"/>
        <v>1.1837944664031619E-6</v>
      </c>
    </row>
    <row r="40" spans="1:9">
      <c r="A40" s="7"/>
      <c r="B40" s="1">
        <v>30</v>
      </c>
      <c r="C40" s="1">
        <v>20</v>
      </c>
      <c r="D40">
        <f>D39+7.57</f>
        <v>15.16</v>
      </c>
      <c r="E40">
        <f t="shared" si="12"/>
        <v>3005.2719921644389</v>
      </c>
      <c r="F40">
        <f t="shared" si="13"/>
        <v>4.4366477869879861E-4</v>
      </c>
      <c r="I40" s="6">
        <f t="shared" si="14"/>
        <v>1.1853562005277043E-6</v>
      </c>
    </row>
    <row r="41" spans="1:9">
      <c r="A41" s="7"/>
      <c r="B41" s="1">
        <v>60</v>
      </c>
      <c r="C41" s="1">
        <v>5</v>
      </c>
      <c r="D41">
        <f>3.92</f>
        <v>3.92</v>
      </c>
      <c r="E41">
        <f t="shared" si="12"/>
        <v>4322.3726876051105</v>
      </c>
      <c r="F41">
        <f t="shared" si="13"/>
        <v>3.0847255192890163E-4</v>
      </c>
      <c r="I41" s="6">
        <f t="shared" si="14"/>
        <v>5.730229591836734E-7</v>
      </c>
    </row>
    <row r="42" spans="1:9">
      <c r="A42" s="7"/>
      <c r="B42" s="1">
        <v>60</v>
      </c>
      <c r="C42" s="1">
        <v>10</v>
      </c>
      <c r="D42">
        <f>D41+4.26</f>
        <v>8.18</v>
      </c>
      <c r="E42">
        <f t="shared" si="12"/>
        <v>4415.1029095284566</v>
      </c>
      <c r="F42">
        <f t="shared" si="13"/>
        <v>3.0199371581029273E-4</v>
      </c>
      <c r="I42" s="6">
        <f t="shared" si="14"/>
        <v>5.4920537897310511E-7</v>
      </c>
    </row>
    <row r="43" spans="1:9" ht="19" thickBot="1">
      <c r="A43" s="8"/>
      <c r="B43" s="2">
        <v>60</v>
      </c>
      <c r="C43" s="2">
        <v>20</v>
      </c>
      <c r="D43" s="3">
        <f>D42+7.85</f>
        <v>16.03</v>
      </c>
      <c r="E43">
        <f>(14/4.5)*((1/I43)*($P$2^3)/(1-$P$2)^2)^0.5</f>
        <v>4370.3472167026066</v>
      </c>
      <c r="F43">
        <f>6/(4.5*E43)</f>
        <v>3.0508636207155258E-4</v>
      </c>
      <c r="I43" s="6">
        <f t="shared" si="14"/>
        <v>5.6051154086088576E-7</v>
      </c>
    </row>
    <row r="44" spans="1:9">
      <c r="I44" s="6"/>
    </row>
    <row r="45" spans="1:9">
      <c r="A45" s="1" t="s">
        <v>0</v>
      </c>
      <c r="B45" s="1" t="s">
        <v>5</v>
      </c>
      <c r="C45" s="1" t="s">
        <v>1</v>
      </c>
      <c r="D45" s="1" t="s">
        <v>12</v>
      </c>
      <c r="E45" s="1" t="s">
        <v>2</v>
      </c>
      <c r="F45" s="1" t="s">
        <v>3</v>
      </c>
      <c r="I45" s="6"/>
    </row>
    <row r="46" spans="1:9">
      <c r="A46" s="7" t="s">
        <v>9</v>
      </c>
      <c r="B46" s="1">
        <v>15</v>
      </c>
      <c r="C46" s="1">
        <v>5</v>
      </c>
      <c r="D46">
        <v>13.44</v>
      </c>
      <c r="E46">
        <f>(14/4.5)*((1/I46)*($Q$2^3)/(1-$Q$2)^2)^0.5</f>
        <v>3424.5114685158633</v>
      </c>
      <c r="F46">
        <f>6/(4.5*E46)</f>
        <v>3.8934993957289387E-4</v>
      </c>
      <c r="I46" s="6">
        <f t="shared" ref="I46:I48" si="15">($K$2 * 0.5*C46) / (2 * B46 * D46)</f>
        <v>1.1142113095238095E-6</v>
      </c>
    </row>
    <row r="47" spans="1:9">
      <c r="A47" s="7"/>
      <c r="B47" s="1">
        <v>15</v>
      </c>
      <c r="C47" s="1">
        <v>10</v>
      </c>
      <c r="D47">
        <f>D46+13.01</f>
        <v>26.45</v>
      </c>
      <c r="E47">
        <f t="shared" ref="E47:E54" si="16">(14/4.5)*((1/I47)*($Q$2^3)/(1-$Q$2)^2)^0.5</f>
        <v>3397.0100441188274</v>
      </c>
      <c r="F47">
        <f t="shared" ref="F47:F54" si="17">6/(4.5*E47)</f>
        <v>3.9250202855352329E-4</v>
      </c>
      <c r="I47" s="6">
        <f t="shared" si="15"/>
        <v>1.1323251417769376E-6</v>
      </c>
    </row>
    <row r="48" spans="1:9">
      <c r="A48" s="7"/>
      <c r="B48" s="1">
        <v>15</v>
      </c>
      <c r="C48" s="1">
        <v>20</v>
      </c>
      <c r="D48">
        <f>D47+27.07</f>
        <v>53.519999999999996</v>
      </c>
      <c r="E48">
        <f t="shared" si="16"/>
        <v>3416.8589193572693</v>
      </c>
      <c r="F48">
        <f t="shared" si="17"/>
        <v>3.902219450091141E-4</v>
      </c>
      <c r="I48" s="6">
        <f t="shared" si="15"/>
        <v>1.1192077727952168E-6</v>
      </c>
    </row>
    <row r="49" spans="1:9">
      <c r="A49" s="7"/>
      <c r="B49" s="1">
        <v>30</v>
      </c>
      <c r="C49" s="1">
        <v>5</v>
      </c>
      <c r="D49">
        <f>5.13</f>
        <v>5.13</v>
      </c>
      <c r="E49">
        <f t="shared" si="16"/>
        <v>2992.0763473069214</v>
      </c>
      <c r="F49">
        <f t="shared" si="17"/>
        <v>4.456214275860397E-4</v>
      </c>
      <c r="I49" s="6">
        <f>($K$2 * 0.5*C49) / (2 * B49 * D49)</f>
        <v>1.4595516569200778E-6</v>
      </c>
    </row>
    <row r="50" spans="1:9">
      <c r="A50" s="7"/>
      <c r="B50" s="1">
        <v>30</v>
      </c>
      <c r="C50" s="1">
        <v>10</v>
      </c>
      <c r="D50">
        <f>D49+5.09</f>
        <v>10.219999999999999</v>
      </c>
      <c r="E50">
        <f t="shared" si="16"/>
        <v>2986.2381439937608</v>
      </c>
      <c r="F50">
        <f t="shared" si="17"/>
        <v>4.4649263355471996E-4</v>
      </c>
      <c r="I50" s="6">
        <f t="shared" ref="I50:I54" si="18">($K$2 * 0.5*C50) / (2 * B50 * D50)</f>
        <v>1.4652641878669278E-6</v>
      </c>
    </row>
    <row r="51" spans="1:9">
      <c r="A51" s="7"/>
      <c r="B51" s="1">
        <v>30</v>
      </c>
      <c r="C51" s="1">
        <v>20</v>
      </c>
      <c r="D51">
        <f>D50+10.17</f>
        <v>20.39</v>
      </c>
      <c r="E51">
        <f t="shared" si="16"/>
        <v>2982.5834637063231</v>
      </c>
      <c r="F51">
        <f t="shared" si="17"/>
        <v>4.47039739057783E-4</v>
      </c>
      <c r="I51" s="6">
        <f t="shared" si="18"/>
        <v>1.4688572829818538E-6</v>
      </c>
    </row>
    <row r="52" spans="1:9">
      <c r="A52" s="7"/>
      <c r="B52" s="1">
        <v>60</v>
      </c>
      <c r="C52" s="1">
        <v>5</v>
      </c>
      <c r="D52">
        <v>2.87</v>
      </c>
      <c r="E52" s="6">
        <f>(14/4.5)*((1/I52)*($Q$2^3)/(1-$Q$2)^2)^0.5</f>
        <v>3164.9724548494082</v>
      </c>
      <c r="F52">
        <f t="shared" si="17"/>
        <v>4.2127802132697369E-4</v>
      </c>
      <c r="I52" s="6">
        <f t="shared" si="18"/>
        <v>1.3044425087108012E-6</v>
      </c>
    </row>
    <row r="53" spans="1:9">
      <c r="A53" s="7"/>
      <c r="B53" s="1">
        <v>60</v>
      </c>
      <c r="C53" s="1">
        <v>10</v>
      </c>
      <c r="D53">
        <f>2.87+2.99</f>
        <v>5.86</v>
      </c>
      <c r="E53">
        <f t="shared" si="16"/>
        <v>3197.8846653337669</v>
      </c>
      <c r="F53">
        <f t="shared" si="17"/>
        <v>4.1694228306203524E-4</v>
      </c>
      <c r="I53" s="6">
        <f t="shared" si="18"/>
        <v>1.2777303754266211E-6</v>
      </c>
    </row>
    <row r="54" spans="1:9" ht="19" thickBot="1">
      <c r="A54" s="8"/>
      <c r="B54" s="2">
        <v>60</v>
      </c>
      <c r="C54" s="2">
        <v>20</v>
      </c>
      <c r="D54">
        <f>D53+5.94</f>
        <v>11.8</v>
      </c>
      <c r="E54">
        <f t="shared" si="16"/>
        <v>3208.7803857100153</v>
      </c>
      <c r="F54">
        <f t="shared" si="17"/>
        <v>4.1552651570397306E-4</v>
      </c>
      <c r="I54" s="6">
        <f t="shared" si="18"/>
        <v>1.2690677966101694E-6</v>
      </c>
    </row>
    <row r="55" spans="1:9">
      <c r="I55" s="5"/>
    </row>
    <row r="56" spans="1:9">
      <c r="I56" s="5"/>
    </row>
    <row r="59" spans="1:9">
      <c r="A59" s="1"/>
      <c r="B59" s="1"/>
      <c r="C59" s="1"/>
      <c r="D59" s="1"/>
      <c r="E59" s="1"/>
      <c r="F59" s="1"/>
    </row>
    <row r="60" spans="1:9">
      <c r="A60" s="7"/>
      <c r="B60" s="1"/>
      <c r="C60" s="1"/>
    </row>
    <row r="61" spans="1:9">
      <c r="A61" s="7"/>
      <c r="B61" s="1"/>
      <c r="C61" s="1"/>
    </row>
    <row r="62" spans="1:9">
      <c r="A62" s="7"/>
      <c r="B62" s="1"/>
      <c r="C62" s="1"/>
    </row>
    <row r="63" spans="1:9">
      <c r="A63" s="7"/>
      <c r="B63" s="1"/>
      <c r="C63" s="1"/>
    </row>
    <row r="64" spans="1:9">
      <c r="A64" s="7"/>
      <c r="B64" s="1"/>
      <c r="C64" s="1"/>
    </row>
    <row r="65" spans="1:9">
      <c r="A65" s="7"/>
      <c r="B65" s="1"/>
      <c r="C65" s="1"/>
    </row>
    <row r="66" spans="1:9">
      <c r="A66" s="7"/>
      <c r="B66" s="1"/>
      <c r="C66" s="1"/>
    </row>
    <row r="67" spans="1:9">
      <c r="A67" s="7"/>
      <c r="B67" s="1"/>
      <c r="C67" s="1"/>
    </row>
    <row r="68" spans="1:9" ht="19" thickBot="1">
      <c r="A68" s="8"/>
      <c r="B68" s="2"/>
      <c r="C68" s="2"/>
      <c r="D68" s="3"/>
    </row>
    <row r="70" spans="1:9">
      <c r="A70" s="1"/>
      <c r="B70" s="1"/>
      <c r="C70" s="1"/>
      <c r="D70" s="1"/>
      <c r="E70" s="1"/>
      <c r="F70" s="1"/>
    </row>
    <row r="71" spans="1:9">
      <c r="A71" s="7"/>
      <c r="B71" s="1"/>
      <c r="C71" s="1"/>
      <c r="E71" s="6"/>
      <c r="I71" s="6"/>
    </row>
    <row r="72" spans="1:9">
      <c r="A72" s="7"/>
      <c r="B72" s="1"/>
      <c r="C72" s="1"/>
      <c r="E72" s="6"/>
      <c r="I72" s="6"/>
    </row>
    <row r="73" spans="1:9">
      <c r="A73" s="7"/>
      <c r="B73" s="1"/>
      <c r="C73" s="1"/>
      <c r="E73" s="6"/>
      <c r="I73" s="6"/>
    </row>
    <row r="74" spans="1:9">
      <c r="A74" s="7"/>
      <c r="B74" s="1"/>
      <c r="C74" s="1"/>
      <c r="E74" s="6"/>
      <c r="I74" s="6"/>
    </row>
    <row r="75" spans="1:9">
      <c r="A75" s="7"/>
      <c r="B75" s="1"/>
      <c r="C75" s="1"/>
      <c r="E75" s="6"/>
      <c r="I75" s="6"/>
    </row>
    <row r="76" spans="1:9">
      <c r="A76" s="7"/>
      <c r="B76" s="1"/>
      <c r="C76" s="1"/>
      <c r="E76" s="6"/>
      <c r="I76" s="6"/>
    </row>
    <row r="77" spans="1:9">
      <c r="A77" s="7"/>
      <c r="B77" s="1"/>
      <c r="C77" s="1"/>
      <c r="E77" s="6"/>
      <c r="I77" s="6"/>
    </row>
    <row r="78" spans="1:9">
      <c r="A78" s="7"/>
      <c r="B78" s="1"/>
      <c r="C78" s="1"/>
      <c r="E78" s="6"/>
      <c r="I78" s="6"/>
    </row>
    <row r="79" spans="1:9" ht="19" thickBot="1">
      <c r="A79" s="8"/>
      <c r="B79" s="2"/>
      <c r="C79" s="2"/>
      <c r="D79" s="3"/>
      <c r="E79" s="6"/>
      <c r="F79" s="6"/>
      <c r="I79" s="6"/>
    </row>
  </sheetData>
  <mergeCells count="7">
    <mergeCell ref="A71:A79"/>
    <mergeCell ref="A60:A68"/>
    <mergeCell ref="A2:A10"/>
    <mergeCell ref="A13:A21"/>
    <mergeCell ref="A46:A54"/>
    <mergeCell ref="A24:A32"/>
    <mergeCell ref="A35:A43"/>
  </mergeCells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2CC48F1287B046A9379F2B763511DE" ma:contentTypeVersion="5" ma:contentTypeDescription="新しいドキュメントを作成します。" ma:contentTypeScope="" ma:versionID="3033218eae6a0cb6aabc6792e5e91b7d">
  <xsd:schema xmlns:xsd="http://www.w3.org/2001/XMLSchema" xmlns:xs="http://www.w3.org/2001/XMLSchema" xmlns:p="http://schemas.microsoft.com/office/2006/metadata/properties" xmlns:ns2="ddabc1ff-5d39-4d4f-965f-4e789ed3ba25" xmlns:ns3="ce592f2c-e436-4341-8f23-46a17107df7d" targetNamespace="http://schemas.microsoft.com/office/2006/metadata/properties" ma:root="true" ma:fieldsID="988762ac568c0436c4e70efca86bae30" ns2:_="" ns3:_="">
    <xsd:import namespace="ddabc1ff-5d39-4d4f-965f-4e789ed3ba25"/>
    <xsd:import namespace="ce592f2c-e436-4341-8f23-46a17107df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abc1ff-5d39-4d4f-965f-4e789ed3ba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92f2c-e436-4341-8f23-46a17107df7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CDE084-617F-4D2A-B8E9-2FBA878BC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abc1ff-5d39-4d4f-965f-4e789ed3ba25"/>
    <ds:schemaRef ds:uri="ce592f2c-e436-4341-8f23-46a17107df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E56711-34A9-45E8-8E68-9034837D9708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伊藤隼人(苫小牧高専)</dc:creator>
  <cp:lastModifiedBy>南川新明(苫小牧高専)</cp:lastModifiedBy>
  <dcterms:created xsi:type="dcterms:W3CDTF">2023-12-05T07:04:57Z</dcterms:created>
  <dcterms:modified xsi:type="dcterms:W3CDTF">2025-01-06T18:55:01Z</dcterms:modified>
</cp:coreProperties>
</file>