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m/Desktop/Stock Valuation/"/>
    </mc:Choice>
  </mc:AlternateContent>
  <xr:revisionPtr revIDLastSave="0" documentId="13_ncr:1_{C23939DB-DB54-974D-8684-EF787EDBB748}" xr6:coauthVersionLast="47" xr6:coauthVersionMax="47" xr10:uidLastSave="{00000000-0000-0000-0000-000000000000}"/>
  <bookViews>
    <workbookView xWindow="6920" yWindow="520" windowWidth="23060" windowHeight="16400" activeTab="1" xr2:uid="{F71D6420-3F18-5C49-8BE1-E6CE7AFC183F}"/>
  </bookViews>
  <sheets>
    <sheet name="Airlines Overview" sheetId="1" r:id="rId1"/>
    <sheet name="E.U. Airlines" sheetId="4" r:id="rId2"/>
    <sheet name="Sorted" sheetId="2" r:id="rId3"/>
    <sheet name="U.S. Airlin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2" l="1"/>
  <c r="F12" i="2"/>
  <c r="G12" i="2" s="1"/>
  <c r="E12" i="2"/>
  <c r="I12" i="2" s="1"/>
  <c r="B12" i="2"/>
  <c r="E22" i="1"/>
  <c r="I22" i="1" s="1"/>
  <c r="L22" i="1" s="1"/>
  <c r="F22" i="1"/>
  <c r="N22" i="1"/>
  <c r="G22" i="1"/>
  <c r="B22" i="1"/>
  <c r="P21" i="1"/>
  <c r="Q21" i="1" s="1"/>
  <c r="R21" i="1" s="1"/>
  <c r="S21" i="1" s="1"/>
  <c r="N21" i="1"/>
  <c r="I21" i="1"/>
  <c r="M21" i="1" s="1"/>
  <c r="G21" i="1"/>
  <c r="B21" i="1"/>
  <c r="J20" i="1"/>
  <c r="N20" i="1" s="1"/>
  <c r="F20" i="1"/>
  <c r="G20" i="1" s="1"/>
  <c r="E20" i="1"/>
  <c r="I20" i="1" s="1"/>
  <c r="B20" i="1"/>
  <c r="J19" i="1"/>
  <c r="N19" i="1" s="1"/>
  <c r="F19" i="1"/>
  <c r="G19" i="1" s="1"/>
  <c r="E19" i="1"/>
  <c r="I19" i="1" s="1"/>
  <c r="B19" i="1"/>
  <c r="J18" i="1"/>
  <c r="N18" i="1" s="1"/>
  <c r="G18" i="1"/>
  <c r="F18" i="1"/>
  <c r="E18" i="1"/>
  <c r="I18" i="1" s="1"/>
  <c r="B18" i="1"/>
  <c r="N17" i="1"/>
  <c r="J17" i="1"/>
  <c r="I17" i="1"/>
  <c r="M17" i="1" s="1"/>
  <c r="G17" i="1"/>
  <c r="F17" i="1"/>
  <c r="E17" i="1"/>
  <c r="B17" i="1"/>
  <c r="N16" i="1"/>
  <c r="J16" i="1"/>
  <c r="I16" i="1"/>
  <c r="M16" i="1" s="1"/>
  <c r="F16" i="1"/>
  <c r="G16" i="1" s="1"/>
  <c r="E16" i="1"/>
  <c r="B16" i="1"/>
  <c r="J15" i="1"/>
  <c r="N15" i="1" s="1"/>
  <c r="F15" i="1"/>
  <c r="G15" i="1" s="1"/>
  <c r="E15" i="1"/>
  <c r="I15" i="1" s="1"/>
  <c r="B15" i="1"/>
  <c r="E9" i="2"/>
  <c r="F9" i="2"/>
  <c r="J9" i="2"/>
  <c r="N9" i="2" s="1"/>
  <c r="E6" i="2"/>
  <c r="F6" i="2"/>
  <c r="G9" i="2"/>
  <c r="J6" i="2"/>
  <c r="N6" i="2"/>
  <c r="I6" i="2"/>
  <c r="L6" i="2" s="1"/>
  <c r="I9" i="2"/>
  <c r="L9" i="2" s="1"/>
  <c r="B6" i="2"/>
  <c r="B9" i="2"/>
  <c r="E8" i="2"/>
  <c r="F8" i="2"/>
  <c r="J8" i="2"/>
  <c r="P7" i="2"/>
  <c r="Q7" i="2" s="1"/>
  <c r="R7" i="2" s="1"/>
  <c r="E2" i="2"/>
  <c r="F2" i="2"/>
  <c r="J2" i="2"/>
  <c r="N2" i="2" s="1"/>
  <c r="E5" i="2"/>
  <c r="F5" i="2"/>
  <c r="J5" i="2"/>
  <c r="E4" i="2"/>
  <c r="F4" i="2"/>
  <c r="J4" i="2"/>
  <c r="G7" i="2"/>
  <c r="I7" i="2"/>
  <c r="L7" i="2" s="1"/>
  <c r="I2" i="2"/>
  <c r="L2" i="2" s="1"/>
  <c r="N7" i="2"/>
  <c r="N4" i="2"/>
  <c r="N5" i="2"/>
  <c r="N8" i="2"/>
  <c r="B7" i="2"/>
  <c r="B4" i="2"/>
  <c r="B5" i="2"/>
  <c r="B2" i="2"/>
  <c r="B8" i="2"/>
  <c r="P13" i="2"/>
  <c r="P19" i="2"/>
  <c r="G7" i="1"/>
  <c r="N10" i="4"/>
  <c r="F10" i="4"/>
  <c r="E10" i="4"/>
  <c r="I10" i="4" s="1"/>
  <c r="M10" i="4" s="1"/>
  <c r="C10" i="4"/>
  <c r="N9" i="4"/>
  <c r="F9" i="4"/>
  <c r="E9" i="4"/>
  <c r="C9" i="4"/>
  <c r="N8" i="4"/>
  <c r="F8" i="4"/>
  <c r="E8" i="4"/>
  <c r="C8" i="4"/>
  <c r="N7" i="4"/>
  <c r="F7" i="4"/>
  <c r="G7" i="4" s="1"/>
  <c r="E7" i="4"/>
  <c r="C7" i="4"/>
  <c r="N6" i="4"/>
  <c r="F6" i="4"/>
  <c r="G6" i="4" s="1"/>
  <c r="E6" i="4"/>
  <c r="C6" i="4"/>
  <c r="N5" i="4"/>
  <c r="F5" i="4"/>
  <c r="E5" i="4"/>
  <c r="C5" i="4"/>
  <c r="N4" i="4"/>
  <c r="F4" i="4"/>
  <c r="G4" i="4" s="1"/>
  <c r="E4" i="4"/>
  <c r="C4" i="4"/>
  <c r="N3" i="4"/>
  <c r="F3" i="4"/>
  <c r="G3" i="4" s="1"/>
  <c r="E3" i="4"/>
  <c r="C3" i="4"/>
  <c r="N2" i="4"/>
  <c r="F2" i="4"/>
  <c r="G2" i="4" s="1"/>
  <c r="E2" i="4"/>
  <c r="C2" i="4"/>
  <c r="N5" i="3"/>
  <c r="F5" i="3"/>
  <c r="I5" i="3" s="1"/>
  <c r="M5" i="3" s="1"/>
  <c r="B5" i="3"/>
  <c r="N4" i="3"/>
  <c r="F4" i="3"/>
  <c r="G4" i="3" s="1"/>
  <c r="E4" i="3"/>
  <c r="I4" i="3" s="1"/>
  <c r="B4" i="3"/>
  <c r="N3" i="3"/>
  <c r="I3" i="3"/>
  <c r="M3" i="3" s="1"/>
  <c r="F3" i="3"/>
  <c r="G3" i="3" s="1"/>
  <c r="E3" i="3"/>
  <c r="B3" i="3"/>
  <c r="N2" i="3"/>
  <c r="F2" i="3"/>
  <c r="G2" i="3" s="1"/>
  <c r="E2" i="3"/>
  <c r="I2" i="3" s="1"/>
  <c r="M2" i="3" s="1"/>
  <c r="B2" i="3"/>
  <c r="N13" i="2"/>
  <c r="F13" i="2"/>
  <c r="I13" i="2" s="1"/>
  <c r="M13" i="2" s="1"/>
  <c r="B13" i="2"/>
  <c r="N18" i="2"/>
  <c r="F18" i="2"/>
  <c r="E18" i="2"/>
  <c r="B18" i="2"/>
  <c r="N14" i="2"/>
  <c r="F14" i="2"/>
  <c r="E14" i="2"/>
  <c r="B14" i="2"/>
  <c r="N10" i="2"/>
  <c r="F10" i="2"/>
  <c r="E10" i="2"/>
  <c r="B10" i="2"/>
  <c r="N21" i="2"/>
  <c r="F21" i="2"/>
  <c r="E21" i="2"/>
  <c r="B21" i="2"/>
  <c r="N15" i="2"/>
  <c r="F15" i="2"/>
  <c r="E15" i="2"/>
  <c r="B15" i="2"/>
  <c r="N22" i="2"/>
  <c r="F22" i="2"/>
  <c r="E22" i="2"/>
  <c r="B22" i="2"/>
  <c r="N16" i="2"/>
  <c r="F16" i="2"/>
  <c r="E16" i="2"/>
  <c r="B16" i="2"/>
  <c r="N17" i="2"/>
  <c r="F17" i="2"/>
  <c r="E17" i="2"/>
  <c r="B17" i="2"/>
  <c r="N3" i="2"/>
  <c r="F3" i="2"/>
  <c r="E3" i="2"/>
  <c r="B3" i="2"/>
  <c r="N20" i="2"/>
  <c r="F20" i="2"/>
  <c r="E20" i="2"/>
  <c r="B20" i="2"/>
  <c r="N19" i="2"/>
  <c r="F19" i="2"/>
  <c r="E19" i="2"/>
  <c r="B19" i="2"/>
  <c r="N11" i="2"/>
  <c r="F11" i="2"/>
  <c r="E11" i="2"/>
  <c r="B11" i="2"/>
  <c r="F14" i="1"/>
  <c r="I14" i="1" s="1"/>
  <c r="M14" i="1" s="1"/>
  <c r="E13" i="1"/>
  <c r="G13" i="1" s="1"/>
  <c r="F13" i="1"/>
  <c r="E12" i="1"/>
  <c r="F12" i="1"/>
  <c r="G12" i="1" s="1"/>
  <c r="E11" i="1"/>
  <c r="I11" i="1" s="1"/>
  <c r="L11" i="1" s="1"/>
  <c r="F11" i="1"/>
  <c r="N11" i="1"/>
  <c r="N12" i="1"/>
  <c r="N13" i="1"/>
  <c r="N14" i="1"/>
  <c r="I12" i="1"/>
  <c r="M12" i="1" s="1"/>
  <c r="I13" i="1"/>
  <c r="L13" i="1" s="1"/>
  <c r="B11" i="1"/>
  <c r="B12" i="1"/>
  <c r="B13" i="1"/>
  <c r="B14" i="1"/>
  <c r="E10" i="1"/>
  <c r="F10" i="1"/>
  <c r="G10" i="1" s="1"/>
  <c r="I10" i="1"/>
  <c r="L10" i="1" s="1"/>
  <c r="N10" i="1"/>
  <c r="B10" i="1"/>
  <c r="E9" i="1"/>
  <c r="F9" i="1"/>
  <c r="G9" i="1" s="1"/>
  <c r="E8" i="1"/>
  <c r="G8" i="1" s="1"/>
  <c r="F8" i="1"/>
  <c r="E7" i="1"/>
  <c r="F7" i="1"/>
  <c r="B7" i="1"/>
  <c r="E6" i="1"/>
  <c r="F6" i="1"/>
  <c r="G6" i="1" s="1"/>
  <c r="B6" i="1"/>
  <c r="N5" i="1"/>
  <c r="E5" i="1"/>
  <c r="F5" i="1"/>
  <c r="G5" i="1" s="1"/>
  <c r="B5" i="1"/>
  <c r="E4" i="1"/>
  <c r="G4" i="1" s="1"/>
  <c r="F4" i="1"/>
  <c r="E2" i="1"/>
  <c r="F2" i="1"/>
  <c r="G2" i="1" s="1"/>
  <c r="I8" i="4" l="1"/>
  <c r="G9" i="4"/>
  <c r="G10" i="4"/>
  <c r="I2" i="4"/>
  <c r="M2" i="4" s="1"/>
  <c r="I5" i="4"/>
  <c r="L5" i="4" s="1"/>
  <c r="I6" i="4"/>
  <c r="M6" i="4" s="1"/>
  <c r="G5" i="4"/>
  <c r="G8" i="4"/>
  <c r="M12" i="2"/>
  <c r="L12" i="2"/>
  <c r="M22" i="1"/>
  <c r="L21" i="1"/>
  <c r="L18" i="1"/>
  <c r="M18" i="1"/>
  <c r="M19" i="1"/>
  <c r="L19" i="1"/>
  <c r="M20" i="1"/>
  <c r="L20" i="1"/>
  <c r="M15" i="1"/>
  <c r="L15" i="1"/>
  <c r="L16" i="1"/>
  <c r="L17" i="1"/>
  <c r="M9" i="2"/>
  <c r="G6" i="2"/>
  <c r="M6" i="2"/>
  <c r="I11" i="2"/>
  <c r="G20" i="2"/>
  <c r="G22" i="2"/>
  <c r="G14" i="2"/>
  <c r="G10" i="2"/>
  <c r="I19" i="2"/>
  <c r="M19" i="2" s="1"/>
  <c r="G3" i="2"/>
  <c r="G16" i="2"/>
  <c r="G15" i="2"/>
  <c r="G18" i="2"/>
  <c r="I8" i="2"/>
  <c r="L8" i="2" s="1"/>
  <c r="M7" i="2"/>
  <c r="G8" i="2"/>
  <c r="G2" i="2"/>
  <c r="S7" i="2"/>
  <c r="Q13" i="2"/>
  <c r="R13" i="2" s="1"/>
  <c r="S13" i="2" s="1"/>
  <c r="G13" i="2"/>
  <c r="I5" i="2"/>
  <c r="L5" i="2" s="1"/>
  <c r="M8" i="2"/>
  <c r="M2" i="2"/>
  <c r="G5" i="2"/>
  <c r="I4" i="2"/>
  <c r="M4" i="2" s="1"/>
  <c r="G4" i="2"/>
  <c r="Q19" i="2"/>
  <c r="R19" i="2" s="1"/>
  <c r="S19" i="2" s="1"/>
  <c r="I20" i="2"/>
  <c r="L20" i="2" s="1"/>
  <c r="I3" i="2"/>
  <c r="G17" i="2"/>
  <c r="I16" i="2"/>
  <c r="M16" i="2" s="1"/>
  <c r="I22" i="2"/>
  <c r="I15" i="2"/>
  <c r="L15" i="2" s="1"/>
  <c r="I10" i="2"/>
  <c r="M10" i="2" s="1"/>
  <c r="I14" i="2"/>
  <c r="M14" i="2" s="1"/>
  <c r="I18" i="2"/>
  <c r="M18" i="2" s="1"/>
  <c r="G11" i="1"/>
  <c r="I5" i="1"/>
  <c r="L5" i="1" s="1"/>
  <c r="G14" i="1"/>
  <c r="G19" i="2"/>
  <c r="I17" i="2"/>
  <c r="M17" i="2" s="1"/>
  <c r="I21" i="2"/>
  <c r="L21" i="2" s="1"/>
  <c r="G11" i="2"/>
  <c r="G21" i="2"/>
  <c r="G5" i="3"/>
  <c r="L3" i="3"/>
  <c r="I7" i="4"/>
  <c r="M7" i="4" s="1"/>
  <c r="I9" i="4"/>
  <c r="M9" i="4" s="1"/>
  <c r="I3" i="4"/>
  <c r="M3" i="4" s="1"/>
  <c r="I4" i="4"/>
  <c r="M4" i="4" s="1"/>
  <c r="M5" i="4"/>
  <c r="L8" i="4"/>
  <c r="M8" i="4"/>
  <c r="L9" i="4"/>
  <c r="L6" i="4"/>
  <c r="L10" i="4"/>
  <c r="L4" i="3"/>
  <c r="M4" i="3"/>
  <c r="L2" i="3"/>
  <c r="L5" i="3"/>
  <c r="M22" i="2"/>
  <c r="L22" i="2"/>
  <c r="L18" i="2"/>
  <c r="M11" i="2"/>
  <c r="L11" i="2"/>
  <c r="M20" i="2"/>
  <c r="L3" i="2"/>
  <c r="M3" i="2"/>
  <c r="L13" i="2"/>
  <c r="M5" i="1"/>
  <c r="L14" i="1"/>
  <c r="M13" i="1"/>
  <c r="L12" i="1"/>
  <c r="M11" i="1"/>
  <c r="M10" i="1"/>
  <c r="E3" i="1"/>
  <c r="F3" i="1"/>
  <c r="G3" i="1" s="1"/>
  <c r="B3" i="1"/>
  <c r="I4" i="1"/>
  <c r="M4" i="1" s="1"/>
  <c r="N3" i="1"/>
  <c r="N4" i="1"/>
  <c r="N6" i="1"/>
  <c r="N7" i="1"/>
  <c r="N8" i="1"/>
  <c r="N9" i="1"/>
  <c r="N2" i="1"/>
  <c r="I9" i="1"/>
  <c r="L9" i="1" s="1"/>
  <c r="I8" i="1"/>
  <c r="L8" i="1" s="1"/>
  <c r="B4" i="1"/>
  <c r="B8" i="1"/>
  <c r="B9" i="1"/>
  <c r="I7" i="1"/>
  <c r="L7" i="1" s="1"/>
  <c r="I2" i="1"/>
  <c r="L2" i="1" s="1"/>
  <c r="B2" i="1"/>
  <c r="L4" i="4" l="1"/>
  <c r="L7" i="4"/>
  <c r="L2" i="4"/>
  <c r="L19" i="2"/>
  <c r="L4" i="2"/>
  <c r="O9" i="2" s="1"/>
  <c r="P9" i="2" s="1"/>
  <c r="Q9" i="2" s="1"/>
  <c r="R9" i="2" s="1"/>
  <c r="S9" i="2" s="1"/>
  <c r="M5" i="2"/>
  <c r="L14" i="2"/>
  <c r="L10" i="2"/>
  <c r="M15" i="2"/>
  <c r="L16" i="2"/>
  <c r="L17" i="2"/>
  <c r="M21" i="2"/>
  <c r="L3" i="4"/>
  <c r="M2" i="1"/>
  <c r="M9" i="1"/>
  <c r="M8" i="1"/>
  <c r="M7" i="1"/>
  <c r="I3" i="1"/>
  <c r="L3" i="1" s="1"/>
  <c r="I6" i="1"/>
  <c r="L4" i="1"/>
  <c r="L6" i="1" l="1"/>
  <c r="M6" i="1"/>
  <c r="M3" i="1"/>
</calcChain>
</file>

<file path=xl/sharedStrings.xml><?xml version="1.0" encoding="utf-8"?>
<sst xmlns="http://schemas.openxmlformats.org/spreadsheetml/2006/main" count="176" uniqueCount="48">
  <si>
    <t>Company</t>
  </si>
  <si>
    <t>Shares Outstanding</t>
  </si>
  <si>
    <t>Debt</t>
  </si>
  <si>
    <t>EV/OFCF</t>
  </si>
  <si>
    <t xml:space="preserve">Cash </t>
  </si>
  <si>
    <t>EV/Revenue</t>
  </si>
  <si>
    <t>OFCF/Revenue</t>
  </si>
  <si>
    <t>Ryan Air</t>
  </si>
  <si>
    <t>Easy Jet</t>
  </si>
  <si>
    <t>Jet2</t>
  </si>
  <si>
    <t>International Consolidated Airline (Vueling)</t>
  </si>
  <si>
    <t>Lufthansa Air (Eurowing &amp; Condor)</t>
  </si>
  <si>
    <t>WIZZ Airlines</t>
  </si>
  <si>
    <t>Norwegian Air Shuttle</t>
  </si>
  <si>
    <t>Air France (Transavia)</t>
  </si>
  <si>
    <t xml:space="preserve">Share Price </t>
  </si>
  <si>
    <t xml:space="preserve">Market Cap </t>
  </si>
  <si>
    <t xml:space="preserve">Enterprise Value </t>
  </si>
  <si>
    <t>Revenue</t>
  </si>
  <si>
    <t>OFCF</t>
  </si>
  <si>
    <t>Currency</t>
  </si>
  <si>
    <t>GBP</t>
  </si>
  <si>
    <t>EUR</t>
  </si>
  <si>
    <t xml:space="preserve">Pegasus </t>
  </si>
  <si>
    <t>TRY</t>
  </si>
  <si>
    <t>NOK</t>
  </si>
  <si>
    <t>American Airlines</t>
  </si>
  <si>
    <t>Delta Airlines</t>
  </si>
  <si>
    <t>United Airlines</t>
  </si>
  <si>
    <t>USD</t>
  </si>
  <si>
    <t>Southwest Airlines</t>
  </si>
  <si>
    <t>Cash/Debt Ratio</t>
  </si>
  <si>
    <t>Target Multiple</t>
  </si>
  <si>
    <t xml:space="preserve"> Est. EV</t>
  </si>
  <si>
    <t>Est. Market Cap</t>
  </si>
  <si>
    <t>Est. Share Price</t>
  </si>
  <si>
    <t>Potential Return</t>
  </si>
  <si>
    <t>Cathay Pacific</t>
  </si>
  <si>
    <t>HKD</t>
  </si>
  <si>
    <t>China Southern Airlines</t>
  </si>
  <si>
    <t>CNY</t>
  </si>
  <si>
    <t>China Eastern Airlines</t>
  </si>
  <si>
    <t>Air China</t>
  </si>
  <si>
    <t>Hainan Airlines Holding</t>
  </si>
  <si>
    <t>Spring Airlines</t>
  </si>
  <si>
    <t>JuneYao Airlines</t>
  </si>
  <si>
    <t>Singapore Airlines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</si>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</sst>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0208-5F84-064D-90D8-D5E15AE14FB5}">
  <dimension ref="A1:S22"/>
  <sheetViews>
    <sheetView workbookViewId="0">
      <selection activeCell="A22" sqref="A22:XFD22"/>
    </sheetView>
  </sheetViews>
  <sheetFormatPr baseColWidth="10" defaultRowHeight="16" x14ac:dyDescent="0.2"/>
  <cols>
    <col min="1" max="1" width="36.5" bestFit="1" customWidth="1"/>
    <col min="2" max="2" width="16" bestFit="1" customWidth="1"/>
    <col min="3" max="3" width="17.5" bestFit="1" customWidth="1"/>
    <col min="4" max="4" width="16.33203125" bestFit="1" customWidth="1"/>
    <col min="5" max="5" width="5.1640625" bestFit="1" customWidth="1"/>
    <col min="6" max="6" width="5.83203125" bestFit="1" customWidth="1"/>
    <col min="7" max="7" width="14.83203125" bestFit="1" customWidth="1"/>
    <col min="8" max="8" width="9" customWidth="1"/>
    <col min="9" max="9" width="20.33203125" bestFit="1" customWidth="1"/>
    <col min="10" max="10" width="13.6640625" bestFit="1" customWidth="1"/>
    <col min="11" max="11" width="11.33203125" bestFit="1" customWidth="1"/>
    <col min="12" max="12" width="8.6640625" bestFit="1" customWidth="1"/>
    <col min="13" max="13" width="11" bestFit="1" customWidth="1"/>
    <col min="14" max="14" width="13.5" bestFit="1" customWidth="1"/>
  </cols>
  <sheetData>
    <row r="1" spans="1:19" x14ac:dyDescent="0.2">
      <c r="A1" s="1" t="s">
        <v>0</v>
      </c>
      <c r="B1" s="1" t="s">
        <v>15</v>
      </c>
      <c r="C1" s="1" t="s">
        <v>1</v>
      </c>
      <c r="D1" s="1" t="s">
        <v>16</v>
      </c>
      <c r="E1" s="1" t="s">
        <v>2</v>
      </c>
      <c r="F1" s="1" t="s">
        <v>4</v>
      </c>
      <c r="G1" s="1" t="s">
        <v>31</v>
      </c>
      <c r="H1" s="1" t="s">
        <v>20</v>
      </c>
      <c r="I1" s="1" t="s">
        <v>17</v>
      </c>
      <c r="J1" s="1" t="s">
        <v>18</v>
      </c>
      <c r="K1" s="1" t="s">
        <v>19</v>
      </c>
      <c r="L1" s="1" t="s">
        <v>3</v>
      </c>
      <c r="M1" s="1" t="s">
        <v>5</v>
      </c>
      <c r="N1" s="1" t="s">
        <v>6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</row>
    <row r="2" spans="1:19" x14ac:dyDescent="0.2">
      <c r="A2" t="s">
        <v>7</v>
      </c>
      <c r="B2" s="5">
        <f t="shared" ref="B2:B14" si="0">D2/C2</f>
        <v>97.818754216325615</v>
      </c>
      <c r="C2">
        <v>0.22234999999999999</v>
      </c>
      <c r="D2">
        <v>21.75</v>
      </c>
      <c r="E2">
        <f>0.05+2.53</f>
        <v>2.5799999999999996</v>
      </c>
      <c r="F2">
        <f>4.11+6.4+0.0033</f>
        <v>10.513300000000001</v>
      </c>
      <c r="G2" s="2">
        <f>F2/E2</f>
        <v>4.0749224806201561</v>
      </c>
      <c r="H2" t="s">
        <v>22</v>
      </c>
      <c r="I2" s="2">
        <f t="shared" ref="I2:I14" si="1">E2-F2+D2</f>
        <v>13.816699999999999</v>
      </c>
      <c r="J2" s="2">
        <v>13.44</v>
      </c>
      <c r="K2" s="2">
        <v>3.1579999999999999</v>
      </c>
      <c r="L2" s="6">
        <f t="shared" ref="L2:L14" si="2">I2/K2</f>
        <v>4.3751424952501585</v>
      </c>
      <c r="M2" s="2">
        <f t="shared" ref="M2:M14" si="3">I2/J2</f>
        <v>1.0280282738095239</v>
      </c>
      <c r="N2" s="3">
        <f t="shared" ref="N2:N14" si="4">K2/J2</f>
        <v>0.23497023809523809</v>
      </c>
    </row>
    <row r="3" spans="1:19" x14ac:dyDescent="0.2">
      <c r="A3" t="s">
        <v>8</v>
      </c>
      <c r="B3" s="5">
        <f t="shared" si="0"/>
        <v>5.2582658345505244</v>
      </c>
      <c r="C3">
        <v>0.75309999999999999</v>
      </c>
      <c r="D3">
        <v>3.96</v>
      </c>
      <c r="E3">
        <f>0.433+1.46</f>
        <v>1.893</v>
      </c>
      <c r="F3">
        <f>2.93+0.035</f>
        <v>2.9650000000000003</v>
      </c>
      <c r="G3" s="2">
        <f t="shared" ref="G3:G13" si="5">F3/E3</f>
        <v>1.5662968832540942</v>
      </c>
      <c r="H3" t="s">
        <v>21</v>
      </c>
      <c r="I3" s="2">
        <f t="shared" si="1"/>
        <v>2.8879999999999999</v>
      </c>
      <c r="J3" s="2">
        <v>8.17</v>
      </c>
      <c r="K3" s="2">
        <v>1.5509999999999999</v>
      </c>
      <c r="L3" s="6">
        <f t="shared" si="2"/>
        <v>1.8620245003223728</v>
      </c>
      <c r="M3" s="2">
        <f t="shared" si="3"/>
        <v>0.35348837209302325</v>
      </c>
      <c r="N3" s="3">
        <f t="shared" si="4"/>
        <v>0.18984088127294982</v>
      </c>
    </row>
    <row r="4" spans="1:19" x14ac:dyDescent="0.2">
      <c r="A4" t="s">
        <v>9</v>
      </c>
      <c r="B4" s="5">
        <f t="shared" si="0"/>
        <v>13.44186046511628</v>
      </c>
      <c r="C4">
        <v>0.215</v>
      </c>
      <c r="D4">
        <v>2.89</v>
      </c>
      <c r="E4">
        <f>0.1259+0.6033</f>
        <v>0.72919999999999996</v>
      </c>
      <c r="F4">
        <f>2.6227+0.002+0.014</f>
        <v>2.6386999999999996</v>
      </c>
      <c r="G4" s="2">
        <f t="shared" si="5"/>
        <v>3.6186231486560612</v>
      </c>
      <c r="H4" t="s">
        <v>21</v>
      </c>
      <c r="I4" s="2">
        <f t="shared" si="1"/>
        <v>0.98050000000000059</v>
      </c>
      <c r="J4" s="2">
        <v>5.0335000000000001</v>
      </c>
      <c r="K4" s="2">
        <v>0.96750000000000003</v>
      </c>
      <c r="L4" s="6">
        <f t="shared" si="2"/>
        <v>1.0134366925064606</v>
      </c>
      <c r="M4" s="2">
        <f t="shared" si="3"/>
        <v>0.19479487434190931</v>
      </c>
      <c r="N4" s="3">
        <f t="shared" si="4"/>
        <v>0.1922121784046886</v>
      </c>
    </row>
    <row r="5" spans="1:19" x14ac:dyDescent="0.2">
      <c r="A5" t="s">
        <v>23</v>
      </c>
      <c r="B5" s="5">
        <f t="shared" si="0"/>
        <v>214.9402390438247</v>
      </c>
      <c r="C5">
        <v>0.502</v>
      </c>
      <c r="D5">
        <v>107.9</v>
      </c>
      <c r="E5">
        <f>7.298493+12.312017</f>
        <v>19.610510000000001</v>
      </c>
      <c r="F5">
        <f>34.612985</f>
        <v>34.612985000000002</v>
      </c>
      <c r="G5" s="2">
        <f t="shared" si="5"/>
        <v>1.7650221743340688</v>
      </c>
      <c r="H5" t="s">
        <v>24</v>
      </c>
      <c r="I5" s="2">
        <f t="shared" si="1"/>
        <v>92.897525000000002</v>
      </c>
      <c r="J5" s="2">
        <v>70.531531999999999</v>
      </c>
      <c r="K5" s="2">
        <v>20.176666999999998</v>
      </c>
      <c r="L5" s="6">
        <f t="shared" si="2"/>
        <v>4.6042056896711436</v>
      </c>
      <c r="M5" s="2">
        <f t="shared" si="3"/>
        <v>1.317106297932108</v>
      </c>
      <c r="N5" s="3">
        <f t="shared" si="4"/>
        <v>0.2860659116265899</v>
      </c>
    </row>
    <row r="6" spans="1:19" x14ac:dyDescent="0.2">
      <c r="A6" t="s">
        <v>11</v>
      </c>
      <c r="B6" s="5">
        <f t="shared" si="0"/>
        <v>6.1333333333333337</v>
      </c>
      <c r="C6">
        <v>1.2</v>
      </c>
      <c r="D6">
        <v>7.36</v>
      </c>
      <c r="E6">
        <f>2.47+8.91</f>
        <v>11.38</v>
      </c>
      <c r="F6">
        <f>1.59+6.68+0.659</f>
        <v>8.9290000000000003</v>
      </c>
      <c r="G6" s="2">
        <f t="shared" si="5"/>
        <v>0.78462214411247799</v>
      </c>
      <c r="H6" t="s">
        <v>22</v>
      </c>
      <c r="I6" s="2">
        <f t="shared" si="1"/>
        <v>9.8109999999999999</v>
      </c>
      <c r="J6" s="2">
        <v>35.44</v>
      </c>
      <c r="K6" s="2">
        <v>4.9450000000000003</v>
      </c>
      <c r="L6" s="6">
        <f t="shared" si="2"/>
        <v>1.9840242669362991</v>
      </c>
      <c r="M6" s="2">
        <f t="shared" si="3"/>
        <v>0.27683408577878105</v>
      </c>
      <c r="N6" s="3">
        <f t="shared" si="4"/>
        <v>0.13953160270880363</v>
      </c>
    </row>
    <row r="7" spans="1:19" x14ac:dyDescent="0.2">
      <c r="A7" t="s">
        <v>10</v>
      </c>
      <c r="B7" s="5">
        <f t="shared" si="0"/>
        <v>4.0693877551020412</v>
      </c>
      <c r="C7">
        <v>2.4500000000000002</v>
      </c>
      <c r="D7">
        <v>9.9700000000000006</v>
      </c>
      <c r="E7">
        <f>0.425+6.69</f>
        <v>7.1150000000000002</v>
      </c>
      <c r="F7">
        <f>5.44+1.37+0.031+0.042</f>
        <v>6.883</v>
      </c>
      <c r="G7" s="2">
        <f t="shared" si="5"/>
        <v>0.96739283204497539</v>
      </c>
      <c r="H7" t="s">
        <v>22</v>
      </c>
      <c r="I7" s="2">
        <f t="shared" si="1"/>
        <v>10.202000000000002</v>
      </c>
      <c r="J7" s="2">
        <v>29.45</v>
      </c>
      <c r="K7" s="2">
        <v>4.8639999999999999</v>
      </c>
      <c r="L7" s="6">
        <f t="shared" si="2"/>
        <v>2.0974506578947372</v>
      </c>
      <c r="M7" s="2">
        <f t="shared" si="3"/>
        <v>0.34641765704584049</v>
      </c>
      <c r="N7" s="3">
        <f t="shared" si="4"/>
        <v>0.16516129032258065</v>
      </c>
    </row>
    <row r="8" spans="1:19" x14ac:dyDescent="0.2">
      <c r="A8" t="s">
        <v>12</v>
      </c>
      <c r="B8" s="5">
        <f t="shared" si="0"/>
        <v>4.6922239690409961</v>
      </c>
      <c r="C8">
        <v>0.41344999999999998</v>
      </c>
      <c r="D8">
        <v>1.94</v>
      </c>
      <c r="E8">
        <f>0.5927+0.4217</f>
        <v>1.0144</v>
      </c>
      <c r="F8">
        <f>0.2784+0.7511+0.0554+0.0039</f>
        <v>1.0888</v>
      </c>
      <c r="G8" s="2">
        <f t="shared" si="5"/>
        <v>1.0733438485804416</v>
      </c>
      <c r="H8" t="s">
        <v>22</v>
      </c>
      <c r="I8" s="2">
        <f t="shared" si="1"/>
        <v>1.8655999999999999</v>
      </c>
      <c r="J8" s="2">
        <v>5.07</v>
      </c>
      <c r="K8" s="2">
        <v>0.67679999999999996</v>
      </c>
      <c r="L8" s="6">
        <f t="shared" si="2"/>
        <v>2.7565011820330971</v>
      </c>
      <c r="M8" s="2">
        <f t="shared" si="3"/>
        <v>0.36796844181459565</v>
      </c>
      <c r="N8" s="3">
        <f t="shared" si="4"/>
        <v>0.133491124260355</v>
      </c>
    </row>
    <row r="9" spans="1:19" x14ac:dyDescent="0.2">
      <c r="A9" t="s">
        <v>13</v>
      </c>
      <c r="B9" s="5">
        <f t="shared" si="0"/>
        <v>10.447358592355895</v>
      </c>
      <c r="C9">
        <v>0.96387999999999996</v>
      </c>
      <c r="D9">
        <v>10.07</v>
      </c>
      <c r="E9">
        <f>0.1219+3.6233</f>
        <v>3.7452000000000001</v>
      </c>
      <c r="F9">
        <f>8.4708+1.0071</f>
        <v>9.4779</v>
      </c>
      <c r="G9" s="2">
        <f t="shared" si="5"/>
        <v>2.5306792694649149</v>
      </c>
      <c r="H9" t="s">
        <v>25</v>
      </c>
      <c r="I9" s="2">
        <f t="shared" si="1"/>
        <v>4.3373000000000008</v>
      </c>
      <c r="J9" s="2">
        <v>27.7088</v>
      </c>
      <c r="K9" s="2">
        <v>5.2575000000000003</v>
      </c>
      <c r="L9" s="6">
        <f t="shared" si="2"/>
        <v>0.82497384688540187</v>
      </c>
      <c r="M9" s="2">
        <f t="shared" si="3"/>
        <v>0.15653149901836241</v>
      </c>
      <c r="N9" s="3">
        <f t="shared" si="4"/>
        <v>0.18974116526157755</v>
      </c>
    </row>
    <row r="10" spans="1:19" x14ac:dyDescent="0.2">
      <c r="A10" t="s">
        <v>14</v>
      </c>
      <c r="B10" s="5">
        <f t="shared" si="0"/>
        <v>0.81749049429657794</v>
      </c>
      <c r="C10">
        <v>2.63</v>
      </c>
      <c r="D10">
        <v>2.15</v>
      </c>
      <c r="E10">
        <f>1.14+4.06</f>
        <v>5.1999999999999993</v>
      </c>
      <c r="F10">
        <f>6.14+1.25+0.057+0.148</f>
        <v>7.5949999999999998</v>
      </c>
      <c r="G10" s="2">
        <f t="shared" si="5"/>
        <v>1.4605769230769232</v>
      </c>
      <c r="H10" t="s">
        <v>22</v>
      </c>
      <c r="I10" s="2">
        <f t="shared" si="1"/>
        <v>-0.24500000000000055</v>
      </c>
      <c r="J10" s="2">
        <v>30.02</v>
      </c>
      <c r="K10" s="2">
        <v>3.125</v>
      </c>
      <c r="L10" s="6">
        <f t="shared" si="2"/>
        <v>-7.8400000000000178E-2</v>
      </c>
      <c r="M10" s="2">
        <f t="shared" si="3"/>
        <v>-8.1612258494337293E-3</v>
      </c>
      <c r="N10" s="3">
        <f t="shared" si="4"/>
        <v>0.10409726848767488</v>
      </c>
    </row>
    <row r="11" spans="1:19" x14ac:dyDescent="0.2">
      <c r="A11" t="s">
        <v>27</v>
      </c>
      <c r="B11" s="5">
        <f t="shared" si="0"/>
        <v>37.324532862322208</v>
      </c>
      <c r="C11">
        <v>0.64541999999999999</v>
      </c>
      <c r="D11">
        <v>24.09</v>
      </c>
      <c r="E11">
        <f>2.98+17.07</f>
        <v>20.05</v>
      </c>
      <c r="F11">
        <f>3.87</f>
        <v>3.87</v>
      </c>
      <c r="G11" s="2">
        <f t="shared" si="5"/>
        <v>0.19301745635910225</v>
      </c>
      <c r="H11" t="s">
        <v>29</v>
      </c>
      <c r="I11" s="2">
        <f t="shared" si="1"/>
        <v>40.269999999999996</v>
      </c>
      <c r="J11" s="2">
        <v>58.05</v>
      </c>
      <c r="K11" s="2">
        <v>6.4640000000000004</v>
      </c>
      <c r="L11" s="6">
        <f t="shared" si="2"/>
        <v>6.2298886138613847</v>
      </c>
      <c r="M11" s="2">
        <f t="shared" si="3"/>
        <v>0.69371231696813085</v>
      </c>
      <c r="N11" s="3">
        <f t="shared" si="4"/>
        <v>0.11135228251507323</v>
      </c>
    </row>
    <row r="12" spans="1:19" x14ac:dyDescent="0.2">
      <c r="A12" t="s">
        <v>28</v>
      </c>
      <c r="B12" s="5">
        <f t="shared" si="0"/>
        <v>38.773834504151083</v>
      </c>
      <c r="C12">
        <v>0.32883000000000001</v>
      </c>
      <c r="D12">
        <v>12.75</v>
      </c>
      <c r="E12">
        <f>4.02+25.06</f>
        <v>29.08</v>
      </c>
      <c r="F12">
        <f>14.39+0.031</f>
        <v>14.421000000000001</v>
      </c>
      <c r="G12" s="2">
        <f t="shared" si="5"/>
        <v>0.49590784044016512</v>
      </c>
      <c r="H12" t="s">
        <v>29</v>
      </c>
      <c r="I12" s="2">
        <f t="shared" si="1"/>
        <v>27.408999999999999</v>
      </c>
      <c r="J12" s="2">
        <v>53.72</v>
      </c>
      <c r="K12" s="2">
        <v>6.9109999999999996</v>
      </c>
      <c r="L12" s="6">
        <f t="shared" si="2"/>
        <v>3.965996237881638</v>
      </c>
      <c r="M12" s="2">
        <f t="shared" si="3"/>
        <v>0.51021965748324649</v>
      </c>
      <c r="N12" s="3">
        <f t="shared" si="4"/>
        <v>0.12864854802680564</v>
      </c>
    </row>
    <row r="13" spans="1:19" x14ac:dyDescent="0.2">
      <c r="A13" t="s">
        <v>26</v>
      </c>
      <c r="B13" s="5">
        <f t="shared" si="0"/>
        <v>9.2584132785137818</v>
      </c>
      <c r="C13">
        <v>0.65669999999999995</v>
      </c>
      <c r="D13">
        <v>6.08</v>
      </c>
      <c r="E13">
        <f>3.63+29.27</f>
        <v>32.9</v>
      </c>
      <c r="F13">
        <f>7.58+0.91</f>
        <v>8.49</v>
      </c>
      <c r="G13" s="2">
        <f t="shared" si="5"/>
        <v>0.25805471124620061</v>
      </c>
      <c r="H13" t="s">
        <v>29</v>
      </c>
      <c r="I13" s="2">
        <f t="shared" si="1"/>
        <v>30.489999999999995</v>
      </c>
      <c r="J13" s="2">
        <v>52.79</v>
      </c>
      <c r="K13" s="2">
        <v>3.8029999999999999</v>
      </c>
      <c r="L13" s="6">
        <f t="shared" si="2"/>
        <v>8.0173547199579271</v>
      </c>
      <c r="M13" s="2">
        <f t="shared" si="3"/>
        <v>0.57757150975563543</v>
      </c>
      <c r="N13" s="3">
        <f t="shared" si="4"/>
        <v>7.2040159121045652E-2</v>
      </c>
    </row>
    <row r="14" spans="1:19" x14ac:dyDescent="0.2">
      <c r="A14" t="s">
        <v>30</v>
      </c>
      <c r="B14" s="5">
        <f t="shared" si="0"/>
        <v>24.317377662060217</v>
      </c>
      <c r="C14">
        <v>0.59916000000000003</v>
      </c>
      <c r="D14">
        <v>14.57</v>
      </c>
      <c r="E14">
        <v>7.9</v>
      </c>
      <c r="F14">
        <f>11.47+0.102</f>
        <v>11.572000000000001</v>
      </c>
      <c r="G14" s="2">
        <f>F14/E14</f>
        <v>1.4648101265822786</v>
      </c>
      <c r="H14" t="s">
        <v>29</v>
      </c>
      <c r="I14" s="2">
        <f t="shared" si="1"/>
        <v>10.898</v>
      </c>
      <c r="J14" s="2">
        <v>26.09</v>
      </c>
      <c r="K14" s="2">
        <v>3.1640000000000001</v>
      </c>
      <c r="L14" s="6">
        <f t="shared" si="2"/>
        <v>3.4443742098609351</v>
      </c>
      <c r="M14" s="2">
        <f t="shared" si="3"/>
        <v>0.41770793407435797</v>
      </c>
      <c r="N14" s="3">
        <f t="shared" si="4"/>
        <v>0.12127251820620928</v>
      </c>
    </row>
    <row r="15" spans="1:19" x14ac:dyDescent="0.2">
      <c r="A15" t="s">
        <v>39</v>
      </c>
      <c r="B15" s="5">
        <f t="shared" ref="B15:B22" si="6">D15/C15</f>
        <v>5.9001103752759381</v>
      </c>
      <c r="C15">
        <v>18.12</v>
      </c>
      <c r="D15">
        <v>106.91</v>
      </c>
      <c r="E15">
        <f>51.36+38.13+12.39</f>
        <v>101.88000000000001</v>
      </c>
      <c r="F15">
        <f>9.92+3.16+0.547</f>
        <v>13.627000000000001</v>
      </c>
      <c r="G15" s="2">
        <f t="shared" ref="G15:G22" si="7">F15/E15</f>
        <v>0.13375539850804868</v>
      </c>
      <c r="H15" t="s">
        <v>40</v>
      </c>
      <c r="I15" s="2">
        <f t="shared" ref="I15:I22" si="8">E15-F15+D15</f>
        <v>195.16300000000001</v>
      </c>
      <c r="J15">
        <f>159.93+5.32</f>
        <v>165.25</v>
      </c>
      <c r="K15" s="2">
        <v>40.134</v>
      </c>
      <c r="L15" s="6">
        <f t="shared" ref="L15:L21" si="9">I15/K15</f>
        <v>4.8627846713509744</v>
      </c>
      <c r="M15" s="2">
        <f t="shared" ref="M15:M21" si="10">I15/J15</f>
        <v>1.1810166414523451</v>
      </c>
      <c r="N15" s="3">
        <f t="shared" ref="N15:N21" si="11">K15/J15</f>
        <v>0.24286838124054463</v>
      </c>
    </row>
    <row r="16" spans="1:19" x14ac:dyDescent="0.2">
      <c r="A16" t="s">
        <v>41</v>
      </c>
      <c r="B16" s="5">
        <f t="shared" si="6"/>
        <v>4.0403768506056528</v>
      </c>
      <c r="C16">
        <v>22.29</v>
      </c>
      <c r="D16">
        <v>90.06</v>
      </c>
      <c r="E16">
        <f>39.62+47.34+10.68</f>
        <v>97.640000000000015</v>
      </c>
      <c r="F16">
        <f>12.18+0.065+2.51+1.06</f>
        <v>15.815</v>
      </c>
      <c r="G16" s="2">
        <f t="shared" si="7"/>
        <v>0.1619725522326915</v>
      </c>
      <c r="H16" t="s">
        <v>40</v>
      </c>
      <c r="I16" s="2">
        <f t="shared" si="8"/>
        <v>171.88500000000002</v>
      </c>
      <c r="J16">
        <f>113.74+3</f>
        <v>116.74</v>
      </c>
      <c r="K16" s="2">
        <v>26.573</v>
      </c>
      <c r="L16" s="6">
        <f t="shared" si="9"/>
        <v>6.4684077823354542</v>
      </c>
      <c r="M16" s="2">
        <f t="shared" si="10"/>
        <v>1.4723745074524588</v>
      </c>
      <c r="N16" s="3">
        <f t="shared" si="11"/>
        <v>0.22762549254754155</v>
      </c>
    </row>
    <row r="17" spans="1:19" x14ac:dyDescent="0.2">
      <c r="A17" t="s">
        <v>42</v>
      </c>
      <c r="B17" s="5">
        <f t="shared" si="6"/>
        <v>7.4116937914406265</v>
      </c>
      <c r="C17">
        <v>16.59</v>
      </c>
      <c r="D17">
        <v>122.96</v>
      </c>
      <c r="E17">
        <f>21.36+80.78+9.2</f>
        <v>111.34</v>
      </c>
      <c r="F17">
        <f>15.63+0.00251+0.10853+1.4+1.55+15.14</f>
        <v>33.831040000000002</v>
      </c>
      <c r="G17" s="2">
        <f t="shared" si="7"/>
        <v>0.30385342195078141</v>
      </c>
      <c r="H17" t="s">
        <v>40</v>
      </c>
      <c r="I17" s="2">
        <f t="shared" si="8"/>
        <v>200.46895999999998</v>
      </c>
      <c r="J17">
        <f>141.1+2</f>
        <v>143.1</v>
      </c>
      <c r="K17" s="2">
        <v>35.417999999999999</v>
      </c>
      <c r="L17" s="6">
        <f t="shared" si="9"/>
        <v>5.6600869614320395</v>
      </c>
      <c r="M17" s="2">
        <f t="shared" si="10"/>
        <v>1.4009011879804332</v>
      </c>
      <c r="N17" s="3">
        <f t="shared" si="11"/>
        <v>0.24750524109014677</v>
      </c>
    </row>
    <row r="18" spans="1:19" x14ac:dyDescent="0.2">
      <c r="A18" t="s">
        <v>43</v>
      </c>
      <c r="B18" s="5">
        <f t="shared" si="6"/>
        <v>1.1099028227672374</v>
      </c>
      <c r="C18">
        <v>43.22</v>
      </c>
      <c r="D18">
        <v>47.97</v>
      </c>
      <c r="E18">
        <f>1.61+45.61</f>
        <v>47.22</v>
      </c>
      <c r="F18">
        <f>8.87+0.44231+1.24+0.05536</f>
        <v>10.607670000000001</v>
      </c>
      <c r="G18" s="2">
        <f t="shared" si="7"/>
        <v>0.22464358322744601</v>
      </c>
      <c r="H18" t="s">
        <v>40</v>
      </c>
      <c r="I18" s="2">
        <f t="shared" si="8"/>
        <v>84.582329999999999</v>
      </c>
      <c r="J18">
        <f>58.64+4.17</f>
        <v>62.81</v>
      </c>
      <c r="K18" s="2">
        <v>8.0830000000000002</v>
      </c>
      <c r="L18" s="6">
        <f t="shared" si="9"/>
        <v>10.464224916491402</v>
      </c>
      <c r="M18" s="2">
        <f t="shared" si="10"/>
        <v>1.3466379557395318</v>
      </c>
      <c r="N18" s="3">
        <f t="shared" si="11"/>
        <v>0.12868969909250119</v>
      </c>
    </row>
    <row r="19" spans="1:19" x14ac:dyDescent="0.2">
      <c r="A19" t="s">
        <v>44</v>
      </c>
      <c r="B19" s="5">
        <f t="shared" si="6"/>
        <v>55.827499872259978</v>
      </c>
      <c r="C19">
        <v>0.97855000000000003</v>
      </c>
      <c r="D19">
        <v>54.63</v>
      </c>
      <c r="E19">
        <f>3.78+11.1</f>
        <v>14.879999999999999</v>
      </c>
      <c r="F19">
        <f>11.58+0.86256+0.00496</f>
        <v>12.447520000000001</v>
      </c>
      <c r="G19" s="2">
        <f t="shared" si="7"/>
        <v>0.83652688172043022</v>
      </c>
      <c r="H19" t="s">
        <v>40</v>
      </c>
      <c r="I19" s="2">
        <f t="shared" si="8"/>
        <v>57.062480000000001</v>
      </c>
      <c r="J19">
        <f>17.94+0.36214</f>
        <v>18.302140000000001</v>
      </c>
      <c r="K19" s="2">
        <v>6.694</v>
      </c>
      <c r="L19" s="6">
        <f t="shared" si="9"/>
        <v>8.5244218703316399</v>
      </c>
      <c r="M19" s="2">
        <f t="shared" si="10"/>
        <v>3.1178037103857799</v>
      </c>
      <c r="N19" s="3">
        <f t="shared" si="11"/>
        <v>0.36574957901097899</v>
      </c>
    </row>
    <row r="20" spans="1:19" x14ac:dyDescent="0.2">
      <c r="A20" t="s">
        <v>45</v>
      </c>
      <c r="B20" s="5">
        <f t="shared" si="6"/>
        <v>12.040723981900452</v>
      </c>
      <c r="C20">
        <v>2.21</v>
      </c>
      <c r="D20">
        <v>26.61</v>
      </c>
      <c r="E20">
        <f>9.47+4.09</f>
        <v>13.56</v>
      </c>
      <c r="F20">
        <f>1.37+4.29+1.23</f>
        <v>6.8900000000000006</v>
      </c>
      <c r="G20" s="2">
        <f t="shared" si="7"/>
        <v>0.50811209439528027</v>
      </c>
      <c r="H20" t="s">
        <v>40</v>
      </c>
      <c r="I20" s="2">
        <f t="shared" si="8"/>
        <v>33.28</v>
      </c>
      <c r="J20">
        <f>20.1+0.20755</f>
        <v>20.307550000000003</v>
      </c>
      <c r="K20" s="2">
        <v>6.4080000000000004</v>
      </c>
      <c r="L20" s="6">
        <f t="shared" si="9"/>
        <v>5.1935081148564297</v>
      </c>
      <c r="M20" s="2">
        <f t="shared" si="10"/>
        <v>1.6387993627985649</v>
      </c>
      <c r="N20" s="3">
        <f t="shared" si="11"/>
        <v>0.31554766576962751</v>
      </c>
    </row>
    <row r="21" spans="1:19" ht="17" customHeight="1" x14ac:dyDescent="0.2">
      <c r="A21" t="s">
        <v>37</v>
      </c>
      <c r="B21" s="5">
        <f t="shared" si="6"/>
        <v>7.8765624999999995</v>
      </c>
      <c r="C21">
        <v>6.4</v>
      </c>
      <c r="D21">
        <v>50.41</v>
      </c>
      <c r="G21" s="2" t="e">
        <f t="shared" si="7"/>
        <v>#DIV/0!</v>
      </c>
      <c r="H21" t="s">
        <v>38</v>
      </c>
      <c r="I21" s="2">
        <f t="shared" si="8"/>
        <v>50.41</v>
      </c>
      <c r="J21" s="2">
        <v>94.49</v>
      </c>
      <c r="K21" s="2">
        <v>26.408000000000001</v>
      </c>
      <c r="L21" s="6">
        <f t="shared" si="9"/>
        <v>1.9088912450772491</v>
      </c>
      <c r="M21" s="2">
        <f t="shared" si="10"/>
        <v>0.53349560800084661</v>
      </c>
      <c r="N21" s="3">
        <f t="shared" si="11"/>
        <v>0.27947930997989207</v>
      </c>
      <c r="O21">
        <v>3</v>
      </c>
      <c r="P21" s="5">
        <f>O21*K21</f>
        <v>79.224000000000004</v>
      </c>
      <c r="Q21" s="4">
        <f>P21-(E21-F21)</f>
        <v>79.224000000000004</v>
      </c>
      <c r="R21" s="5">
        <f>Q21/C21</f>
        <v>12.37875</v>
      </c>
      <c r="S21" s="3">
        <f>R21/B21-1</f>
        <v>0.57159293790914512</v>
      </c>
    </row>
    <row r="22" spans="1:19" x14ac:dyDescent="0.2">
      <c r="A22" t="s">
        <v>46</v>
      </c>
      <c r="B22" s="5">
        <f t="shared" si="6"/>
        <v>5.8959731543624159</v>
      </c>
      <c r="C22">
        <v>2.98</v>
      </c>
      <c r="D22">
        <v>17.57</v>
      </c>
      <c r="E22">
        <f>0.9154+8.74</f>
        <v>9.6554000000000002</v>
      </c>
      <c r="F22">
        <f>11.27+0.5197+0.772+1.12+0.1773</f>
        <v>13.859</v>
      </c>
      <c r="G22" s="2">
        <f t="shared" si="7"/>
        <v>1.4353625950245459</v>
      </c>
      <c r="H22" t="s">
        <v>47</v>
      </c>
      <c r="I22" s="2">
        <f t="shared" si="8"/>
        <v>13.366400000000001</v>
      </c>
      <c r="J22">
        <v>19.010000000000002</v>
      </c>
      <c r="K22" s="2">
        <v>5.0549999999999997</v>
      </c>
      <c r="L22" s="6">
        <f t="shared" ref="L22" si="12">I22/K22</f>
        <v>2.6441938674579628</v>
      </c>
      <c r="M22" s="2">
        <f t="shared" ref="M22" si="13">I22/J22</f>
        <v>0.70312467122567068</v>
      </c>
      <c r="N22" s="3">
        <f t="shared" ref="N22" si="14">K22/J22</f>
        <v>0.2659126775381378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DFC3-E6B6-6E4F-85FB-1D268ACA36D9}">
  <dimension ref="A1:N10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I12" sqref="I12"/>
    </sheetView>
  </sheetViews>
  <sheetFormatPr baseColWidth="10" defaultRowHeight="16" x14ac:dyDescent="0.2"/>
  <cols>
    <col min="1" max="1" width="36.5" bestFit="1" customWidth="1"/>
    <col min="2" max="2" width="36.5" customWidth="1"/>
    <col min="4" max="4" width="17.5" bestFit="1" customWidth="1"/>
    <col min="5" max="5" width="9.1640625" bestFit="1" customWidth="1"/>
    <col min="6" max="6" width="10.1640625" bestFit="1" customWidth="1"/>
    <col min="7" max="7" width="14.83203125" bestFit="1" customWidth="1"/>
    <col min="8" max="8" width="8.6640625" bestFit="1" customWidth="1"/>
    <col min="9" max="9" width="15" bestFit="1" customWidth="1"/>
    <col min="10" max="10" width="8.1640625" bestFit="1" customWidth="1"/>
    <col min="11" max="11" width="5.83203125" bestFit="1" customWidth="1"/>
    <col min="12" max="12" width="8.6640625" bestFit="1" customWidth="1"/>
    <col min="13" max="13" width="11" bestFit="1" customWidth="1"/>
    <col min="14" max="14" width="13.5" bestFit="1" customWidth="1"/>
  </cols>
  <sheetData>
    <row r="1" spans="1:14" x14ac:dyDescent="0.2">
      <c r="A1" s="1" t="s">
        <v>0</v>
      </c>
      <c r="B1" s="1" t="s">
        <v>16</v>
      </c>
      <c r="C1" s="1" t="s">
        <v>15</v>
      </c>
      <c r="D1" s="1" t="s">
        <v>1</v>
      </c>
      <c r="E1" s="1" t="s">
        <v>2</v>
      </c>
      <c r="F1" s="1" t="s">
        <v>4</v>
      </c>
      <c r="G1" s="1" t="s">
        <v>31</v>
      </c>
      <c r="H1" s="1" t="s">
        <v>20</v>
      </c>
      <c r="I1" s="1" t="s">
        <v>17</v>
      </c>
      <c r="J1" s="1" t="s">
        <v>18</v>
      </c>
      <c r="K1" s="1" t="s">
        <v>19</v>
      </c>
      <c r="L1" s="1" t="s">
        <v>3</v>
      </c>
      <c r="M1" s="1" t="s">
        <v>5</v>
      </c>
      <c r="N1" s="1" t="s">
        <v>6</v>
      </c>
    </row>
    <row r="2" spans="1:14" x14ac:dyDescent="0.2">
      <c r="A2" t="s">
        <v>7</v>
      </c>
      <c r="B2">
        <v>21.75</v>
      </c>
      <c r="C2" s="5">
        <f>B2/D2</f>
        <v>97.818754216325615</v>
      </c>
      <c r="D2">
        <v>0.22234999999999999</v>
      </c>
      <c r="E2">
        <f>0.05+2.53</f>
        <v>2.5799999999999996</v>
      </c>
      <c r="F2">
        <f>4.11+6.4+0.0033</f>
        <v>10.513300000000001</v>
      </c>
      <c r="G2" s="2">
        <f>F2/E2</f>
        <v>4.0749224806201561</v>
      </c>
      <c r="H2" t="s">
        <v>22</v>
      </c>
      <c r="I2" s="2">
        <f>E2-F2+B2</f>
        <v>13.816699999999999</v>
      </c>
      <c r="J2" s="2">
        <v>13.44</v>
      </c>
      <c r="K2" s="2">
        <v>3.1579999999999999</v>
      </c>
      <c r="L2" s="2">
        <f t="shared" ref="L2:L10" si="0">I2/K2</f>
        <v>4.3751424952501585</v>
      </c>
      <c r="M2" s="2">
        <f t="shared" ref="M2:M10" si="1">I2/J2</f>
        <v>1.0280282738095239</v>
      </c>
      <c r="N2" s="3">
        <f t="shared" ref="N2:N10" si="2">K2/J2</f>
        <v>0.23497023809523809</v>
      </c>
    </row>
    <row r="3" spans="1:14" x14ac:dyDescent="0.2">
      <c r="A3" t="s">
        <v>8</v>
      </c>
      <c r="B3">
        <v>3.96</v>
      </c>
      <c r="C3" s="5">
        <f>B3/D3</f>
        <v>5.2582658345505244</v>
      </c>
      <c r="D3">
        <v>0.75309999999999999</v>
      </c>
      <c r="E3">
        <f>0.433+1.46</f>
        <v>1.893</v>
      </c>
      <c r="F3">
        <f>2.93+0.035</f>
        <v>2.9650000000000003</v>
      </c>
      <c r="G3" s="2">
        <f t="shared" ref="G3:G10" si="3">F3/E3</f>
        <v>1.5662968832540942</v>
      </c>
      <c r="H3" t="s">
        <v>21</v>
      </c>
      <c r="I3" s="2">
        <f>E3-F3+B3</f>
        <v>2.8879999999999999</v>
      </c>
      <c r="J3" s="2">
        <v>8.17</v>
      </c>
      <c r="K3" s="2">
        <v>1.5509999999999999</v>
      </c>
      <c r="L3" s="2">
        <f t="shared" si="0"/>
        <v>1.8620245003223728</v>
      </c>
      <c r="M3" s="2">
        <f t="shared" si="1"/>
        <v>0.35348837209302325</v>
      </c>
      <c r="N3" s="3">
        <f t="shared" si="2"/>
        <v>0.18984088127294982</v>
      </c>
    </row>
    <row r="4" spans="1:14" x14ac:dyDescent="0.2">
      <c r="A4" t="s">
        <v>9</v>
      </c>
      <c r="B4">
        <v>2.89</v>
      </c>
      <c r="C4" s="5">
        <f>B4/D4</f>
        <v>13.44186046511628</v>
      </c>
      <c r="D4">
        <v>0.215</v>
      </c>
      <c r="E4">
        <f>0.1259+0.6033</f>
        <v>0.72919999999999996</v>
      </c>
      <c r="F4">
        <f>2.6227+0.002+0.014</f>
        <v>2.6386999999999996</v>
      </c>
      <c r="G4" s="2">
        <f t="shared" si="3"/>
        <v>3.6186231486560612</v>
      </c>
      <c r="H4" t="s">
        <v>21</v>
      </c>
      <c r="I4" s="2">
        <f>E4-F4+B4</f>
        <v>0.98050000000000059</v>
      </c>
      <c r="J4" s="2">
        <v>5.0335000000000001</v>
      </c>
      <c r="K4" s="2">
        <v>0.96750000000000003</v>
      </c>
      <c r="L4" s="2">
        <f t="shared" si="0"/>
        <v>1.0134366925064606</v>
      </c>
      <c r="M4" s="2">
        <f t="shared" si="1"/>
        <v>0.19479487434190931</v>
      </c>
      <c r="N4" s="3">
        <f t="shared" si="2"/>
        <v>0.1922121784046886</v>
      </c>
    </row>
    <row r="5" spans="1:14" x14ac:dyDescent="0.2">
      <c r="A5" t="s">
        <v>23</v>
      </c>
      <c r="B5">
        <v>107.9</v>
      </c>
      <c r="C5" s="5">
        <f>B5/D5</f>
        <v>214.9402390438247</v>
      </c>
      <c r="D5">
        <v>0.502</v>
      </c>
      <c r="E5">
        <f>7.298493+12.312017</f>
        <v>19.610510000000001</v>
      </c>
      <c r="F5">
        <f>34.612985</f>
        <v>34.612985000000002</v>
      </c>
      <c r="G5" s="2">
        <f t="shared" si="3"/>
        <v>1.7650221743340688</v>
      </c>
      <c r="H5" t="s">
        <v>24</v>
      </c>
      <c r="I5" s="2">
        <f>E5-F5+B5</f>
        <v>92.897525000000002</v>
      </c>
      <c r="J5" s="2">
        <v>70.531531999999999</v>
      </c>
      <c r="K5" s="2">
        <v>20.176666999999998</v>
      </c>
      <c r="L5" s="2">
        <f t="shared" si="0"/>
        <v>4.6042056896711436</v>
      </c>
      <c r="M5" s="2">
        <f t="shared" si="1"/>
        <v>1.317106297932108</v>
      </c>
      <c r="N5" s="3">
        <f t="shared" si="2"/>
        <v>0.2860659116265899</v>
      </c>
    </row>
    <row r="6" spans="1:14" x14ac:dyDescent="0.2">
      <c r="A6" t="s">
        <v>11</v>
      </c>
      <c r="B6">
        <v>7.36</v>
      </c>
      <c r="C6" s="5">
        <f>B6/D6</f>
        <v>6.1333333333333337</v>
      </c>
      <c r="D6">
        <v>1.2</v>
      </c>
      <c r="E6">
        <f>2.47+8.91</f>
        <v>11.38</v>
      </c>
      <c r="F6">
        <f>1.59+6.68+0.659</f>
        <v>8.9290000000000003</v>
      </c>
      <c r="G6" s="2">
        <f t="shared" si="3"/>
        <v>0.78462214411247799</v>
      </c>
      <c r="H6" t="s">
        <v>22</v>
      </c>
      <c r="I6" s="2">
        <f>E6-F6+B6</f>
        <v>9.8109999999999999</v>
      </c>
      <c r="J6" s="2">
        <v>35.44</v>
      </c>
      <c r="K6" s="2">
        <v>4.9450000000000003</v>
      </c>
      <c r="L6" s="2">
        <f t="shared" si="0"/>
        <v>1.9840242669362991</v>
      </c>
      <c r="M6" s="2">
        <f t="shared" si="1"/>
        <v>0.27683408577878105</v>
      </c>
      <c r="N6" s="3">
        <f t="shared" si="2"/>
        <v>0.13953160270880363</v>
      </c>
    </row>
    <row r="7" spans="1:14" x14ac:dyDescent="0.2">
      <c r="A7" t="s">
        <v>10</v>
      </c>
      <c r="B7">
        <v>9.9700000000000006</v>
      </c>
      <c r="C7" s="5">
        <f>B7/D7</f>
        <v>4.0693877551020412</v>
      </c>
      <c r="D7">
        <v>2.4500000000000002</v>
      </c>
      <c r="E7">
        <f>0.425+6.69</f>
        <v>7.1150000000000002</v>
      </c>
      <c r="F7">
        <f>5.44+1.37+0.031+0.042</f>
        <v>6.883</v>
      </c>
      <c r="G7" s="2">
        <f t="shared" si="3"/>
        <v>0.96739283204497539</v>
      </c>
      <c r="H7" t="s">
        <v>22</v>
      </c>
      <c r="I7" s="2">
        <f>E7-F7+B7</f>
        <v>10.202000000000002</v>
      </c>
      <c r="J7" s="2">
        <v>29.45</v>
      </c>
      <c r="K7" s="2">
        <v>4.8639999999999999</v>
      </c>
      <c r="L7" s="2">
        <f t="shared" si="0"/>
        <v>2.0974506578947372</v>
      </c>
      <c r="M7" s="2">
        <f t="shared" si="1"/>
        <v>0.34641765704584049</v>
      </c>
      <c r="N7" s="3">
        <f t="shared" si="2"/>
        <v>0.16516129032258065</v>
      </c>
    </row>
    <row r="8" spans="1:14" x14ac:dyDescent="0.2">
      <c r="A8" t="s">
        <v>12</v>
      </c>
      <c r="B8">
        <v>1.94</v>
      </c>
      <c r="C8" s="5">
        <f>B8/D8</f>
        <v>4.6922239690409961</v>
      </c>
      <c r="D8">
        <v>0.41344999999999998</v>
      </c>
      <c r="E8">
        <f>0.5927+0.4217</f>
        <v>1.0144</v>
      </c>
      <c r="F8">
        <f>0.2784+0.7511+0.0554+0.0039</f>
        <v>1.0888</v>
      </c>
      <c r="G8" s="2">
        <f t="shared" si="3"/>
        <v>1.0733438485804416</v>
      </c>
      <c r="H8" t="s">
        <v>22</v>
      </c>
      <c r="I8" s="2">
        <f>E8-F8+B8</f>
        <v>1.8655999999999999</v>
      </c>
      <c r="J8" s="2">
        <v>5.07</v>
      </c>
      <c r="K8" s="2">
        <v>0.67679999999999996</v>
      </c>
      <c r="L8" s="2">
        <f t="shared" si="0"/>
        <v>2.7565011820330971</v>
      </c>
      <c r="M8" s="2">
        <f t="shared" si="1"/>
        <v>0.36796844181459565</v>
      </c>
      <c r="N8" s="3">
        <f t="shared" si="2"/>
        <v>0.133491124260355</v>
      </c>
    </row>
    <row r="9" spans="1:14" x14ac:dyDescent="0.2">
      <c r="A9" t="s">
        <v>13</v>
      </c>
      <c r="B9">
        <v>10.07</v>
      </c>
      <c r="C9" s="5">
        <f>B9/D9</f>
        <v>10.447358592355895</v>
      </c>
      <c r="D9">
        <v>0.96387999999999996</v>
      </c>
      <c r="E9">
        <f>0.1219+3.6233</f>
        <v>3.7452000000000001</v>
      </c>
      <c r="F9">
        <f>8.4708+1.0071</f>
        <v>9.4779</v>
      </c>
      <c r="G9" s="2">
        <f t="shared" si="3"/>
        <v>2.5306792694649149</v>
      </c>
      <c r="H9" t="s">
        <v>25</v>
      </c>
      <c r="I9" s="2">
        <f>E9-F9+B9</f>
        <v>4.3373000000000008</v>
      </c>
      <c r="J9" s="2">
        <v>27.7088</v>
      </c>
      <c r="K9" s="2">
        <v>5.2575000000000003</v>
      </c>
      <c r="L9" s="2">
        <f t="shared" si="0"/>
        <v>0.82497384688540187</v>
      </c>
      <c r="M9" s="2">
        <f t="shared" si="1"/>
        <v>0.15653149901836241</v>
      </c>
      <c r="N9" s="3">
        <f t="shared" si="2"/>
        <v>0.18974116526157755</v>
      </c>
    </row>
    <row r="10" spans="1:14" x14ac:dyDescent="0.2">
      <c r="A10" t="s">
        <v>14</v>
      </c>
      <c r="B10">
        <v>2.15</v>
      </c>
      <c r="C10" s="5">
        <f>B10/D10</f>
        <v>0.81749049429657794</v>
      </c>
      <c r="D10">
        <v>2.63</v>
      </c>
      <c r="E10">
        <f>1.14+4.06</f>
        <v>5.1999999999999993</v>
      </c>
      <c r="F10">
        <f>6.14+1.25+0.057+0.148</f>
        <v>7.5949999999999998</v>
      </c>
      <c r="G10" s="2">
        <f t="shared" si="3"/>
        <v>1.4605769230769232</v>
      </c>
      <c r="H10" t="s">
        <v>22</v>
      </c>
      <c r="I10" s="2">
        <f>E10-F10+B10</f>
        <v>-0.24500000000000055</v>
      </c>
      <c r="J10" s="2">
        <v>30.02</v>
      </c>
      <c r="K10" s="2">
        <v>3.125</v>
      </c>
      <c r="L10" s="2">
        <f t="shared" si="0"/>
        <v>-7.8400000000000178E-2</v>
      </c>
      <c r="M10" s="2">
        <f t="shared" si="1"/>
        <v>-8.1612258494337293E-3</v>
      </c>
      <c r="N10" s="3">
        <f t="shared" si="2"/>
        <v>0.10409726848767488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402E-6798-2A42-8EBE-B7F26ED06BB2}">
  <dimension ref="A1:AA22"/>
  <sheetViews>
    <sheetView workbookViewId="0">
      <selection activeCell="A10" sqref="A10"/>
    </sheetView>
  </sheetViews>
  <sheetFormatPr baseColWidth="10" defaultRowHeight="16" x14ac:dyDescent="0.2"/>
  <cols>
    <col min="1" max="1" width="36.5" bestFit="1" customWidth="1"/>
    <col min="3" max="3" width="17.5" bestFit="1" customWidth="1"/>
    <col min="4" max="4" width="11" bestFit="1" customWidth="1"/>
    <col min="5" max="5" width="5.6640625" bestFit="1" customWidth="1"/>
    <col min="6" max="6" width="5.83203125" bestFit="1" customWidth="1"/>
    <col min="7" max="7" width="14.83203125" bestFit="1" customWidth="1"/>
    <col min="8" max="8" width="8.6640625" bestFit="1" customWidth="1"/>
    <col min="9" max="9" width="15" bestFit="1" customWidth="1"/>
    <col min="10" max="10" width="8.1640625" bestFit="1" customWidth="1"/>
    <col min="11" max="11" width="5.83203125" bestFit="1" customWidth="1"/>
    <col min="12" max="12" width="8.6640625" bestFit="1" customWidth="1"/>
    <col min="13" max="13" width="11" bestFit="1" customWidth="1"/>
    <col min="14" max="14" width="13.5" bestFit="1" customWidth="1"/>
    <col min="15" max="15" width="13.33203125" bestFit="1" customWidth="1"/>
    <col min="16" max="16" width="7.1640625" bestFit="1" customWidth="1"/>
    <col min="17" max="17" width="14.1640625" bestFit="1" customWidth="1"/>
    <col min="18" max="18" width="8.83203125" customWidth="1"/>
  </cols>
  <sheetData>
    <row r="1" spans="1:27" x14ac:dyDescent="0.2">
      <c r="A1" s="1" t="s">
        <v>0</v>
      </c>
      <c r="B1" s="1" t="s">
        <v>15</v>
      </c>
      <c r="C1" s="1" t="s">
        <v>1</v>
      </c>
      <c r="D1" s="1" t="s">
        <v>16</v>
      </c>
      <c r="E1" s="1" t="s">
        <v>2</v>
      </c>
      <c r="F1" s="1" t="s">
        <v>4</v>
      </c>
      <c r="G1" s="1" t="s">
        <v>31</v>
      </c>
      <c r="H1" s="1" t="s">
        <v>20</v>
      </c>
      <c r="I1" s="1" t="s">
        <v>17</v>
      </c>
      <c r="J1" s="1" t="s">
        <v>18</v>
      </c>
      <c r="K1" s="1" t="s">
        <v>19</v>
      </c>
      <c r="L1" s="1" t="s">
        <v>3</v>
      </c>
      <c r="M1" s="1" t="s">
        <v>5</v>
      </c>
      <c r="N1" s="1" t="s">
        <v>6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42</v>
      </c>
      <c r="B2" s="5">
        <f>D2/C2</f>
        <v>7.4116937914406265</v>
      </c>
      <c r="C2">
        <v>16.59</v>
      </c>
      <c r="D2">
        <v>122.96</v>
      </c>
      <c r="E2">
        <f>21.36+80.78+9.2</f>
        <v>111.34</v>
      </c>
      <c r="F2">
        <f>15.63+0.00251+0.10853+1.4+1.55+15.14</f>
        <v>33.831040000000002</v>
      </c>
      <c r="G2" s="2">
        <f>F2/E2</f>
        <v>0.30385342195078141</v>
      </c>
      <c r="H2" t="s">
        <v>40</v>
      </c>
      <c r="I2" s="2">
        <f>E2-F2+D2</f>
        <v>200.46895999999998</v>
      </c>
      <c r="J2">
        <f>141.1+2</f>
        <v>143.1</v>
      </c>
      <c r="K2" s="2">
        <v>35.417999999999999</v>
      </c>
      <c r="L2" s="6">
        <f>I2/K2</f>
        <v>5.6600869614320395</v>
      </c>
      <c r="M2" s="2">
        <f>I2/J2</f>
        <v>1.4009011879804332</v>
      </c>
      <c r="N2" s="3">
        <f>K2/J2</f>
        <v>0.24750524109014677</v>
      </c>
      <c r="V2" s="2"/>
      <c r="W2" s="2"/>
      <c r="X2" s="2"/>
      <c r="Y2" s="2"/>
      <c r="Z2" s="2"/>
      <c r="AA2" s="3"/>
    </row>
    <row r="3" spans="1:27" x14ac:dyDescent="0.2">
      <c r="A3" t="s">
        <v>23</v>
      </c>
      <c r="B3" s="5">
        <f>D3/C3</f>
        <v>214.9402390438247</v>
      </c>
      <c r="C3">
        <v>0.502</v>
      </c>
      <c r="D3">
        <v>107.9</v>
      </c>
      <c r="E3" s="2">
        <f>7.298493+12.312017</f>
        <v>19.610510000000001</v>
      </c>
      <c r="F3" s="2">
        <f>34.612985</f>
        <v>34.612985000000002</v>
      </c>
      <c r="G3" s="2">
        <f>F3/E3</f>
        <v>1.7650221743340688</v>
      </c>
      <c r="H3" t="s">
        <v>24</v>
      </c>
      <c r="I3" s="2">
        <f>E3-F3+D3</f>
        <v>92.897525000000002</v>
      </c>
      <c r="J3" s="2">
        <v>70.531531999999999</v>
      </c>
      <c r="K3" s="2">
        <v>20.176666999999998</v>
      </c>
      <c r="L3" s="6">
        <f>I3/K3</f>
        <v>4.6042056896711436</v>
      </c>
      <c r="M3" s="2">
        <f>I3/J3</f>
        <v>1.317106297932108</v>
      </c>
      <c r="N3" s="3">
        <f>K3/J3</f>
        <v>0.2860659116265899</v>
      </c>
      <c r="P3" s="5"/>
      <c r="V3" s="2"/>
      <c r="W3" s="2"/>
      <c r="X3" s="2"/>
      <c r="Y3" s="2"/>
      <c r="Z3" s="2"/>
      <c r="AA3" s="3"/>
    </row>
    <row r="4" spans="1:27" x14ac:dyDescent="0.2">
      <c r="A4" t="s">
        <v>39</v>
      </c>
      <c r="B4" s="5">
        <f>D4/C4</f>
        <v>5.9001103752759381</v>
      </c>
      <c r="C4">
        <v>18.12</v>
      </c>
      <c r="D4">
        <v>106.91</v>
      </c>
      <c r="E4">
        <f>51.36+38.13+12.39</f>
        <v>101.88000000000001</v>
      </c>
      <c r="F4">
        <f>9.92+3.16+0.547</f>
        <v>13.627000000000001</v>
      </c>
      <c r="G4" s="2">
        <f>F4/E4</f>
        <v>0.13375539850804868</v>
      </c>
      <c r="H4" t="s">
        <v>40</v>
      </c>
      <c r="I4" s="2">
        <f>E4-F4+D4</f>
        <v>195.16300000000001</v>
      </c>
      <c r="J4">
        <f>159.93+5.32</f>
        <v>165.25</v>
      </c>
      <c r="K4" s="2">
        <v>40.134</v>
      </c>
      <c r="L4" s="6">
        <f>I4/K4</f>
        <v>4.8627846713509744</v>
      </c>
      <c r="M4" s="2">
        <f>I4/J4</f>
        <v>1.1810166414523451</v>
      </c>
      <c r="N4" s="3">
        <f>K4/J4</f>
        <v>0.24286838124054463</v>
      </c>
      <c r="V4" s="2"/>
      <c r="W4" s="2"/>
      <c r="X4" s="2"/>
      <c r="Y4" s="2"/>
      <c r="Z4" s="2"/>
      <c r="AA4" s="3"/>
    </row>
    <row r="5" spans="1:27" x14ac:dyDescent="0.2">
      <c r="A5" t="s">
        <v>41</v>
      </c>
      <c r="B5" s="5">
        <f>D5/C5</f>
        <v>4.0403768506056528</v>
      </c>
      <c r="C5">
        <v>22.29</v>
      </c>
      <c r="D5">
        <v>90.06</v>
      </c>
      <c r="E5">
        <f>39.62+47.34+10.68</f>
        <v>97.640000000000015</v>
      </c>
      <c r="F5">
        <f>12.18+0.065+2.51+1.06</f>
        <v>15.815</v>
      </c>
      <c r="G5" s="2">
        <f>F5/E5</f>
        <v>0.1619725522326915</v>
      </c>
      <c r="H5" t="s">
        <v>40</v>
      </c>
      <c r="I5" s="2">
        <f>E5-F5+D5</f>
        <v>171.88500000000002</v>
      </c>
      <c r="J5">
        <f>113.74+3</f>
        <v>116.74</v>
      </c>
      <c r="K5" s="2">
        <v>26.573</v>
      </c>
      <c r="L5" s="6">
        <f>I5/K5</f>
        <v>6.4684077823354542</v>
      </c>
      <c r="M5" s="2">
        <f>I5/J5</f>
        <v>1.4723745074524588</v>
      </c>
      <c r="N5" s="3">
        <f>K5/J5</f>
        <v>0.22762549254754155</v>
      </c>
      <c r="V5" s="2"/>
      <c r="W5" s="2"/>
      <c r="X5" s="2"/>
      <c r="Y5" s="2"/>
      <c r="Z5" s="2"/>
      <c r="AA5" s="3"/>
    </row>
    <row r="6" spans="1:27" x14ac:dyDescent="0.2">
      <c r="A6" t="s">
        <v>44</v>
      </c>
      <c r="B6" s="5">
        <f>D6/C6</f>
        <v>55.827499872259978</v>
      </c>
      <c r="C6">
        <v>0.97855000000000003</v>
      </c>
      <c r="D6">
        <v>54.63</v>
      </c>
      <c r="E6">
        <f>3.78+11.1</f>
        <v>14.879999999999999</v>
      </c>
      <c r="F6">
        <f>11.58+0.86256+0.00496</f>
        <v>12.447520000000001</v>
      </c>
      <c r="G6" s="2">
        <f>F6/E6</f>
        <v>0.83652688172043022</v>
      </c>
      <c r="H6" t="s">
        <v>40</v>
      </c>
      <c r="I6" s="2">
        <f>E6-F6+D6</f>
        <v>57.062480000000001</v>
      </c>
      <c r="J6">
        <f>17.94+0.36214</f>
        <v>18.302140000000001</v>
      </c>
      <c r="K6" s="2">
        <v>6.694</v>
      </c>
      <c r="L6" s="6">
        <f>I6/K6</f>
        <v>8.5244218703316399</v>
      </c>
      <c r="M6" s="2">
        <f>I6/J6</f>
        <v>3.1178037103857799</v>
      </c>
      <c r="N6" s="3">
        <f>K6/J6</f>
        <v>0.36574957901097899</v>
      </c>
      <c r="V6" s="2"/>
      <c r="W6" s="2"/>
      <c r="X6" s="2"/>
      <c r="Y6" s="2"/>
      <c r="Z6" s="2"/>
      <c r="AA6" s="3"/>
    </row>
    <row r="7" spans="1:27" x14ac:dyDescent="0.2">
      <c r="A7" t="s">
        <v>37</v>
      </c>
      <c r="B7" s="5">
        <f>D7/C7</f>
        <v>7.8765624999999995</v>
      </c>
      <c r="C7">
        <v>6.4</v>
      </c>
      <c r="D7">
        <v>50.41</v>
      </c>
      <c r="G7" s="2" t="e">
        <f>F7/E7</f>
        <v>#DIV/0!</v>
      </c>
      <c r="H7" t="s">
        <v>38</v>
      </c>
      <c r="I7" s="2">
        <f>E7-F7+D7</f>
        <v>50.41</v>
      </c>
      <c r="J7" s="2">
        <v>94.49</v>
      </c>
      <c r="K7" s="2">
        <v>26.408000000000001</v>
      </c>
      <c r="L7" s="6">
        <f>I7/K7</f>
        <v>1.9088912450772491</v>
      </c>
      <c r="M7" s="2">
        <f>I7/J7</f>
        <v>0.53349560800084661</v>
      </c>
      <c r="N7" s="3">
        <f>K7/J7</f>
        <v>0.27947930997989207</v>
      </c>
      <c r="O7">
        <v>3</v>
      </c>
      <c r="P7" s="5">
        <f>O7*K7</f>
        <v>79.224000000000004</v>
      </c>
      <c r="Q7" s="4">
        <f>P7-(E7-F7)</f>
        <v>79.224000000000004</v>
      </c>
      <c r="R7" s="5">
        <f>Q7/C7</f>
        <v>12.37875</v>
      </c>
      <c r="S7" s="3">
        <f>R7/B7-1</f>
        <v>0.57159293790914512</v>
      </c>
      <c r="V7" s="2"/>
      <c r="W7" s="2"/>
      <c r="X7" s="2"/>
      <c r="Y7" s="2"/>
      <c r="Z7" s="2"/>
      <c r="AA7" s="3"/>
    </row>
    <row r="8" spans="1:27" x14ac:dyDescent="0.2">
      <c r="A8" t="s">
        <v>43</v>
      </c>
      <c r="B8" s="5">
        <f>D8/C8</f>
        <v>1.1099028227672374</v>
      </c>
      <c r="C8">
        <v>43.22</v>
      </c>
      <c r="D8">
        <v>47.97</v>
      </c>
      <c r="E8">
        <f>1.61+45.61</f>
        <v>47.22</v>
      </c>
      <c r="F8">
        <f>8.87+0.44231+1.24+0.05536</f>
        <v>10.607670000000001</v>
      </c>
      <c r="G8" s="2">
        <f>F8/E8</f>
        <v>0.22464358322744601</v>
      </c>
      <c r="H8" t="s">
        <v>40</v>
      </c>
      <c r="I8" s="2">
        <f>E8-F8+D8</f>
        <v>84.582329999999999</v>
      </c>
      <c r="J8">
        <f>58.64+4.17</f>
        <v>62.81</v>
      </c>
      <c r="K8" s="2">
        <v>8.0830000000000002</v>
      </c>
      <c r="L8" s="6">
        <f>I8/K8</f>
        <v>10.464224916491402</v>
      </c>
      <c r="M8" s="2">
        <f>I8/J8</f>
        <v>1.3466379557395318</v>
      </c>
      <c r="N8" s="3">
        <f>K8/J8</f>
        <v>0.12868969909250119</v>
      </c>
      <c r="V8" s="2"/>
      <c r="W8" s="2"/>
      <c r="X8" s="2"/>
      <c r="Y8" s="2"/>
      <c r="Z8" s="2"/>
      <c r="AA8" s="3"/>
    </row>
    <row r="9" spans="1:27" x14ac:dyDescent="0.2">
      <c r="A9" t="s">
        <v>45</v>
      </c>
      <c r="B9" s="5">
        <f>D9/C9</f>
        <v>12.040723981900452</v>
      </c>
      <c r="C9">
        <v>2.21</v>
      </c>
      <c r="D9">
        <v>26.61</v>
      </c>
      <c r="E9">
        <f>9.47+4.09</f>
        <v>13.56</v>
      </c>
      <c r="F9">
        <f>1.37+4.29+1.23</f>
        <v>6.8900000000000006</v>
      </c>
      <c r="G9" s="2">
        <f>F9/E9</f>
        <v>0.50811209439528027</v>
      </c>
      <c r="H9" t="s">
        <v>40</v>
      </c>
      <c r="I9" s="2">
        <f>E9-F9+D9</f>
        <v>33.28</v>
      </c>
      <c r="J9">
        <f>20.1+0.20755</f>
        <v>20.307550000000003</v>
      </c>
      <c r="K9" s="2">
        <v>6.4080000000000004</v>
      </c>
      <c r="L9" s="6">
        <f>I9/K9</f>
        <v>5.1935081148564297</v>
      </c>
      <c r="M9" s="2">
        <f>I9/J9</f>
        <v>1.6387993627985649</v>
      </c>
      <c r="N9" s="3">
        <f>K9/J9</f>
        <v>0.31554766576962751</v>
      </c>
      <c r="O9" s="2">
        <f>AVERAGE(L4:L9)</f>
        <v>6.2370397667405255</v>
      </c>
      <c r="P9" s="5">
        <f>O9*K9</f>
        <v>39.966950825273287</v>
      </c>
      <c r="Q9" s="4">
        <f>P9-(E9-F9)</f>
        <v>33.296950825273285</v>
      </c>
      <c r="R9" s="5">
        <f>Q9/C9</f>
        <v>15.066493586096509</v>
      </c>
      <c r="S9" s="3">
        <f>R9/B9-1</f>
        <v>0.25129465709407306</v>
      </c>
      <c r="V9" s="2"/>
      <c r="W9" s="2"/>
      <c r="X9" s="2"/>
      <c r="Y9" s="2"/>
      <c r="Z9" s="2"/>
      <c r="AA9" s="3"/>
    </row>
    <row r="10" spans="1:27" x14ac:dyDescent="0.2">
      <c r="A10" t="s">
        <v>27</v>
      </c>
      <c r="B10" s="5">
        <f>D10/C10</f>
        <v>37.324532862322208</v>
      </c>
      <c r="C10">
        <v>0.64541999999999999</v>
      </c>
      <c r="D10">
        <v>24.09</v>
      </c>
      <c r="E10" s="2">
        <f>2.98+17.07</f>
        <v>20.05</v>
      </c>
      <c r="F10" s="2">
        <f>3.87</f>
        <v>3.87</v>
      </c>
      <c r="G10" s="2">
        <f>F10/E10</f>
        <v>0.19301745635910225</v>
      </c>
      <c r="H10" t="s">
        <v>29</v>
      </c>
      <c r="I10" s="2">
        <f>E10-F10+D10</f>
        <v>40.269999999999996</v>
      </c>
      <c r="J10" s="2">
        <v>58.05</v>
      </c>
      <c r="K10" s="2">
        <v>6.4640000000000004</v>
      </c>
      <c r="L10" s="6">
        <f>I10/K10</f>
        <v>6.2298886138613847</v>
      </c>
      <c r="M10" s="2">
        <f>I10/J10</f>
        <v>0.69371231696813085</v>
      </c>
      <c r="N10" s="3">
        <f>K10/J10</f>
        <v>0.11135228251507323</v>
      </c>
      <c r="P10" s="5"/>
      <c r="V10" s="2"/>
      <c r="W10" s="2"/>
      <c r="X10" s="2"/>
      <c r="Y10" s="2"/>
      <c r="Z10" s="2"/>
      <c r="AA10" s="3"/>
    </row>
    <row r="11" spans="1:27" x14ac:dyDescent="0.2">
      <c r="A11" t="s">
        <v>7</v>
      </c>
      <c r="B11" s="5">
        <f>D11/C11</f>
        <v>97.818754216325615</v>
      </c>
      <c r="C11">
        <v>0.22234999999999999</v>
      </c>
      <c r="D11">
        <v>21.75</v>
      </c>
      <c r="E11" s="2">
        <f>0.05+2.53</f>
        <v>2.5799999999999996</v>
      </c>
      <c r="F11" s="2">
        <f>4.11+6.4+0.0033</f>
        <v>10.513300000000001</v>
      </c>
      <c r="G11" s="2">
        <f>F11/E11</f>
        <v>4.0749224806201561</v>
      </c>
      <c r="H11" t="s">
        <v>22</v>
      </c>
      <c r="I11" s="2">
        <f>E11-F11+D11</f>
        <v>13.816699999999999</v>
      </c>
      <c r="J11" s="2">
        <v>13.44</v>
      </c>
      <c r="K11" s="2">
        <v>3.1579999999999999</v>
      </c>
      <c r="L11" s="6">
        <f>I11/K11</f>
        <v>4.3751424952501585</v>
      </c>
      <c r="M11" s="2">
        <f>I11/J11</f>
        <v>1.0280282738095239</v>
      </c>
      <c r="N11" s="3">
        <f>K11/J11</f>
        <v>0.23497023809523809</v>
      </c>
      <c r="P11" s="5"/>
      <c r="V11" s="2"/>
      <c r="W11" s="2"/>
      <c r="X11" s="2"/>
      <c r="Y11" s="2"/>
      <c r="Z11" s="2"/>
      <c r="AA11" s="3"/>
    </row>
    <row r="12" spans="1:27" x14ac:dyDescent="0.2">
      <c r="A12" t="s">
        <v>46</v>
      </c>
      <c r="B12" s="5">
        <f>D12/C12</f>
        <v>5.8959731543624159</v>
      </c>
      <c r="C12">
        <v>2.98</v>
      </c>
      <c r="D12">
        <v>17.57</v>
      </c>
      <c r="E12">
        <f>0.9154+8.74</f>
        <v>9.6554000000000002</v>
      </c>
      <c r="F12">
        <f>11.27+0.5197+0.772+1.12+0.1773</f>
        <v>13.859</v>
      </c>
      <c r="G12" s="2">
        <f>F12/E12</f>
        <v>1.4353625950245459</v>
      </c>
      <c r="H12" t="s">
        <v>47</v>
      </c>
      <c r="I12" s="2">
        <f>E12-F12+D12</f>
        <v>13.366400000000001</v>
      </c>
      <c r="J12">
        <v>19.010000000000002</v>
      </c>
      <c r="K12" s="2">
        <v>5.0549999999999997</v>
      </c>
      <c r="L12" s="6">
        <f>I12/K12</f>
        <v>2.6441938674579628</v>
      </c>
      <c r="M12" s="2">
        <f>I12/J12</f>
        <v>0.70312467122567068</v>
      </c>
      <c r="N12" s="3">
        <f>K12/J12</f>
        <v>0.2659126775381378</v>
      </c>
      <c r="V12" s="2"/>
      <c r="W12" s="2"/>
      <c r="X12" s="2"/>
      <c r="Y12" s="2"/>
      <c r="Z12" s="2"/>
      <c r="AA12" s="3"/>
    </row>
    <row r="13" spans="1:27" x14ac:dyDescent="0.2">
      <c r="A13" t="s">
        <v>30</v>
      </c>
      <c r="B13" s="5">
        <f>D13/C13</f>
        <v>24.317377662060217</v>
      </c>
      <c r="C13">
        <v>0.59916000000000003</v>
      </c>
      <c r="D13">
        <v>14.57</v>
      </c>
      <c r="E13" s="2">
        <v>7.9</v>
      </c>
      <c r="F13" s="2">
        <f>11.47+0.102</f>
        <v>11.572000000000001</v>
      </c>
      <c r="G13" s="2">
        <f>F13/E13</f>
        <v>1.4648101265822786</v>
      </c>
      <c r="H13" t="s">
        <v>29</v>
      </c>
      <c r="I13" s="2">
        <f>E13-F13+D13</f>
        <v>10.898</v>
      </c>
      <c r="J13" s="2">
        <v>26.09</v>
      </c>
      <c r="K13" s="2">
        <v>3.1640000000000001</v>
      </c>
      <c r="L13" s="6">
        <f>I13/K13</f>
        <v>3.4443742098609351</v>
      </c>
      <c r="M13" s="2">
        <f>I13/J13</f>
        <v>0.41770793407435797</v>
      </c>
      <c r="N13" s="3">
        <f>K13/J13</f>
        <v>0.12127251820620928</v>
      </c>
      <c r="O13">
        <v>6</v>
      </c>
      <c r="P13" s="5">
        <f>O13*K13</f>
        <v>18.984000000000002</v>
      </c>
      <c r="Q13" s="4">
        <f>P13-(E13-F13)</f>
        <v>22.656000000000002</v>
      </c>
      <c r="R13" s="5">
        <f>Q13/C13</f>
        <v>37.812938113358705</v>
      </c>
      <c r="S13" s="3">
        <f>R13/B13-1</f>
        <v>0.55497597803706267</v>
      </c>
      <c r="V13" s="2"/>
      <c r="W13" s="2"/>
      <c r="X13" s="2"/>
      <c r="Y13" s="2"/>
      <c r="Z13" s="2"/>
      <c r="AA13" s="3"/>
    </row>
    <row r="14" spans="1:27" x14ac:dyDescent="0.2">
      <c r="A14" t="s">
        <v>28</v>
      </c>
      <c r="B14" s="5">
        <f>D14/C14</f>
        <v>38.773834504151083</v>
      </c>
      <c r="C14">
        <v>0.32883000000000001</v>
      </c>
      <c r="D14">
        <v>12.75</v>
      </c>
      <c r="E14" s="2">
        <f>4.02+25.06</f>
        <v>29.08</v>
      </c>
      <c r="F14" s="2">
        <f>14.39+0.031</f>
        <v>14.421000000000001</v>
      </c>
      <c r="G14" s="2">
        <f>F14/E14</f>
        <v>0.49590784044016512</v>
      </c>
      <c r="H14" t="s">
        <v>29</v>
      </c>
      <c r="I14" s="2">
        <f>E14-F14+D14</f>
        <v>27.408999999999999</v>
      </c>
      <c r="J14" s="2">
        <v>53.72</v>
      </c>
      <c r="K14" s="2">
        <v>6.9109999999999996</v>
      </c>
      <c r="L14" s="6">
        <f>I14/K14</f>
        <v>3.965996237881638</v>
      </c>
      <c r="M14" s="2">
        <f>I14/J14</f>
        <v>0.51021965748324649</v>
      </c>
      <c r="N14" s="3">
        <f>K14/J14</f>
        <v>0.12864854802680564</v>
      </c>
      <c r="P14" s="5"/>
      <c r="V14" s="2"/>
      <c r="W14" s="2"/>
      <c r="X14" s="2"/>
      <c r="Y14" s="2"/>
      <c r="Z14" s="2"/>
      <c r="AA14" s="3"/>
    </row>
    <row r="15" spans="1:27" ht="17" customHeight="1" x14ac:dyDescent="0.2">
      <c r="A15" t="s">
        <v>13</v>
      </c>
      <c r="B15" s="5">
        <f>D15/C15</f>
        <v>10.447358592355895</v>
      </c>
      <c r="C15">
        <v>0.96387999999999996</v>
      </c>
      <c r="D15">
        <v>10.07</v>
      </c>
      <c r="E15" s="2">
        <f>0.1219+3.6233</f>
        <v>3.7452000000000001</v>
      </c>
      <c r="F15" s="2">
        <f>8.4708+1.0071</f>
        <v>9.4779</v>
      </c>
      <c r="G15" s="2">
        <f>F15/E15</f>
        <v>2.5306792694649149</v>
      </c>
      <c r="H15" t="s">
        <v>25</v>
      </c>
      <c r="I15" s="2">
        <f>E15-F15+D15</f>
        <v>4.3373000000000008</v>
      </c>
      <c r="J15" s="2">
        <v>27.7088</v>
      </c>
      <c r="K15" s="2">
        <v>5.2575000000000003</v>
      </c>
      <c r="L15" s="6">
        <f>I15/K15</f>
        <v>0.82497384688540187</v>
      </c>
      <c r="M15" s="2">
        <f>I15/J15</f>
        <v>0.15653149901836241</v>
      </c>
      <c r="N15" s="3">
        <f>K15/J15</f>
        <v>0.18974116526157755</v>
      </c>
      <c r="P15" s="5"/>
    </row>
    <row r="16" spans="1:27" x14ac:dyDescent="0.2">
      <c r="A16" t="s">
        <v>10</v>
      </c>
      <c r="B16" s="5">
        <f>D16/C16</f>
        <v>4.0693877551020412</v>
      </c>
      <c r="C16">
        <v>2.4500000000000002</v>
      </c>
      <c r="D16">
        <v>9.9700000000000006</v>
      </c>
      <c r="E16" s="2">
        <f>0.425+6.69</f>
        <v>7.1150000000000002</v>
      </c>
      <c r="F16" s="2">
        <f>5.44+1.37+0.031+0.042</f>
        <v>6.883</v>
      </c>
      <c r="G16" s="2">
        <f>F16/E16</f>
        <v>0.96739283204497539</v>
      </c>
      <c r="H16" t="s">
        <v>22</v>
      </c>
      <c r="I16" s="2">
        <f>E16-F16+D16</f>
        <v>10.202000000000002</v>
      </c>
      <c r="J16" s="2">
        <v>29.45</v>
      </c>
      <c r="K16" s="2">
        <v>4.8639999999999999</v>
      </c>
      <c r="L16" s="6">
        <f>I16/K16</f>
        <v>2.0974506578947372</v>
      </c>
      <c r="M16" s="2">
        <f>I16/J16</f>
        <v>0.34641765704584049</v>
      </c>
      <c r="N16" s="3">
        <f>K16/J16</f>
        <v>0.16516129032258065</v>
      </c>
      <c r="P16" s="5"/>
    </row>
    <row r="17" spans="1:19" x14ac:dyDescent="0.2">
      <c r="A17" t="s">
        <v>11</v>
      </c>
      <c r="B17" s="5">
        <f>D17/C17</f>
        <v>6.1333333333333337</v>
      </c>
      <c r="C17">
        <v>1.2</v>
      </c>
      <c r="D17">
        <v>7.36</v>
      </c>
      <c r="E17" s="2">
        <f>2.47+8.91</f>
        <v>11.38</v>
      </c>
      <c r="F17" s="2">
        <f>1.59+6.68+0.659</f>
        <v>8.9290000000000003</v>
      </c>
      <c r="G17" s="2">
        <f>F17/E17</f>
        <v>0.78462214411247799</v>
      </c>
      <c r="H17" t="s">
        <v>22</v>
      </c>
      <c r="I17" s="2">
        <f>E17-F17+D17</f>
        <v>9.8109999999999999</v>
      </c>
      <c r="J17" s="2">
        <v>35.44</v>
      </c>
      <c r="K17" s="2">
        <v>4.9450000000000003</v>
      </c>
      <c r="L17" s="6">
        <f>I17/K17</f>
        <v>1.9840242669362991</v>
      </c>
      <c r="M17" s="2">
        <f>I17/J17</f>
        <v>0.27683408577878105</v>
      </c>
      <c r="N17" s="3">
        <f>K17/J17</f>
        <v>0.13953160270880363</v>
      </c>
      <c r="P17" s="5"/>
    </row>
    <row r="18" spans="1:19" x14ac:dyDescent="0.2">
      <c r="A18" t="s">
        <v>26</v>
      </c>
      <c r="B18" s="5">
        <f>D18/C18</f>
        <v>9.2584132785137818</v>
      </c>
      <c r="C18">
        <v>0.65669999999999995</v>
      </c>
      <c r="D18">
        <v>6.08</v>
      </c>
      <c r="E18" s="2">
        <f>3.63+29.27</f>
        <v>32.9</v>
      </c>
      <c r="F18" s="2">
        <f>7.58+0.91</f>
        <v>8.49</v>
      </c>
      <c r="G18" s="2">
        <f>F18/E18</f>
        <v>0.25805471124620061</v>
      </c>
      <c r="H18" t="s">
        <v>29</v>
      </c>
      <c r="I18" s="2">
        <f>E18-F18+D18</f>
        <v>30.489999999999995</v>
      </c>
      <c r="J18" s="2">
        <v>52.79</v>
      </c>
      <c r="K18" s="2">
        <v>3.8029999999999999</v>
      </c>
      <c r="L18" s="6">
        <f>I18/K18</f>
        <v>8.0173547199579271</v>
      </c>
      <c r="M18" s="2">
        <f>I18/J18</f>
        <v>0.57757150975563543</v>
      </c>
      <c r="N18" s="3">
        <f>K18/J18</f>
        <v>7.2040159121045652E-2</v>
      </c>
      <c r="P18" s="5"/>
    </row>
    <row r="19" spans="1:19" x14ac:dyDescent="0.2">
      <c r="A19" t="s">
        <v>8</v>
      </c>
      <c r="B19" s="5">
        <f>D19/C19</f>
        <v>5.2582658345505244</v>
      </c>
      <c r="C19">
        <v>0.75309999999999999</v>
      </c>
      <c r="D19">
        <v>3.96</v>
      </c>
      <c r="E19" s="2">
        <f>0.433+1.46</f>
        <v>1.893</v>
      </c>
      <c r="F19" s="2">
        <f>2.93+0.035</f>
        <v>2.9650000000000003</v>
      </c>
      <c r="G19" s="2">
        <f>F19/E19</f>
        <v>1.5662968832540942</v>
      </c>
      <c r="H19" t="s">
        <v>21</v>
      </c>
      <c r="I19" s="2">
        <f>E19-F19+D19</f>
        <v>2.8879999999999999</v>
      </c>
      <c r="J19" s="2">
        <v>8.17</v>
      </c>
      <c r="K19" s="2">
        <v>1.5509999999999999</v>
      </c>
      <c r="L19" s="6">
        <f>I19/K19</f>
        <v>1.8620245003223728</v>
      </c>
      <c r="M19" s="2">
        <f>I19/J19</f>
        <v>0.35348837209302325</v>
      </c>
      <c r="N19" s="3">
        <f>K19/J19</f>
        <v>0.18984088127294982</v>
      </c>
      <c r="O19">
        <v>2.5</v>
      </c>
      <c r="P19" s="5">
        <f>O19*K19</f>
        <v>3.8774999999999999</v>
      </c>
      <c r="Q19" s="4">
        <f>P19-(E19-F19)</f>
        <v>4.9495000000000005</v>
      </c>
      <c r="R19" s="5">
        <f>Q19/C19</f>
        <v>6.5721683707342988</v>
      </c>
      <c r="S19" s="3">
        <f>R19/B19-1</f>
        <v>0.24987373737373741</v>
      </c>
    </row>
    <row r="20" spans="1:19" x14ac:dyDescent="0.2">
      <c r="A20" t="s">
        <v>9</v>
      </c>
      <c r="B20" s="5">
        <f>D20/C20</f>
        <v>13.44186046511628</v>
      </c>
      <c r="C20">
        <v>0.215</v>
      </c>
      <c r="D20">
        <v>2.89</v>
      </c>
      <c r="E20" s="2">
        <f>0.1259+0.6033</f>
        <v>0.72919999999999996</v>
      </c>
      <c r="F20" s="2">
        <f>2.6227+0.002+0.014</f>
        <v>2.6386999999999996</v>
      </c>
      <c r="G20" s="2">
        <f>F20/E20</f>
        <v>3.6186231486560612</v>
      </c>
      <c r="H20" t="s">
        <v>21</v>
      </c>
      <c r="I20" s="2">
        <f>E20-F20+D20</f>
        <v>0.98050000000000059</v>
      </c>
      <c r="J20" s="2">
        <v>5.0335000000000001</v>
      </c>
      <c r="K20" s="2">
        <v>0.96750000000000003</v>
      </c>
      <c r="L20" s="6">
        <f>I20/K20</f>
        <v>1.0134366925064606</v>
      </c>
      <c r="M20" s="2">
        <f>I20/J20</f>
        <v>0.19479487434190931</v>
      </c>
      <c r="N20" s="3">
        <f>K20/J20</f>
        <v>0.1922121784046886</v>
      </c>
      <c r="P20" s="5"/>
    </row>
    <row r="21" spans="1:19" x14ac:dyDescent="0.2">
      <c r="A21" t="s">
        <v>14</v>
      </c>
      <c r="B21" s="5">
        <f>D21/C21</f>
        <v>0.81749049429657794</v>
      </c>
      <c r="C21">
        <v>2.63</v>
      </c>
      <c r="D21">
        <v>2.15</v>
      </c>
      <c r="E21" s="2">
        <f>1.14+4.06</f>
        <v>5.1999999999999993</v>
      </c>
      <c r="F21" s="2">
        <f>6.14+1.25+0.057+0.148</f>
        <v>7.5949999999999998</v>
      </c>
      <c r="G21" s="2">
        <f>F21/E21</f>
        <v>1.4605769230769232</v>
      </c>
      <c r="H21" t="s">
        <v>22</v>
      </c>
      <c r="I21" s="2">
        <f>E21-F21+D21</f>
        <v>-0.24500000000000055</v>
      </c>
      <c r="J21" s="2">
        <v>30.02</v>
      </c>
      <c r="K21" s="2">
        <v>3.125</v>
      </c>
      <c r="L21" s="6">
        <f>I21/K21</f>
        <v>-7.8400000000000178E-2</v>
      </c>
      <c r="M21" s="2">
        <f>I21/J21</f>
        <v>-8.1612258494337293E-3</v>
      </c>
      <c r="N21" s="3">
        <f>K21/J21</f>
        <v>0.10409726848767488</v>
      </c>
      <c r="P21" s="5"/>
    </row>
    <row r="22" spans="1:19" x14ac:dyDescent="0.2">
      <c r="A22" t="s">
        <v>12</v>
      </c>
      <c r="B22" s="5">
        <f>D22/C22</f>
        <v>4.6922239690409961</v>
      </c>
      <c r="C22">
        <v>0.41344999999999998</v>
      </c>
      <c r="D22">
        <v>1.94</v>
      </c>
      <c r="E22" s="2">
        <f>0.5927+0.4217</f>
        <v>1.0144</v>
      </c>
      <c r="F22" s="2">
        <f>0.2784+0.7511+0.0554+0.0039</f>
        <v>1.0888</v>
      </c>
      <c r="G22" s="2">
        <f>F22/E22</f>
        <v>1.0733438485804416</v>
      </c>
      <c r="H22" t="s">
        <v>22</v>
      </c>
      <c r="I22" s="2">
        <f>E22-F22+D22</f>
        <v>1.8655999999999999</v>
      </c>
      <c r="J22" s="2">
        <v>5.07</v>
      </c>
      <c r="K22" s="2">
        <v>0.67679999999999996</v>
      </c>
      <c r="L22" s="6">
        <f>I22/K22</f>
        <v>2.7565011820330971</v>
      </c>
      <c r="M22" s="2">
        <f>I22/J22</f>
        <v>0.36796844181459565</v>
      </c>
      <c r="N22" s="3">
        <f>K22/J22</f>
        <v>0.133491124260355</v>
      </c>
      <c r="P22" s="5"/>
    </row>
  </sheetData>
  <sortState xmlns:xlrd2="http://schemas.microsoft.com/office/spreadsheetml/2017/richdata2" ref="A2:S22">
    <sortCondition descending="1" ref="D1:D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79A9-DF68-D648-B766-7B5D8A46E32B}">
  <dimension ref="A1:N10"/>
  <sheetViews>
    <sheetView workbookViewId="0">
      <selection activeCell="R5" sqref="R5"/>
    </sheetView>
  </sheetViews>
  <sheetFormatPr baseColWidth="10" defaultRowHeight="16" x14ac:dyDescent="0.2"/>
  <cols>
    <col min="1" max="1" width="16" bestFit="1" customWidth="1"/>
    <col min="3" max="3" width="17.5" bestFit="1" customWidth="1"/>
    <col min="4" max="4" width="11" bestFit="1" customWidth="1"/>
    <col min="5" max="5" width="6.1640625" bestFit="1" customWidth="1"/>
    <col min="6" max="6" width="7.1640625" bestFit="1" customWidth="1"/>
    <col min="7" max="7" width="14.83203125" bestFit="1" customWidth="1"/>
    <col min="8" max="8" width="8.6640625" bestFit="1" customWidth="1"/>
    <col min="9" max="9" width="15" bestFit="1" customWidth="1"/>
    <col min="10" max="10" width="8.1640625" bestFit="1" customWidth="1"/>
    <col min="11" max="11" width="5.83203125" bestFit="1" customWidth="1"/>
    <col min="12" max="12" width="8.6640625" bestFit="1" customWidth="1"/>
    <col min="13" max="13" width="11" bestFit="1" customWidth="1"/>
    <col min="14" max="14" width="13.5" bestFit="1" customWidth="1"/>
  </cols>
  <sheetData>
    <row r="1" spans="1:14" x14ac:dyDescent="0.2">
      <c r="A1" s="1" t="s">
        <v>0</v>
      </c>
      <c r="B1" s="1" t="s">
        <v>15</v>
      </c>
      <c r="C1" s="1" t="s">
        <v>1</v>
      </c>
      <c r="D1" s="1" t="s">
        <v>16</v>
      </c>
      <c r="E1" s="1" t="s">
        <v>2</v>
      </c>
      <c r="F1" s="1" t="s">
        <v>4</v>
      </c>
      <c r="G1" s="1" t="s">
        <v>31</v>
      </c>
      <c r="H1" s="1" t="s">
        <v>20</v>
      </c>
      <c r="I1" s="1" t="s">
        <v>17</v>
      </c>
      <c r="J1" s="1" t="s">
        <v>18</v>
      </c>
      <c r="K1" s="1" t="s">
        <v>19</v>
      </c>
      <c r="L1" s="1" t="s">
        <v>3</v>
      </c>
      <c r="M1" s="1" t="s">
        <v>5</v>
      </c>
      <c r="N1" s="1" t="s">
        <v>6</v>
      </c>
    </row>
    <row r="2" spans="1:14" x14ac:dyDescent="0.2">
      <c r="A2" t="s">
        <v>27</v>
      </c>
      <c r="B2" s="5">
        <f>D2/C2</f>
        <v>37.324532862322208</v>
      </c>
      <c r="C2">
        <v>0.64541999999999999</v>
      </c>
      <c r="D2">
        <v>24.09</v>
      </c>
      <c r="E2">
        <f>2.98+17.07</f>
        <v>20.05</v>
      </c>
      <c r="F2">
        <f>3.87</f>
        <v>3.87</v>
      </c>
      <c r="G2" s="2">
        <f>F2/E2</f>
        <v>0.19301745635910225</v>
      </c>
      <c r="H2" t="s">
        <v>29</v>
      </c>
      <c r="I2" s="2">
        <f>E2-F2+D2</f>
        <v>40.269999999999996</v>
      </c>
      <c r="J2" s="2">
        <v>58.05</v>
      </c>
      <c r="K2" s="2">
        <v>6.4640000000000004</v>
      </c>
      <c r="L2" s="2">
        <f>I2/K2</f>
        <v>6.2298886138613847</v>
      </c>
      <c r="M2" s="2">
        <f>I2/J2</f>
        <v>0.69371231696813085</v>
      </c>
      <c r="N2" s="3">
        <f>K2/J2</f>
        <v>0.11135228251507323</v>
      </c>
    </row>
    <row r="3" spans="1:14" x14ac:dyDescent="0.2">
      <c r="A3" t="s">
        <v>28</v>
      </c>
      <c r="B3" s="5">
        <f>D3/C3</f>
        <v>38.773834504151083</v>
      </c>
      <c r="C3">
        <v>0.32883000000000001</v>
      </c>
      <c r="D3">
        <v>12.75</v>
      </c>
      <c r="E3">
        <f>4.02+25.06</f>
        <v>29.08</v>
      </c>
      <c r="F3">
        <f>14.39+0.031</f>
        <v>14.421000000000001</v>
      </c>
      <c r="G3" s="2">
        <f t="shared" ref="G3:G5" si="0">F3/E3</f>
        <v>0.49590784044016512</v>
      </c>
      <c r="H3" t="s">
        <v>29</v>
      </c>
      <c r="I3" s="2">
        <f>E3-F3+D3</f>
        <v>27.408999999999999</v>
      </c>
      <c r="J3" s="2">
        <v>53.72</v>
      </c>
      <c r="K3" s="2">
        <v>6.9109999999999996</v>
      </c>
      <c r="L3" s="2">
        <f>I3/K3</f>
        <v>3.965996237881638</v>
      </c>
      <c r="M3" s="2">
        <f>I3/J3</f>
        <v>0.51021965748324649</v>
      </c>
      <c r="N3" s="3">
        <f>K3/J3</f>
        <v>0.12864854802680564</v>
      </c>
    </row>
    <row r="4" spans="1:14" x14ac:dyDescent="0.2">
      <c r="A4" t="s">
        <v>26</v>
      </c>
      <c r="B4" s="5">
        <f>D4/C4</f>
        <v>9.2584132785137818</v>
      </c>
      <c r="C4">
        <v>0.65669999999999995</v>
      </c>
      <c r="D4">
        <v>6.08</v>
      </c>
      <c r="E4">
        <f>3.63+29.27</f>
        <v>32.9</v>
      </c>
      <c r="F4">
        <f>7.58+0.91</f>
        <v>8.49</v>
      </c>
      <c r="G4" s="2">
        <f t="shared" si="0"/>
        <v>0.25805471124620061</v>
      </c>
      <c r="H4" t="s">
        <v>29</v>
      </c>
      <c r="I4" s="2">
        <f>E4-F4+D4</f>
        <v>30.489999999999995</v>
      </c>
      <c r="J4" s="2">
        <v>52.79</v>
      </c>
      <c r="K4" s="2">
        <v>3.8029999999999999</v>
      </c>
      <c r="L4" s="2">
        <f>I4/K4</f>
        <v>8.0173547199579271</v>
      </c>
      <c r="M4" s="2">
        <f>I4/J4</f>
        <v>0.57757150975563543</v>
      </c>
      <c r="N4" s="3">
        <f>K4/J4</f>
        <v>7.2040159121045652E-2</v>
      </c>
    </row>
    <row r="5" spans="1:14" x14ac:dyDescent="0.2">
      <c r="A5" t="s">
        <v>30</v>
      </c>
      <c r="B5" s="5">
        <f>D5/C5</f>
        <v>24.317377662060217</v>
      </c>
      <c r="C5">
        <v>0.59916000000000003</v>
      </c>
      <c r="D5">
        <v>14.57</v>
      </c>
      <c r="E5">
        <v>7.9</v>
      </c>
      <c r="F5">
        <f>11.47+0.102</f>
        <v>11.572000000000001</v>
      </c>
      <c r="G5" s="2">
        <f t="shared" si="0"/>
        <v>1.4648101265822786</v>
      </c>
      <c r="H5" t="s">
        <v>29</v>
      </c>
      <c r="I5" s="2">
        <f>E5-F5+D5</f>
        <v>10.898</v>
      </c>
      <c r="J5" s="2">
        <v>26.09</v>
      </c>
      <c r="K5" s="2">
        <v>3.1640000000000001</v>
      </c>
      <c r="L5" s="2">
        <f>I5/K5</f>
        <v>3.4443742098609351</v>
      </c>
      <c r="M5" s="2">
        <f>I5/J5</f>
        <v>0.41770793407435797</v>
      </c>
      <c r="N5" s="3">
        <f>K5/J5</f>
        <v>0.12127251820620928</v>
      </c>
    </row>
    <row r="6" spans="1:14" x14ac:dyDescent="0.2">
      <c r="G6" s="2"/>
    </row>
    <row r="7" spans="1:14" x14ac:dyDescent="0.2">
      <c r="G7" s="2"/>
    </row>
    <row r="8" spans="1:14" x14ac:dyDescent="0.2">
      <c r="G8" s="2"/>
    </row>
    <row r="9" spans="1:14" x14ac:dyDescent="0.2">
      <c r="G9" s="2"/>
    </row>
    <row r="10" spans="1:14" x14ac:dyDescent="0.2"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 Overview</vt:lpstr>
      <vt:lpstr>E.U. Airlines</vt:lpstr>
      <vt:lpstr>Sorted</vt:lpstr>
      <vt:lpstr>U.S. 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Janc, Maja</dc:creator>
  <cp:lastModifiedBy>Janc, Maja</cp:lastModifiedBy>
  <dcterms:created xsi:type="dcterms:W3CDTF">2024-08-07T18:47:48Z</dcterms:created>
  <dcterms:modified xsi:type="dcterms:W3CDTF">2024-08-16T19:51:54Z</dcterms:modified>
</cp:coreProperties>
</file>