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4E8424EF-E88E-3E42-92E6-CDC9E9F53C65}" xr6:coauthVersionLast="47" xr6:coauthVersionMax="47" xr10:uidLastSave="{00000000-0000-0000-0000-000000000000}"/>
  <bookViews>
    <workbookView xWindow="760" yWindow="500" windowWidth="28040" windowHeight="16280" activeTab="3" xr2:uid="{EF254600-6A46-444C-AD1B-CE8A4614ECB8}"/>
  </bookViews>
  <sheets>
    <sheet name="Beer Companies" sheetId="2" r:id="rId1"/>
    <sheet name="Non-Alcoholic" sheetId="3" r:id="rId2"/>
    <sheet name="CELH" sheetId="4" r:id="rId3"/>
    <sheet name="SAM Case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1" i="4"/>
  <c r="B7" i="1"/>
  <c r="B8" i="1" s="1"/>
  <c r="B10" i="1" s="1"/>
  <c r="B10" i="4"/>
  <c r="B17" i="4"/>
  <c r="B16" i="4"/>
  <c r="B15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B2" i="4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X4" i="4" s="1"/>
  <c r="E1" i="4"/>
  <c r="G1" i="4"/>
  <c r="I1" i="4"/>
  <c r="K1" i="4"/>
  <c r="M1" i="4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C1" i="4"/>
  <c r="AD4" i="3"/>
  <c r="AE4" i="3"/>
  <c r="AC4" i="3"/>
  <c r="N4" i="3"/>
  <c r="AF4" i="3"/>
  <c r="Z4" i="3"/>
  <c r="Y4" i="3"/>
  <c r="M4" i="3"/>
  <c r="L4" i="3"/>
  <c r="K4" i="3"/>
  <c r="J4" i="3"/>
  <c r="U4" i="3"/>
  <c r="G4" i="3"/>
  <c r="F4" i="3"/>
  <c r="AD3" i="3"/>
  <c r="AE3" i="3"/>
  <c r="AC3" i="3"/>
  <c r="N3" i="3"/>
  <c r="Z3" i="3"/>
  <c r="Y3" i="3"/>
  <c r="AA3" i="3" s="1"/>
  <c r="M3" i="3"/>
  <c r="W3" i="3" s="1"/>
  <c r="L3" i="3"/>
  <c r="AF3" i="3" s="1"/>
  <c r="K3" i="3"/>
  <c r="J3" i="3"/>
  <c r="X3" i="3"/>
  <c r="G3" i="3"/>
  <c r="I3" i="3" s="1"/>
  <c r="F3" i="3"/>
  <c r="E3" i="3"/>
  <c r="E4" i="3"/>
  <c r="E5" i="3"/>
  <c r="AD2" i="3"/>
  <c r="AE2" i="3"/>
  <c r="AC2" i="3"/>
  <c r="N2" i="3"/>
  <c r="AG2" i="3"/>
  <c r="AK2" i="3" s="1"/>
  <c r="Z2" i="3"/>
  <c r="Y2" i="3"/>
  <c r="AG4" i="3"/>
  <c r="AA2" i="3"/>
  <c r="AB2" i="3" s="1"/>
  <c r="AA4" i="3"/>
  <c r="X2" i="3"/>
  <c r="X4" i="3"/>
  <c r="S2" i="3"/>
  <c r="T2" i="3"/>
  <c r="U2" i="3"/>
  <c r="V2" i="3"/>
  <c r="W2" i="3"/>
  <c r="U3" i="3"/>
  <c r="V3" i="3"/>
  <c r="T4" i="3"/>
  <c r="W4" i="3"/>
  <c r="I4" i="3"/>
  <c r="I5" i="3"/>
  <c r="AK5" i="3" s="1"/>
  <c r="H4" i="3"/>
  <c r="H5" i="3"/>
  <c r="R2" i="3"/>
  <c r="Q2" i="3"/>
  <c r="P2" i="3"/>
  <c r="O2" i="3"/>
  <c r="M2" i="3"/>
  <c r="L2" i="3"/>
  <c r="K2" i="3"/>
  <c r="J2" i="3"/>
  <c r="H2" i="3"/>
  <c r="G2" i="3"/>
  <c r="I2" i="3" s="1"/>
  <c r="F2" i="3"/>
  <c r="E2" i="3"/>
  <c r="AI5" i="3"/>
  <c r="AH5" i="3"/>
  <c r="AG5" i="3"/>
  <c r="AF5" i="3"/>
  <c r="AD5" i="3"/>
  <c r="AE5" i="3"/>
  <c r="AC5" i="3"/>
  <c r="AA5" i="3"/>
  <c r="Z5" i="3"/>
  <c r="Y5" i="3"/>
  <c r="V5" i="3"/>
  <c r="W5" i="3"/>
  <c r="X5" i="3"/>
  <c r="U5" i="3"/>
  <c r="N5" i="3"/>
  <c r="S5" i="3" s="1"/>
  <c r="T5" i="3"/>
  <c r="P5" i="3"/>
  <c r="R5" i="3"/>
  <c r="O5" i="3"/>
  <c r="J5" i="3"/>
  <c r="M5" i="3"/>
  <c r="L5" i="3"/>
  <c r="K5" i="3"/>
  <c r="U2" i="2"/>
  <c r="Z5" i="2"/>
  <c r="Z4" i="2"/>
  <c r="Z3" i="2"/>
  <c r="Z2" i="2"/>
  <c r="AG3" i="2"/>
  <c r="AG4" i="2"/>
  <c r="AG5" i="2"/>
  <c r="AG2" i="2"/>
  <c r="AB5" i="3" l="1"/>
  <c r="Q5" i="3"/>
  <c r="F4" i="4"/>
  <c r="D4" i="4"/>
  <c r="Q4" i="4"/>
  <c r="E4" i="4"/>
  <c r="B4" i="4"/>
  <c r="P4" i="4"/>
  <c r="L4" i="4"/>
  <c r="W4" i="4"/>
  <c r="S4" i="4"/>
  <c r="O4" i="4"/>
  <c r="K4" i="4"/>
  <c r="G4" i="4"/>
  <c r="C4" i="4"/>
  <c r="U4" i="4"/>
  <c r="M4" i="4"/>
  <c r="I4" i="4"/>
  <c r="T4" i="4"/>
  <c r="H4" i="4"/>
  <c r="V4" i="4"/>
  <c r="R4" i="4"/>
  <c r="N4" i="4"/>
  <c r="J4" i="4"/>
  <c r="AH4" i="3"/>
  <c r="Q4" i="3"/>
  <c r="V4" i="3"/>
  <c r="P4" i="3"/>
  <c r="O4" i="3"/>
  <c r="AB4" i="3"/>
  <c r="R4" i="3"/>
  <c r="S4" i="3"/>
  <c r="R3" i="3"/>
  <c r="T3" i="3"/>
  <c r="H3" i="3"/>
  <c r="Q3" i="3"/>
  <c r="O3" i="3"/>
  <c r="S3" i="3"/>
  <c r="P3" i="3"/>
  <c r="AB3" i="3"/>
  <c r="AF2" i="3"/>
  <c r="AJ2" i="3" s="1"/>
  <c r="AJ4" i="3"/>
  <c r="AI2" i="3"/>
  <c r="AK4" i="3"/>
  <c r="AI4" i="3"/>
  <c r="AJ3" i="3"/>
  <c r="AH3" i="3"/>
  <c r="AG3" i="3"/>
  <c r="AJ5" i="3"/>
  <c r="AE5" i="2"/>
  <c r="AD5" i="2"/>
  <c r="AC5" i="2"/>
  <c r="Y5" i="2"/>
  <c r="N5" i="2"/>
  <c r="X5" i="2" s="1"/>
  <c r="M5" i="2"/>
  <c r="T5" i="2" s="1"/>
  <c r="L5" i="2"/>
  <c r="K5" i="2"/>
  <c r="J5" i="2"/>
  <c r="G5" i="2"/>
  <c r="F5" i="2"/>
  <c r="AE4" i="2"/>
  <c r="AD4" i="2"/>
  <c r="AC4" i="2"/>
  <c r="Y4" i="2"/>
  <c r="N4" i="2"/>
  <c r="M4" i="2"/>
  <c r="L4" i="2"/>
  <c r="K4" i="2"/>
  <c r="J4" i="2"/>
  <c r="G4" i="2"/>
  <c r="F4" i="2"/>
  <c r="AE2" i="2"/>
  <c r="AD2" i="2"/>
  <c r="AC2" i="2"/>
  <c r="Y2" i="2"/>
  <c r="N2" i="2"/>
  <c r="M2" i="2"/>
  <c r="T2" i="2" s="1"/>
  <c r="L2" i="2"/>
  <c r="K2" i="2"/>
  <c r="J2" i="2"/>
  <c r="F2" i="2"/>
  <c r="H2" i="2" s="1"/>
  <c r="E2" i="2"/>
  <c r="E4" i="2"/>
  <c r="E5" i="2"/>
  <c r="Y3" i="2"/>
  <c r="N3" i="2"/>
  <c r="M3" i="2"/>
  <c r="T3" i="2" s="1"/>
  <c r="L3" i="2"/>
  <c r="AF3" i="2" s="1"/>
  <c r="K3" i="2"/>
  <c r="J3" i="2"/>
  <c r="G3" i="2"/>
  <c r="F3" i="2"/>
  <c r="E3" i="2"/>
  <c r="B20" i="4" l="1"/>
  <c r="B23" i="4"/>
  <c r="B25" i="4" s="1"/>
  <c r="AH2" i="3"/>
  <c r="AK3" i="3"/>
  <c r="AI3" i="3"/>
  <c r="W4" i="2"/>
  <c r="T4" i="2"/>
  <c r="AA4" i="2"/>
  <c r="AI4" i="2" s="1"/>
  <c r="I4" i="2"/>
  <c r="I5" i="2"/>
  <c r="X4" i="2"/>
  <c r="AA5" i="2"/>
  <c r="AI5" i="2" s="1"/>
  <c r="AF2" i="2"/>
  <c r="AF4" i="2"/>
  <c r="U4" i="2"/>
  <c r="H5" i="2"/>
  <c r="V4" i="2"/>
  <c r="W5" i="2"/>
  <c r="AA2" i="2"/>
  <c r="AI2" i="2" s="1"/>
  <c r="U5" i="2"/>
  <c r="AF5" i="2"/>
  <c r="AJ5" i="2" s="1"/>
  <c r="V5" i="2"/>
  <c r="R5" i="2"/>
  <c r="H4" i="2"/>
  <c r="R4" i="2"/>
  <c r="W3" i="2"/>
  <c r="O4" i="2"/>
  <c r="AA3" i="2"/>
  <c r="AH3" i="2" s="1"/>
  <c r="X2" i="2"/>
  <c r="V2" i="2"/>
  <c r="I2" i="2"/>
  <c r="U3" i="2"/>
  <c r="H3" i="2"/>
  <c r="W2" i="2"/>
  <c r="I3" i="2"/>
  <c r="V3" i="2"/>
  <c r="X3" i="2"/>
  <c r="AB3" i="2" l="1"/>
  <c r="AB2" i="2"/>
  <c r="O5" i="2"/>
  <c r="AB5" i="2"/>
  <c r="Q5" i="2"/>
  <c r="AK4" i="2"/>
  <c r="AB4" i="2"/>
  <c r="P4" i="2"/>
  <c r="Q4" i="2"/>
  <c r="AJ4" i="2"/>
  <c r="S4" i="2"/>
  <c r="S5" i="2"/>
  <c r="P5" i="2"/>
  <c r="AH4" i="2"/>
  <c r="S3" i="2"/>
  <c r="P3" i="2"/>
  <c r="Q3" i="2"/>
  <c r="R3" i="2"/>
  <c r="S2" i="2"/>
  <c r="P2" i="2"/>
  <c r="Q2" i="2"/>
  <c r="R2" i="2"/>
  <c r="AH2" i="2"/>
  <c r="AH5" i="2"/>
  <c r="AK5" i="2"/>
  <c r="AI3" i="2"/>
  <c r="AK3" i="2"/>
  <c r="AJ3" i="2"/>
  <c r="O3" i="2"/>
  <c r="AK2" i="2"/>
  <c r="O2" i="2"/>
  <c r="AJ2" i="2"/>
</calcChain>
</file>

<file path=xl/sharedStrings.xml><?xml version="1.0" encoding="utf-8"?>
<sst xmlns="http://schemas.openxmlformats.org/spreadsheetml/2006/main" count="118" uniqueCount="72">
  <si>
    <t>Company</t>
  </si>
  <si>
    <t>Boston Beer Company</t>
  </si>
  <si>
    <t xml:space="preserve">Terminal Growth </t>
  </si>
  <si>
    <t>Discount Rate</t>
  </si>
  <si>
    <t>Terminal Value</t>
  </si>
  <si>
    <t>Free Cash ($Billions)</t>
  </si>
  <si>
    <t xml:space="preserve">Ticker </t>
  </si>
  <si>
    <t>Market Cap</t>
  </si>
  <si>
    <t xml:space="preserve">Shares Outstanding </t>
  </si>
  <si>
    <t>Share Price</t>
  </si>
  <si>
    <t xml:space="preserve">Cash </t>
  </si>
  <si>
    <t>Debt</t>
  </si>
  <si>
    <t>C/D Ratio</t>
  </si>
  <si>
    <t>NWC</t>
  </si>
  <si>
    <t>Invested Capital</t>
  </si>
  <si>
    <t>Adj. OI</t>
  </si>
  <si>
    <t>Adj. OFCF</t>
  </si>
  <si>
    <t>Adj. OI/IC</t>
  </si>
  <si>
    <t>Adj. OFCF/IC</t>
  </si>
  <si>
    <t xml:space="preserve">Boston Beer </t>
  </si>
  <si>
    <t>SAM</t>
  </si>
  <si>
    <t>Anheuser-Busch Inbev</t>
  </si>
  <si>
    <t>BUD</t>
  </si>
  <si>
    <t>Molson Coors</t>
  </si>
  <si>
    <t>TAP</t>
  </si>
  <si>
    <t>Constellation Brands</t>
  </si>
  <si>
    <t>STZ</t>
  </si>
  <si>
    <t>Revenue TTM</t>
  </si>
  <si>
    <t>Gross Profit TTM</t>
  </si>
  <si>
    <t>Operating Income TTM</t>
  </si>
  <si>
    <t>Net Income TTM</t>
  </si>
  <si>
    <t>OFCF TTM</t>
  </si>
  <si>
    <t>GM TTM</t>
  </si>
  <si>
    <t>OM TTM</t>
  </si>
  <si>
    <t>NM TTM</t>
  </si>
  <si>
    <t>OFCF Margin TTM</t>
  </si>
  <si>
    <t>D&amp;A TTM</t>
  </si>
  <si>
    <t>CapEx TTM</t>
  </si>
  <si>
    <t>Change in NWC TTM</t>
  </si>
  <si>
    <t xml:space="preserve">Operating Assets (Net PPE + IP) </t>
  </si>
  <si>
    <t>Enterprise Value</t>
  </si>
  <si>
    <t>EV/R</t>
  </si>
  <si>
    <t>EV/GP</t>
  </si>
  <si>
    <t>EV/OI</t>
  </si>
  <si>
    <t>EV/NI</t>
  </si>
  <si>
    <t>EV/OFCF</t>
  </si>
  <si>
    <t>EV/Adj. OI</t>
  </si>
  <si>
    <t>EV/Adj. OFCF</t>
  </si>
  <si>
    <t>P/E TTM</t>
  </si>
  <si>
    <t>EV/IC</t>
  </si>
  <si>
    <t>MNST</t>
  </si>
  <si>
    <t>KO</t>
  </si>
  <si>
    <t>PEP</t>
  </si>
  <si>
    <t>CELH</t>
  </si>
  <si>
    <t>Celsius Holdings</t>
  </si>
  <si>
    <t>Monster Beverage</t>
  </si>
  <si>
    <t>Coca-Cola</t>
  </si>
  <si>
    <t>PepsiCo</t>
  </si>
  <si>
    <t>Year</t>
  </si>
  <si>
    <t>Free Cash Flow</t>
  </si>
  <si>
    <t>Periods</t>
  </si>
  <si>
    <t>Discounted Cash Flow</t>
  </si>
  <si>
    <t>Growth 1</t>
  </si>
  <si>
    <t>Growth 2</t>
  </si>
  <si>
    <t>rf</t>
  </si>
  <si>
    <t>mp</t>
  </si>
  <si>
    <t>Company Risk</t>
  </si>
  <si>
    <t>Discount Rate 1</t>
  </si>
  <si>
    <t>Discount Rate 2</t>
  </si>
  <si>
    <t>Terminal Rate</t>
  </si>
  <si>
    <t>NPV</t>
  </si>
  <si>
    <t>Potential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</si>
</sst>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HK$&quot;* #,##0.00_);_(&quot;HK$&quot;* \(#,##0.00\);_(&quot;HK$&quot;* &quot;-&quot;??_);_(@_)"/>
    <numFmt numFmtId="164" formatCode="_([$$-409]* #,##0.00_);_([$$-409]* \(#,##0.00\);_([$$-409]* &quot;-&quot;??_);_(@_)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2" fillId="0" borderId="0" xfId="0" applyFont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4" fontId="2" fillId="0" borderId="0" xfId="0" applyNumberFormat="1" applyFont="1"/>
    <xf numFmtId="165" fontId="2" fillId="2" borderId="0" xfId="0" applyNumberFormat="1" applyFont="1" applyFill="1"/>
    <xf numFmtId="164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5380-D22C-1D43-A83F-ECC209C5A76F}">
  <dimension ref="A1:AL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16" sqref="AI16"/>
    </sheetView>
  </sheetViews>
  <sheetFormatPr baseColWidth="10" defaultRowHeight="16" x14ac:dyDescent="0.2"/>
  <cols>
    <col min="2" max="2" width="21.5" customWidth="1"/>
    <col min="4" max="4" width="17.6640625" customWidth="1"/>
    <col min="9" max="9" width="14.1640625" customWidth="1"/>
    <col min="10" max="10" width="12" customWidth="1"/>
    <col min="11" max="11" width="11.83203125" customWidth="1"/>
    <col min="12" max="12" width="20.33203125" customWidth="1"/>
    <col min="13" max="13" width="14.6640625" customWidth="1"/>
    <col min="24" max="24" width="16.33203125" customWidth="1"/>
    <col min="25" max="25" width="24.33203125" customWidth="1"/>
    <col min="27" max="28" width="14.5" customWidth="1"/>
    <col min="31" max="31" width="17.83203125" customWidth="1"/>
    <col min="35" max="35" width="11.6640625" customWidth="1"/>
    <col min="37" max="37" width="13" customWidth="1"/>
  </cols>
  <sheetData>
    <row r="1" spans="1:38" x14ac:dyDescent="0.2">
      <c r="A1" s="2" t="s">
        <v>6</v>
      </c>
      <c r="B1" s="2" t="s">
        <v>0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40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48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39</v>
      </c>
      <c r="Z1" s="2" t="s">
        <v>13</v>
      </c>
      <c r="AA1" s="2" t="s">
        <v>14</v>
      </c>
      <c r="AB1" s="2" t="s">
        <v>49</v>
      </c>
      <c r="AC1" s="2" t="s">
        <v>36</v>
      </c>
      <c r="AD1" s="2" t="s">
        <v>37</v>
      </c>
      <c r="AE1" s="2" t="s">
        <v>38</v>
      </c>
      <c r="AF1" s="2" t="s">
        <v>15</v>
      </c>
      <c r="AG1" s="2" t="s">
        <v>16</v>
      </c>
      <c r="AH1" s="2" t="s">
        <v>17</v>
      </c>
      <c r="AI1" s="2" t="s">
        <v>18</v>
      </c>
      <c r="AJ1" s="2" t="s">
        <v>46</v>
      </c>
      <c r="AK1" s="2" t="s">
        <v>47</v>
      </c>
      <c r="AL1" s="2"/>
    </row>
    <row r="2" spans="1:38" x14ac:dyDescent="0.2">
      <c r="A2" t="s">
        <v>20</v>
      </c>
      <c r="B2" t="s">
        <v>19</v>
      </c>
      <c r="C2" s="5">
        <v>3.18</v>
      </c>
      <c r="D2">
        <v>1.172E-2</v>
      </c>
      <c r="E2" s="5">
        <f>C2/D2</f>
        <v>271.33105802047783</v>
      </c>
      <c r="F2" s="5">
        <f>0.2193</f>
        <v>0.21929999999999999</v>
      </c>
      <c r="G2" s="5">
        <v>3.2980000000000002E-2</v>
      </c>
      <c r="H2" s="4">
        <f>F2/G2</f>
        <v>6.6494845360824737</v>
      </c>
      <c r="I2" s="5">
        <f>G2-F2+C2</f>
        <v>2.9936800000000003</v>
      </c>
      <c r="J2" s="5">
        <f>0.5791+0.42605+0.39372+0.6016</f>
        <v>2.00047</v>
      </c>
      <c r="K2" s="5">
        <f>0.26664+0.18635+0.1479+0.27465</f>
        <v>0.87553999999999998</v>
      </c>
      <c r="L2" s="5">
        <f>0.07421+0.01569+0.04371+0.07983</f>
        <v>0.21344000000000002</v>
      </c>
      <c r="M2" s="5">
        <f>0.05234+0.0126-0.01812+0.0453</f>
        <v>9.2120000000000007E-2</v>
      </c>
      <c r="N2" s="5">
        <f>0.096-0.00488+0.3275+0.13126</f>
        <v>0.54987999999999992</v>
      </c>
      <c r="O2" s="4">
        <f>$I2/J2</f>
        <v>1.4964883252435679</v>
      </c>
      <c r="P2" s="4">
        <f t="shared" ref="P2:S5" si="0">$I2/K2</f>
        <v>3.4192384128652038</v>
      </c>
      <c r="Q2" s="4">
        <f t="shared" si="0"/>
        <v>14.025862068965518</v>
      </c>
      <c r="R2" s="4">
        <f t="shared" si="0"/>
        <v>32.497611810681718</v>
      </c>
      <c r="S2" s="4">
        <f t="shared" si="0"/>
        <v>5.4442423801556714</v>
      </c>
      <c r="T2" s="4">
        <f>C2/M2</f>
        <v>34.52019105514546</v>
      </c>
      <c r="U2" s="3">
        <f>K2/$J2</f>
        <v>0.43766714822016828</v>
      </c>
      <c r="V2" s="3">
        <f>L2/$J2</f>
        <v>0.10669492669222734</v>
      </c>
      <c r="W2" s="3">
        <f t="shared" ref="W2" si="1">M2/$J2</f>
        <v>4.6049178443065886E-2</v>
      </c>
      <c r="X2" s="3">
        <f t="shared" ref="X2" si="2">N2/$J2</f>
        <v>0.27487540427999418</v>
      </c>
      <c r="Y2" s="6">
        <f>0.65857+0.17205</f>
        <v>0.83062000000000002</v>
      </c>
      <c r="Z2" s="5">
        <f>0.52625-0.2193-0.26995</f>
        <v>3.6999999999999977E-2</v>
      </c>
      <c r="AA2" s="5">
        <f>SUM(Y2:Z2)</f>
        <v>0.86762000000000006</v>
      </c>
      <c r="AB2" s="4">
        <f>I2/AA2</f>
        <v>3.4504506581222194</v>
      </c>
      <c r="AC2" s="5">
        <f>0.02358+0.0234+0.02154+0.023</f>
        <v>9.151999999999999E-2</v>
      </c>
      <c r="AD2" s="5">
        <f>-0.02035-0.01571-0.01531-0.01246</f>
        <v>-6.3829999999999998E-2</v>
      </c>
      <c r="AE2" s="5">
        <f>0.01072-0.05033+0.02164+0.04751</f>
        <v>2.9539999999999997E-2</v>
      </c>
      <c r="AF2" s="5">
        <f>L2+SUM(AC2:AE2)</f>
        <v>0.27067000000000002</v>
      </c>
      <c r="AG2" s="5">
        <f>N2+SUM(AC2:AE2)</f>
        <v>0.60710999999999993</v>
      </c>
      <c r="AH2" s="3">
        <f>AF2/$AA2</f>
        <v>0.31196837325096238</v>
      </c>
      <c r="AI2" s="3">
        <f>AG2/$AA2</f>
        <v>0.6997418224568358</v>
      </c>
      <c r="AJ2" s="4">
        <f>$I2/AF2</f>
        <v>11.060257878597554</v>
      </c>
      <c r="AK2" s="4">
        <f>$I2/AG2</f>
        <v>4.9310339147765658</v>
      </c>
    </row>
    <row r="3" spans="1:38" x14ac:dyDescent="0.2">
      <c r="A3" t="s">
        <v>22</v>
      </c>
      <c r="B3" t="s">
        <v>21</v>
      </c>
      <c r="C3" s="5">
        <v>126.66</v>
      </c>
      <c r="D3">
        <v>1.97</v>
      </c>
      <c r="E3" s="5">
        <f>C3/D3</f>
        <v>64.294416243654823</v>
      </c>
      <c r="F3" s="5">
        <f>7.55+0.096+0.184</f>
        <v>7.83</v>
      </c>
      <c r="G3" s="5">
        <f>1.61+74.07</f>
        <v>75.679999999999993</v>
      </c>
      <c r="H3" s="4">
        <f>F3/G3</f>
        <v>0.10346194503171248</v>
      </c>
      <c r="I3" s="5">
        <f t="shared" ref="I3:I5" si="3">G3-F3+C3</f>
        <v>194.51</v>
      </c>
      <c r="J3" s="5">
        <f>15.33+14.55+14.47+15.57</f>
        <v>59.92</v>
      </c>
      <c r="K3" s="5">
        <f>8.57+7.89+7.79+8.39</f>
        <v>32.64</v>
      </c>
      <c r="L3" s="5">
        <f>3.91+3.64+3.49+4.03</f>
        <v>15.07</v>
      </c>
      <c r="M3" s="5">
        <f>1.75+1.48+2.27+1.97</f>
        <v>7.47</v>
      </c>
      <c r="N3" s="5">
        <f>13.27</f>
        <v>13.27</v>
      </c>
      <c r="O3" s="4">
        <f>$I3/J3</f>
        <v>3.2461615487316418</v>
      </c>
      <c r="P3" s="4">
        <f t="shared" si="0"/>
        <v>5.9592524509803919</v>
      </c>
      <c r="Q3" s="4">
        <f t="shared" si="0"/>
        <v>12.907100199071001</v>
      </c>
      <c r="R3" s="4">
        <f t="shared" si="0"/>
        <v>26.038821954484604</v>
      </c>
      <c r="S3" s="4">
        <f t="shared" si="0"/>
        <v>14.657874905802561</v>
      </c>
      <c r="T3" s="4">
        <f t="shared" ref="T3:T5" si="4">C3/M3</f>
        <v>16.955823293172692</v>
      </c>
      <c r="U3" s="3">
        <f>K3/$J3</f>
        <v>0.54472630173564751</v>
      </c>
      <c r="V3" s="3">
        <f>L3/$J3</f>
        <v>0.25150200267022699</v>
      </c>
      <c r="W3" s="3">
        <f>M3/$J3</f>
        <v>0.12466622162883845</v>
      </c>
      <c r="X3" s="3">
        <f>N3/$J3</f>
        <v>0.22146194926568757</v>
      </c>
      <c r="Y3" s="5">
        <f>25.09+154.15</f>
        <v>179.24</v>
      </c>
      <c r="Z3" s="6">
        <f>21.03-7.55-0.096-30.57</f>
        <v>-17.186</v>
      </c>
      <c r="AA3" s="5">
        <f>SUM(Y3:Z3)</f>
        <v>162.054</v>
      </c>
      <c r="AB3" s="4">
        <f t="shared" ref="AB3:AB5" si="5">I3/AA3</f>
        <v>1.2002789193725547</v>
      </c>
      <c r="AC3" s="5">
        <v>5.41</v>
      </c>
      <c r="AD3" s="5">
        <v>-4.4800000000000004</v>
      </c>
      <c r="AE3" s="5">
        <v>-1.54</v>
      </c>
      <c r="AF3" s="5">
        <f>L3+SUM(AC3:AE3)</f>
        <v>14.46</v>
      </c>
      <c r="AG3" s="5">
        <f t="shared" ref="AG3:AG5" si="6">N3+SUM(AC3:AE3)</f>
        <v>12.66</v>
      </c>
      <c r="AH3" s="3">
        <f>AF3/$AA3</f>
        <v>8.922951608723019E-2</v>
      </c>
      <c r="AI3" s="3">
        <f>AG3/$AA3</f>
        <v>7.8122107445666264E-2</v>
      </c>
      <c r="AJ3" s="4">
        <f>$I3/AF3</f>
        <v>13.45159059474412</v>
      </c>
      <c r="AK3" s="4">
        <f>$I3/AG3</f>
        <v>15.364139020537124</v>
      </c>
    </row>
    <row r="4" spans="1:38" x14ac:dyDescent="0.2">
      <c r="A4" t="s">
        <v>24</v>
      </c>
      <c r="B4" t="s">
        <v>23</v>
      </c>
      <c r="C4" s="5">
        <v>11.18</v>
      </c>
      <c r="D4">
        <v>0.20718</v>
      </c>
      <c r="E4" s="5">
        <f t="shared" ref="E4:E5" si="7">C4/D4</f>
        <v>53.96273771599575</v>
      </c>
      <c r="F4" s="5">
        <f>1.65</f>
        <v>1.65</v>
      </c>
      <c r="G4" s="5">
        <f>0.8942+6.16</f>
        <v>7.0541999999999998</v>
      </c>
      <c r="H4" s="4">
        <f t="shared" ref="H4:H5" si="8">F4/G4</f>
        <v>0.23390320660032321</v>
      </c>
      <c r="I4" s="5">
        <f t="shared" si="3"/>
        <v>16.584199999999999</v>
      </c>
      <c r="J4" s="5">
        <f>3.25+2.6+2.79+3.3</f>
        <v>11.940000000000001</v>
      </c>
      <c r="K4" s="5">
        <f>1.33+0.9635+1.03+1.35</f>
        <v>4.6735000000000007</v>
      </c>
      <c r="L4" s="5">
        <f>0.6087+0.3163+0.3523+0.6019</f>
        <v>1.8792</v>
      </c>
      <c r="M4" s="5">
        <f>0.4253+0.2099+0.1055+0.4316</f>
        <v>1.1722999999999999</v>
      </c>
      <c r="N4" s="5">
        <f>0.8692+0.0254+0.4745+0.7101</f>
        <v>2.0792000000000002</v>
      </c>
      <c r="O4" s="4">
        <f>$I4/J4</f>
        <v>1.3889614740368508</v>
      </c>
      <c r="P4" s="4">
        <f t="shared" si="0"/>
        <v>3.5485610356264035</v>
      </c>
      <c r="Q4" s="4">
        <f t="shared" si="0"/>
        <v>8.8251383567475514</v>
      </c>
      <c r="R4" s="4">
        <f t="shared" si="0"/>
        <v>14.146720122835452</v>
      </c>
      <c r="S4" s="4">
        <f t="shared" si="0"/>
        <v>7.9762408618699494</v>
      </c>
      <c r="T4" s="4">
        <f t="shared" si="4"/>
        <v>9.5368079843043603</v>
      </c>
      <c r="U4" s="3">
        <f t="shared" ref="U4:U5" si="9">K4/$J4</f>
        <v>0.39141541038525962</v>
      </c>
      <c r="V4" s="3">
        <f t="shared" ref="V4:V5" si="10">L4/$J4</f>
        <v>0.15738693467336681</v>
      </c>
      <c r="W4" s="3">
        <f t="shared" ref="W4:W5" si="11">M4/$J4</f>
        <v>9.8182579564489086E-2</v>
      </c>
      <c r="X4" s="3">
        <f t="shared" ref="X4:X5" si="12">N4/$J4</f>
        <v>0.17413735343383585</v>
      </c>
      <c r="Y4" s="5">
        <f>4.47+17.72</f>
        <v>22.189999999999998</v>
      </c>
      <c r="Z4" s="5">
        <f>4.04-1.65-4.24</f>
        <v>-1.85</v>
      </c>
      <c r="AA4" s="5">
        <f t="shared" ref="AA4:AA5" si="13">SUM(Y4:Z4)</f>
        <v>20.339999999999996</v>
      </c>
      <c r="AB4" s="4">
        <f t="shared" si="5"/>
        <v>0.81534906588003941</v>
      </c>
      <c r="AC4" s="5">
        <f>0.1677+0.169+0.1742+0.1687</f>
        <v>0.67959999999999998</v>
      </c>
      <c r="AD4" s="5">
        <f>-0.1689-0.213-0.1738-0.1572</f>
        <v>-0.71290000000000009</v>
      </c>
      <c r="AE4" s="5">
        <f>0.2302-0.3957-0.0076+0.1329</f>
        <v>-4.0200000000000014E-2</v>
      </c>
      <c r="AF4" s="5">
        <f t="shared" ref="AF4:AF5" si="14">L4+SUM(AC4:AE4)</f>
        <v>1.8056999999999999</v>
      </c>
      <c r="AG4" s="5">
        <f t="shared" si="6"/>
        <v>2.0057</v>
      </c>
      <c r="AH4" s="3">
        <f t="shared" ref="AH4:AH5" si="15">AF4/$AA4</f>
        <v>8.8775811209439531E-2</v>
      </c>
      <c r="AI4" s="3">
        <f t="shared" ref="AI4:AI5" si="16">AG4/$AA4</f>
        <v>9.8608652900688321E-2</v>
      </c>
      <c r="AJ4" s="4">
        <f t="shared" ref="AJ4:AJ5" si="17">$I4/AF4</f>
        <v>9.1843606357645236</v>
      </c>
      <c r="AK4" s="4">
        <f t="shared" ref="AK4:AK5" si="18">$I4/AG4</f>
        <v>8.2685346761729068</v>
      </c>
    </row>
    <row r="5" spans="1:38" x14ac:dyDescent="0.2">
      <c r="A5" t="s">
        <v>26</v>
      </c>
      <c r="B5" t="s">
        <v>25</v>
      </c>
      <c r="C5" s="5">
        <v>43.78</v>
      </c>
      <c r="D5">
        <v>0.18156</v>
      </c>
      <c r="E5" s="5">
        <f t="shared" si="7"/>
        <v>241.13240801938753</v>
      </c>
      <c r="F5" s="5">
        <f>0.0646+0.0679</f>
        <v>0.13250000000000001</v>
      </c>
      <c r="G5" s="5">
        <f>0.9128+10.68</f>
        <v>11.5928</v>
      </c>
      <c r="H5" s="4">
        <f t="shared" si="8"/>
        <v>1.1429507970464426E-2</v>
      </c>
      <c r="I5" s="5">
        <f t="shared" si="3"/>
        <v>55.240300000000005</v>
      </c>
      <c r="J5" s="5">
        <f>2.92+2.66+2.14+2.47</f>
        <v>10.190000000000001</v>
      </c>
      <c r="K5" s="5">
        <f>1.51+1.4+1.04+1.27</f>
        <v>5.2200000000000006</v>
      </c>
      <c r="L5" s="5">
        <f>1.02+0.9416+0.6294+0.7969</f>
        <v>3.3879000000000001</v>
      </c>
      <c r="M5" s="5">
        <f>-1.18+0.8928+0.4044+0.5209</f>
        <v>0.63810000000000011</v>
      </c>
      <c r="N5" s="5">
        <f>1.18+0.6905+0.4332+0.7248</f>
        <v>3.0284999999999997</v>
      </c>
      <c r="O5" s="4">
        <f>$I5/J5</f>
        <v>5.4210304219823353</v>
      </c>
      <c r="P5" s="4">
        <f t="shared" si="0"/>
        <v>10.582432950191571</v>
      </c>
      <c r="Q5" s="4">
        <f t="shared" si="0"/>
        <v>16.305174296762008</v>
      </c>
      <c r="R5" s="4">
        <f t="shared" si="0"/>
        <v>86.569973358407765</v>
      </c>
      <c r="S5" s="4">
        <f t="shared" si="0"/>
        <v>18.240151890374776</v>
      </c>
      <c r="T5" s="4">
        <f t="shared" si="4"/>
        <v>68.60993574674815</v>
      </c>
      <c r="U5" s="3">
        <f t="shared" si="9"/>
        <v>0.51226692836113841</v>
      </c>
      <c r="V5" s="3">
        <f t="shared" si="10"/>
        <v>0.33247301275760549</v>
      </c>
      <c r="W5" s="3">
        <f t="shared" si="11"/>
        <v>6.262021589793916E-2</v>
      </c>
      <c r="X5" s="3">
        <f t="shared" si="12"/>
        <v>0.29720314033366041</v>
      </c>
      <c r="Y5" s="5">
        <f>8.48+8.48</f>
        <v>16.96</v>
      </c>
      <c r="Z5" s="5">
        <f>3.65-0.0646-2.91</f>
        <v>0.67539999999999978</v>
      </c>
      <c r="AA5" s="5">
        <f t="shared" si="13"/>
        <v>17.635400000000001</v>
      </c>
      <c r="AB5" s="4">
        <f t="shared" si="5"/>
        <v>3.1323531079533211</v>
      </c>
      <c r="AC5" s="5">
        <f>0.1092+0.1116+0.1061+0.1081</f>
        <v>0.43499999999999994</v>
      </c>
      <c r="AD5" s="5">
        <f>-0.3278-0.3753-0.3572-0.3299</f>
        <v>-1.3902000000000001</v>
      </c>
      <c r="AE5" s="5">
        <f>0.1767-0.1915-0.2168-0.0017</f>
        <v>-0.23330000000000001</v>
      </c>
      <c r="AF5" s="5">
        <f t="shared" si="14"/>
        <v>2.1993999999999998</v>
      </c>
      <c r="AG5" s="5">
        <f t="shared" si="6"/>
        <v>1.8399999999999996</v>
      </c>
      <c r="AH5" s="3">
        <f t="shared" si="15"/>
        <v>0.12471506175079668</v>
      </c>
      <c r="AI5" s="3">
        <f t="shared" si="16"/>
        <v>0.10433559771822581</v>
      </c>
      <c r="AJ5" s="4">
        <f t="shared" si="17"/>
        <v>25.116077111939624</v>
      </c>
      <c r="AK5" s="4">
        <f t="shared" si="18"/>
        <v>30.021902173913052</v>
      </c>
    </row>
    <row r="6" spans="1:38" x14ac:dyDescent="0.2">
      <c r="I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DB80-7266-1F43-86C1-9C2156F1D011}">
  <dimension ref="A1:AL5"/>
  <sheetViews>
    <sheetView workbookViewId="0">
      <selection activeCell="Q5" sqref="Q5"/>
    </sheetView>
  </sheetViews>
  <sheetFormatPr baseColWidth="10" defaultRowHeight="16" x14ac:dyDescent="0.2"/>
  <cols>
    <col min="2" max="2" width="15.33203125" customWidth="1"/>
    <col min="3" max="3" width="10.83203125" style="5"/>
    <col min="4" max="4" width="17.83203125" customWidth="1"/>
    <col min="5" max="7" width="10.83203125" style="5"/>
    <col min="9" max="9" width="15.6640625" style="5" customWidth="1"/>
    <col min="10" max="10" width="12" style="5" customWidth="1"/>
    <col min="11" max="11" width="14.6640625" style="5" customWidth="1"/>
    <col min="12" max="12" width="19.6640625" style="5" customWidth="1"/>
    <col min="13" max="13" width="14.83203125" style="5" customWidth="1"/>
    <col min="14" max="14" width="10.83203125" style="5"/>
    <col min="24" max="24" width="16" customWidth="1"/>
    <col min="25" max="25" width="27.33203125" style="5" customWidth="1"/>
    <col min="26" max="26" width="10.83203125" style="5"/>
    <col min="27" max="27" width="14.83203125" style="5" customWidth="1"/>
    <col min="28" max="30" width="10.83203125" style="5"/>
    <col min="31" max="31" width="17.83203125" style="5" customWidth="1"/>
    <col min="32" max="33" width="10.83203125" style="5"/>
    <col min="35" max="35" width="11.6640625" customWidth="1"/>
    <col min="37" max="37" width="12" customWidth="1"/>
  </cols>
  <sheetData>
    <row r="1" spans="1:38" x14ac:dyDescent="0.2">
      <c r="A1" s="2" t="s">
        <v>6</v>
      </c>
      <c r="B1" s="2" t="s">
        <v>0</v>
      </c>
      <c r="C1" s="8" t="s">
        <v>7</v>
      </c>
      <c r="D1" s="2" t="s">
        <v>8</v>
      </c>
      <c r="E1" s="8" t="s">
        <v>9</v>
      </c>
      <c r="F1" s="8" t="s">
        <v>10</v>
      </c>
      <c r="G1" s="8" t="s">
        <v>11</v>
      </c>
      <c r="H1" s="2" t="s">
        <v>12</v>
      </c>
      <c r="I1" s="8" t="s">
        <v>40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48</v>
      </c>
      <c r="U1" s="2" t="s">
        <v>32</v>
      </c>
      <c r="V1" s="2" t="s">
        <v>33</v>
      </c>
      <c r="W1" s="2" t="s">
        <v>34</v>
      </c>
      <c r="X1" s="2" t="s">
        <v>35</v>
      </c>
      <c r="Y1" s="8" t="s">
        <v>39</v>
      </c>
      <c r="Z1" s="8" t="s">
        <v>13</v>
      </c>
      <c r="AA1" s="8" t="s">
        <v>14</v>
      </c>
      <c r="AB1" s="8" t="s">
        <v>49</v>
      </c>
      <c r="AC1" s="8" t="s">
        <v>36</v>
      </c>
      <c r="AD1" s="8" t="s">
        <v>37</v>
      </c>
      <c r="AE1" s="8" t="s">
        <v>38</v>
      </c>
      <c r="AF1" s="8" t="s">
        <v>15</v>
      </c>
      <c r="AG1" s="8" t="s">
        <v>16</v>
      </c>
      <c r="AH1" s="2" t="s">
        <v>17</v>
      </c>
      <c r="AI1" s="2" t="s">
        <v>18</v>
      </c>
      <c r="AJ1" s="2" t="s">
        <v>46</v>
      </c>
      <c r="AK1" s="2" t="s">
        <v>47</v>
      </c>
      <c r="AL1" s="2"/>
    </row>
    <row r="2" spans="1:38" x14ac:dyDescent="0.2">
      <c r="A2" t="s">
        <v>50</v>
      </c>
      <c r="B2" t="s">
        <v>55</v>
      </c>
      <c r="C2" s="5">
        <v>48.75</v>
      </c>
      <c r="D2">
        <v>0.97948000000000002</v>
      </c>
      <c r="E2" s="5">
        <f>C2/D2</f>
        <v>49.771307224241433</v>
      </c>
      <c r="F2" s="5">
        <f>1.56</f>
        <v>1.56</v>
      </c>
      <c r="G2" s="5">
        <f>0.74874</f>
        <v>0.74873999999999996</v>
      </c>
      <c r="H2" s="4">
        <f>F2/G2</f>
        <v>2.083500280471192</v>
      </c>
      <c r="I2" s="5">
        <f>G2-F2+C2</f>
        <v>47.938740000000003</v>
      </c>
      <c r="J2" s="5">
        <f>1.9+1.9+1.73+1.86</f>
        <v>7.39</v>
      </c>
      <c r="K2" s="5">
        <f>1.02+1.03+0.93837+0.98376</f>
        <v>3.9721299999999999</v>
      </c>
      <c r="L2" s="5">
        <f>0.52716+0.54199+0.43396+0.51053</f>
        <v>2.0136400000000001</v>
      </c>
      <c r="M2" s="5">
        <f>0.42537+0.44205+0.36698+0.45269</f>
        <v>1.68709</v>
      </c>
      <c r="N2" s="5">
        <f>0.43629+0.41214+0.43433+0.52026</f>
        <v>1.8030200000000001</v>
      </c>
      <c r="O2" s="9">
        <f>$I2/J2</f>
        <v>6.4869742895805151</v>
      </c>
      <c r="P2" s="9">
        <f t="shared" ref="P2" si="0">$I2/K2</f>
        <v>12.068774184127912</v>
      </c>
      <c r="Q2" s="9">
        <f t="shared" ref="Q2" si="1">$I2/L2</f>
        <v>23.807006217595994</v>
      </c>
      <c r="R2" s="9">
        <f t="shared" ref="R2" si="2">$I2/M2</f>
        <v>28.41504602599743</v>
      </c>
      <c r="S2" s="9">
        <f t="shared" ref="S2:S4" si="3">$I2/N2</f>
        <v>26.588024536610799</v>
      </c>
      <c r="T2" s="7">
        <f t="shared" ref="T2:T4" si="4">C2/M2</f>
        <v>28.895909524684516</v>
      </c>
      <c r="U2" s="3">
        <f t="shared" ref="U2:U4" si="5">K2/$J2</f>
        <v>0.53750067658998646</v>
      </c>
      <c r="V2" s="3">
        <f t="shared" ref="V2:V4" si="6">L2/$J2</f>
        <v>0.27248173207036536</v>
      </c>
      <c r="W2" s="3">
        <f t="shared" ref="W2:X4" si="7">M2/$J2</f>
        <v>0.22829364005412719</v>
      </c>
      <c r="X2" s="3">
        <f t="shared" si="7"/>
        <v>0.24398105548037891</v>
      </c>
      <c r="Y2" s="5">
        <f>0.96096+2.85</f>
        <v>3.8109600000000001</v>
      </c>
      <c r="Z2" s="5">
        <f>3.95-1.56-1.16</f>
        <v>1.2300000000000002</v>
      </c>
      <c r="AA2" s="5">
        <f t="shared" ref="AA2:AA4" si="8">SUM(Y2:Z2)</f>
        <v>5.0409600000000001</v>
      </c>
      <c r="AB2" s="4">
        <f t="shared" ref="AB2:AB4" si="9">I2/AA2</f>
        <v>9.5098433631689208</v>
      </c>
      <c r="AC2" s="5">
        <f>0.01944+0.02048+0.01853+0.01798</f>
        <v>7.6429999999999998E-2</v>
      </c>
      <c r="AD2" s="5">
        <f>-0.05914-0.06562-0.11044-0.02708</f>
        <v>-0.26228000000000001</v>
      </c>
      <c r="AE2" s="5">
        <f>-0.02551-0.07587-0.01326+0.07339</f>
        <v>-4.1250000000000009E-2</v>
      </c>
      <c r="AF2" s="5">
        <f t="shared" ref="AF2:AF4" si="10">L2+SUM(AC2:AE2)</f>
        <v>1.78654</v>
      </c>
      <c r="AG2" s="5">
        <f t="shared" ref="AG2:AG4" si="11">SUM(AC2:AE2)+N2</f>
        <v>1.57592</v>
      </c>
      <c r="AH2" s="3">
        <f t="shared" ref="AH2:AH4" si="12">AF2/$AA2</f>
        <v>0.35440471656192468</v>
      </c>
      <c r="AI2" s="3">
        <f t="shared" ref="AI2:AI4" si="13">AG2/$AA2</f>
        <v>0.31262299244588332</v>
      </c>
      <c r="AJ2" s="4">
        <f t="shared" ref="AJ2:AJ4" si="14">$I2/AF2</f>
        <v>26.833286688235361</v>
      </c>
      <c r="AK2" s="4">
        <f t="shared" ref="AK2:AK4" si="15">$I2/AG2</f>
        <v>30.419526371897053</v>
      </c>
    </row>
    <row r="3" spans="1:38" x14ac:dyDescent="0.2">
      <c r="A3" t="s">
        <v>51</v>
      </c>
      <c r="B3" t="s">
        <v>56</v>
      </c>
      <c r="C3" s="5">
        <v>299.83999999999997</v>
      </c>
      <c r="D3">
        <v>4.3099999999999996</v>
      </c>
      <c r="E3" s="5">
        <f t="shared" ref="E3:E5" si="16">C3/D3</f>
        <v>69.568445475638057</v>
      </c>
      <c r="F3" s="5">
        <f>18.99+19.11</f>
        <v>38.099999999999994</v>
      </c>
      <c r="G3" s="5">
        <f>5.73+38.09</f>
        <v>43.820000000000007</v>
      </c>
      <c r="H3" s="4">
        <f t="shared" ref="H3:H5" si="17">F3/G3</f>
        <v>0.86946599726152418</v>
      </c>
      <c r="I3" s="5">
        <f t="shared" ref="I3:I5" si="18">G3-F3+C3</f>
        <v>305.56</v>
      </c>
      <c r="J3" s="5">
        <f>12.36+11.3+10.85+11.95</f>
        <v>46.459999999999994</v>
      </c>
      <c r="K3" s="5">
        <f>7.55+7.07+4.63+7.3</f>
        <v>26.55</v>
      </c>
      <c r="L3" s="5">
        <f>3.97+3.67+2.36+3.57</f>
        <v>13.57</v>
      </c>
      <c r="M3" s="5">
        <f>2.4+3.19+1.99+3.08</f>
        <v>10.66</v>
      </c>
      <c r="N3" s="5">
        <f>3.59+0.528+2.67+4.3</f>
        <v>11.088000000000001</v>
      </c>
      <c r="O3" s="9">
        <f t="shared" ref="O3:O4" si="19">$I3/J3</f>
        <v>6.5768402927249259</v>
      </c>
      <c r="P3" s="9">
        <f t="shared" ref="P3:P4" si="20">$I3/K3</f>
        <v>11.508851224105461</v>
      </c>
      <c r="Q3" s="9">
        <f t="shared" ref="Q3:Q4" si="21">$I3/L3</f>
        <v>22.51731761238025</v>
      </c>
      <c r="R3" s="9">
        <f t="shared" ref="R3:R4" si="22">$I3/M3</f>
        <v>28.664165103189493</v>
      </c>
      <c r="S3" s="9">
        <f t="shared" si="3"/>
        <v>27.557720057720054</v>
      </c>
      <c r="T3" s="7">
        <f t="shared" si="4"/>
        <v>28.127579737335832</v>
      </c>
      <c r="U3" s="3">
        <f t="shared" si="5"/>
        <v>0.57145931984502807</v>
      </c>
      <c r="V3" s="3">
        <f t="shared" si="6"/>
        <v>0.29207920792079212</v>
      </c>
      <c r="W3" s="3">
        <f t="shared" si="7"/>
        <v>0.22944468359879469</v>
      </c>
      <c r="X3" s="3">
        <f t="shared" si="7"/>
        <v>0.23865690916917784</v>
      </c>
      <c r="Y3" s="5">
        <f>9.51+32.31</f>
        <v>41.82</v>
      </c>
      <c r="Z3" s="5">
        <f>31.6-18.99-29.26</f>
        <v>-16.649999999999999</v>
      </c>
      <c r="AA3" s="5">
        <f t="shared" si="8"/>
        <v>25.17</v>
      </c>
      <c r="AB3" s="4">
        <f t="shared" si="9"/>
        <v>12.13984902661899</v>
      </c>
      <c r="AC3" s="5">
        <f>0.269+0.262+0.271+0.29</f>
        <v>1.0920000000000001</v>
      </c>
      <c r="AD3" s="5">
        <f>-0.415-0.356-0.823-0.378</f>
        <v>-1.972</v>
      </c>
      <c r="AE3" s="5">
        <f>-0.139-2.85+0.023+0.887</f>
        <v>-2.0789999999999997</v>
      </c>
      <c r="AF3" s="5">
        <f t="shared" si="10"/>
        <v>10.611000000000001</v>
      </c>
      <c r="AG3" s="5">
        <f t="shared" si="11"/>
        <v>8.1290000000000013</v>
      </c>
      <c r="AH3" s="3">
        <f t="shared" si="12"/>
        <v>0.42157330154946365</v>
      </c>
      <c r="AI3" s="3">
        <f t="shared" si="13"/>
        <v>0.32296384584823207</v>
      </c>
      <c r="AJ3" s="4">
        <f t="shared" si="14"/>
        <v>28.796531900857598</v>
      </c>
      <c r="AK3" s="4">
        <f t="shared" si="15"/>
        <v>37.58887932094968</v>
      </c>
    </row>
    <row r="4" spans="1:38" x14ac:dyDescent="0.2">
      <c r="A4" t="s">
        <v>52</v>
      </c>
      <c r="B4" t="s">
        <v>57</v>
      </c>
      <c r="C4" s="5">
        <v>236.72</v>
      </c>
      <c r="D4">
        <v>1.37</v>
      </c>
      <c r="E4" s="5">
        <f t="shared" si="16"/>
        <v>172.7883211678832</v>
      </c>
      <c r="F4" s="5">
        <f>8.05+2.65</f>
        <v>10.700000000000001</v>
      </c>
      <c r="G4" s="5">
        <f>6.52+38.49</f>
        <v>45.010000000000005</v>
      </c>
      <c r="H4" s="4">
        <f t="shared" si="17"/>
        <v>0.23772495001110863</v>
      </c>
      <c r="I4" s="5">
        <f t="shared" si="18"/>
        <v>271.02999999999997</v>
      </c>
      <c r="J4" s="5">
        <f>64.07+27.85</f>
        <v>91.919999999999987</v>
      </c>
      <c r="K4" s="5">
        <f>35.51+14.75</f>
        <v>50.26</v>
      </c>
      <c r="L4" s="5">
        <f>10.64+2.61</f>
        <v>13.25</v>
      </c>
      <c r="M4" s="5">
        <f>8.09+1.32</f>
        <v>9.41</v>
      </c>
      <c r="N4" s="5">
        <f>6.22-1.04</f>
        <v>5.18</v>
      </c>
      <c r="O4" s="9">
        <f t="shared" si="19"/>
        <v>2.9485422106179286</v>
      </c>
      <c r="P4" s="9">
        <f t="shared" si="20"/>
        <v>5.3925586947871071</v>
      </c>
      <c r="Q4" s="9">
        <f t="shared" si="21"/>
        <v>20.45509433962264</v>
      </c>
      <c r="R4" s="9">
        <f t="shared" si="22"/>
        <v>28.80233793836344</v>
      </c>
      <c r="S4" s="9">
        <f t="shared" si="3"/>
        <v>52.322393822393821</v>
      </c>
      <c r="T4" s="7">
        <f t="shared" si="4"/>
        <v>25.156216790648244</v>
      </c>
      <c r="U4" s="3">
        <f t="shared" si="5"/>
        <v>0.54677980852915586</v>
      </c>
      <c r="V4" s="3">
        <f t="shared" si="6"/>
        <v>0.14414708442123589</v>
      </c>
      <c r="W4" s="3">
        <f t="shared" si="7"/>
        <v>0.10237162750217582</v>
      </c>
      <c r="X4" s="3">
        <f t="shared" si="7"/>
        <v>5.6353350739773718E-2</v>
      </c>
      <c r="Y4" s="5">
        <f>27.19+32.57</f>
        <v>59.760000000000005</v>
      </c>
      <c r="Z4" s="5">
        <f>26.85-8.05-30.32</f>
        <v>-11.52</v>
      </c>
      <c r="AA4" s="5">
        <f t="shared" si="8"/>
        <v>48.240000000000009</v>
      </c>
      <c r="AB4" s="4">
        <f t="shared" si="9"/>
        <v>5.6183665008291861</v>
      </c>
      <c r="AC4" s="5">
        <f>2.56+0.768</f>
        <v>3.3280000000000003</v>
      </c>
      <c r="AD4" s="5">
        <f>0.177+0.007</f>
        <v>0.184</v>
      </c>
      <c r="AE4" s="5">
        <f>-4.1-3.92</f>
        <v>-8.02</v>
      </c>
      <c r="AF4" s="5">
        <f t="shared" si="10"/>
        <v>8.7420000000000009</v>
      </c>
      <c r="AG4" s="5">
        <f t="shared" si="11"/>
        <v>0.6720000000000006</v>
      </c>
      <c r="AH4" s="3">
        <f t="shared" si="12"/>
        <v>0.1812189054726368</v>
      </c>
      <c r="AI4" s="3">
        <f t="shared" si="13"/>
        <v>1.3930348258706477E-2</v>
      </c>
      <c r="AJ4" s="4">
        <f t="shared" si="14"/>
        <v>31.003202928391666</v>
      </c>
      <c r="AK4" s="4">
        <f t="shared" si="15"/>
        <v>403.31845238095201</v>
      </c>
    </row>
    <row r="5" spans="1:38" x14ac:dyDescent="0.2">
      <c r="A5" t="s">
        <v>53</v>
      </c>
      <c r="B5" t="s">
        <v>54</v>
      </c>
      <c r="C5" s="5">
        <v>7.93</v>
      </c>
      <c r="D5">
        <v>0.23307</v>
      </c>
      <c r="E5" s="5">
        <f t="shared" si="16"/>
        <v>34.024112927446687</v>
      </c>
      <c r="F5" s="5">
        <v>0.90320999999999996</v>
      </c>
      <c r="H5" s="4" t="e">
        <f t="shared" si="17"/>
        <v>#DIV/0!</v>
      </c>
      <c r="I5" s="5">
        <f t="shared" si="18"/>
        <v>7.0267900000000001</v>
      </c>
      <c r="J5" s="5">
        <f>0.40198+0.35571+0.34744+0.38476</f>
        <v>1.4898899999999999</v>
      </c>
      <c r="K5" s="5">
        <f>0.2091+0.18221+0.16625+0.19408</f>
        <v>0.75164000000000009</v>
      </c>
      <c r="L5" s="5">
        <f>0.09425+0.08319+0.05894+0.0977</f>
        <v>0.33407999999999999</v>
      </c>
      <c r="M5" s="5">
        <f>0.07978+0.07781+0.05012+0.08395</f>
        <v>0.29166000000000003</v>
      </c>
      <c r="N5" s="5">
        <f>0.03964+0.13465+0.00517+0.09084</f>
        <v>0.27029999999999998</v>
      </c>
      <c r="O5" s="9">
        <f>$I5/J5</f>
        <v>4.716314627254361</v>
      </c>
      <c r="P5" s="9">
        <f t="shared" ref="P5:S5" si="23">$I5/K5</f>
        <v>9.3486110371986584</v>
      </c>
      <c r="Q5" s="9">
        <f t="shared" si="23"/>
        <v>21.033255507662837</v>
      </c>
      <c r="R5" s="9">
        <f t="shared" si="23"/>
        <v>24.092402112048273</v>
      </c>
      <c r="S5" s="9">
        <f t="shared" si="23"/>
        <v>25.996263411024788</v>
      </c>
      <c r="T5" s="7">
        <f>C5/M5</f>
        <v>27.189192895837614</v>
      </c>
      <c r="U5" s="3">
        <f>K5/$J5</f>
        <v>0.50449362033438716</v>
      </c>
      <c r="V5" s="3">
        <f t="shared" ref="V5:X5" si="24">L5/$J5</f>
        <v>0.22423131909067112</v>
      </c>
      <c r="W5" s="3">
        <f t="shared" si="24"/>
        <v>0.195759418480559</v>
      </c>
      <c r="X5" s="3">
        <f t="shared" si="24"/>
        <v>0.18142278960191691</v>
      </c>
      <c r="Y5" s="6">
        <f>0.03802+0.02522</f>
        <v>6.3239999999999991E-2</v>
      </c>
      <c r="Z5" s="6">
        <f>1.38-0.90321-0.31298</f>
        <v>0.16380999999999996</v>
      </c>
      <c r="AA5" s="5">
        <f>SUM(Y5:Z5)</f>
        <v>0.22704999999999995</v>
      </c>
      <c r="AB5" s="4">
        <f>I5/AA5</f>
        <v>30.948205241136321</v>
      </c>
      <c r="AC5" s="5">
        <f>0.00142+0.00123+0.00111+0.000874</f>
        <v>4.6340000000000001E-3</v>
      </c>
      <c r="AD5" s="5">
        <f>-0.00921-0.00453-0.00475-0.00588</f>
        <v>-2.4369999999999999E-2</v>
      </c>
      <c r="AE5" s="5">
        <f>-0.06079+0.03707-0.06271-0.00665</f>
        <v>-9.308000000000001E-2</v>
      </c>
      <c r="AF5" s="5">
        <f>L5+SUM(AC5:AE5)</f>
        <v>0.22126399999999996</v>
      </c>
      <c r="AG5" s="5">
        <f>SUM(AC5:AE5)+N5</f>
        <v>0.15748399999999996</v>
      </c>
      <c r="AH5" s="3">
        <f>AF5/$AA5</f>
        <v>0.9745166262937679</v>
      </c>
      <c r="AI5" s="3">
        <f>AG5/$AA5</f>
        <v>0.6936093371504074</v>
      </c>
      <c r="AJ5" s="4">
        <f>$I5/AF5</f>
        <v>31.757493311157717</v>
      </c>
      <c r="AK5" s="4">
        <f>$I5/AG5</f>
        <v>44.619072413705531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75B-2B8F-F545-845E-567B04255980}">
  <dimension ref="A1:X25"/>
  <sheetViews>
    <sheetView workbookViewId="0">
      <selection activeCell="B26" sqref="B26"/>
    </sheetView>
  </sheetViews>
  <sheetFormatPr baseColWidth="10" defaultRowHeight="16" x14ac:dyDescent="0.2"/>
  <cols>
    <col min="1" max="1" width="21" customWidth="1"/>
  </cols>
  <sheetData>
    <row r="1" spans="1:24" x14ac:dyDescent="0.2">
      <c r="A1" s="2" t="s">
        <v>58</v>
      </c>
      <c r="B1" s="2">
        <v>2024</v>
      </c>
      <c r="C1" s="2">
        <f>B1+1</f>
        <v>2025</v>
      </c>
      <c r="D1" s="2">
        <v>2025</v>
      </c>
      <c r="E1" s="2">
        <f t="shared" ref="E1" si="0">D1+1</f>
        <v>2026</v>
      </c>
      <c r="F1" s="2">
        <v>2026</v>
      </c>
      <c r="G1" s="2">
        <f t="shared" ref="G1" si="1">F1+1</f>
        <v>2027</v>
      </c>
      <c r="H1" s="2">
        <v>2027</v>
      </c>
      <c r="I1" s="2">
        <f t="shared" ref="I1" si="2">H1+1</f>
        <v>2028</v>
      </c>
      <c r="J1" s="2">
        <v>2028</v>
      </c>
      <c r="K1" s="2">
        <f t="shared" ref="K1" si="3">J1+1</f>
        <v>2029</v>
      </c>
      <c r="L1" s="2">
        <v>2029</v>
      </c>
      <c r="M1" s="2">
        <f t="shared" ref="M1:X1" si="4">L1+1</f>
        <v>2030</v>
      </c>
      <c r="N1" s="2">
        <f t="shared" si="4"/>
        <v>2031</v>
      </c>
      <c r="O1" s="2">
        <f t="shared" si="4"/>
        <v>2032</v>
      </c>
      <c r="P1" s="2">
        <f t="shared" si="4"/>
        <v>2033</v>
      </c>
      <c r="Q1" s="2">
        <f t="shared" si="4"/>
        <v>2034</v>
      </c>
      <c r="R1" s="2">
        <f t="shared" si="4"/>
        <v>2035</v>
      </c>
      <c r="S1" s="2">
        <f t="shared" si="4"/>
        <v>2036</v>
      </c>
      <c r="T1" s="2">
        <f t="shared" si="4"/>
        <v>2037</v>
      </c>
      <c r="U1" s="2">
        <f t="shared" si="4"/>
        <v>2038</v>
      </c>
      <c r="V1" s="2">
        <f t="shared" si="4"/>
        <v>2039</v>
      </c>
      <c r="W1" s="2">
        <f t="shared" si="4"/>
        <v>2040</v>
      </c>
      <c r="X1" s="2">
        <f t="shared" si="4"/>
        <v>2041</v>
      </c>
    </row>
    <row r="2" spans="1:24" x14ac:dyDescent="0.2">
      <c r="A2" s="2" t="s">
        <v>59</v>
      </c>
      <c r="B2" s="5">
        <f>AVERAGE('Non-Alcoholic'!AF5:AG5)</f>
        <v>0.18937399999999996</v>
      </c>
      <c r="C2" s="5">
        <f>B2*(1+$B6)</f>
        <v>0.20831139999999998</v>
      </c>
      <c r="D2" s="5">
        <f t="shared" ref="D2:E2" si="5">C2*(1+$B6)</f>
        <v>0.22914254000000001</v>
      </c>
      <c r="E2" s="5">
        <f t="shared" si="5"/>
        <v>0.25205679400000003</v>
      </c>
      <c r="F2" s="5">
        <f>E2*(1+$B7)</f>
        <v>0.26718020164000006</v>
      </c>
      <c r="G2" s="5">
        <f t="shared" ref="G2:W2" si="6">F2*(1+$B7)</f>
        <v>0.28321101373840007</v>
      </c>
      <c r="H2" s="5">
        <f t="shared" si="6"/>
        <v>0.30020367456270408</v>
      </c>
      <c r="I2" s="5">
        <f t="shared" si="6"/>
        <v>0.31821589503646636</v>
      </c>
      <c r="J2" s="5">
        <f t="shared" si="6"/>
        <v>0.33730884873865435</v>
      </c>
      <c r="K2" s="5">
        <f t="shared" si="6"/>
        <v>0.35754737966297362</v>
      </c>
      <c r="L2" s="5">
        <f t="shared" si="6"/>
        <v>0.37900022244275205</v>
      </c>
      <c r="M2" s="5">
        <f t="shared" si="6"/>
        <v>0.40174023578931722</v>
      </c>
      <c r="N2" s="5">
        <f t="shared" si="6"/>
        <v>0.42584464993667626</v>
      </c>
      <c r="O2" s="5">
        <f t="shared" si="6"/>
        <v>0.45139532893287687</v>
      </c>
      <c r="P2" s="5">
        <f t="shared" si="6"/>
        <v>0.47847904866884949</v>
      </c>
      <c r="Q2" s="5">
        <f t="shared" si="6"/>
        <v>0.50718779158898053</v>
      </c>
      <c r="R2" s="5">
        <f t="shared" si="6"/>
        <v>0.5376190590843194</v>
      </c>
      <c r="S2" s="5">
        <f t="shared" si="6"/>
        <v>0.56987620262937855</v>
      </c>
      <c r="T2" s="5">
        <f t="shared" si="6"/>
        <v>0.60406877478714127</v>
      </c>
      <c r="U2" s="5">
        <f t="shared" si="6"/>
        <v>0.64031290127436979</v>
      </c>
      <c r="V2" s="5">
        <f t="shared" si="6"/>
        <v>0.67873167535083201</v>
      </c>
      <c r="W2" s="5">
        <f t="shared" si="6"/>
        <v>0.71945557587188191</v>
      </c>
      <c r="X2" s="5">
        <f>W2*(1+B8)/(B15-B8)</f>
        <v>12.350654052467307</v>
      </c>
    </row>
    <row r="3" spans="1:24" x14ac:dyDescent="0.2">
      <c r="A3" s="2" t="s">
        <v>60</v>
      </c>
      <c r="B3">
        <v>0</v>
      </c>
      <c r="C3">
        <f>B3+1</f>
        <v>1</v>
      </c>
      <c r="D3">
        <f t="shared" ref="D3:X3" si="7">C3+1</f>
        <v>2</v>
      </c>
      <c r="E3">
        <f t="shared" si="7"/>
        <v>3</v>
      </c>
      <c r="F3">
        <f t="shared" si="7"/>
        <v>4</v>
      </c>
      <c r="G3">
        <f t="shared" si="7"/>
        <v>5</v>
      </c>
      <c r="H3">
        <f t="shared" si="7"/>
        <v>6</v>
      </c>
      <c r="I3">
        <f t="shared" si="7"/>
        <v>7</v>
      </c>
      <c r="J3">
        <f t="shared" si="7"/>
        <v>8</v>
      </c>
      <c r="K3">
        <f t="shared" si="7"/>
        <v>9</v>
      </c>
      <c r="L3">
        <f t="shared" si="7"/>
        <v>10</v>
      </c>
      <c r="M3">
        <f t="shared" si="7"/>
        <v>11</v>
      </c>
      <c r="N3">
        <f t="shared" si="7"/>
        <v>12</v>
      </c>
      <c r="O3">
        <f t="shared" si="7"/>
        <v>13</v>
      </c>
      <c r="P3">
        <f t="shared" si="7"/>
        <v>14</v>
      </c>
      <c r="Q3">
        <f t="shared" si="7"/>
        <v>15</v>
      </c>
      <c r="R3">
        <f t="shared" si="7"/>
        <v>16</v>
      </c>
      <c r="S3">
        <f t="shared" si="7"/>
        <v>17</v>
      </c>
      <c r="T3">
        <f t="shared" si="7"/>
        <v>18</v>
      </c>
      <c r="U3">
        <f t="shared" si="7"/>
        <v>19</v>
      </c>
      <c r="V3">
        <f t="shared" si="7"/>
        <v>20</v>
      </c>
      <c r="W3">
        <f t="shared" si="7"/>
        <v>21</v>
      </c>
      <c r="X3">
        <f t="shared" si="7"/>
        <v>22</v>
      </c>
    </row>
    <row r="4" spans="1:24" x14ac:dyDescent="0.2">
      <c r="A4" s="2" t="s">
        <v>61</v>
      </c>
      <c r="B4" s="5">
        <f>B2/((1+$B10)^B3)</f>
        <v>0.18937399999999996</v>
      </c>
      <c r="C4" s="5">
        <f t="shared" ref="C4:W4" si="8">C2/((1+$B10)^C3)</f>
        <v>0.18272929824561399</v>
      </c>
      <c r="D4" s="5">
        <f t="shared" si="8"/>
        <v>0.1763177439212065</v>
      </c>
      <c r="E4" s="5">
        <f t="shared" si="8"/>
        <v>0.17013115641519924</v>
      </c>
      <c r="F4" s="5">
        <f t="shared" si="8"/>
        <v>0.15819212789483436</v>
      </c>
      <c r="G4" s="5">
        <f t="shared" si="8"/>
        <v>0.14709092593730214</v>
      </c>
      <c r="H4" s="5">
        <f t="shared" si="8"/>
        <v>0.13676875569608793</v>
      </c>
      <c r="I4" s="5">
        <f t="shared" si="8"/>
        <v>0.12717094827881859</v>
      </c>
      <c r="J4" s="5">
        <f t="shared" si="8"/>
        <v>0.11824667120662079</v>
      </c>
      <c r="K4" s="5">
        <f t="shared" si="8"/>
        <v>0.10994865919212107</v>
      </c>
      <c r="L4" s="5">
        <f t="shared" si="8"/>
        <v>0.10223296381021783</v>
      </c>
      <c r="M4" s="5">
        <f t="shared" si="8"/>
        <v>9.5058720735816588E-2</v>
      </c>
      <c r="N4" s="5">
        <f t="shared" si="8"/>
        <v>8.8387933315759268E-2</v>
      </c>
      <c r="O4" s="5">
        <f t="shared" si="8"/>
        <v>8.2185271328688442E-2</v>
      </c>
      <c r="P4" s="5">
        <f t="shared" si="8"/>
        <v>7.6417883867026096E-2</v>
      </c>
      <c r="Q4" s="5">
        <f t="shared" si="8"/>
        <v>7.1055225350041801E-2</v>
      </c>
      <c r="R4" s="5">
        <f t="shared" si="8"/>
        <v>6.6068893746530091E-2</v>
      </c>
      <c r="S4" s="5">
        <f t="shared" si="8"/>
        <v>6.1432480150282354E-2</v>
      </c>
      <c r="T4" s="5">
        <f t="shared" si="8"/>
        <v>5.7121428911666043E-2</v>
      </c>
      <c r="U4" s="5">
        <f t="shared" si="8"/>
        <v>5.3112907584531591E-2</v>
      </c>
      <c r="V4" s="5">
        <f t="shared" si="8"/>
        <v>4.9385685999652172E-2</v>
      </c>
      <c r="W4" s="5">
        <f t="shared" si="8"/>
        <v>4.5920023824237981E-2</v>
      </c>
      <c r="X4" s="5">
        <f t="shared" ref="X4" si="9">X2/((1+$B10)^X3)</f>
        <v>0.69148573887375908</v>
      </c>
    </row>
    <row r="5" spans="1:24" x14ac:dyDescent="0.2">
      <c r="A5" s="2"/>
    </row>
    <row r="6" spans="1:24" x14ac:dyDescent="0.2">
      <c r="A6" s="2" t="s">
        <v>62</v>
      </c>
      <c r="B6" s="1">
        <v>0.1</v>
      </c>
    </row>
    <row r="7" spans="1:24" x14ac:dyDescent="0.2">
      <c r="A7" s="2" t="s">
        <v>63</v>
      </c>
      <c r="B7" s="1">
        <v>0.06</v>
      </c>
    </row>
    <row r="8" spans="1:24" x14ac:dyDescent="0.2">
      <c r="A8" s="2" t="s">
        <v>69</v>
      </c>
      <c r="B8" s="1">
        <v>0.03</v>
      </c>
    </row>
    <row r="9" spans="1:24" x14ac:dyDescent="0.2">
      <c r="A9" s="2"/>
    </row>
    <row r="10" spans="1:24" x14ac:dyDescent="0.2">
      <c r="A10" s="2" t="s">
        <v>67</v>
      </c>
      <c r="B10" s="1">
        <f>SUM(B11:B13)</f>
        <v>0.14000000000000001</v>
      </c>
    </row>
    <row r="11" spans="1:24" x14ac:dyDescent="0.2">
      <c r="A11" s="2" t="s">
        <v>64</v>
      </c>
      <c r="B11" s="1">
        <v>0.04</v>
      </c>
    </row>
    <row r="12" spans="1:24" x14ac:dyDescent="0.2">
      <c r="A12" s="2" t="s">
        <v>65</v>
      </c>
      <c r="B12" s="1">
        <v>0.05</v>
      </c>
    </row>
    <row r="13" spans="1:24" x14ac:dyDescent="0.2">
      <c r="A13" s="2" t="s">
        <v>66</v>
      </c>
      <c r="B13" s="1">
        <v>0.05</v>
      </c>
    </row>
    <row r="14" spans="1:24" x14ac:dyDescent="0.2">
      <c r="A14" s="2"/>
    </row>
    <row r="15" spans="1:24" x14ac:dyDescent="0.2">
      <c r="A15" s="2" t="s">
        <v>68</v>
      </c>
      <c r="B15" s="1">
        <f>SUM(B16:B18)</f>
        <v>0.09</v>
      </c>
    </row>
    <row r="16" spans="1:24" x14ac:dyDescent="0.2">
      <c r="A16" s="2" t="s">
        <v>64</v>
      </c>
      <c r="B16" s="1">
        <f>B11</f>
        <v>0.04</v>
      </c>
    </row>
    <row r="17" spans="1:2" x14ac:dyDescent="0.2">
      <c r="A17" s="2" t="s">
        <v>65</v>
      </c>
      <c r="B17" s="3">
        <f>B12</f>
        <v>0.05</v>
      </c>
    </row>
    <row r="18" spans="1:2" x14ac:dyDescent="0.2">
      <c r="A18" s="2" t="s">
        <v>66</v>
      </c>
      <c r="B18" s="3">
        <v>0</v>
      </c>
    </row>
    <row r="19" spans="1:2" x14ac:dyDescent="0.2">
      <c r="A19" s="2"/>
    </row>
    <row r="20" spans="1:2" x14ac:dyDescent="0.2">
      <c r="A20" s="2" t="s">
        <v>70</v>
      </c>
      <c r="B20" s="5">
        <f>SUM(B4:X4)</f>
        <v>3.0558354442860143</v>
      </c>
    </row>
    <row r="21" spans="1:2" x14ac:dyDescent="0.2">
      <c r="A21" s="2" t="s">
        <v>40</v>
      </c>
      <c r="B21" s="5">
        <f>B20</f>
        <v>3.0558354442860143</v>
      </c>
    </row>
    <row r="23" spans="1:2" x14ac:dyDescent="0.2">
      <c r="A23" s="2" t="s">
        <v>7</v>
      </c>
      <c r="B23" s="5">
        <f>B21+'Non-Alcoholic'!F5-'Non-Alcoholic'!G5</f>
        <v>3.9590454442860143</v>
      </c>
    </row>
    <row r="25" spans="1:2" x14ac:dyDescent="0.2">
      <c r="A25" s="2" t="s">
        <v>71</v>
      </c>
      <c r="B25" s="3">
        <f>B23/'Non-Alcoholic'!C5-1</f>
        <v>-0.50075088974955684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DFCF-4C3E-DC45-8421-D0839141D485}">
  <dimension ref="A1:B10"/>
  <sheetViews>
    <sheetView tabSelected="1" workbookViewId="0">
      <selection activeCell="B7" sqref="B7"/>
    </sheetView>
  </sheetViews>
  <sheetFormatPr baseColWidth="10" defaultRowHeight="16" x14ac:dyDescent="0.2"/>
  <cols>
    <col min="1" max="1" width="18.5" customWidth="1"/>
  </cols>
  <sheetData>
    <row r="1" spans="1:2" x14ac:dyDescent="0.2">
      <c r="A1" s="2" t="s">
        <v>0</v>
      </c>
      <c r="B1" t="s">
        <v>1</v>
      </c>
    </row>
    <row r="2" spans="1:2" x14ac:dyDescent="0.2">
      <c r="A2" s="2" t="s">
        <v>5</v>
      </c>
      <c r="B2" s="10">
        <v>0.3</v>
      </c>
    </row>
    <row r="3" spans="1:2" x14ac:dyDescent="0.2">
      <c r="A3" s="2" t="s">
        <v>2</v>
      </c>
      <c r="B3" s="1">
        <v>0.03</v>
      </c>
    </row>
    <row r="4" spans="1:2" x14ac:dyDescent="0.2">
      <c r="A4" s="2" t="s">
        <v>3</v>
      </c>
      <c r="B4" s="1">
        <v>0.1</v>
      </c>
    </row>
    <row r="5" spans="1:2" x14ac:dyDescent="0.2">
      <c r="A5" s="2"/>
      <c r="B5" s="1"/>
    </row>
    <row r="6" spans="1:2" x14ac:dyDescent="0.2">
      <c r="A6" s="2" t="s">
        <v>4</v>
      </c>
      <c r="B6" s="5">
        <f>B2*(1+B3)/(B4-B3)</f>
        <v>4.4142857142857137</v>
      </c>
    </row>
    <row r="7" spans="1:2" x14ac:dyDescent="0.2">
      <c r="A7" s="2" t="s">
        <v>40</v>
      </c>
      <c r="B7" s="5">
        <f>B6</f>
        <v>4.4142857142857137</v>
      </c>
    </row>
    <row r="8" spans="1:2" x14ac:dyDescent="0.2">
      <c r="A8" s="2" t="s">
        <v>7</v>
      </c>
      <c r="B8" s="5">
        <f>B7+'Beer Companies'!F2-'Beer Companies'!G2</f>
        <v>4.6006057142857131</v>
      </c>
    </row>
    <row r="9" spans="1:2" x14ac:dyDescent="0.2">
      <c r="B9" s="1"/>
    </row>
    <row r="10" spans="1:2" x14ac:dyDescent="0.2">
      <c r="A10" s="2" t="s">
        <v>71</v>
      </c>
      <c r="B10" s="3">
        <f>B8/'Beer Companies'!C2-1</f>
        <v>0.44673135669362041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Beer Companies</vt:lpstr>
      <vt:lpstr>Non-Alcoholic</vt:lpstr>
      <vt:lpstr>CELH</vt:lpstr>
      <vt:lpstr>SAM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Janc, Maja</dc:creator>
  <cp:lastModifiedBy>Janc, Maja</cp:lastModifiedBy>
  <dcterms:created xsi:type="dcterms:W3CDTF">2024-10-08T20:10:08Z</dcterms:created>
  <dcterms:modified xsi:type="dcterms:W3CDTF">2024-10-14T15:17:54Z</dcterms:modified>
</cp:coreProperties>
</file>