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/Desktop/Stock Valuation/China &amp; Hong Kong/"/>
    </mc:Choice>
  </mc:AlternateContent>
  <xr:revisionPtr revIDLastSave="0" documentId="13_ncr:1_{FCC72F44-7D98-E240-9A14-7AFC5F2AEF75}" xr6:coauthVersionLast="47" xr6:coauthVersionMax="47" xr10:uidLastSave="{00000000-0000-0000-0000-000000000000}"/>
  <bookViews>
    <workbookView xWindow="0" yWindow="500" windowWidth="28800" windowHeight="16280" activeTab="1" xr2:uid="{76592E7D-B8CF-9648-A411-711FBB45ED02}"/>
  </bookViews>
  <sheets>
    <sheet name="E-commerce" sheetId="1" r:id="rId1"/>
    <sheet name="Chinese Technology" sheetId="3" r:id="rId2"/>
    <sheet name="JD Case 1" sheetId="7" r:id="rId3"/>
    <sheet name="BABA Case 1" sheetId="6" r:id="rId4"/>
    <sheet name="PDD Case 1" sheetId="5" r:id="rId5"/>
    <sheet name="Baidu Case 1" sheetId="4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3" l="1"/>
  <c r="AE3" i="3"/>
  <c r="AF3" i="3"/>
  <c r="AE4" i="3"/>
  <c r="AF4" i="3"/>
  <c r="AE5" i="3"/>
  <c r="AF5" i="3"/>
  <c r="AE6" i="3"/>
  <c r="AF6" i="3"/>
  <c r="AE7" i="3"/>
  <c r="AF7" i="3"/>
  <c r="AE8" i="3"/>
  <c r="AF8" i="3"/>
  <c r="AE9" i="3"/>
  <c r="AF9" i="3"/>
  <c r="AE10" i="3"/>
  <c r="AF10" i="3"/>
  <c r="AE11" i="3"/>
  <c r="AF11" i="3"/>
  <c r="AE12" i="3"/>
  <c r="AF12" i="3"/>
  <c r="AF2" i="3"/>
  <c r="AE2" i="3"/>
  <c r="H3" i="7"/>
  <c r="H1" i="7"/>
  <c r="B2" i="7"/>
  <c r="AC3" i="3"/>
  <c r="N12" i="3"/>
  <c r="AB12" i="3" s="1"/>
  <c r="AD12" i="3" s="1"/>
  <c r="N11" i="3"/>
  <c r="AB11" i="3" s="1"/>
  <c r="AD11" i="3" s="1"/>
  <c r="AD3" i="3"/>
  <c r="AC4" i="3"/>
  <c r="AD4" i="3"/>
  <c r="AC5" i="3"/>
  <c r="AD5" i="3"/>
  <c r="AC6" i="3"/>
  <c r="AD6" i="3"/>
  <c r="AC7" i="3"/>
  <c r="AD7" i="3"/>
  <c r="AC8" i="3"/>
  <c r="AD8" i="3"/>
  <c r="AC9" i="3"/>
  <c r="AC10" i="3"/>
  <c r="AC11" i="3"/>
  <c r="AC12" i="3"/>
  <c r="AD2" i="3"/>
  <c r="AC2" i="3"/>
  <c r="AA3" i="3"/>
  <c r="AB3" i="3"/>
  <c r="AA4" i="3"/>
  <c r="AB4" i="3"/>
  <c r="AA5" i="3"/>
  <c r="AB5" i="3"/>
  <c r="AA6" i="3"/>
  <c r="AB6" i="3"/>
  <c r="AA7" i="3"/>
  <c r="AB7" i="3"/>
  <c r="AA8" i="3"/>
  <c r="AB8" i="3"/>
  <c r="AA9" i="3"/>
  <c r="AB9" i="3"/>
  <c r="AD9" i="3" s="1"/>
  <c r="AA10" i="3"/>
  <c r="AB10" i="3"/>
  <c r="AD10" i="3" s="1"/>
  <c r="AA11" i="3"/>
  <c r="AA12" i="3"/>
  <c r="AB2" i="3"/>
  <c r="AA2" i="3"/>
  <c r="Y8" i="3"/>
  <c r="Z8" i="3"/>
  <c r="X8" i="3"/>
  <c r="U8" i="3"/>
  <c r="V8" i="3"/>
  <c r="Y6" i="3"/>
  <c r="Z6" i="3"/>
  <c r="Y12" i="3"/>
  <c r="Z12" i="3"/>
  <c r="X12" i="3"/>
  <c r="V12" i="3"/>
  <c r="V11" i="3"/>
  <c r="Y10" i="3"/>
  <c r="V10" i="3"/>
  <c r="Y9" i="3"/>
  <c r="V9" i="3"/>
  <c r="V7" i="3"/>
  <c r="V4" i="3"/>
  <c r="V3" i="3"/>
  <c r="V6" i="3"/>
  <c r="U6" i="3"/>
  <c r="Y2" i="3"/>
  <c r="Z2" i="3"/>
  <c r="U2" i="3"/>
  <c r="Y7" i="3" l="1"/>
  <c r="U7" i="3"/>
  <c r="V5" i="3"/>
  <c r="W5" i="3" s="1"/>
  <c r="U5" i="3"/>
  <c r="Z3" i="3"/>
  <c r="Y4" i="3"/>
  <c r="Z4" i="3"/>
  <c r="U4" i="3"/>
  <c r="W4" i="3" s="1"/>
  <c r="Y3" i="3"/>
  <c r="W2" i="3"/>
  <c r="W3" i="3"/>
  <c r="W6" i="3"/>
  <c r="W7" i="3"/>
  <c r="W8" i="3"/>
  <c r="W10" i="3"/>
  <c r="W11" i="3"/>
  <c r="W12" i="3"/>
  <c r="W9" i="3"/>
  <c r="U3" i="3"/>
  <c r="O12" i="3"/>
  <c r="P12" i="3"/>
  <c r="Q12" i="3"/>
  <c r="R9" i="3"/>
  <c r="S9" i="3"/>
  <c r="T9" i="3"/>
  <c r="R10" i="3"/>
  <c r="S10" i="3"/>
  <c r="T10" i="3"/>
  <c r="R11" i="3"/>
  <c r="S11" i="3"/>
  <c r="T11" i="3"/>
  <c r="R12" i="3"/>
  <c r="S12" i="3"/>
  <c r="T12" i="3"/>
  <c r="I9" i="3"/>
  <c r="P9" i="3" s="1"/>
  <c r="I10" i="3"/>
  <c r="P10" i="3" s="1"/>
  <c r="I11" i="3"/>
  <c r="P11" i="3" s="1"/>
  <c r="I12" i="3"/>
  <c r="H9" i="3"/>
  <c r="H10" i="3"/>
  <c r="H11" i="3"/>
  <c r="H12" i="3"/>
  <c r="F11" i="3"/>
  <c r="F10" i="3"/>
  <c r="F9" i="3"/>
  <c r="G11" i="3"/>
  <c r="G10" i="3"/>
  <c r="G9" i="3"/>
  <c r="E9" i="3"/>
  <c r="E10" i="3"/>
  <c r="E11" i="3"/>
  <c r="E12" i="3"/>
  <c r="B9" i="3"/>
  <c r="B10" i="3"/>
  <c r="B11" i="3"/>
  <c r="B12" i="3"/>
  <c r="C9" i="3"/>
  <c r="O11" i="3" l="1"/>
  <c r="Q11" i="3"/>
  <c r="O10" i="3"/>
  <c r="Q10" i="3"/>
  <c r="Q9" i="3"/>
  <c r="O9" i="3"/>
  <c r="B6" i="4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C2" i="4"/>
  <c r="D2" i="4" s="1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C2" i="7"/>
  <c r="D2" i="7" s="1"/>
  <c r="E2" i="7" s="1"/>
  <c r="F2" i="7" s="1"/>
  <c r="G2" i="7" s="1"/>
  <c r="B11" i="7"/>
  <c r="B4" i="7" s="1"/>
  <c r="C3" i="7"/>
  <c r="D3" i="7" s="1"/>
  <c r="E3" i="7" s="1"/>
  <c r="F3" i="7" s="1"/>
  <c r="G3" i="7" s="1"/>
  <c r="C1" i="7"/>
  <c r="D1" i="7" s="1"/>
  <c r="E1" i="7" s="1"/>
  <c r="F1" i="7" s="1"/>
  <c r="G1" i="7" s="1"/>
  <c r="M8" i="3"/>
  <c r="L8" i="3"/>
  <c r="K8" i="3"/>
  <c r="J8" i="3"/>
  <c r="N7" i="3"/>
  <c r="N6" i="3"/>
  <c r="M6" i="3"/>
  <c r="L6" i="3"/>
  <c r="K6" i="3"/>
  <c r="J6" i="3"/>
  <c r="B10" i="4"/>
  <c r="B4" i="4" s="1"/>
  <c r="B2" i="6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N4" i="6" s="1"/>
  <c r="B2" i="5"/>
  <c r="B10" i="6"/>
  <c r="C3" i="6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B15" i="5"/>
  <c r="B10" i="5"/>
  <c r="C2" i="5"/>
  <c r="D2" i="5" s="1"/>
  <c r="E2" i="5" s="1"/>
  <c r="F2" i="5" s="1"/>
  <c r="G2" i="5" s="1"/>
  <c r="H2" i="5" s="1"/>
  <c r="I2" i="5" s="1"/>
  <c r="J2" i="5" s="1"/>
  <c r="C3" i="5"/>
  <c r="D3" i="5" s="1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C1" i="5"/>
  <c r="D1" i="5" s="1"/>
  <c r="E1" i="5" s="1"/>
  <c r="F1" i="5" s="1"/>
  <c r="G1" i="5" s="1"/>
  <c r="H1" i="5" s="1"/>
  <c r="I1" i="5" s="1"/>
  <c r="J1" i="5" s="1"/>
  <c r="K1" i="5" s="1"/>
  <c r="N5" i="3"/>
  <c r="M5" i="3"/>
  <c r="L5" i="3"/>
  <c r="K5" i="3"/>
  <c r="J5" i="3"/>
  <c r="G4" i="7" l="1"/>
  <c r="H2" i="7"/>
  <c r="H4" i="7" s="1"/>
  <c r="E4" i="7"/>
  <c r="C4" i="7"/>
  <c r="F4" i="7"/>
  <c r="D4" i="7"/>
  <c r="L1" i="5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E2" i="4"/>
  <c r="D4" i="4"/>
  <c r="C4" i="4"/>
  <c r="B4" i="6"/>
  <c r="C4" i="5"/>
  <c r="C4" i="6"/>
  <c r="K2" i="5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B4" i="5"/>
  <c r="B16" i="7" l="1"/>
  <c r="B17" i="7" s="1"/>
  <c r="B18" i="7" s="1"/>
  <c r="B19" i="7" s="1"/>
  <c r="B21" i="7" s="1"/>
  <c r="F2" i="4"/>
  <c r="E4" i="4"/>
  <c r="D4" i="6"/>
  <c r="D4" i="5"/>
  <c r="F4" i="4" l="1"/>
  <c r="G2" i="4"/>
  <c r="I4" i="6"/>
  <c r="H4" i="6"/>
  <c r="G4" i="6"/>
  <c r="E4" i="6"/>
  <c r="F4" i="6"/>
  <c r="E4" i="5"/>
  <c r="H2" i="4" l="1"/>
  <c r="G4" i="4"/>
  <c r="J4" i="6"/>
  <c r="F4" i="5"/>
  <c r="I2" i="4" l="1"/>
  <c r="H4" i="4"/>
  <c r="K4" i="6"/>
  <c r="G4" i="5"/>
  <c r="J2" i="4" l="1"/>
  <c r="I4" i="4"/>
  <c r="M4" i="6"/>
  <c r="L4" i="6"/>
  <c r="B15" i="6" s="1"/>
  <c r="B16" i="6" s="1"/>
  <c r="H4" i="5"/>
  <c r="K2" i="4" l="1"/>
  <c r="J4" i="4"/>
  <c r="I4" i="5"/>
  <c r="B17" i="6" l="1"/>
  <c r="B19" i="6" s="1"/>
  <c r="L2" i="4"/>
  <c r="K4" i="4"/>
  <c r="J4" i="5"/>
  <c r="M2" i="4" l="1"/>
  <c r="L4" i="4"/>
  <c r="K4" i="5"/>
  <c r="N2" i="4" l="1"/>
  <c r="M4" i="4"/>
  <c r="L4" i="5"/>
  <c r="N4" i="4" l="1"/>
  <c r="O2" i="4"/>
  <c r="M4" i="5"/>
  <c r="P2" i="4" l="1"/>
  <c r="O4" i="4"/>
  <c r="N4" i="5"/>
  <c r="Q2" i="4" l="1"/>
  <c r="P4" i="4"/>
  <c r="O4" i="5"/>
  <c r="R2" i="4" l="1"/>
  <c r="Q4" i="4"/>
  <c r="P4" i="5"/>
  <c r="S2" i="4" l="1"/>
  <c r="R4" i="4"/>
  <c r="Q4" i="5"/>
  <c r="T2" i="4" l="1"/>
  <c r="S4" i="4"/>
  <c r="R4" i="5"/>
  <c r="U2" i="4" l="1"/>
  <c r="T4" i="4"/>
  <c r="S4" i="5"/>
  <c r="V2" i="4" l="1"/>
  <c r="U4" i="4"/>
  <c r="T4" i="5"/>
  <c r="V4" i="4" l="1"/>
  <c r="W4" i="4" s="1"/>
  <c r="B15" i="4" s="1"/>
  <c r="W2" i="4"/>
  <c r="B9" i="4"/>
  <c r="B16" i="4" s="1"/>
  <c r="B18" i="4" s="1"/>
  <c r="V4" i="5"/>
  <c r="W4" i="5" s="1"/>
  <c r="B20" i="5" s="1"/>
  <c r="U4" i="5"/>
  <c r="E3" i="3" l="1"/>
  <c r="E4" i="3"/>
  <c r="E5" i="3"/>
  <c r="E6" i="3"/>
  <c r="E7" i="3"/>
  <c r="E8" i="3"/>
  <c r="E2" i="3"/>
  <c r="N4" i="3"/>
  <c r="M4" i="3"/>
  <c r="L4" i="3"/>
  <c r="K4" i="3"/>
  <c r="R4" i="3" s="1"/>
  <c r="J4" i="3"/>
  <c r="N3" i="3"/>
  <c r="M3" i="3"/>
  <c r="L3" i="3"/>
  <c r="S3" i="3" s="1"/>
  <c r="K3" i="3"/>
  <c r="J3" i="3"/>
  <c r="M7" i="3"/>
  <c r="L7" i="3"/>
  <c r="K7" i="3"/>
  <c r="J7" i="3"/>
  <c r="T7" i="3" s="1"/>
  <c r="M2" i="3"/>
  <c r="L2" i="3"/>
  <c r="K2" i="3"/>
  <c r="J2" i="3"/>
  <c r="T2" i="3" s="1"/>
  <c r="F8" i="3"/>
  <c r="G8" i="3"/>
  <c r="F7" i="3"/>
  <c r="I7" i="3" s="1"/>
  <c r="Q7" i="3" s="1"/>
  <c r="G7" i="3"/>
  <c r="H7" i="3" s="1"/>
  <c r="F6" i="3"/>
  <c r="G6" i="3"/>
  <c r="F5" i="3"/>
  <c r="G5" i="3"/>
  <c r="H5" i="3" s="1"/>
  <c r="F4" i="3"/>
  <c r="G4" i="3"/>
  <c r="H4" i="3" s="1"/>
  <c r="F3" i="3"/>
  <c r="G3" i="3"/>
  <c r="H3" i="3" s="1"/>
  <c r="S4" i="3"/>
  <c r="R5" i="3"/>
  <c r="S5" i="3"/>
  <c r="R6" i="3"/>
  <c r="S6" i="3"/>
  <c r="R7" i="3"/>
  <c r="R8" i="3"/>
  <c r="S8" i="3"/>
  <c r="F2" i="3"/>
  <c r="G2" i="3"/>
  <c r="H2" i="3" s="1"/>
  <c r="B2" i="3"/>
  <c r="B3" i="3"/>
  <c r="T3" i="3"/>
  <c r="B4" i="3"/>
  <c r="B5" i="3"/>
  <c r="T5" i="3"/>
  <c r="B6" i="3"/>
  <c r="T6" i="3"/>
  <c r="B7" i="3"/>
  <c r="B8" i="3"/>
  <c r="T8" i="3"/>
  <c r="B21" i="5" l="1"/>
  <c r="B23" i="5" s="1"/>
  <c r="R2" i="3"/>
  <c r="S2" i="3"/>
  <c r="S7" i="3"/>
  <c r="R3" i="3"/>
  <c r="T4" i="3"/>
  <c r="O7" i="3"/>
  <c r="I4" i="3"/>
  <c r="O4" i="3" s="1"/>
  <c r="H8" i="3"/>
  <c r="H6" i="3"/>
  <c r="I6" i="3"/>
  <c r="I5" i="3"/>
  <c r="P7" i="3"/>
  <c r="I2" i="3"/>
  <c r="I8" i="3"/>
  <c r="I3" i="3"/>
  <c r="C3" i="1"/>
  <c r="D3" i="1"/>
  <c r="E3" i="1"/>
  <c r="F3" i="1"/>
  <c r="G3" i="1"/>
  <c r="B3" i="1"/>
  <c r="C4" i="1"/>
  <c r="D4" i="1"/>
  <c r="E4" i="1"/>
  <c r="F4" i="1"/>
  <c r="G4" i="1"/>
  <c r="B4" i="1"/>
  <c r="C17" i="1"/>
  <c r="D17" i="1"/>
  <c r="E17" i="1"/>
  <c r="F17" i="1"/>
  <c r="G17" i="1"/>
  <c r="B17" i="1"/>
  <c r="C15" i="1"/>
  <c r="D15" i="1"/>
  <c r="E15" i="1"/>
  <c r="F15" i="1"/>
  <c r="G15" i="1"/>
  <c r="B15" i="1"/>
  <c r="Q3" i="3" l="1"/>
  <c r="O3" i="3"/>
  <c r="P3" i="3"/>
  <c r="F8" i="1"/>
  <c r="Q8" i="3"/>
  <c r="O8" i="3"/>
  <c r="P6" i="3"/>
  <c r="O6" i="3"/>
  <c r="P5" i="3"/>
  <c r="O5" i="3"/>
  <c r="P4" i="3"/>
  <c r="P2" i="3"/>
  <c r="O2" i="3"/>
  <c r="Q2" i="3"/>
  <c r="E9" i="1"/>
  <c r="F9" i="1"/>
  <c r="P8" i="3"/>
  <c r="Q6" i="3"/>
  <c r="Q4" i="3"/>
  <c r="Q5" i="3"/>
  <c r="G9" i="1"/>
  <c r="E8" i="1"/>
  <c r="D9" i="1"/>
  <c r="G8" i="1"/>
  <c r="D8" i="1"/>
  <c r="C8" i="1"/>
  <c r="C9" i="1"/>
  <c r="C16" i="1"/>
  <c r="D16" i="1"/>
  <c r="E16" i="1"/>
  <c r="F16" i="1"/>
  <c r="G16" i="1"/>
  <c r="B16" i="1"/>
  <c r="C24" i="1" l="1"/>
  <c r="B24" i="1"/>
  <c r="D24" i="1"/>
  <c r="E24" i="1"/>
  <c r="F24" i="1"/>
  <c r="G24" i="1"/>
  <c r="C32" i="1" l="1"/>
  <c r="D32" i="1"/>
  <c r="E32" i="1"/>
  <c r="F32" i="1"/>
  <c r="G32" i="1"/>
  <c r="B32" i="1"/>
  <c r="C28" i="1"/>
  <c r="D28" i="1"/>
  <c r="E28" i="1"/>
  <c r="F28" i="1"/>
  <c r="G28" i="1"/>
  <c r="B28" i="1"/>
  <c r="C20" i="1"/>
  <c r="D20" i="1"/>
  <c r="E20" i="1"/>
  <c r="F20" i="1"/>
  <c r="G20" i="1"/>
  <c r="B20" i="1"/>
  <c r="C33" i="1"/>
  <c r="D33" i="1"/>
  <c r="E33" i="1"/>
  <c r="F33" i="1"/>
  <c r="G33" i="1"/>
  <c r="B33" i="1"/>
  <c r="C29" i="1"/>
  <c r="D29" i="1"/>
  <c r="E29" i="1"/>
  <c r="F29" i="1"/>
  <c r="G29" i="1"/>
  <c r="B29" i="1"/>
  <c r="C25" i="1"/>
  <c r="D25" i="1"/>
  <c r="E25" i="1"/>
  <c r="F25" i="1"/>
  <c r="G25" i="1"/>
  <c r="B25" i="1"/>
  <c r="C21" i="1"/>
  <c r="D21" i="1"/>
  <c r="E21" i="1"/>
  <c r="F21" i="1"/>
  <c r="G21" i="1"/>
  <c r="B21" i="1"/>
  <c r="C31" i="1"/>
  <c r="D31" i="1"/>
  <c r="E31" i="1"/>
  <c r="F31" i="1"/>
  <c r="G31" i="1"/>
  <c r="B31" i="1"/>
  <c r="C27" i="1"/>
  <c r="D27" i="1"/>
  <c r="E27" i="1"/>
  <c r="F27" i="1"/>
  <c r="G27" i="1"/>
  <c r="B27" i="1"/>
  <c r="C23" i="1"/>
  <c r="D23" i="1"/>
  <c r="E23" i="1"/>
  <c r="F23" i="1"/>
  <c r="G23" i="1"/>
  <c r="B23" i="1"/>
  <c r="C19" i="1"/>
  <c r="D19" i="1"/>
  <c r="E19" i="1"/>
  <c r="F19" i="1"/>
  <c r="G19" i="1"/>
  <c r="B19" i="1"/>
  <c r="C2" i="1" l="1"/>
  <c r="D2" i="1"/>
  <c r="D7" i="1" s="1"/>
  <c r="E2" i="1"/>
  <c r="F2" i="1"/>
  <c r="B2" i="1"/>
  <c r="F7" i="1" l="1"/>
  <c r="E7" i="1"/>
  <c r="G7" i="1"/>
  <c r="C7" i="1"/>
  <c r="C1" i="1"/>
  <c r="D1" i="1" s="1"/>
  <c r="E1" i="1" s="1"/>
  <c r="F1" i="1" s="1"/>
  <c r="G1" i="1" s="1"/>
  <c r="C5" i="1" l="1"/>
  <c r="C13" i="1" s="1"/>
  <c r="F5" i="1"/>
  <c r="F11" i="1" s="1"/>
  <c r="E5" i="1"/>
  <c r="B5" i="1"/>
  <c r="G5" i="1"/>
  <c r="D5" i="1"/>
  <c r="C11" i="1" l="1"/>
  <c r="C12" i="1"/>
  <c r="F12" i="1"/>
  <c r="F13" i="1"/>
  <c r="G13" i="1"/>
  <c r="E12" i="1"/>
  <c r="B12" i="1"/>
  <c r="E13" i="1"/>
  <c r="E11" i="1"/>
  <c r="G11" i="1"/>
  <c r="G12" i="1"/>
  <c r="B13" i="1"/>
  <c r="B11" i="1"/>
  <c r="D12" i="1"/>
  <c r="D13" i="1"/>
  <c r="D11" i="1"/>
</calcChain>
</file>

<file path=xl/sharedStrings.xml><?xml version="1.0" encoding="utf-8"?>
<sst xmlns="http://schemas.openxmlformats.org/spreadsheetml/2006/main" count="145" uniqueCount="91">
  <si>
    <t>JD.com</t>
  </si>
  <si>
    <t>PDD Holdings Inc.</t>
  </si>
  <si>
    <t>Alibaba Group</t>
  </si>
  <si>
    <t>Top 3 Chinese E-commerce Companies Revenue:</t>
  </si>
  <si>
    <t>Total</t>
  </si>
  <si>
    <t>Gross Margins:</t>
  </si>
  <si>
    <t>Marketshares:</t>
  </si>
  <si>
    <t>Operating Margins:</t>
  </si>
  <si>
    <t>Operating Expense/Revenues:</t>
  </si>
  <si>
    <t>Net Margins:</t>
  </si>
  <si>
    <t>COGS/Revenues:</t>
  </si>
  <si>
    <t>Growth Rates</t>
  </si>
  <si>
    <t>2024 E</t>
  </si>
  <si>
    <t>2025 E</t>
  </si>
  <si>
    <t>2026 E</t>
  </si>
  <si>
    <t>2027 E</t>
  </si>
  <si>
    <t>2028 E</t>
  </si>
  <si>
    <t>MEI TUAN</t>
  </si>
  <si>
    <t>BIDU</t>
  </si>
  <si>
    <t>XIAOMI</t>
  </si>
  <si>
    <t>PDD</t>
  </si>
  <si>
    <t>JD</t>
  </si>
  <si>
    <t>Alibaba</t>
  </si>
  <si>
    <t>Tencent</t>
  </si>
  <si>
    <t>EV/Revenue</t>
  </si>
  <si>
    <t>EV/OFCF</t>
  </si>
  <si>
    <t>OFCF (RMB)</t>
  </si>
  <si>
    <t>Revenue (RMB)</t>
  </si>
  <si>
    <t>Enterprise Value (RMB)</t>
  </si>
  <si>
    <t xml:space="preserve">Cash </t>
  </si>
  <si>
    <t>Debt</t>
  </si>
  <si>
    <t>Market Cap (RMB)</t>
  </si>
  <si>
    <t>Shares Outstanding</t>
  </si>
  <si>
    <t>Share Price (RMB)</t>
  </si>
  <si>
    <t>Company</t>
  </si>
  <si>
    <t>Operating Income (RMB)</t>
  </si>
  <si>
    <t>Gross Profit (RMB)</t>
  </si>
  <si>
    <t>OFCF margin</t>
  </si>
  <si>
    <t>Operating margin</t>
  </si>
  <si>
    <t>Gross margin</t>
  </si>
  <si>
    <t>C/D Ratio</t>
  </si>
  <si>
    <t>EV/OI</t>
  </si>
  <si>
    <t>P/E Ratio</t>
  </si>
  <si>
    <t>NPV</t>
  </si>
  <si>
    <t xml:space="preserve">Discount </t>
  </si>
  <si>
    <t>rf</t>
  </si>
  <si>
    <t>MP</t>
  </si>
  <si>
    <t>Growth</t>
  </si>
  <si>
    <t>Growth 1</t>
  </si>
  <si>
    <t>Growth 2</t>
  </si>
  <si>
    <t>Growth 3</t>
  </si>
  <si>
    <t>Company Risk</t>
  </si>
  <si>
    <t>Discount 1</t>
  </si>
  <si>
    <t>Discount 2</t>
  </si>
  <si>
    <t>Net Income (RMB)</t>
  </si>
  <si>
    <t xml:space="preserve">Growth 3 </t>
  </si>
  <si>
    <t>Year</t>
  </si>
  <si>
    <t xml:space="preserve">Period </t>
  </si>
  <si>
    <t>2023 FCF (Operating Cashflow - CapEx)</t>
  </si>
  <si>
    <t>Growth Rate 1</t>
  </si>
  <si>
    <t>Discount Rate</t>
  </si>
  <si>
    <t>Growth Rate 2</t>
  </si>
  <si>
    <t>Discounted FCF</t>
  </si>
  <si>
    <t>Terminal Value</t>
  </si>
  <si>
    <t>Free Cash Flow</t>
  </si>
  <si>
    <t>Periods</t>
  </si>
  <si>
    <t>Discounted Cashflow</t>
  </si>
  <si>
    <t>Current Market Cap</t>
  </si>
  <si>
    <t>XPeng</t>
  </si>
  <si>
    <t>NIO Inc</t>
  </si>
  <si>
    <t>Li Auto</t>
  </si>
  <si>
    <t>Geely Holding</t>
  </si>
  <si>
    <t>Operating Assets (Net PPE + IP)</t>
  </si>
  <si>
    <t>NWC</t>
  </si>
  <si>
    <t>Invested Capital</t>
  </si>
  <si>
    <t>D&amp;A (Previous Year)</t>
  </si>
  <si>
    <t>CapEx  (Previous Year)</t>
  </si>
  <si>
    <t xml:space="preserve">Change in NWC  </t>
  </si>
  <si>
    <t xml:space="preserve">Adj. OI </t>
  </si>
  <si>
    <t>Adj. OFCF</t>
  </si>
  <si>
    <t>Adj. OI/IC</t>
  </si>
  <si>
    <t>Adj.OFCF/OI</t>
  </si>
  <si>
    <t>Enterprise Value</t>
  </si>
  <si>
    <t>Market Cap</t>
  </si>
  <si>
    <t xml:space="preserve">Potential Return </t>
  </si>
  <si>
    <t>Potential Returns</t>
  </si>
  <si>
    <t>Potential Return</t>
  </si>
  <si>
    <t>Free Cashflow</t>
  </si>
  <si>
    <t>FCF (Billions)</t>
  </si>
  <si>
    <t xml:space="preserve">EV/Adj. OI </t>
  </si>
  <si>
    <t>EV/Adj. OFCF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</si>
</sst>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[$$-409]* #,##0_);_([$$-409]* \(#,##0\);_([$$-409]* &quot;-&quot;_);_(@_)"/>
    <numFmt numFmtId="165" formatCode="0.0%"/>
    <numFmt numFmtId="166" formatCode="_([$$-409]* #,##0.00_);_([$$-409]* \(#,##0.00\);_([$$-409]* &quot;-&quot;??_);_(@_)"/>
    <numFmt numFmtId="167" formatCode="_ [$¥-804]* #,##0.00_ ;_ [$¥-804]* \-#,##0.00_ ;_ [$¥-804]* &quot;-&quot;??_ ;_ @_ "/>
    <numFmt numFmtId="168" formatCode="_ [$¥-804]* #,##0.0_ ;_ [$¥-804]* \-#,##0.0_ ;_ [$¥-804]* &quot;-&quot;_ ;_ @_ "/>
    <numFmt numFmtId="169" formatCode="_ [$¥-804]* #,##0_ ;_ [$¥-804]* \-#,##0_ ;_ [$¥-804]* &quot;-&quot;_ ;_ @_ "/>
    <numFmt numFmtId="170" formatCode="_([$$-409]* #,##0_);_([$$-409]* \(#,##0\);_([$$-409]* &quot;-&quot;??_);_(@_)"/>
    <numFmt numFmtId="171" formatCode="0.0"/>
    <numFmt numFmtId="172" formatCode="_ [$¥-804]* #,##0.00_ ;_ [$¥-804]* \-#,##0.00_ ;_ [$¥-804]* &quot;-&quot;_ ;_ 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4" fillId="0" borderId="0" xfId="1" applyFont="1"/>
    <xf numFmtId="165" fontId="4" fillId="0" borderId="0" xfId="1" applyNumberFormat="1" applyFont="1"/>
    <xf numFmtId="165" fontId="4" fillId="0" borderId="0" xfId="1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9" fontId="5" fillId="0" borderId="0" xfId="1" applyFont="1"/>
    <xf numFmtId="166" fontId="0" fillId="0" borderId="0" xfId="0" applyNumberFormat="1"/>
    <xf numFmtId="167" fontId="0" fillId="0" borderId="0" xfId="0" applyNumberFormat="1"/>
    <xf numFmtId="9" fontId="0" fillId="0" borderId="0" xfId="1" applyFont="1"/>
    <xf numFmtId="2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9" fontId="0" fillId="0" borderId="0" xfId="0" applyNumberFormat="1"/>
    <xf numFmtId="166" fontId="2" fillId="0" borderId="0" xfId="0" applyNumberFormat="1" applyFont="1"/>
    <xf numFmtId="170" fontId="2" fillId="0" borderId="0" xfId="0" applyNumberFormat="1" applyFont="1"/>
    <xf numFmtId="166" fontId="0" fillId="0" borderId="0" xfId="1" applyNumberFormat="1" applyFont="1"/>
    <xf numFmtId="169" fontId="2" fillId="0" borderId="0" xfId="0" applyNumberFormat="1" applyFont="1"/>
    <xf numFmtId="9" fontId="2" fillId="0" borderId="0" xfId="1" applyFont="1"/>
    <xf numFmtId="171" fontId="2" fillId="2" borderId="0" xfId="0" applyNumberFormat="1" applyFont="1" applyFill="1"/>
    <xf numFmtId="9" fontId="2" fillId="3" borderId="0" xfId="1" applyFont="1" applyFill="1"/>
    <xf numFmtId="17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BABA.xlsx" TargetMode="External"/><Relationship Id="rId1" Type="http://schemas.openxmlformats.org/officeDocument/2006/relationships/externalLinkPath" Target="BAB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JD.xlsx" TargetMode="External"/><Relationship Id="rId1" Type="http://schemas.openxmlformats.org/officeDocument/2006/relationships/externalLinkPath" Target="JD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PDD.xlsx" TargetMode="External"/><Relationship Id="rId1" Type="http://schemas.openxmlformats.org/officeDocument/2006/relationships/externalLinkPath" Target="PD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9">
          <cell r="B9">
            <v>183723</v>
          </cell>
          <cell r="C9">
            <v>257603</v>
          </cell>
          <cell r="D9">
            <v>345177</v>
          </cell>
          <cell r="E9">
            <v>501379</v>
          </cell>
          <cell r="F9">
            <v>591580</v>
          </cell>
        </row>
        <row r="13">
          <cell r="B13">
            <v>20841</v>
          </cell>
          <cell r="C13">
            <v>27725</v>
          </cell>
          <cell r="D13">
            <v>33917</v>
          </cell>
          <cell r="E13">
            <v>48851</v>
          </cell>
          <cell r="F13">
            <v>61078</v>
          </cell>
        </row>
        <row r="15">
          <cell r="B15">
            <v>6759</v>
          </cell>
          <cell r="C15">
            <v>14885</v>
          </cell>
          <cell r="D15">
            <v>22233</v>
          </cell>
          <cell r="E15">
            <v>37258</v>
          </cell>
          <cell r="F15">
            <v>46107</v>
          </cell>
        </row>
        <row r="93">
          <cell r="B93">
            <v>0.42772090495712561</v>
          </cell>
          <cell r="C93">
            <v>0.54911050726560595</v>
          </cell>
          <cell r="D93">
            <v>0.55397470331226906</v>
          </cell>
          <cell r="E93">
            <v>0.58721798326755326</v>
          </cell>
          <cell r="F93">
            <v>0.63236904234393276</v>
          </cell>
          <cell r="G93">
            <v>0.63278833457850758</v>
          </cell>
        </row>
        <row r="94">
          <cell r="B94">
            <v>0.57227909504287433</v>
          </cell>
          <cell r="C94">
            <v>0.45088949273439405</v>
          </cell>
          <cell r="D94">
            <v>0.44602529668773089</v>
          </cell>
          <cell r="E94">
            <v>0.41278201673244674</v>
          </cell>
          <cell r="F94">
            <v>0.36763095765606718</v>
          </cell>
          <cell r="G94">
            <v>0.36721166542149242</v>
          </cell>
        </row>
        <row r="95">
          <cell r="B95">
            <v>0.26489415262161059</v>
          </cell>
          <cell r="C95">
            <v>0.2709450064217554</v>
          </cell>
          <cell r="D95">
            <v>0.23925322388569209</v>
          </cell>
          <cell r="E95">
            <v>0.27043353515807433</v>
          </cell>
          <cell r="F95">
            <v>0.24287331987592931</v>
          </cell>
          <cell r="G95">
            <v>0.23302179035717122</v>
          </cell>
        </row>
        <row r="96">
          <cell r="B96">
            <v>0.27696131316279476</v>
          </cell>
          <cell r="C96">
            <v>0.1514791266412627</v>
          </cell>
          <cell r="D96">
            <v>0.17937615629248732</v>
          </cell>
          <cell r="E96">
            <v>0.12502352608223463</v>
          </cell>
          <cell r="F96">
            <v>8.1632987989149669E-2</v>
          </cell>
          <cell r="G96">
            <v>0.1155203197469284</v>
          </cell>
        </row>
        <row r="97">
          <cell r="B97">
            <v>0.24538690832953738</v>
          </cell>
          <cell r="C97">
            <v>0.21291038201483903</v>
          </cell>
          <cell r="D97">
            <v>0.27535211129443937</v>
          </cell>
          <cell r="E97">
            <v>0.19975769877971083</v>
          </cell>
          <cell r="F97">
            <v>5.5188251264269184E-2</v>
          </cell>
          <cell r="G97">
            <v>7.5485186263867188E-2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1">
          <cell r="D11">
            <v>20610.902999999998</v>
          </cell>
          <cell r="E11">
            <v>26612.603999999999</v>
          </cell>
          <cell r="F11">
            <v>34852</v>
          </cell>
          <cell r="G11">
            <v>35925</v>
          </cell>
        </row>
        <row r="12">
          <cell r="D12">
            <v>1097.94</v>
          </cell>
          <cell r="E12">
            <v>-1827.056</v>
          </cell>
          <cell r="F12">
            <v>528</v>
          </cell>
          <cell r="G12">
            <v>1005</v>
          </cell>
        </row>
        <row r="18">
          <cell r="B18">
            <v>462020</v>
          </cell>
          <cell r="C18">
            <v>576888</v>
          </cell>
          <cell r="D18">
            <v>745802</v>
          </cell>
          <cell r="E18">
            <v>951592</v>
          </cell>
          <cell r="F18">
            <v>1046236</v>
          </cell>
          <cell r="G18">
            <v>1084662</v>
          </cell>
        </row>
        <row r="88">
          <cell r="B88">
            <v>0.14275139604346132</v>
          </cell>
          <cell r="C88">
            <v>0.14633863072208123</v>
          </cell>
          <cell r="D88">
            <v>0.14593417555866034</v>
          </cell>
          <cell r="E88">
            <v>0.13563165726487822</v>
          </cell>
          <cell r="F88">
            <v>0.14057344614408221</v>
          </cell>
          <cell r="G88">
            <v>0.14723849457250276</v>
          </cell>
        </row>
        <row r="89">
          <cell r="B89">
            <v>0.85724860395653868</v>
          </cell>
          <cell r="C89">
            <v>0.8536613692779188</v>
          </cell>
          <cell r="D89">
            <v>0.8540658244413396</v>
          </cell>
          <cell r="E89">
            <v>0.86436834273512175</v>
          </cell>
          <cell r="F89">
            <v>0.85942655385591782</v>
          </cell>
          <cell r="G89">
            <v>0.85276150542749718</v>
          </cell>
        </row>
        <row r="97">
          <cell r="B97">
            <v>0.14841998181896887</v>
          </cell>
          <cell r="C97">
            <v>0.13074634937804219</v>
          </cell>
          <cell r="D97">
            <v>0.12974623291436602</v>
          </cell>
          <cell r="E97">
            <v>0.13128000235395001</v>
          </cell>
          <cell r="F97">
            <v>0.12172205888537577</v>
          </cell>
          <cell r="G97">
            <v>0.12324484493787005</v>
          </cell>
        </row>
        <row r="98">
          <cell r="B98">
            <v>-5.6685857755075534E-3</v>
          </cell>
        </row>
        <row r="99">
          <cell r="B99">
            <v>-6.0625081165317516E-3</v>
          </cell>
          <cell r="C99">
            <v>2.0610586456989918E-2</v>
          </cell>
          <cell r="D99">
            <v>6.579092037833098E-2</v>
          </cell>
          <cell r="E99">
            <v>-4.694238707345165E-3</v>
          </cell>
          <cell r="F99">
            <v>9.2627284857336196E-3</v>
          </cell>
          <cell r="G99">
            <v>2.1441702576470826E-2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8">
          <cell r="D8">
            <v>13119.990000000002</v>
          </cell>
          <cell r="E8">
            <v>30141.885999999999</v>
          </cell>
          <cell r="F8">
            <v>59491.865900000004</v>
          </cell>
          <cell r="G8">
            <v>93949.939000000013</v>
          </cell>
          <cell r="H8">
            <v>130557.58900000001</v>
          </cell>
          <cell r="I8">
            <v>247639.20500000002</v>
          </cell>
        </row>
        <row r="67">
          <cell r="D67">
            <v>0.22143683036343773</v>
          </cell>
          <cell r="E67">
            <v>0.21029798865273397</v>
          </cell>
          <cell r="F67">
            <v>0.32405507388868093</v>
          </cell>
          <cell r="G67">
            <v>0.33760631819037151</v>
          </cell>
          <cell r="H67">
            <v>0.24098406106442419</v>
          </cell>
          <cell r="I67">
            <v>0.37039198619620828</v>
          </cell>
        </row>
        <row r="68">
          <cell r="D68">
            <v>0.77856316963656225</v>
          </cell>
          <cell r="E68">
            <v>0.78970201134726614</v>
          </cell>
          <cell r="F68">
            <v>0.67594492611131896</v>
          </cell>
          <cell r="G68">
            <v>0.66239368180962843</v>
          </cell>
          <cell r="H68">
            <v>0.75901593893557584</v>
          </cell>
          <cell r="I68">
            <v>0.62960801380379172</v>
          </cell>
        </row>
        <row r="73">
          <cell r="D73">
            <v>1.6017147878923685</v>
          </cell>
          <cell r="E73">
            <v>1.0729693224903047</v>
          </cell>
          <cell r="F73">
            <v>0.8336189872303198</v>
          </cell>
          <cell r="G73">
            <v>0.58898477837223495</v>
          </cell>
          <cell r="H73">
            <v>0.52615378796555434</v>
          </cell>
          <cell r="I73">
            <v>0.39257461676958616</v>
          </cell>
        </row>
        <row r="74">
          <cell r="D74">
            <v>-0.82315161825580641</v>
          </cell>
          <cell r="E74">
            <v>-0.2832673111430386</v>
          </cell>
          <cell r="F74">
            <v>-0.15767406111900076</v>
          </cell>
          <cell r="G74">
            <v>7.3408903437393494E-2</v>
          </cell>
          <cell r="H74">
            <v>0.23286215097002147</v>
          </cell>
          <cell r="I74">
            <v>0.23703339703420559</v>
          </cell>
        </row>
        <row r="75">
          <cell r="D75">
            <v>-0.77874487709213169</v>
          </cell>
          <cell r="E75">
            <v>-0.2311601536811598</v>
          </cell>
          <cell r="F75">
            <v>-0.12068441611948158</v>
          </cell>
          <cell r="G75">
            <v>8.2689462948986145E-2</v>
          </cell>
          <cell r="H75">
            <v>0.2415643720258959</v>
          </cell>
          <cell r="I75">
            <v>0.22340667343040468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9A976-1B55-B24D-8ACA-72E0B2126D8D}">
  <dimension ref="A1:L37"/>
  <sheetViews>
    <sheetView workbookViewId="0">
      <selection activeCell="I2" sqref="I2"/>
    </sheetView>
  </sheetViews>
  <sheetFormatPr baseColWidth="10" defaultRowHeight="16" x14ac:dyDescent="0.2"/>
  <cols>
    <col min="1" max="1" width="41.83203125" bestFit="1" customWidth="1"/>
    <col min="2" max="3" width="10" bestFit="1" customWidth="1"/>
    <col min="4" max="7" width="11.5" bestFit="1" customWidth="1"/>
    <col min="8" max="8" width="10" bestFit="1" customWidth="1"/>
    <col min="9" max="12" width="6.6640625" bestFit="1" customWidth="1"/>
  </cols>
  <sheetData>
    <row r="1" spans="1:12" x14ac:dyDescent="0.2">
      <c r="A1" s="3" t="s">
        <v>3</v>
      </c>
      <c r="B1" s="2">
        <v>2018</v>
      </c>
      <c r="C1" s="2">
        <f>B1+1</f>
        <v>2019</v>
      </c>
      <c r="D1" s="2">
        <f t="shared" ref="D1:G1" si="0">C1+1</f>
        <v>2020</v>
      </c>
      <c r="E1" s="2">
        <f t="shared" si="0"/>
        <v>2021</v>
      </c>
      <c r="F1" s="2">
        <f t="shared" si="0"/>
        <v>2022</v>
      </c>
      <c r="G1" s="2">
        <f t="shared" si="0"/>
        <v>2023</v>
      </c>
      <c r="H1" s="2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2">
      <c r="A2" s="5" t="s">
        <v>2</v>
      </c>
      <c r="B2" s="1">
        <f>[1]Sheet1!B$9+[1]Sheet1!B$13+[1]Sheet1!B$15</f>
        <v>211323</v>
      </c>
      <c r="C2" s="1">
        <f>[1]Sheet1!C$9+[1]Sheet1!C$13+[1]Sheet1!C$15</f>
        <v>300213</v>
      </c>
      <c r="D2" s="1">
        <f>[1]Sheet1!D$9+[1]Sheet1!D$13+[1]Sheet1!D$15</f>
        <v>401327</v>
      </c>
      <c r="E2" s="1">
        <f>[1]Sheet1!E$9+[1]Sheet1!E$13+[1]Sheet1!E$15</f>
        <v>587488</v>
      </c>
      <c r="F2" s="1">
        <f>[1]Sheet1!F$9+[1]Sheet1!F$13+[1]Sheet1!F$15</f>
        <v>698765</v>
      </c>
      <c r="G2" s="1">
        <v>868690</v>
      </c>
      <c r="H2" s="19">
        <v>941170</v>
      </c>
    </row>
    <row r="3" spans="1:12" x14ac:dyDescent="0.2">
      <c r="A3" s="5" t="s">
        <v>0</v>
      </c>
      <c r="B3" s="1">
        <f>[2]Sheet1!B$18</f>
        <v>462020</v>
      </c>
      <c r="C3" s="1">
        <f>[2]Sheet1!C$18</f>
        <v>576888</v>
      </c>
      <c r="D3" s="1">
        <f>[2]Sheet1!D$18</f>
        <v>745802</v>
      </c>
      <c r="E3" s="1">
        <f>[2]Sheet1!E$18</f>
        <v>951592</v>
      </c>
      <c r="F3" s="1">
        <f>[2]Sheet1!F$18</f>
        <v>1046236</v>
      </c>
      <c r="G3" s="1">
        <f>[2]Sheet1!G$18</f>
        <v>1084662</v>
      </c>
    </row>
    <row r="4" spans="1:12" x14ac:dyDescent="0.2">
      <c r="A4" s="5" t="s">
        <v>1</v>
      </c>
      <c r="B4" s="1">
        <f>[3]Sheet1!D$8</f>
        <v>13119.990000000002</v>
      </c>
      <c r="C4" s="1">
        <f>[3]Sheet1!E$8</f>
        <v>30141.885999999999</v>
      </c>
      <c r="D4" s="1">
        <f>[3]Sheet1!F$8</f>
        <v>59491.865900000004</v>
      </c>
      <c r="E4" s="1">
        <f>[3]Sheet1!G$8</f>
        <v>93949.939000000013</v>
      </c>
      <c r="F4" s="1">
        <f>[3]Sheet1!H$8</f>
        <v>130557.58900000001</v>
      </c>
      <c r="G4" s="1">
        <f>[3]Sheet1!I$8</f>
        <v>247639.20500000002</v>
      </c>
      <c r="H4" s="1"/>
      <c r="I4" s="1"/>
      <c r="J4" s="1"/>
      <c r="K4" s="1"/>
      <c r="L4" s="1"/>
    </row>
    <row r="5" spans="1:12" x14ac:dyDescent="0.2">
      <c r="A5" s="6" t="s">
        <v>4</v>
      </c>
      <c r="B5" s="4">
        <f>SUM(B2:B4)</f>
        <v>686462.99</v>
      </c>
      <c r="C5" s="4">
        <f t="shared" ref="C5:G5" si="1">SUM(C2:C4)</f>
        <v>907242.88599999994</v>
      </c>
      <c r="D5" s="4">
        <f t="shared" si="1"/>
        <v>1206620.8659000001</v>
      </c>
      <c r="E5" s="4">
        <f t="shared" si="1"/>
        <v>1633029.939</v>
      </c>
      <c r="F5" s="4">
        <f t="shared" si="1"/>
        <v>1875558.5889999999</v>
      </c>
      <c r="G5" s="4">
        <f t="shared" si="1"/>
        <v>2200991.2050000001</v>
      </c>
    </row>
    <row r="6" spans="1:12" x14ac:dyDescent="0.2">
      <c r="A6" s="11" t="s">
        <v>11</v>
      </c>
      <c r="B6" s="2"/>
      <c r="C6" s="2"/>
      <c r="D6" s="2"/>
      <c r="E6" s="2"/>
      <c r="F6" s="2"/>
      <c r="G6" s="2"/>
    </row>
    <row r="7" spans="1:12" x14ac:dyDescent="0.2">
      <c r="A7" s="5" t="s">
        <v>2</v>
      </c>
      <c r="B7" s="1"/>
      <c r="C7" s="12">
        <f>C2/B2-1</f>
        <v>0.42063570931701699</v>
      </c>
      <c r="D7" s="12">
        <f t="shared" ref="D7:G7" si="2">D2/C2-1</f>
        <v>0.33680753331801094</v>
      </c>
      <c r="E7" s="12">
        <f t="shared" si="2"/>
        <v>0.46386363239951467</v>
      </c>
      <c r="F7" s="12">
        <f t="shared" si="2"/>
        <v>0.18941152840568654</v>
      </c>
      <c r="G7" s="12">
        <f t="shared" si="2"/>
        <v>0.24317903730152479</v>
      </c>
    </row>
    <row r="8" spans="1:12" x14ac:dyDescent="0.2">
      <c r="A8" s="5" t="s">
        <v>0</v>
      </c>
      <c r="B8" s="1"/>
      <c r="C8" s="12">
        <f t="shared" ref="C8:G8" si="3">C3/B3-1</f>
        <v>0.24862127180641536</v>
      </c>
      <c r="D8" s="12">
        <f t="shared" si="3"/>
        <v>0.29280206903246375</v>
      </c>
      <c r="E8" s="12">
        <f t="shared" si="3"/>
        <v>0.27593114526375628</v>
      </c>
      <c r="F8" s="12">
        <f t="shared" si="3"/>
        <v>9.945859149719638E-2</v>
      </c>
      <c r="G8" s="12">
        <f t="shared" si="3"/>
        <v>3.6727851077577034E-2</v>
      </c>
    </row>
    <row r="9" spans="1:12" x14ac:dyDescent="0.2">
      <c r="A9" s="5" t="s">
        <v>1</v>
      </c>
      <c r="B9" s="1"/>
      <c r="C9" s="12">
        <f t="shared" ref="C9:G9" si="4">C4/B4-1</f>
        <v>1.2974015986292669</v>
      </c>
      <c r="D9" s="12">
        <f t="shared" si="4"/>
        <v>0.973727387198001</v>
      </c>
      <c r="E9" s="12">
        <f t="shared" si="4"/>
        <v>0.57920646089535421</v>
      </c>
      <c r="F9" s="12">
        <f t="shared" si="4"/>
        <v>0.38965059892162346</v>
      </c>
      <c r="G9" s="12">
        <f t="shared" si="4"/>
        <v>0.89678138893940518</v>
      </c>
      <c r="H9" s="12"/>
      <c r="I9" s="12"/>
      <c r="J9" s="12"/>
      <c r="K9" s="12"/>
      <c r="L9" s="12"/>
    </row>
    <row r="10" spans="1:12" x14ac:dyDescent="0.2">
      <c r="A10" s="3" t="s">
        <v>6</v>
      </c>
      <c r="B10" s="4"/>
      <c r="C10" s="4"/>
      <c r="D10" s="4"/>
      <c r="E10" s="4"/>
      <c r="F10" s="4"/>
      <c r="G10" s="4"/>
    </row>
    <row r="11" spans="1:12" x14ac:dyDescent="0.2">
      <c r="A11" s="5" t="s">
        <v>2</v>
      </c>
      <c r="B11" s="8">
        <f>B2/B$5</f>
        <v>0.30784325313736144</v>
      </c>
      <c r="C11" s="8">
        <f t="shared" ref="C11:G11" si="5">C2/C$5</f>
        <v>0.33090697610606562</v>
      </c>
      <c r="D11" s="8">
        <f t="shared" si="5"/>
        <v>0.33260406092899475</v>
      </c>
      <c r="E11" s="8">
        <f t="shared" si="5"/>
        <v>0.35975335538536013</v>
      </c>
      <c r="F11" s="8">
        <f t="shared" si="5"/>
        <v>0.37256367468241219</v>
      </c>
      <c r="G11" s="8">
        <f t="shared" si="5"/>
        <v>0.39468126816072396</v>
      </c>
    </row>
    <row r="12" spans="1:12" x14ac:dyDescent="0.2">
      <c r="A12" s="5" t="s">
        <v>0</v>
      </c>
      <c r="B12" s="8">
        <f t="shared" ref="B12:G13" si="6">B3/B$5</f>
        <v>0.67304429624093787</v>
      </c>
      <c r="C12" s="8">
        <f t="shared" si="6"/>
        <v>0.63586941149076148</v>
      </c>
      <c r="D12" s="8">
        <f t="shared" si="6"/>
        <v>0.61809141634867859</v>
      </c>
      <c r="E12" s="8">
        <f t="shared" si="6"/>
        <v>0.58271558731049078</v>
      </c>
      <c r="F12" s="8">
        <f t="shared" si="6"/>
        <v>0.55782634898002648</v>
      </c>
      <c r="G12" s="8">
        <f t="shared" si="6"/>
        <v>0.49280614912770626</v>
      </c>
    </row>
    <row r="13" spans="1:12" x14ac:dyDescent="0.2">
      <c r="A13" s="5" t="s">
        <v>1</v>
      </c>
      <c r="B13" s="9">
        <f t="shared" si="6"/>
        <v>1.911245062170067E-2</v>
      </c>
      <c r="C13" s="9">
        <f t="shared" si="6"/>
        <v>3.3223612403172925E-2</v>
      </c>
      <c r="D13" s="9">
        <f t="shared" si="6"/>
        <v>4.9304522722326646E-2</v>
      </c>
      <c r="E13" s="9">
        <f t="shared" si="6"/>
        <v>5.7531057304149043E-2</v>
      </c>
      <c r="F13" s="9">
        <f t="shared" si="6"/>
        <v>6.9609976337561386E-2</v>
      </c>
      <c r="G13" s="9">
        <f t="shared" si="6"/>
        <v>0.11251258271156972</v>
      </c>
    </row>
    <row r="14" spans="1:12" s="7" customFormat="1" x14ac:dyDescent="0.2">
      <c r="A14" s="7" t="s">
        <v>10</v>
      </c>
    </row>
    <row r="15" spans="1:12" s="5" customFormat="1" x14ac:dyDescent="0.2">
      <c r="A15" s="5" t="s">
        <v>2</v>
      </c>
      <c r="B15" s="10">
        <f>[1]Sheet1!B$93</f>
        <v>0.42772090495712561</v>
      </c>
      <c r="C15" s="10">
        <f>[1]Sheet1!C$93</f>
        <v>0.54911050726560595</v>
      </c>
      <c r="D15" s="10">
        <f>[1]Sheet1!D$93</f>
        <v>0.55397470331226906</v>
      </c>
      <c r="E15" s="10">
        <f>[1]Sheet1!E$93</f>
        <v>0.58721798326755326</v>
      </c>
      <c r="F15" s="10">
        <f>[1]Sheet1!F$93</f>
        <v>0.63236904234393276</v>
      </c>
      <c r="G15" s="10">
        <f>[1]Sheet1!G$93</f>
        <v>0.63278833457850758</v>
      </c>
    </row>
    <row r="16" spans="1:12" s="5" customFormat="1" x14ac:dyDescent="0.2">
      <c r="A16" s="5" t="s">
        <v>0</v>
      </c>
      <c r="B16" s="10">
        <f>[2]Sheet1!B$89</f>
        <v>0.85724860395653868</v>
      </c>
      <c r="C16" s="10">
        <f>[2]Sheet1!C$89</f>
        <v>0.8536613692779188</v>
      </c>
      <c r="D16" s="10">
        <f>[2]Sheet1!D$89</f>
        <v>0.8540658244413396</v>
      </c>
      <c r="E16" s="10">
        <f>[2]Sheet1!E$89</f>
        <v>0.86436834273512175</v>
      </c>
      <c r="F16" s="10">
        <f>[2]Sheet1!F$89</f>
        <v>0.85942655385591782</v>
      </c>
      <c r="G16" s="10">
        <f>[2]Sheet1!G$89</f>
        <v>0.85276150542749718</v>
      </c>
    </row>
    <row r="17" spans="1:7" s="5" customFormat="1" x14ac:dyDescent="0.2">
      <c r="A17" s="5" t="s">
        <v>1</v>
      </c>
      <c r="B17" s="10">
        <f>[3]Sheet1!D$67</f>
        <v>0.22143683036343773</v>
      </c>
      <c r="C17" s="10">
        <f>[3]Sheet1!E$67</f>
        <v>0.21029798865273397</v>
      </c>
      <c r="D17" s="10">
        <f>[3]Sheet1!F$67</f>
        <v>0.32405507388868093</v>
      </c>
      <c r="E17" s="10">
        <f>[3]Sheet1!G$67</f>
        <v>0.33760631819037151</v>
      </c>
      <c r="F17" s="10">
        <f>[3]Sheet1!H$67</f>
        <v>0.24098406106442419</v>
      </c>
      <c r="G17" s="10">
        <f>[3]Sheet1!I$67</f>
        <v>0.37039198619620828</v>
      </c>
    </row>
    <row r="18" spans="1:7" x14ac:dyDescent="0.2">
      <c r="A18" s="7" t="s">
        <v>5</v>
      </c>
      <c r="B18" s="8"/>
      <c r="C18" s="8"/>
      <c r="D18" s="8"/>
      <c r="E18" s="8"/>
      <c r="F18" s="8"/>
      <c r="G18" s="8"/>
    </row>
    <row r="19" spans="1:7" x14ac:dyDescent="0.2">
      <c r="A19" s="5" t="s">
        <v>2</v>
      </c>
      <c r="B19" s="9">
        <f>[1]Sheet1!B$94</f>
        <v>0.57227909504287433</v>
      </c>
      <c r="C19" s="9">
        <f>[1]Sheet1!C$94</f>
        <v>0.45088949273439405</v>
      </c>
      <c r="D19" s="9">
        <f>[1]Sheet1!D$94</f>
        <v>0.44602529668773089</v>
      </c>
      <c r="E19" s="9">
        <f>[1]Sheet1!E$94</f>
        <v>0.41278201673244674</v>
      </c>
      <c r="F19" s="9">
        <f>[1]Sheet1!F$94</f>
        <v>0.36763095765606718</v>
      </c>
      <c r="G19" s="9">
        <f>[1]Sheet1!G$94</f>
        <v>0.36721166542149242</v>
      </c>
    </row>
    <row r="20" spans="1:7" x14ac:dyDescent="0.2">
      <c r="A20" s="5" t="s">
        <v>0</v>
      </c>
      <c r="B20" s="9">
        <f>[2]Sheet1!B$88</f>
        <v>0.14275139604346132</v>
      </c>
      <c r="C20" s="9">
        <f>[2]Sheet1!C$88</f>
        <v>0.14633863072208123</v>
      </c>
      <c r="D20" s="9">
        <f>[2]Sheet1!D$88</f>
        <v>0.14593417555866034</v>
      </c>
      <c r="E20" s="9">
        <f>[2]Sheet1!E$88</f>
        <v>0.13563165726487822</v>
      </c>
      <c r="F20" s="9">
        <f>[2]Sheet1!F$88</f>
        <v>0.14057344614408221</v>
      </c>
      <c r="G20" s="9">
        <f>[2]Sheet1!G$88</f>
        <v>0.14723849457250276</v>
      </c>
    </row>
    <row r="21" spans="1:7" x14ac:dyDescent="0.2">
      <c r="A21" s="5" t="s">
        <v>1</v>
      </c>
      <c r="B21" s="9">
        <f>[3]Sheet1!D$68</f>
        <v>0.77856316963656225</v>
      </c>
      <c r="C21" s="9">
        <f>[3]Sheet1!E$68</f>
        <v>0.78970201134726614</v>
      </c>
      <c r="D21" s="9">
        <f>[3]Sheet1!F$68</f>
        <v>0.67594492611131896</v>
      </c>
      <c r="E21" s="9">
        <f>[3]Sheet1!G$68</f>
        <v>0.66239368180962843</v>
      </c>
      <c r="F21" s="9">
        <f>[3]Sheet1!H$68</f>
        <v>0.75901593893557584</v>
      </c>
      <c r="G21" s="9">
        <f>[3]Sheet1!I$68</f>
        <v>0.62960801380379172</v>
      </c>
    </row>
    <row r="22" spans="1:7" x14ac:dyDescent="0.2">
      <c r="A22" s="7" t="s">
        <v>7</v>
      </c>
      <c r="B22" s="9"/>
      <c r="C22" s="9"/>
      <c r="D22" s="9"/>
      <c r="E22" s="9"/>
      <c r="F22" s="9"/>
      <c r="G22" s="9"/>
    </row>
    <row r="23" spans="1:7" x14ac:dyDescent="0.2">
      <c r="A23" s="5" t="s">
        <v>2</v>
      </c>
      <c r="B23" s="9">
        <f>[1]Sheet1!B$96</f>
        <v>0.27696131316279476</v>
      </c>
      <c r="C23" s="9">
        <f>[1]Sheet1!C$96</f>
        <v>0.1514791266412627</v>
      </c>
      <c r="D23" s="9">
        <f>[1]Sheet1!D$96</f>
        <v>0.17937615629248732</v>
      </c>
      <c r="E23" s="9">
        <f>[1]Sheet1!E$96</f>
        <v>0.12502352608223463</v>
      </c>
      <c r="F23" s="9">
        <f>[1]Sheet1!F$96</f>
        <v>8.1632987989149669E-2</v>
      </c>
      <c r="G23" s="9">
        <f>[1]Sheet1!G$96</f>
        <v>0.1155203197469284</v>
      </c>
    </row>
    <row r="24" spans="1:7" x14ac:dyDescent="0.2">
      <c r="A24" s="5" t="s">
        <v>0</v>
      </c>
      <c r="B24" s="9">
        <f>[2]Sheet1!$B$98</f>
        <v>-5.6685857755075534E-3</v>
      </c>
      <c r="C24" s="9">
        <f>[2]Sheet1!$B$98</f>
        <v>-5.6685857755075534E-3</v>
      </c>
      <c r="D24" s="9">
        <f>([2]Sheet1!D$11+[2]Sheet1!D$12)/[2]Sheet1!D$18</f>
        <v>2.9108051466743182E-2</v>
      </c>
      <c r="E24" s="9">
        <f>([2]Sheet1!E$11+[2]Sheet1!E$12)/[2]Sheet1!E$18</f>
        <v>2.6046402239615296E-2</v>
      </c>
      <c r="F24" s="9">
        <f>([2]Sheet1!F$11+[2]Sheet1!F$12)/[2]Sheet1!F$18</f>
        <v>3.3816462060185272E-2</v>
      </c>
      <c r="G24" s="9">
        <f>([2]Sheet1!G$11+[2]Sheet1!G$12)/[2]Sheet1!G$18</f>
        <v>3.4047472853294389E-2</v>
      </c>
    </row>
    <row r="25" spans="1:7" x14ac:dyDescent="0.2">
      <c r="A25" s="5" t="s">
        <v>1</v>
      </c>
      <c r="B25" s="9">
        <f>[3]Sheet1!D$74</f>
        <v>-0.82315161825580641</v>
      </c>
      <c r="C25" s="9">
        <f>[3]Sheet1!E$74</f>
        <v>-0.2832673111430386</v>
      </c>
      <c r="D25" s="9">
        <f>[3]Sheet1!F$74</f>
        <v>-0.15767406111900076</v>
      </c>
      <c r="E25" s="9">
        <f>[3]Sheet1!G$74</f>
        <v>7.3408903437393494E-2</v>
      </c>
      <c r="F25" s="9">
        <f>[3]Sheet1!H$74</f>
        <v>0.23286215097002147</v>
      </c>
      <c r="G25" s="9">
        <f>[3]Sheet1!I$74</f>
        <v>0.23703339703420559</v>
      </c>
    </row>
    <row r="26" spans="1:7" x14ac:dyDescent="0.2">
      <c r="A26" s="7" t="s">
        <v>9</v>
      </c>
      <c r="B26" s="9"/>
      <c r="C26" s="9"/>
      <c r="D26" s="9"/>
      <c r="E26" s="9"/>
      <c r="F26" s="9"/>
      <c r="G26" s="9"/>
    </row>
    <row r="27" spans="1:7" x14ac:dyDescent="0.2">
      <c r="A27" s="5" t="s">
        <v>2</v>
      </c>
      <c r="B27" s="9">
        <f>[1]Sheet1!B$97</f>
        <v>0.24538690832953738</v>
      </c>
      <c r="C27" s="9">
        <f>[1]Sheet1!C$97</f>
        <v>0.21291038201483903</v>
      </c>
      <c r="D27" s="9">
        <f>[1]Sheet1!D$97</f>
        <v>0.27535211129443937</v>
      </c>
      <c r="E27" s="9">
        <f>[1]Sheet1!E$97</f>
        <v>0.19975769877971083</v>
      </c>
      <c r="F27" s="9">
        <f>[1]Sheet1!F$97</f>
        <v>5.5188251264269184E-2</v>
      </c>
      <c r="G27" s="9">
        <f>[1]Sheet1!G$97</f>
        <v>7.5485186263867188E-2</v>
      </c>
    </row>
    <row r="28" spans="1:7" x14ac:dyDescent="0.2">
      <c r="A28" s="5" t="s">
        <v>0</v>
      </c>
      <c r="B28" s="9">
        <f>[2]Sheet1!B$99</f>
        <v>-6.0625081165317516E-3</v>
      </c>
      <c r="C28" s="9">
        <f>[2]Sheet1!C$99</f>
        <v>2.0610586456989918E-2</v>
      </c>
      <c r="D28" s="9">
        <f>[2]Sheet1!D$99</f>
        <v>6.579092037833098E-2</v>
      </c>
      <c r="E28" s="9">
        <f>[2]Sheet1!E$99</f>
        <v>-4.694238707345165E-3</v>
      </c>
      <c r="F28" s="9">
        <f>[2]Sheet1!F$99</f>
        <v>9.2627284857336196E-3</v>
      </c>
      <c r="G28" s="9">
        <f>[2]Sheet1!G$99</f>
        <v>2.1441702576470826E-2</v>
      </c>
    </row>
    <row r="29" spans="1:7" x14ac:dyDescent="0.2">
      <c r="A29" s="5" t="s">
        <v>1</v>
      </c>
      <c r="B29" s="9">
        <f>[3]Sheet1!D$75</f>
        <v>-0.77874487709213169</v>
      </c>
      <c r="C29" s="9">
        <f>[3]Sheet1!E$75</f>
        <v>-0.2311601536811598</v>
      </c>
      <c r="D29" s="9">
        <f>[3]Sheet1!F$75</f>
        <v>-0.12068441611948158</v>
      </c>
      <c r="E29" s="9">
        <f>[3]Sheet1!G$75</f>
        <v>8.2689462948986145E-2</v>
      </c>
      <c r="F29" s="9">
        <f>[3]Sheet1!H$75</f>
        <v>0.2415643720258959</v>
      </c>
      <c r="G29" s="9">
        <f>[3]Sheet1!I$75</f>
        <v>0.22340667343040468</v>
      </c>
    </row>
    <row r="30" spans="1:7" x14ac:dyDescent="0.2">
      <c r="A30" s="7" t="s">
        <v>8</v>
      </c>
      <c r="B30" s="9"/>
      <c r="C30" s="9"/>
      <c r="D30" s="9"/>
      <c r="E30" s="9"/>
      <c r="F30" s="9"/>
      <c r="G30" s="9"/>
    </row>
    <row r="31" spans="1:7" x14ac:dyDescent="0.2">
      <c r="A31" s="5" t="s">
        <v>2</v>
      </c>
      <c r="B31" s="9">
        <f>[1]Sheet1!B$95</f>
        <v>0.26489415262161059</v>
      </c>
      <c r="C31" s="9">
        <f>[1]Sheet1!C$95</f>
        <v>0.2709450064217554</v>
      </c>
      <c r="D31" s="9">
        <f>[1]Sheet1!D$95</f>
        <v>0.23925322388569209</v>
      </c>
      <c r="E31" s="9">
        <f>[1]Sheet1!E$95</f>
        <v>0.27043353515807433</v>
      </c>
      <c r="F31" s="9">
        <f>[1]Sheet1!F$95</f>
        <v>0.24287331987592931</v>
      </c>
      <c r="G31" s="9">
        <f>[1]Sheet1!G$95</f>
        <v>0.23302179035717122</v>
      </c>
    </row>
    <row r="32" spans="1:7" x14ac:dyDescent="0.2">
      <c r="A32" s="5" t="s">
        <v>0</v>
      </c>
      <c r="B32" s="9">
        <f>[2]Sheet1!B$97</f>
        <v>0.14841998181896887</v>
      </c>
      <c r="C32" s="9">
        <f>[2]Sheet1!C$97</f>
        <v>0.13074634937804219</v>
      </c>
      <c r="D32" s="9">
        <f>[2]Sheet1!D$97</f>
        <v>0.12974623291436602</v>
      </c>
      <c r="E32" s="9">
        <f>[2]Sheet1!E$97</f>
        <v>0.13128000235395001</v>
      </c>
      <c r="F32" s="9">
        <f>[2]Sheet1!F$97</f>
        <v>0.12172205888537577</v>
      </c>
      <c r="G32" s="9">
        <f>[2]Sheet1!G$97</f>
        <v>0.12324484493787005</v>
      </c>
    </row>
    <row r="33" spans="1:7" x14ac:dyDescent="0.2">
      <c r="A33" s="5" t="s">
        <v>1</v>
      </c>
      <c r="B33" s="9">
        <f>[3]Sheet1!D$73</f>
        <v>1.6017147878923685</v>
      </c>
      <c r="C33" s="9">
        <f>[3]Sheet1!E$73</f>
        <v>1.0729693224903047</v>
      </c>
      <c r="D33" s="9">
        <f>[3]Sheet1!F$73</f>
        <v>0.8336189872303198</v>
      </c>
      <c r="E33" s="9">
        <f>[3]Sheet1!G$73</f>
        <v>0.58898477837223495</v>
      </c>
      <c r="F33" s="9">
        <f>[3]Sheet1!H$73</f>
        <v>0.52615378796555434</v>
      </c>
      <c r="G33" s="9">
        <f>[3]Sheet1!I$73</f>
        <v>0.39257461676958616</v>
      </c>
    </row>
    <row r="35" spans="1:7" x14ac:dyDescent="0.2">
      <c r="B35" s="13"/>
      <c r="C35" s="13"/>
      <c r="D35" s="13"/>
      <c r="E35" s="13"/>
      <c r="F35" s="13"/>
      <c r="G35" s="13"/>
    </row>
    <row r="36" spans="1:7" x14ac:dyDescent="0.2">
      <c r="B36" s="13"/>
      <c r="C36" s="13"/>
      <c r="D36" s="13"/>
      <c r="E36" s="13"/>
      <c r="F36" s="13"/>
      <c r="G36" s="13"/>
    </row>
    <row r="37" spans="1:7" x14ac:dyDescent="0.2">
      <c r="B37" s="13"/>
      <c r="C37" s="13"/>
      <c r="D37" s="13"/>
      <c r="E37" s="13"/>
      <c r="F37" s="13"/>
      <c r="G37" s="13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4BBE-1965-6141-AC7B-22977F9234B4}">
  <dimension ref="A1:AF12"/>
  <sheetViews>
    <sheetView tabSelected="1" zoomScale="9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0" sqref="I20"/>
    </sheetView>
  </sheetViews>
  <sheetFormatPr baseColWidth="10" defaultRowHeight="16" x14ac:dyDescent="0.2"/>
  <cols>
    <col min="1" max="1" width="12.83203125" bestFit="1" customWidth="1"/>
    <col min="2" max="2" width="16.33203125" bestFit="1" customWidth="1"/>
    <col min="3" max="3" width="17.33203125" bestFit="1" customWidth="1"/>
    <col min="4" max="4" width="16.6640625" bestFit="1" customWidth="1"/>
    <col min="5" max="5" width="9" bestFit="1" customWidth="1"/>
    <col min="6" max="6" width="8.33203125" customWidth="1"/>
    <col min="7" max="8" width="9.33203125" bestFit="1" customWidth="1"/>
    <col min="9" max="9" width="21" bestFit="1" customWidth="1"/>
    <col min="10" max="10" width="14.33203125" bestFit="1" customWidth="1"/>
    <col min="11" max="11" width="16.83203125" bestFit="1" customWidth="1"/>
    <col min="12" max="12" width="22.1640625" bestFit="1" customWidth="1"/>
    <col min="13" max="13" width="16.6640625" bestFit="1" customWidth="1"/>
    <col min="14" max="14" width="11.33203125" bestFit="1" customWidth="1"/>
    <col min="15" max="15" width="6.1640625" bestFit="1" customWidth="1"/>
    <col min="16" max="16" width="8.6640625" bestFit="1" customWidth="1"/>
    <col min="17" max="17" width="11.83203125" bestFit="1" customWidth="1"/>
    <col min="18" max="18" width="12.1640625" bestFit="1" customWidth="1"/>
    <col min="19" max="19" width="16" bestFit="1" customWidth="1"/>
    <col min="20" max="20" width="11.83203125" bestFit="1" customWidth="1"/>
    <col min="21" max="21" width="28.5" style="18" bestFit="1" customWidth="1"/>
    <col min="22" max="22" width="7" style="18" bestFit="1" customWidth="1"/>
    <col min="23" max="23" width="15.5" style="18" bestFit="1" customWidth="1"/>
    <col min="24" max="24" width="19.1640625" style="18" bestFit="1" customWidth="1"/>
    <col min="25" max="25" width="20.83203125" style="18" bestFit="1" customWidth="1"/>
    <col min="26" max="26" width="15.83203125" style="18" bestFit="1" customWidth="1"/>
    <col min="27" max="27" width="8.83203125" bestFit="1" customWidth="1"/>
    <col min="28" max="29" width="10.1640625" bestFit="1" customWidth="1"/>
    <col min="30" max="30" width="12.5" bestFit="1" customWidth="1"/>
    <col min="31" max="32" width="11" bestFit="1" customWidth="1"/>
  </cols>
  <sheetData>
    <row r="1" spans="1:32" x14ac:dyDescent="0.2">
      <c r="A1" s="2" t="s">
        <v>34</v>
      </c>
      <c r="B1" s="2" t="s">
        <v>33</v>
      </c>
      <c r="C1" s="2" t="s">
        <v>32</v>
      </c>
      <c r="D1" s="2" t="s">
        <v>31</v>
      </c>
      <c r="E1" s="2" t="s">
        <v>42</v>
      </c>
      <c r="F1" s="2" t="s">
        <v>30</v>
      </c>
      <c r="G1" s="2" t="s">
        <v>29</v>
      </c>
      <c r="H1" s="2" t="s">
        <v>40</v>
      </c>
      <c r="I1" s="2" t="s">
        <v>28</v>
      </c>
      <c r="J1" s="2" t="s">
        <v>27</v>
      </c>
      <c r="K1" s="2" t="s">
        <v>36</v>
      </c>
      <c r="L1" s="2" t="s">
        <v>35</v>
      </c>
      <c r="M1" s="2" t="s">
        <v>54</v>
      </c>
      <c r="N1" s="2" t="s">
        <v>26</v>
      </c>
      <c r="O1" s="2" t="s">
        <v>41</v>
      </c>
      <c r="P1" s="2" t="s">
        <v>25</v>
      </c>
      <c r="Q1" s="2" t="s">
        <v>24</v>
      </c>
      <c r="R1" s="2" t="s">
        <v>39</v>
      </c>
      <c r="S1" s="2" t="s">
        <v>38</v>
      </c>
      <c r="T1" s="2" t="s">
        <v>37</v>
      </c>
      <c r="U1" s="24" t="s">
        <v>72</v>
      </c>
      <c r="V1" s="24" t="s">
        <v>73</v>
      </c>
      <c r="W1" s="24" t="s">
        <v>74</v>
      </c>
      <c r="X1" s="24" t="s">
        <v>75</v>
      </c>
      <c r="Y1" s="24" t="s">
        <v>76</v>
      </c>
      <c r="Z1" s="24" t="s">
        <v>77</v>
      </c>
      <c r="AA1" s="24" t="s">
        <v>78</v>
      </c>
      <c r="AB1" s="24" t="s">
        <v>79</v>
      </c>
      <c r="AC1" s="24" t="s">
        <v>80</v>
      </c>
      <c r="AD1" s="24" t="s">
        <v>81</v>
      </c>
      <c r="AE1" s="24" t="s">
        <v>89</v>
      </c>
      <c r="AF1" s="24" t="s">
        <v>90</v>
      </c>
    </row>
    <row r="2" spans="1:32" x14ac:dyDescent="0.2">
      <c r="A2" t="s">
        <v>23</v>
      </c>
      <c r="B2" s="28">
        <f t="shared" ref="B2:B12" si="0">D2/C2</f>
        <v>380.08565310492509</v>
      </c>
      <c r="C2">
        <v>9.34</v>
      </c>
      <c r="D2" s="18">
        <v>3550</v>
      </c>
      <c r="E2" s="16">
        <f>D2/M2</f>
        <v>22.807581111468039</v>
      </c>
      <c r="F2" s="17">
        <f>6.41+52.46+152.95+13.32</f>
        <v>225.14</v>
      </c>
      <c r="G2" s="17">
        <f>521.64-0.85-92.84-52.25-4.39+0.659+51.49+206.85</f>
        <v>630.30899999999997</v>
      </c>
      <c r="H2" s="16">
        <f>G2/F2</f>
        <v>2.799631340499245</v>
      </c>
      <c r="I2" s="17">
        <f t="shared" ref="I2:I12" si="1">F2-G2+D2</f>
        <v>3144.8310000000001</v>
      </c>
      <c r="J2" s="14">
        <f>320.62+609.02-299.19</f>
        <v>630.45000000000005</v>
      </c>
      <c r="K2" s="14">
        <f>169.77+293.11-139.02</f>
        <v>323.86</v>
      </c>
      <c r="L2" s="14">
        <f>103.29+160.07-80.73</f>
        <v>182.63</v>
      </c>
      <c r="M2" s="14">
        <f>91.02+118.05-53.42</f>
        <v>155.64999999999998</v>
      </c>
      <c r="N2" s="14">
        <v>221.96</v>
      </c>
      <c r="O2" s="26">
        <f>I2/L2</f>
        <v>17.219684608224281</v>
      </c>
      <c r="P2" s="26">
        <f t="shared" ref="P2:P8" si="2">I2/N2</f>
        <v>14.16845828077131</v>
      </c>
      <c r="Q2" s="26">
        <f t="shared" ref="Q2:Q8" si="3">I2/J2</f>
        <v>4.9882322150844631</v>
      </c>
      <c r="R2" s="27">
        <f>K2/$J2</f>
        <v>0.51369656594495994</v>
      </c>
      <c r="S2" s="27">
        <f>L2/$J2</f>
        <v>0.28968197319375044</v>
      </c>
      <c r="T2" s="27">
        <f t="shared" ref="T2:T8" si="4">N2/J2</f>
        <v>0.3520659846141645</v>
      </c>
      <c r="U2" s="18">
        <f>57.2+23.48+13.46</f>
        <v>94.140000000000015</v>
      </c>
      <c r="V2" s="18">
        <f>521.64-153.51-200.09-3.41-8.86-387.83</f>
        <v>-232.06</v>
      </c>
      <c r="W2" s="18">
        <f t="shared" ref="W2:W8" si="5">SUM(U2:V2)</f>
        <v>-137.91999999999999</v>
      </c>
      <c r="X2" s="18">
        <v>59.01</v>
      </c>
      <c r="Y2" s="18">
        <f>21.01-26.4</f>
        <v>-5.389999999999997</v>
      </c>
      <c r="Z2" s="18">
        <f>221.96-237.46</f>
        <v>-15.5</v>
      </c>
      <c r="AA2" s="14">
        <f>L2+SUM(X2:Z2)</f>
        <v>220.75</v>
      </c>
      <c r="AB2" s="14">
        <f>N2+SUM(X2:Z2)</f>
        <v>260.08000000000004</v>
      </c>
      <c r="AC2" s="25">
        <f>AA2/$W2</f>
        <v>-1.6005655452436196</v>
      </c>
      <c r="AD2" s="25">
        <f>AB2/$W2</f>
        <v>-1.8857308584686781</v>
      </c>
      <c r="AE2" s="26">
        <f>$I2/AA2</f>
        <v>14.246120045300113</v>
      </c>
      <c r="AF2" s="26">
        <f>$I2/AB2</f>
        <v>12.091783297446938</v>
      </c>
    </row>
    <row r="3" spans="1:32" x14ac:dyDescent="0.2">
      <c r="A3" t="s">
        <v>22</v>
      </c>
      <c r="B3" s="28">
        <f t="shared" si="0"/>
        <v>743.58974358974365</v>
      </c>
      <c r="C3">
        <v>2.34</v>
      </c>
      <c r="D3" s="18">
        <v>1740</v>
      </c>
      <c r="E3" s="16">
        <f t="shared" ref="E3:E12" si="6">D3/M3</f>
        <v>27.90697674418605</v>
      </c>
      <c r="F3" s="17">
        <f>29.91+178.03</f>
        <v>207.94</v>
      </c>
      <c r="G3" s="17">
        <f>448.92+46.14+534.81</f>
        <v>1029.8699999999999</v>
      </c>
      <c r="H3" s="16">
        <f t="shared" ref="H3:H12" si="7">G3/F3</f>
        <v>4.9527267481004129</v>
      </c>
      <c r="I3" s="17">
        <f t="shared" si="1"/>
        <v>918.07000000000016</v>
      </c>
      <c r="J3" s="14">
        <f>243.24+941.17-234.16</f>
        <v>950.24999999999989</v>
      </c>
      <c r="K3" s="14">
        <f>97.13+354.85-91.81</f>
        <v>360.17</v>
      </c>
      <c r="L3" s="14">
        <f>35.99+113.35-42.49</f>
        <v>106.85</v>
      </c>
      <c r="M3" s="14">
        <f>24.02+71.33-33</f>
        <v>62.349999999999994</v>
      </c>
      <c r="N3" s="14">
        <f>33.64+182.59-45.31</f>
        <v>170.92000000000002</v>
      </c>
      <c r="O3" s="26">
        <f>I3/L3</f>
        <v>8.5921385119326175</v>
      </c>
      <c r="P3" s="26">
        <f>I3/N3</f>
        <v>5.3713433185115846</v>
      </c>
      <c r="Q3" s="26">
        <f t="shared" si="3"/>
        <v>0.9661352275716919</v>
      </c>
      <c r="R3" s="27">
        <f t="shared" ref="R3:R8" si="8">K3/$J3</f>
        <v>0.37902657195474881</v>
      </c>
      <c r="S3" s="27">
        <f t="shared" ref="S3:S8" si="9">L3/$J3</f>
        <v>0.11244409365956327</v>
      </c>
      <c r="T3" s="27">
        <f t="shared" si="4"/>
        <v>0.17986845566956067</v>
      </c>
      <c r="U3" s="18">
        <f>194.22+25.27+259.72</f>
        <v>479.21000000000004</v>
      </c>
      <c r="V3" s="18">
        <f>653.69-448.92-46.14-190.8</f>
        <v>-32.169999999999959</v>
      </c>
      <c r="W3" s="18">
        <f t="shared" si="5"/>
        <v>447.04000000000008</v>
      </c>
      <c r="X3" s="18">
        <v>44.5</v>
      </c>
      <c r="Y3" s="18">
        <f>0.373-32.09-0.842</f>
        <v>-32.559000000000005</v>
      </c>
      <c r="Z3" s="18">
        <f>182.59-196.34</f>
        <v>-13.75</v>
      </c>
      <c r="AA3" s="14">
        <f t="shared" ref="AA3:AA12" si="10">L3+SUM(X3:Z3)</f>
        <v>105.041</v>
      </c>
      <c r="AB3" s="14">
        <f t="shared" ref="AB3:AB12" si="11">N3+SUM(X3:Z3)</f>
        <v>169.11100000000002</v>
      </c>
      <c r="AC3" s="25">
        <f>AA3/$W3</f>
        <v>0.23497002505368642</v>
      </c>
      <c r="AD3" s="25">
        <f t="shared" ref="AD3:AD12" si="12">AB3/$W3</f>
        <v>0.37829053328561202</v>
      </c>
      <c r="AE3" s="26">
        <f t="shared" ref="AE3:AE12" si="13">$I3/AA3</f>
        <v>8.7401110042745227</v>
      </c>
      <c r="AF3" s="26">
        <f t="shared" ref="AF3:AF12" si="14">$I3/AB3</f>
        <v>5.4288012015776621</v>
      </c>
    </row>
    <row r="4" spans="1:32" x14ac:dyDescent="0.2">
      <c r="A4" t="s">
        <v>21</v>
      </c>
      <c r="B4" s="28">
        <f t="shared" si="0"/>
        <v>287.18493150684935</v>
      </c>
      <c r="C4">
        <v>1.46</v>
      </c>
      <c r="D4" s="18">
        <v>419.29</v>
      </c>
      <c r="E4" s="16">
        <f t="shared" si="6"/>
        <v>13.481993569131832</v>
      </c>
      <c r="F4" s="17">
        <f>5.6+56.78</f>
        <v>62.38</v>
      </c>
      <c r="G4" s="17">
        <f>201.9+7.55+141.97</f>
        <v>351.42</v>
      </c>
      <c r="H4" s="16">
        <f t="shared" si="7"/>
        <v>5.6335363898685475</v>
      </c>
      <c r="I4" s="17">
        <f t="shared" si="1"/>
        <v>130.25</v>
      </c>
      <c r="J4" s="14">
        <f>551.45+1080-530.89</f>
        <v>1100.56</v>
      </c>
      <c r="K4" s="14">
        <f>85.71+159.7-77.45</f>
        <v>167.95999999999998</v>
      </c>
      <c r="L4" s="14">
        <f>18.2+26.03-14.7</f>
        <v>29.530000000000005</v>
      </c>
      <c r="M4" s="14">
        <f>20.96+23.26-13.12</f>
        <v>31.1</v>
      </c>
      <c r="N4" s="14">
        <f>39.42+59.52-24.9</f>
        <v>74.039999999999992</v>
      </c>
      <c r="O4" s="26">
        <f t="shared" ref="O4:O8" si="15">I4/L4</f>
        <v>4.410768709786657</v>
      </c>
      <c r="P4" s="26">
        <f t="shared" si="2"/>
        <v>1.7591842247433822</v>
      </c>
      <c r="Q4" s="26">
        <f t="shared" si="3"/>
        <v>0.11834884059024497</v>
      </c>
      <c r="R4" s="27">
        <f t="shared" si="8"/>
        <v>0.15261321509049938</v>
      </c>
      <c r="S4" s="27">
        <f t="shared" si="9"/>
        <v>2.6831794722686639E-2</v>
      </c>
      <c r="T4" s="27">
        <f t="shared" si="4"/>
        <v>6.7274841898669765E-2</v>
      </c>
      <c r="U4" s="18">
        <f>78.18+5.9+38.44+6.69</f>
        <v>129.21</v>
      </c>
      <c r="V4" s="18">
        <f>322.2-201.9-7.55-41.97</f>
        <v>70.779999999999987</v>
      </c>
      <c r="W4" s="18">
        <f t="shared" si="5"/>
        <v>199.99</v>
      </c>
      <c r="X4" s="18">
        <v>8.3000000000000007</v>
      </c>
      <c r="Y4" s="18">
        <f>0.13-4.03-4.98</f>
        <v>-8.8800000000000008</v>
      </c>
      <c r="Z4" s="18">
        <f>59.52-43.64</f>
        <v>15.880000000000003</v>
      </c>
      <c r="AA4" s="14">
        <f t="shared" si="10"/>
        <v>44.830000000000005</v>
      </c>
      <c r="AB4" s="14">
        <f t="shared" si="11"/>
        <v>89.339999999999989</v>
      </c>
      <c r="AC4" s="25">
        <f t="shared" ref="AC4:AC12" si="16">AA4/$W4</f>
        <v>0.22416120806040304</v>
      </c>
      <c r="AD4" s="25">
        <f t="shared" si="12"/>
        <v>0.44672233611680578</v>
      </c>
      <c r="AE4" s="26">
        <f t="shared" si="13"/>
        <v>2.905420477358911</v>
      </c>
      <c r="AF4" s="26">
        <f t="shared" si="14"/>
        <v>1.4579135885381689</v>
      </c>
    </row>
    <row r="5" spans="1:32" x14ac:dyDescent="0.2">
      <c r="A5" t="s">
        <v>20</v>
      </c>
      <c r="B5" s="28">
        <f t="shared" si="0"/>
        <v>913.66906474820155</v>
      </c>
      <c r="C5">
        <v>1.39</v>
      </c>
      <c r="D5" s="18">
        <v>1270</v>
      </c>
      <c r="E5" s="16">
        <f t="shared" si="6"/>
        <v>12.850349084286149</v>
      </c>
      <c r="F5" s="17">
        <f>0.07395+5.24</f>
        <v>5.3139500000000002</v>
      </c>
      <c r="G5" s="17">
        <f>242.13+59.11</f>
        <v>301.24</v>
      </c>
      <c r="H5" s="16">
        <f t="shared" si="7"/>
        <v>56.68852736664816</v>
      </c>
      <c r="I5" s="17">
        <f t="shared" si="1"/>
        <v>974.07394999999997</v>
      </c>
      <c r="J5" s="14">
        <f>97.06+86.81+88.88+68.84</f>
        <v>341.59000000000003</v>
      </c>
      <c r="K5" s="14">
        <f>63.36+54.12+53.8+68.84</f>
        <v>240.11999999999998</v>
      </c>
      <c r="L5" s="14">
        <f>32.56+25.97+22.39+16.66</f>
        <v>97.58</v>
      </c>
      <c r="M5" s="14">
        <f>32.01+28+23.28+15.54</f>
        <v>98.829999999999984</v>
      </c>
      <c r="N5" s="14">
        <f>43.79+21.07+36.89+32.54</f>
        <v>134.29</v>
      </c>
      <c r="O5" s="26">
        <f t="shared" si="15"/>
        <v>9.9823114367698302</v>
      </c>
      <c r="P5" s="26">
        <f t="shared" si="2"/>
        <v>7.253510685829176</v>
      </c>
      <c r="Q5" s="26">
        <f t="shared" si="3"/>
        <v>2.8515880148716293</v>
      </c>
      <c r="R5" s="27">
        <f t="shared" si="8"/>
        <v>0.70294797857080116</v>
      </c>
      <c r="S5" s="27">
        <f t="shared" si="9"/>
        <v>0.28566410023712635</v>
      </c>
      <c r="T5" s="27">
        <f t="shared" si="4"/>
        <v>0.393132117450745</v>
      </c>
      <c r="U5" s="18">
        <f>5.1+0.02106</f>
        <v>5.1210599999999999</v>
      </c>
      <c r="V5" s="18">
        <f>359.7-G5-170.83</f>
        <v>-112.37000000000003</v>
      </c>
      <c r="W5" s="18">
        <f t="shared" si="5"/>
        <v>-107.24894000000003</v>
      </c>
      <c r="X5" s="18">
        <v>1.89</v>
      </c>
      <c r="Y5" s="18">
        <v>-0.58343</v>
      </c>
      <c r="Z5" s="18">
        <v>26.46</v>
      </c>
      <c r="AA5" s="14">
        <f t="shared" si="10"/>
        <v>125.34657</v>
      </c>
      <c r="AB5" s="14">
        <f t="shared" si="11"/>
        <v>162.05656999999999</v>
      </c>
      <c r="AC5" s="25">
        <f t="shared" si="16"/>
        <v>-1.1687441386367079</v>
      </c>
      <c r="AD5" s="25">
        <f t="shared" si="12"/>
        <v>-1.5110319039050637</v>
      </c>
      <c r="AE5" s="26">
        <f t="shared" si="13"/>
        <v>7.771045908954668</v>
      </c>
      <c r="AF5" s="26">
        <f t="shared" si="14"/>
        <v>6.0107032377644423</v>
      </c>
    </row>
    <row r="6" spans="1:32" x14ac:dyDescent="0.2">
      <c r="A6" t="s">
        <v>19</v>
      </c>
      <c r="B6" s="28">
        <f t="shared" si="0"/>
        <v>21.112760834670944</v>
      </c>
      <c r="C6">
        <v>24.92</v>
      </c>
      <c r="D6" s="18">
        <v>526.13</v>
      </c>
      <c r="E6" s="16">
        <f t="shared" si="6"/>
        <v>27.941051513542217</v>
      </c>
      <c r="F6" s="17">
        <f>8.94+21.04</f>
        <v>29.979999999999997</v>
      </c>
      <c r="G6" s="17">
        <f>202.98-51.52-13.65-62.81-24.11+32.99+59.06</f>
        <v>142.93999999999997</v>
      </c>
      <c r="H6" s="16">
        <f t="shared" si="7"/>
        <v>4.7678452301534353</v>
      </c>
      <c r="I6" s="17">
        <f t="shared" si="1"/>
        <v>413.17</v>
      </c>
      <c r="J6" s="14">
        <f>164.39+270.97-126.83</f>
        <v>308.53000000000003</v>
      </c>
      <c r="K6" s="14">
        <f>35.22+57.48-25.75</f>
        <v>66.949999999999989</v>
      </c>
      <c r="L6" s="14">
        <f>9.57+20.01-9.94</f>
        <v>19.64</v>
      </c>
      <c r="M6" s="14">
        <f>9.24+17.47-7.88</f>
        <v>18.830000000000002</v>
      </c>
      <c r="N6" s="14">
        <f>2.53+41.3-20.16</f>
        <v>23.669999999999998</v>
      </c>
      <c r="O6" s="26">
        <f t="shared" si="15"/>
        <v>21.037169042769857</v>
      </c>
      <c r="P6" s="26">
        <f t="shared" si="2"/>
        <v>17.455428812843262</v>
      </c>
      <c r="Q6" s="26">
        <f t="shared" si="3"/>
        <v>1.3391566460311801</v>
      </c>
      <c r="R6" s="27">
        <f t="shared" si="8"/>
        <v>0.21699672641234233</v>
      </c>
      <c r="S6" s="27">
        <f t="shared" si="9"/>
        <v>6.3656694648818582E-2</v>
      </c>
      <c r="T6" s="27">
        <f t="shared" si="4"/>
        <v>7.6718633520241136E-2</v>
      </c>
      <c r="U6" s="18">
        <f>15.78+7.72</f>
        <v>23.5</v>
      </c>
      <c r="V6" s="18">
        <f>202.98-37.86-19.57-4.81-39.34-126</f>
        <v>-24.599999999999994</v>
      </c>
      <c r="W6" s="18">
        <f t="shared" si="5"/>
        <v>-1.0999999999999943</v>
      </c>
      <c r="X6" s="18">
        <v>4.84</v>
      </c>
      <c r="Y6" s="18">
        <f>0.07283+0.10129</f>
        <v>0.17412</v>
      </c>
      <c r="Z6" s="18">
        <f>-26.99+41.3</f>
        <v>14.309999999999999</v>
      </c>
      <c r="AA6" s="14">
        <f t="shared" si="10"/>
        <v>38.964120000000001</v>
      </c>
      <c r="AB6" s="14">
        <f t="shared" si="11"/>
        <v>42.994119999999995</v>
      </c>
      <c r="AC6" s="25">
        <f t="shared" si="16"/>
        <v>-35.421927272727459</v>
      </c>
      <c r="AD6" s="25">
        <f t="shared" si="12"/>
        <v>-39.085563636363837</v>
      </c>
      <c r="AE6" s="26">
        <f t="shared" si="13"/>
        <v>10.603858113567046</v>
      </c>
      <c r="AF6" s="26">
        <f t="shared" si="14"/>
        <v>9.6099187516804641</v>
      </c>
    </row>
    <row r="7" spans="1:32" x14ac:dyDescent="0.2">
      <c r="A7" t="s">
        <v>18</v>
      </c>
      <c r="B7" s="28">
        <f t="shared" si="0"/>
        <v>83.686832740213518</v>
      </c>
      <c r="C7">
        <v>2.81</v>
      </c>
      <c r="D7" s="18">
        <v>235.16</v>
      </c>
      <c r="E7" s="16">
        <f t="shared" si="6"/>
        <v>12.488582049920335</v>
      </c>
      <c r="F7" s="17">
        <f>23.42+51.13</f>
        <v>74.550000000000011</v>
      </c>
      <c r="G7" s="17">
        <f>150.36+11.65+118.69</f>
        <v>280.70000000000005</v>
      </c>
      <c r="H7" s="16">
        <f t="shared" si="7"/>
        <v>3.7652582159624415</v>
      </c>
      <c r="I7" s="17">
        <f t="shared" si="1"/>
        <v>29.009999999999962</v>
      </c>
      <c r="J7" s="14">
        <f>65.44+134.6-65.2</f>
        <v>134.83999999999997</v>
      </c>
      <c r="K7" s="14">
        <f>33.76+69.57-33.88</f>
        <v>69.449999999999989</v>
      </c>
      <c r="L7" s="14">
        <f>11.43+21.86-10.19</f>
        <v>23.1</v>
      </c>
      <c r="M7" s="14">
        <f>11.43+21.55-14.15</f>
        <v>18.830000000000005</v>
      </c>
      <c r="N7" s="14">
        <f>8.38+36.62-11.41</f>
        <v>33.590000000000003</v>
      </c>
      <c r="O7" s="26">
        <f t="shared" si="15"/>
        <v>1.2558441558441542</v>
      </c>
      <c r="P7" s="26">
        <f t="shared" si="2"/>
        <v>0.86364989580232088</v>
      </c>
      <c r="Q7" s="26">
        <f t="shared" si="3"/>
        <v>0.21514387422129908</v>
      </c>
      <c r="R7" s="27">
        <f t="shared" si="8"/>
        <v>0.515054879857609</v>
      </c>
      <c r="S7" s="27">
        <f t="shared" si="9"/>
        <v>0.17131415010382681</v>
      </c>
      <c r="T7" s="27">
        <f t="shared" si="4"/>
        <v>0.24911005636309708</v>
      </c>
      <c r="U7" s="18">
        <f>40.07+44.63</f>
        <v>84.7</v>
      </c>
      <c r="V7" s="18">
        <f>187.27-150.36-11.65-80.77</f>
        <v>-55.51</v>
      </c>
      <c r="W7" s="18">
        <f t="shared" si="5"/>
        <v>29.190000000000005</v>
      </c>
      <c r="X7" s="18">
        <v>21.46</v>
      </c>
      <c r="Y7" s="18">
        <f>-11.19-0.105</f>
        <v>-11.295</v>
      </c>
      <c r="Z7" s="18">
        <v>-13.07</v>
      </c>
      <c r="AA7" s="14">
        <f t="shared" si="10"/>
        <v>20.195</v>
      </c>
      <c r="AB7" s="14">
        <f t="shared" si="11"/>
        <v>30.685000000000002</v>
      </c>
      <c r="AC7" s="25">
        <f t="shared" si="16"/>
        <v>0.6918465227817745</v>
      </c>
      <c r="AD7" s="25">
        <f t="shared" si="12"/>
        <v>1.0512161699212057</v>
      </c>
      <c r="AE7" s="26">
        <f t="shared" si="13"/>
        <v>1.4364941817281487</v>
      </c>
      <c r="AF7" s="26">
        <f t="shared" si="14"/>
        <v>0.94541306827439986</v>
      </c>
    </row>
    <row r="8" spans="1:32" x14ac:dyDescent="0.2">
      <c r="A8" t="s">
        <v>17</v>
      </c>
      <c r="B8" s="28">
        <f t="shared" si="0"/>
        <v>155.90834697217676</v>
      </c>
      <c r="C8">
        <v>6.11</v>
      </c>
      <c r="D8" s="18">
        <v>952.6</v>
      </c>
      <c r="E8" s="16">
        <f t="shared" si="6"/>
        <v>60.025204788909889</v>
      </c>
      <c r="F8" s="17">
        <f>11.08+0.73652</f>
        <v>11.816520000000001</v>
      </c>
      <c r="G8" s="17">
        <f>174.63-1.34-3-13.42+7.93+18.56</f>
        <v>183.36</v>
      </c>
      <c r="H8" s="16">
        <f t="shared" si="7"/>
        <v>15.517258888403694</v>
      </c>
      <c r="I8" s="17">
        <f t="shared" si="1"/>
        <v>781.05651999999998</v>
      </c>
      <c r="J8" s="14">
        <f>73.28+73.7+76.47+67.96</f>
        <v>291.41000000000003</v>
      </c>
      <c r="K8" s="14">
        <f>25.7+24.99+26.98+25.4</f>
        <v>103.07</v>
      </c>
      <c r="L8" s="14">
        <f>4.51+10.03-2.34</f>
        <v>12.2</v>
      </c>
      <c r="M8" s="14">
        <f>5.37+13.86-3.36</f>
        <v>15.870000000000001</v>
      </c>
      <c r="N8" s="14">
        <v>40.521999999999998</v>
      </c>
      <c r="O8" s="26">
        <f t="shared" si="15"/>
        <v>64.021026229508195</v>
      </c>
      <c r="P8" s="26">
        <f t="shared" si="2"/>
        <v>19.274875869897834</v>
      </c>
      <c r="Q8" s="26">
        <f t="shared" si="3"/>
        <v>2.680266703270306</v>
      </c>
      <c r="R8" s="27">
        <f t="shared" si="8"/>
        <v>0.35369410795785999</v>
      </c>
      <c r="S8" s="27">
        <f t="shared" si="9"/>
        <v>4.1865412992004386E-2</v>
      </c>
      <c r="T8" s="27">
        <f t="shared" si="4"/>
        <v>0.13905493977557393</v>
      </c>
      <c r="U8" s="18">
        <f>29.49+30.31</f>
        <v>59.8</v>
      </c>
      <c r="V8" s="18">
        <f>170.27-78.55-19.11-54.7</f>
        <v>17.910000000000011</v>
      </c>
      <c r="W8" s="18">
        <f t="shared" si="5"/>
        <v>77.710000000000008</v>
      </c>
      <c r="X8" s="18">
        <f>8</f>
        <v>8</v>
      </c>
      <c r="Y8" s="18">
        <f>0.30107-6.88</f>
        <v>-6.5789299999999997</v>
      </c>
      <c r="Z8" s="18">
        <f>-27.27+40.52</f>
        <v>13.250000000000004</v>
      </c>
      <c r="AA8" s="14">
        <f t="shared" si="10"/>
        <v>26.871070000000003</v>
      </c>
      <c r="AB8" s="14">
        <f t="shared" si="11"/>
        <v>55.193070000000006</v>
      </c>
      <c r="AC8" s="25">
        <f t="shared" si="16"/>
        <v>0.34578651396216703</v>
      </c>
      <c r="AD8" s="25">
        <f t="shared" si="12"/>
        <v>0.71024411272680477</v>
      </c>
      <c r="AE8" s="26">
        <f t="shared" si="13"/>
        <v>29.066818701302179</v>
      </c>
      <c r="AF8" s="26">
        <f t="shared" si="14"/>
        <v>14.151351247538864</v>
      </c>
    </row>
    <row r="9" spans="1:32" x14ac:dyDescent="0.2">
      <c r="A9" t="s">
        <v>68</v>
      </c>
      <c r="B9" s="28">
        <f t="shared" si="0"/>
        <v>80.500121235122336</v>
      </c>
      <c r="C9" s="16">
        <f>0.94857</f>
        <v>0.94857000000000002</v>
      </c>
      <c r="D9" s="16">
        <v>76.36</v>
      </c>
      <c r="E9" s="16">
        <f t="shared" si="6"/>
        <v>-7.3564547206165694</v>
      </c>
      <c r="F9" s="13">
        <f>6.14+5.36</f>
        <v>11.5</v>
      </c>
      <c r="G9" s="23">
        <f>25.37+3.98+2.06</f>
        <v>31.41</v>
      </c>
      <c r="H9" s="16">
        <f t="shared" si="7"/>
        <v>2.7313043478260868</v>
      </c>
      <c r="I9" s="17">
        <f t="shared" si="1"/>
        <v>56.45</v>
      </c>
      <c r="J9" s="13">
        <v>30.68</v>
      </c>
      <c r="K9" s="13">
        <v>0.45116000000000001</v>
      </c>
      <c r="L9" s="13">
        <v>-10.92</v>
      </c>
      <c r="M9" s="13">
        <v>-10.38</v>
      </c>
      <c r="N9" s="13">
        <v>0.95616000000000001</v>
      </c>
      <c r="O9" s="26">
        <f t="shared" ref="O9:O12" si="17">I9/L9</f>
        <v>-5.1694139194139197</v>
      </c>
      <c r="P9" s="26">
        <f t="shared" ref="P9:P12" si="18">I9/N9</f>
        <v>59.038236278447123</v>
      </c>
      <c r="Q9" s="26">
        <f t="shared" ref="Q9:Q12" si="19">I9/J9</f>
        <v>1.8399608865710562</v>
      </c>
      <c r="R9" s="27">
        <f t="shared" ref="R9:R12" si="20">K9/$J9</f>
        <v>1.4705345501955671E-2</v>
      </c>
      <c r="S9" s="27">
        <f t="shared" ref="S9:S12" si="21">L9/$J9</f>
        <v>-0.3559322033898305</v>
      </c>
      <c r="T9" s="27">
        <f t="shared" ref="T9:T12" si="22">N9/J9</f>
        <v>3.1165580182529337E-2</v>
      </c>
      <c r="U9" s="18">
        <v>30.27</v>
      </c>
      <c r="V9" s="18">
        <f>44.73-3.98-25.37</f>
        <v>15.379999999999999</v>
      </c>
      <c r="W9" s="18">
        <f>SUM(U9:V9)</f>
        <v>45.65</v>
      </c>
      <c r="X9" s="18">
        <v>2.11</v>
      </c>
      <c r="Y9" s="18">
        <f>-2.09-0.21518</f>
        <v>-2.30518</v>
      </c>
      <c r="Z9" s="18">
        <v>7.35</v>
      </c>
      <c r="AA9" s="14">
        <f t="shared" si="10"/>
        <v>-3.7651800000000009</v>
      </c>
      <c r="AB9" s="14">
        <f t="shared" si="11"/>
        <v>8.1109799999999996</v>
      </c>
      <c r="AC9" s="25">
        <f t="shared" si="16"/>
        <v>-8.2479299014238797E-2</v>
      </c>
      <c r="AD9" s="25">
        <f t="shared" si="12"/>
        <v>0.1776775465498357</v>
      </c>
      <c r="AE9" s="26">
        <f t="shared" si="13"/>
        <v>-14.992643114007826</v>
      </c>
      <c r="AF9" s="26">
        <f t="shared" si="14"/>
        <v>6.9597015403810643</v>
      </c>
    </row>
    <row r="10" spans="1:32" x14ac:dyDescent="0.2">
      <c r="A10" t="s">
        <v>69</v>
      </c>
      <c r="B10" s="28">
        <f t="shared" si="0"/>
        <v>40.483253588516746</v>
      </c>
      <c r="C10" s="16">
        <v>2.09</v>
      </c>
      <c r="D10" s="16">
        <v>84.61</v>
      </c>
      <c r="E10" s="16">
        <f t="shared" si="6"/>
        <v>-4.0834942084942085</v>
      </c>
      <c r="F10" s="13">
        <f>9.51+11.61</f>
        <v>21.119999999999997</v>
      </c>
      <c r="G10" s="23">
        <f>36.27+3.69</f>
        <v>39.96</v>
      </c>
      <c r="H10" s="16">
        <f t="shared" si="7"/>
        <v>1.8920454545454548</v>
      </c>
      <c r="I10" s="17">
        <f t="shared" si="1"/>
        <v>65.77</v>
      </c>
      <c r="J10" s="13">
        <v>55.62</v>
      </c>
      <c r="K10" s="13">
        <v>3.05</v>
      </c>
      <c r="L10" s="13">
        <v>-22.66</v>
      </c>
      <c r="M10" s="13">
        <v>-20.72</v>
      </c>
      <c r="N10" s="13">
        <v>-1.38</v>
      </c>
      <c r="O10" s="26">
        <f t="shared" si="17"/>
        <v>-2.902471315092674</v>
      </c>
      <c r="P10" s="26">
        <f t="shared" si="18"/>
        <v>-47.659420289855071</v>
      </c>
      <c r="Q10" s="26">
        <f t="shared" si="19"/>
        <v>1.1824883135562747</v>
      </c>
      <c r="R10" s="27">
        <f t="shared" si="20"/>
        <v>5.48363897878461E-2</v>
      </c>
      <c r="S10" s="27">
        <f t="shared" si="21"/>
        <v>-0.40740740740740744</v>
      </c>
      <c r="T10" s="27">
        <f t="shared" si="22"/>
        <v>-2.4811218985976265E-2</v>
      </c>
      <c r="U10" s="18">
        <v>45</v>
      </c>
      <c r="V10" s="18">
        <f>55.51-36.27-3.69</f>
        <v>15.549999999999995</v>
      </c>
      <c r="W10" s="18">
        <f t="shared" ref="W10:W12" si="23">SUM(U10:V10)</f>
        <v>60.55</v>
      </c>
      <c r="X10" s="18">
        <v>4.91</v>
      </c>
      <c r="Y10" s="18">
        <f>-14.27</f>
        <v>-14.27</v>
      </c>
      <c r="Z10" s="18">
        <v>13.09</v>
      </c>
      <c r="AA10" s="14">
        <f t="shared" si="10"/>
        <v>-18.93</v>
      </c>
      <c r="AB10" s="14">
        <f t="shared" si="11"/>
        <v>2.3500000000000005</v>
      </c>
      <c r="AC10" s="25">
        <f t="shared" si="16"/>
        <v>-0.31263418662262593</v>
      </c>
      <c r="AD10" s="25">
        <f t="shared" si="12"/>
        <v>3.8810900082576393E-2</v>
      </c>
      <c r="AE10" s="26">
        <f t="shared" si="13"/>
        <v>-3.4743792921288956</v>
      </c>
      <c r="AF10" s="26">
        <f t="shared" si="14"/>
        <v>27.987234042553183</v>
      </c>
    </row>
    <row r="11" spans="1:32" x14ac:dyDescent="0.2">
      <c r="A11" t="s">
        <v>70</v>
      </c>
      <c r="B11" s="28">
        <f t="shared" si="0"/>
        <v>179.15094339622641</v>
      </c>
      <c r="C11" s="16">
        <v>1.06</v>
      </c>
      <c r="D11" s="16">
        <v>189.9</v>
      </c>
      <c r="E11" s="16">
        <f t="shared" si="6"/>
        <v>16.079593564775614</v>
      </c>
      <c r="F11" s="13">
        <f>0.92222+7.98</f>
        <v>8.9022199999999998</v>
      </c>
      <c r="G11" s="23">
        <f>97.25+1.49</f>
        <v>98.74</v>
      </c>
      <c r="H11" s="16">
        <f t="shared" si="7"/>
        <v>11.091615349879019</v>
      </c>
      <c r="I11" s="17">
        <f t="shared" si="1"/>
        <v>100.06222000000001</v>
      </c>
      <c r="J11" s="13">
        <v>123.85</v>
      </c>
      <c r="K11" s="13">
        <v>27.5</v>
      </c>
      <c r="L11" s="13">
        <v>7.41</v>
      </c>
      <c r="M11" s="13">
        <v>11.81</v>
      </c>
      <c r="N11">
        <f>0.4294-3.34-0.03335+14.51</f>
        <v>11.566050000000001</v>
      </c>
      <c r="O11" s="26">
        <f t="shared" si="17"/>
        <v>13.503673414304995</v>
      </c>
      <c r="P11" s="26">
        <f t="shared" si="18"/>
        <v>8.6513736323118096</v>
      </c>
      <c r="Q11" s="26">
        <f t="shared" si="19"/>
        <v>0.80793072264836507</v>
      </c>
      <c r="R11" s="27">
        <f t="shared" si="20"/>
        <v>0.22204279370205895</v>
      </c>
      <c r="S11" s="27">
        <f t="shared" si="21"/>
        <v>5.9830440048445704E-2</v>
      </c>
      <c r="T11" s="27">
        <f t="shared" si="22"/>
        <v>9.33875656035527E-2</v>
      </c>
      <c r="U11" s="18">
        <v>35.299999999999997</v>
      </c>
      <c r="V11" s="18">
        <f>109.81-0.00523-97.25</f>
        <v>12.554770000000005</v>
      </c>
      <c r="W11" s="18">
        <f t="shared" si="23"/>
        <v>47.854770000000002</v>
      </c>
      <c r="X11" s="18">
        <v>1.81E-3</v>
      </c>
      <c r="Y11" s="18">
        <v>-6.2199999999999998E-3</v>
      </c>
      <c r="Z11" s="18">
        <v>3.6609999999999997E-2</v>
      </c>
      <c r="AA11" s="14">
        <f t="shared" si="10"/>
        <v>7.4421999999999997</v>
      </c>
      <c r="AB11" s="14">
        <f t="shared" si="11"/>
        <v>11.59825</v>
      </c>
      <c r="AC11" s="25">
        <f t="shared" si="16"/>
        <v>0.15551636754288026</v>
      </c>
      <c r="AD11" s="25">
        <f t="shared" si="12"/>
        <v>0.242363509426542</v>
      </c>
      <c r="AE11" s="26">
        <f t="shared" si="13"/>
        <v>13.445247373088606</v>
      </c>
      <c r="AF11" s="26">
        <f t="shared" si="14"/>
        <v>8.6273549888991887</v>
      </c>
    </row>
    <row r="12" spans="1:32" x14ac:dyDescent="0.2">
      <c r="A12" t="s">
        <v>71</v>
      </c>
      <c r="B12" s="28">
        <f t="shared" si="0"/>
        <v>10.999006951340617</v>
      </c>
      <c r="C12" s="16">
        <v>10.07</v>
      </c>
      <c r="D12" s="16">
        <v>110.76</v>
      </c>
      <c r="E12" s="16">
        <f t="shared" si="6"/>
        <v>20.858757062146896</v>
      </c>
      <c r="F12" s="13">
        <v>3.32</v>
      </c>
      <c r="G12" s="13">
        <v>41.49</v>
      </c>
      <c r="H12" s="16">
        <f t="shared" si="7"/>
        <v>12.496987951807229</v>
      </c>
      <c r="I12" s="17">
        <f t="shared" si="1"/>
        <v>72.59</v>
      </c>
      <c r="J12" s="13">
        <v>179.2</v>
      </c>
      <c r="K12" s="13">
        <v>27.42</v>
      </c>
      <c r="L12" s="13">
        <v>4.3499999999999996</v>
      </c>
      <c r="M12" s="13">
        <v>5.31</v>
      </c>
      <c r="N12">
        <f>7.66+13.41-5.7</f>
        <v>15.370000000000001</v>
      </c>
      <c r="O12" s="26">
        <f t="shared" si="17"/>
        <v>16.687356321839083</v>
      </c>
      <c r="P12" s="26">
        <f t="shared" si="18"/>
        <v>4.722836694860117</v>
      </c>
      <c r="Q12" s="26">
        <f t="shared" si="19"/>
        <v>0.40507812500000007</v>
      </c>
      <c r="R12" s="27">
        <f t="shared" si="20"/>
        <v>0.15301339285714288</v>
      </c>
      <c r="S12" s="27">
        <f t="shared" si="21"/>
        <v>2.4274553571428572E-2</v>
      </c>
      <c r="T12" s="27">
        <f t="shared" si="22"/>
        <v>8.5770089285714293E-2</v>
      </c>
      <c r="U12" s="18">
        <v>101.91999999999999</v>
      </c>
      <c r="V12" s="18">
        <f>95.1-2.89-41.49</f>
        <v>50.719999999999992</v>
      </c>
      <c r="W12" s="18">
        <f t="shared" si="23"/>
        <v>152.63999999999999</v>
      </c>
      <c r="X12" s="18">
        <f>8.2</f>
        <v>8.1999999999999993</v>
      </c>
      <c r="Y12" s="18">
        <f>0.10205-5.71-9.44</f>
        <v>-15.04795</v>
      </c>
      <c r="Z12" s="18">
        <f>22.34-13.41</f>
        <v>8.93</v>
      </c>
      <c r="AA12" s="14">
        <f t="shared" si="10"/>
        <v>6.4320499999999985</v>
      </c>
      <c r="AB12" s="14">
        <f t="shared" si="11"/>
        <v>17.45205</v>
      </c>
      <c r="AC12" s="25">
        <f t="shared" si="16"/>
        <v>4.2138692348008377E-2</v>
      </c>
      <c r="AD12" s="25">
        <f t="shared" si="12"/>
        <v>0.11433470911949686</v>
      </c>
      <c r="AE12" s="26">
        <f t="shared" si="13"/>
        <v>11.285670975816423</v>
      </c>
      <c r="AF12" s="26">
        <f t="shared" si="14"/>
        <v>4.159396747087019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0DE9-5B9D-F74E-B344-A0CDCE90C823}">
  <dimension ref="A1:S21"/>
  <sheetViews>
    <sheetView workbookViewId="0">
      <selection activeCell="B10" sqref="B10"/>
    </sheetView>
  </sheetViews>
  <sheetFormatPr baseColWidth="10" defaultRowHeight="16" x14ac:dyDescent="0.2"/>
  <cols>
    <col min="1" max="1" width="35.6640625" customWidth="1"/>
  </cols>
  <sheetData>
    <row r="1" spans="1:19" x14ac:dyDescent="0.2">
      <c r="A1" s="2" t="s">
        <v>56</v>
      </c>
      <c r="B1" s="2">
        <v>2023</v>
      </c>
      <c r="C1" s="2">
        <f>B1+1</f>
        <v>2024</v>
      </c>
      <c r="D1" s="2">
        <f t="shared" ref="D1:G1" si="0">C1+1</f>
        <v>2025</v>
      </c>
      <c r="E1" s="2">
        <f t="shared" si="0"/>
        <v>2026</v>
      </c>
      <c r="F1" s="2">
        <f t="shared" si="0"/>
        <v>2027</v>
      </c>
      <c r="G1" s="2">
        <f t="shared" si="0"/>
        <v>2028</v>
      </c>
      <c r="H1" s="2">
        <f t="shared" ref="H1" si="1">G1+1</f>
        <v>2029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">
      <c r="A2" s="2" t="s">
        <v>88</v>
      </c>
      <c r="B2" s="13">
        <f>B6</f>
        <v>49</v>
      </c>
      <c r="C2" s="13">
        <f>B2*(1+B8)</f>
        <v>51.940000000000005</v>
      </c>
      <c r="D2" s="13">
        <f t="shared" ref="D2:F2" si="2">C2*(1+C8)</f>
        <v>51.940000000000005</v>
      </c>
      <c r="E2" s="13">
        <f t="shared" si="2"/>
        <v>51.940000000000005</v>
      </c>
      <c r="F2" s="13">
        <f t="shared" si="2"/>
        <v>51.940000000000005</v>
      </c>
      <c r="G2" s="13">
        <f>F2*(1+B9)</f>
        <v>53.498200000000004</v>
      </c>
      <c r="H2" s="13">
        <f>(G2*(1+B9))/(B11-B9)</f>
        <v>612.25717777777777</v>
      </c>
    </row>
    <row r="3" spans="1:19" x14ac:dyDescent="0.2">
      <c r="A3" s="2" t="s">
        <v>57</v>
      </c>
      <c r="B3">
        <v>0</v>
      </c>
      <c r="C3">
        <f>B3+1</f>
        <v>1</v>
      </c>
      <c r="D3">
        <f t="shared" ref="D3:H3" si="3">C3+1</f>
        <v>2</v>
      </c>
      <c r="E3">
        <f t="shared" si="3"/>
        <v>3</v>
      </c>
      <c r="F3">
        <f t="shared" si="3"/>
        <v>4</v>
      </c>
      <c r="G3">
        <f t="shared" si="3"/>
        <v>5</v>
      </c>
      <c r="H3">
        <f t="shared" si="3"/>
        <v>6</v>
      </c>
    </row>
    <row r="4" spans="1:19" x14ac:dyDescent="0.2">
      <c r="A4" s="2" t="s">
        <v>62</v>
      </c>
      <c r="B4" s="13">
        <f>B2/((1+$B11)^B3)</f>
        <v>49</v>
      </c>
      <c r="C4" s="13">
        <f t="shared" ref="C4:G4" si="4">C2/((1+$B11)^C3)</f>
        <v>46.375</v>
      </c>
      <c r="D4" s="13">
        <f t="shared" si="4"/>
        <v>41.40625</v>
      </c>
      <c r="E4" s="13">
        <f t="shared" si="4"/>
        <v>36.969866071428562</v>
      </c>
      <c r="F4" s="13">
        <f t="shared" si="4"/>
        <v>33.008808992346935</v>
      </c>
      <c r="G4" s="13">
        <f t="shared" si="4"/>
        <v>30.356315412604769</v>
      </c>
      <c r="H4" s="13">
        <f t="shared" ref="H4" si="5">H2/((1+$B11)^H3)</f>
        <v>310.18854042641772</v>
      </c>
    </row>
    <row r="6" spans="1:19" x14ac:dyDescent="0.2">
      <c r="A6" s="2" t="s">
        <v>58</v>
      </c>
      <c r="B6">
        <v>49</v>
      </c>
    </row>
    <row r="7" spans="1:19" x14ac:dyDescent="0.2">
      <c r="A7" s="2"/>
    </row>
    <row r="8" spans="1:19" x14ac:dyDescent="0.2">
      <c r="A8" s="2" t="s">
        <v>59</v>
      </c>
      <c r="B8" s="20">
        <v>0.06</v>
      </c>
    </row>
    <row r="9" spans="1:19" x14ac:dyDescent="0.2">
      <c r="A9" s="2" t="s">
        <v>61</v>
      </c>
      <c r="B9" s="20">
        <v>0.03</v>
      </c>
    </row>
    <row r="10" spans="1:19" x14ac:dyDescent="0.2">
      <c r="A10" s="2"/>
      <c r="B10" s="20"/>
    </row>
    <row r="11" spans="1:19" x14ac:dyDescent="0.2">
      <c r="A11" s="2" t="s">
        <v>60</v>
      </c>
      <c r="B11" s="20">
        <f>SUM(B12:B14)</f>
        <v>0.12000000000000001</v>
      </c>
    </row>
    <row r="12" spans="1:19" x14ac:dyDescent="0.2">
      <c r="A12" s="2" t="s">
        <v>45</v>
      </c>
      <c r="B12" s="20">
        <v>0.03</v>
      </c>
    </row>
    <row r="13" spans="1:19" x14ac:dyDescent="0.2">
      <c r="A13" s="2" t="s">
        <v>46</v>
      </c>
      <c r="B13" s="20">
        <v>0.04</v>
      </c>
    </row>
    <row r="14" spans="1:19" x14ac:dyDescent="0.2">
      <c r="A14" s="2" t="s">
        <v>51</v>
      </c>
      <c r="B14" s="20">
        <v>0.05</v>
      </c>
    </row>
    <row r="16" spans="1:19" x14ac:dyDescent="0.2">
      <c r="A16" s="2" t="s">
        <v>43</v>
      </c>
      <c r="B16" s="13">
        <f>SUM(B4:H4)</f>
        <v>547.30478090279803</v>
      </c>
    </row>
    <row r="17" spans="1:2" x14ac:dyDescent="0.2">
      <c r="A17" s="2" t="s">
        <v>63</v>
      </c>
      <c r="B17" s="13">
        <f>B16</f>
        <v>547.30478090279803</v>
      </c>
    </row>
    <row r="18" spans="1:2" x14ac:dyDescent="0.2">
      <c r="A18" s="2" t="s">
        <v>82</v>
      </c>
      <c r="B18" s="13">
        <f>B17</f>
        <v>547.30478090279803</v>
      </c>
    </row>
    <row r="19" spans="1:2" x14ac:dyDescent="0.2">
      <c r="A19" s="2" t="s">
        <v>83</v>
      </c>
      <c r="B19" s="13">
        <f>B18+'Chinese Technology'!G4-'Chinese Technology'!F4</f>
        <v>836.34478090279811</v>
      </c>
    </row>
    <row r="21" spans="1:2" x14ac:dyDescent="0.2">
      <c r="A21" s="2" t="s">
        <v>84</v>
      </c>
      <c r="B21" s="15">
        <f>B19/'Chinese Technology'!D4-1</f>
        <v>0.99466903790407124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F5E98-1422-1C47-9275-18D9BE0F2764}">
  <dimension ref="A1:S19"/>
  <sheetViews>
    <sheetView workbookViewId="0">
      <selection activeCell="B9" sqref="B9"/>
    </sheetView>
  </sheetViews>
  <sheetFormatPr baseColWidth="10" defaultRowHeight="16" x14ac:dyDescent="0.2"/>
  <cols>
    <col min="1" max="1" width="17" customWidth="1"/>
    <col min="2" max="2" width="11.5" bestFit="1" customWidth="1"/>
  </cols>
  <sheetData>
    <row r="1" spans="1:19" x14ac:dyDescent="0.2">
      <c r="A1" s="2" t="s">
        <v>56</v>
      </c>
      <c r="B1">
        <v>2024</v>
      </c>
      <c r="C1">
        <f>B1+1</f>
        <v>2025</v>
      </c>
      <c r="D1">
        <f t="shared" ref="D1:H1" si="0">C1+1</f>
        <v>2026</v>
      </c>
      <c r="E1">
        <f t="shared" si="0"/>
        <v>2027</v>
      </c>
      <c r="F1">
        <f t="shared" si="0"/>
        <v>2028</v>
      </c>
      <c r="G1">
        <f t="shared" si="0"/>
        <v>2029</v>
      </c>
      <c r="H1">
        <f t="shared" si="0"/>
        <v>2030</v>
      </c>
      <c r="I1">
        <f t="shared" ref="I1:N1" si="1">H1+1</f>
        <v>2031</v>
      </c>
      <c r="J1">
        <f t="shared" si="1"/>
        <v>2032</v>
      </c>
      <c r="K1">
        <f t="shared" si="1"/>
        <v>2033</v>
      </c>
      <c r="L1">
        <f t="shared" si="1"/>
        <v>2034</v>
      </c>
      <c r="M1">
        <f t="shared" si="1"/>
        <v>2035</v>
      </c>
      <c r="N1">
        <f t="shared" si="1"/>
        <v>2036</v>
      </c>
    </row>
    <row r="2" spans="1:19" x14ac:dyDescent="0.2">
      <c r="A2" s="2" t="s">
        <v>87</v>
      </c>
      <c r="B2" s="19">
        <f>941*0.13</f>
        <v>122.33</v>
      </c>
      <c r="C2" s="19">
        <f>B2*(1+$B6)</f>
        <v>134.56300000000002</v>
      </c>
      <c r="D2" s="19">
        <f>C2*(1+$B6)</f>
        <v>148.01930000000004</v>
      </c>
      <c r="E2" s="19">
        <f>D2*(1+$B7)</f>
        <v>159.86084400000007</v>
      </c>
      <c r="F2" s="19">
        <f>E2*(1+$B7)</f>
        <v>172.6497115200001</v>
      </c>
      <c r="G2" s="19">
        <f>F2*(1+$B7)</f>
        <v>186.4616884416001</v>
      </c>
      <c r="H2" s="19">
        <f t="shared" ref="H2:M2" si="2">G2*(1+$B8)</f>
        <v>192.05553909484811</v>
      </c>
      <c r="I2" s="19">
        <f t="shared" si="2"/>
        <v>197.81720526769357</v>
      </c>
      <c r="J2" s="19">
        <f t="shared" si="2"/>
        <v>203.75172142572438</v>
      </c>
      <c r="K2" s="19">
        <f t="shared" si="2"/>
        <v>209.86427306849612</v>
      </c>
      <c r="L2" s="19">
        <f t="shared" si="2"/>
        <v>216.16020126055102</v>
      </c>
      <c r="M2" s="19">
        <f t="shared" si="2"/>
        <v>222.64500729836755</v>
      </c>
      <c r="N2" s="19">
        <f>M2*(1+B8)/(B10-B8)</f>
        <v>3057.658100230914</v>
      </c>
      <c r="O2" s="19"/>
      <c r="P2" s="19"/>
      <c r="Q2" s="19"/>
      <c r="R2" s="19"/>
      <c r="S2" s="19"/>
    </row>
    <row r="3" spans="1:19" x14ac:dyDescent="0.2">
      <c r="A3" s="2" t="s">
        <v>65</v>
      </c>
      <c r="B3">
        <v>0</v>
      </c>
      <c r="C3">
        <f>B3+1</f>
        <v>1</v>
      </c>
      <c r="D3">
        <f t="shared" ref="D3:H3" si="3">C3+1</f>
        <v>2</v>
      </c>
      <c r="E3">
        <f t="shared" si="3"/>
        <v>3</v>
      </c>
      <c r="F3">
        <f t="shared" si="3"/>
        <v>4</v>
      </c>
      <c r="G3">
        <f t="shared" si="3"/>
        <v>5</v>
      </c>
      <c r="H3">
        <f t="shared" si="3"/>
        <v>6</v>
      </c>
      <c r="I3">
        <f t="shared" ref="I3:N3" si="4">H3+1</f>
        <v>7</v>
      </c>
      <c r="J3">
        <f t="shared" si="4"/>
        <v>8</v>
      </c>
      <c r="K3">
        <f t="shared" si="4"/>
        <v>9</v>
      </c>
      <c r="L3">
        <f t="shared" si="4"/>
        <v>10</v>
      </c>
      <c r="M3">
        <f t="shared" si="4"/>
        <v>11</v>
      </c>
      <c r="N3">
        <f t="shared" si="4"/>
        <v>12</v>
      </c>
    </row>
    <row r="4" spans="1:19" x14ac:dyDescent="0.2">
      <c r="A4" s="2" t="s">
        <v>66</v>
      </c>
      <c r="B4" s="19">
        <f t="shared" ref="B4:N4" si="5">B2/((1+$B10)^B3)</f>
        <v>122.33</v>
      </c>
      <c r="C4" s="19">
        <f t="shared" si="5"/>
        <v>121.77647058823531</v>
      </c>
      <c r="D4" s="19">
        <f t="shared" si="5"/>
        <v>121.22544583444241</v>
      </c>
      <c r="E4" s="19">
        <f t="shared" si="5"/>
        <v>118.4827886888668</v>
      </c>
      <c r="F4" s="19">
        <f t="shared" si="5"/>
        <v>115.80218260993317</v>
      </c>
      <c r="G4" s="19">
        <f t="shared" si="5"/>
        <v>113.18222372735551</v>
      </c>
      <c r="H4" s="19">
        <f t="shared" si="5"/>
        <v>105.50017234314585</v>
      </c>
      <c r="I4" s="19">
        <f t="shared" si="5"/>
        <v>98.339527161484369</v>
      </c>
      <c r="J4" s="19">
        <f t="shared" si="5"/>
        <v>91.66489862111213</v>
      </c>
      <c r="K4" s="19">
        <f t="shared" si="5"/>
        <v>85.443299167190503</v>
      </c>
      <c r="L4" s="19">
        <f t="shared" si="5"/>
        <v>79.64398021919115</v>
      </c>
      <c r="M4" s="19">
        <f t="shared" si="5"/>
        <v>74.238280204313924</v>
      </c>
      <c r="N4" s="19">
        <f t="shared" si="5"/>
        <v>922.65977207171443</v>
      </c>
      <c r="O4" s="19"/>
      <c r="P4" s="19"/>
      <c r="Q4" s="19"/>
      <c r="R4" s="19"/>
      <c r="S4" s="19"/>
    </row>
    <row r="6" spans="1:19" x14ac:dyDescent="0.2">
      <c r="A6" s="2" t="s">
        <v>48</v>
      </c>
      <c r="B6" s="20">
        <v>0.1</v>
      </c>
    </row>
    <row r="7" spans="1:19" x14ac:dyDescent="0.2">
      <c r="A7" s="2" t="s">
        <v>49</v>
      </c>
      <c r="B7" s="20">
        <v>0.08</v>
      </c>
    </row>
    <row r="8" spans="1:19" x14ac:dyDescent="0.2">
      <c r="A8" s="2" t="s">
        <v>55</v>
      </c>
      <c r="B8" s="20">
        <v>0.03</v>
      </c>
    </row>
    <row r="9" spans="1:19" x14ac:dyDescent="0.2">
      <c r="A9" s="2"/>
      <c r="B9" s="19"/>
    </row>
    <row r="10" spans="1:19" x14ac:dyDescent="0.2">
      <c r="A10" s="2" t="s">
        <v>52</v>
      </c>
      <c r="B10" s="20">
        <f>SUM(B11:B13)</f>
        <v>0.10500000000000001</v>
      </c>
    </row>
    <row r="11" spans="1:19" x14ac:dyDescent="0.2">
      <c r="A11" s="2" t="s">
        <v>45</v>
      </c>
      <c r="B11" s="20">
        <v>2.5000000000000001E-2</v>
      </c>
    </row>
    <row r="12" spans="1:19" x14ac:dyDescent="0.2">
      <c r="A12" s="2" t="s">
        <v>46</v>
      </c>
      <c r="B12" s="20">
        <v>0.03</v>
      </c>
    </row>
    <row r="13" spans="1:19" x14ac:dyDescent="0.2">
      <c r="A13" s="2" t="s">
        <v>51</v>
      </c>
      <c r="B13" s="20">
        <v>0.05</v>
      </c>
    </row>
    <row r="14" spans="1:19" x14ac:dyDescent="0.2">
      <c r="A14" s="2"/>
    </row>
    <row r="15" spans="1:19" x14ac:dyDescent="0.2">
      <c r="A15" s="2" t="s">
        <v>63</v>
      </c>
      <c r="B15" s="13">
        <f>SUM(B4:N4)</f>
        <v>2170.2890412369857</v>
      </c>
    </row>
    <row r="16" spans="1:19" x14ac:dyDescent="0.2">
      <c r="A16" s="2" t="s">
        <v>82</v>
      </c>
      <c r="B16" s="19">
        <f>B15</f>
        <v>2170.2890412369857</v>
      </c>
    </row>
    <row r="17" spans="1:2" x14ac:dyDescent="0.2">
      <c r="A17" s="2" t="s">
        <v>83</v>
      </c>
      <c r="B17" s="19">
        <f>B16+'Chinese Technology'!G3-'Chinese Technology'!F3</f>
        <v>2992.2190412369855</v>
      </c>
    </row>
    <row r="19" spans="1:2" x14ac:dyDescent="0.2">
      <c r="A19" s="2" t="s">
        <v>85</v>
      </c>
      <c r="B19" s="15">
        <f>B17/'Chinese Technology'!D3-1</f>
        <v>0.71966611565343985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15F61-A653-4F46-84F4-F1A598E3F822}">
  <dimension ref="A1:W23"/>
  <sheetViews>
    <sheetView zoomScale="92" workbookViewId="0">
      <selection activeCell="B9" sqref="B9"/>
    </sheetView>
  </sheetViews>
  <sheetFormatPr baseColWidth="10" defaultRowHeight="16" x14ac:dyDescent="0.2"/>
  <cols>
    <col min="1" max="1" width="16.83203125" customWidth="1"/>
    <col min="2" max="2" width="12.6640625" bestFit="1" customWidth="1"/>
    <col min="3" max="3" width="7.33203125" bestFit="1" customWidth="1"/>
    <col min="4" max="9" width="8.83203125" bestFit="1" customWidth="1"/>
    <col min="10" max="14" width="10" bestFit="1" customWidth="1"/>
    <col min="15" max="19" width="11" bestFit="1" customWidth="1"/>
    <col min="20" max="21" width="12.6640625" bestFit="1" customWidth="1"/>
  </cols>
  <sheetData>
    <row r="1" spans="1:23" x14ac:dyDescent="0.2">
      <c r="A1" s="2" t="s">
        <v>56</v>
      </c>
      <c r="B1" s="2">
        <v>2023</v>
      </c>
      <c r="C1" s="2">
        <f>B1+1</f>
        <v>2024</v>
      </c>
      <c r="D1" s="2">
        <f t="shared" ref="D1:W1" si="0">C1+1</f>
        <v>2025</v>
      </c>
      <c r="E1" s="2">
        <f t="shared" si="0"/>
        <v>2026</v>
      </c>
      <c r="F1" s="2">
        <f t="shared" si="0"/>
        <v>2027</v>
      </c>
      <c r="G1" s="2">
        <f t="shared" si="0"/>
        <v>2028</v>
      </c>
      <c r="H1" s="2">
        <f t="shared" si="0"/>
        <v>2029</v>
      </c>
      <c r="I1" s="2">
        <f t="shared" si="0"/>
        <v>2030</v>
      </c>
      <c r="J1" s="2">
        <f t="shared" si="0"/>
        <v>2031</v>
      </c>
      <c r="K1" s="2">
        <f>J1+1</f>
        <v>2032</v>
      </c>
      <c r="L1" s="2">
        <f t="shared" si="0"/>
        <v>2033</v>
      </c>
      <c r="M1" s="2">
        <f t="shared" si="0"/>
        <v>2034</v>
      </c>
      <c r="N1" s="2">
        <f t="shared" si="0"/>
        <v>2035</v>
      </c>
      <c r="O1" s="2">
        <f t="shared" si="0"/>
        <v>2036</v>
      </c>
      <c r="P1" s="2">
        <f t="shared" si="0"/>
        <v>2037</v>
      </c>
      <c r="Q1" s="2">
        <f t="shared" si="0"/>
        <v>2038</v>
      </c>
      <c r="R1" s="2">
        <f t="shared" si="0"/>
        <v>2039</v>
      </c>
      <c r="S1" s="2">
        <f t="shared" si="0"/>
        <v>2040</v>
      </c>
      <c r="T1" s="2">
        <f t="shared" si="0"/>
        <v>2041</v>
      </c>
      <c r="U1" s="2">
        <f>T1+1</f>
        <v>2042</v>
      </c>
      <c r="V1" s="2">
        <f t="shared" si="0"/>
        <v>2043</v>
      </c>
      <c r="W1" s="2">
        <f t="shared" si="0"/>
        <v>2044</v>
      </c>
    </row>
    <row r="2" spans="1:23" s="19" customFormat="1" x14ac:dyDescent="0.2">
      <c r="A2" s="22" t="s">
        <v>64</v>
      </c>
      <c r="B2" s="19">
        <f>248*0.23</f>
        <v>57.04</v>
      </c>
      <c r="C2" s="19">
        <f>B2*(1+$B6)</f>
        <v>67.307199999999995</v>
      </c>
      <c r="D2" s="19">
        <f>C2*(1+$B6)</f>
        <v>79.422495999999995</v>
      </c>
      <c r="E2" s="19">
        <f>D2*(1+$B6)</f>
        <v>93.718545279999987</v>
      </c>
      <c r="F2" s="19">
        <f>E2*(1+$B7)</f>
        <v>101.2160289024</v>
      </c>
      <c r="G2" s="19">
        <f>F2*(1+$B7)</f>
        <v>109.31331121459201</v>
      </c>
      <c r="H2" s="19">
        <f>G2*(1+$B7)</f>
        <v>118.05837611175937</v>
      </c>
      <c r="I2" s="19">
        <f>H2*(1+$B7)</f>
        <v>127.50304620070013</v>
      </c>
      <c r="J2" s="19">
        <f>I2*(1+$B7)</f>
        <v>137.70328989675613</v>
      </c>
      <c r="K2" s="19">
        <f t="shared" ref="K2:V2" si="1">J2*(1+$B8)</f>
        <v>141.83438859365882</v>
      </c>
      <c r="L2" s="19">
        <f t="shared" si="1"/>
        <v>146.0894202514686</v>
      </c>
      <c r="M2" s="19">
        <f t="shared" si="1"/>
        <v>150.47210285901267</v>
      </c>
      <c r="N2" s="19">
        <f t="shared" si="1"/>
        <v>154.98626594478304</v>
      </c>
      <c r="O2" s="19">
        <f t="shared" si="1"/>
        <v>159.63585392312655</v>
      </c>
      <c r="P2" s="19">
        <f t="shared" si="1"/>
        <v>164.42492954082036</v>
      </c>
      <c r="Q2" s="19">
        <f t="shared" si="1"/>
        <v>169.35767742704496</v>
      </c>
      <c r="R2" s="19">
        <f t="shared" si="1"/>
        <v>174.43840774985631</v>
      </c>
      <c r="S2" s="19">
        <f t="shared" si="1"/>
        <v>179.67155998235199</v>
      </c>
      <c r="T2" s="19">
        <f t="shared" si="1"/>
        <v>185.06170678182255</v>
      </c>
      <c r="U2" s="19">
        <f t="shared" si="1"/>
        <v>190.61355798527723</v>
      </c>
      <c r="V2" s="19">
        <f t="shared" si="1"/>
        <v>196.33196472483556</v>
      </c>
      <c r="W2" s="19">
        <f>(V2*(1.05))/(B15-4%)</f>
        <v>2576.8570370134671</v>
      </c>
    </row>
    <row r="3" spans="1:23" x14ac:dyDescent="0.2">
      <c r="A3" s="2" t="s">
        <v>65</v>
      </c>
      <c r="B3">
        <v>0</v>
      </c>
      <c r="C3">
        <f>B3+1</f>
        <v>1</v>
      </c>
      <c r="D3">
        <f t="shared" ref="D3:W3" si="2">C3+1</f>
        <v>2</v>
      </c>
      <c r="E3">
        <f t="shared" si="2"/>
        <v>3</v>
      </c>
      <c r="F3">
        <f t="shared" si="2"/>
        <v>4</v>
      </c>
      <c r="G3">
        <f t="shared" si="2"/>
        <v>5</v>
      </c>
      <c r="H3">
        <f t="shared" si="2"/>
        <v>6</v>
      </c>
      <c r="I3">
        <f t="shared" si="2"/>
        <v>7</v>
      </c>
      <c r="J3">
        <f t="shared" si="2"/>
        <v>8</v>
      </c>
      <c r="K3">
        <f t="shared" si="2"/>
        <v>9</v>
      </c>
      <c r="L3">
        <f t="shared" si="2"/>
        <v>10</v>
      </c>
      <c r="M3">
        <f t="shared" si="2"/>
        <v>11</v>
      </c>
      <c r="N3">
        <f t="shared" si="2"/>
        <v>12</v>
      </c>
      <c r="O3">
        <f t="shared" si="2"/>
        <v>13</v>
      </c>
      <c r="P3">
        <f t="shared" si="2"/>
        <v>14</v>
      </c>
      <c r="Q3">
        <f t="shared" si="2"/>
        <v>15</v>
      </c>
      <c r="R3">
        <f t="shared" si="2"/>
        <v>16</v>
      </c>
      <c r="S3">
        <f t="shared" si="2"/>
        <v>17</v>
      </c>
      <c r="T3">
        <f t="shared" si="2"/>
        <v>18</v>
      </c>
      <c r="U3">
        <f t="shared" si="2"/>
        <v>19</v>
      </c>
      <c r="V3">
        <f t="shared" si="2"/>
        <v>20</v>
      </c>
      <c r="W3">
        <f t="shared" si="2"/>
        <v>21</v>
      </c>
    </row>
    <row r="4" spans="1:23" x14ac:dyDescent="0.2">
      <c r="A4" s="2" t="s">
        <v>66</v>
      </c>
      <c r="B4" s="19">
        <f t="shared" ref="B4:W4" si="3">B2/((1+$B10)^B3)</f>
        <v>57.04</v>
      </c>
      <c r="C4" s="19">
        <f t="shared" si="3"/>
        <v>59.041403508771921</v>
      </c>
      <c r="D4" s="19">
        <f t="shared" si="3"/>
        <v>61.113031702062152</v>
      </c>
      <c r="E4" s="19">
        <f t="shared" si="3"/>
        <v>63.257348603888886</v>
      </c>
      <c r="F4" s="19">
        <f t="shared" si="3"/>
        <v>59.9280144668421</v>
      </c>
      <c r="G4" s="19">
        <f t="shared" si="3"/>
        <v>56.773908442271463</v>
      </c>
      <c r="H4" s="19">
        <f t="shared" si="3"/>
        <v>53.785807997941383</v>
      </c>
      <c r="I4" s="19">
        <f t="shared" si="3"/>
        <v>50.954975998049726</v>
      </c>
      <c r="J4" s="19">
        <f t="shared" si="3"/>
        <v>48.273135156047097</v>
      </c>
      <c r="K4" s="19">
        <f t="shared" si="3"/>
        <v>43.615201062042551</v>
      </c>
      <c r="L4" s="19">
        <f t="shared" si="3"/>
        <v>39.406716749038445</v>
      </c>
      <c r="M4" s="19">
        <f t="shared" si="3"/>
        <v>35.604314255710172</v>
      </c>
      <c r="N4" s="19">
        <f t="shared" si="3"/>
        <v>32.168810248580236</v>
      </c>
      <c r="O4" s="19">
        <f t="shared" si="3"/>
        <v>29.064802242138285</v>
      </c>
      <c r="P4" s="19">
        <f t="shared" si="3"/>
        <v>26.260303780177573</v>
      </c>
      <c r="Q4" s="19">
        <f t="shared" si="3"/>
        <v>23.726414818932366</v>
      </c>
      <c r="R4" s="19">
        <f t="shared" si="3"/>
        <v>21.437023915351169</v>
      </c>
      <c r="S4" s="19">
        <f t="shared" si="3"/>
        <v>19.368539151589211</v>
      </c>
      <c r="T4" s="19">
        <f t="shared" si="3"/>
        <v>17.499645022927091</v>
      </c>
      <c r="U4" s="19">
        <f t="shared" si="3"/>
        <v>15.811082783872722</v>
      </c>
      <c r="V4" s="19">
        <f t="shared" si="3"/>
        <v>14.285451988937634</v>
      </c>
      <c r="W4" s="19">
        <f t="shared" si="3"/>
        <v>164.47066434632146</v>
      </c>
    </row>
    <row r="6" spans="1:23" x14ac:dyDescent="0.2">
      <c r="A6" s="2" t="s">
        <v>48</v>
      </c>
      <c r="B6" s="20">
        <v>0.18</v>
      </c>
    </row>
    <row r="7" spans="1:23" x14ac:dyDescent="0.2">
      <c r="A7" s="2" t="s">
        <v>49</v>
      </c>
      <c r="B7" s="20">
        <v>0.08</v>
      </c>
    </row>
    <row r="8" spans="1:23" x14ac:dyDescent="0.2">
      <c r="A8" s="2" t="s">
        <v>50</v>
      </c>
      <c r="B8" s="20">
        <v>0.03</v>
      </c>
    </row>
    <row r="9" spans="1:23" x14ac:dyDescent="0.2">
      <c r="A9" s="2"/>
      <c r="B9" s="19"/>
    </row>
    <row r="10" spans="1:23" x14ac:dyDescent="0.2">
      <c r="A10" s="2" t="s">
        <v>52</v>
      </c>
      <c r="B10" s="20">
        <f>SUM(B11:B13)</f>
        <v>0.14000000000000001</v>
      </c>
    </row>
    <row r="11" spans="1:23" x14ac:dyDescent="0.2">
      <c r="A11" s="2" t="s">
        <v>45</v>
      </c>
      <c r="B11" s="20">
        <v>0.04</v>
      </c>
    </row>
    <row r="12" spans="1:23" x14ac:dyDescent="0.2">
      <c r="A12" s="2" t="s">
        <v>46</v>
      </c>
      <c r="B12" s="20">
        <v>0.05</v>
      </c>
    </row>
    <row r="13" spans="1:23" x14ac:dyDescent="0.2">
      <c r="A13" s="2" t="s">
        <v>51</v>
      </c>
      <c r="B13" s="20">
        <v>0.05</v>
      </c>
    </row>
    <row r="14" spans="1:23" x14ac:dyDescent="0.2">
      <c r="A14" s="2"/>
      <c r="B14" s="20"/>
    </row>
    <row r="15" spans="1:23" x14ac:dyDescent="0.2">
      <c r="A15" s="2" t="s">
        <v>53</v>
      </c>
      <c r="B15" s="20">
        <f>SUM(B16:B18)</f>
        <v>0.12</v>
      </c>
    </row>
    <row r="16" spans="1:23" x14ac:dyDescent="0.2">
      <c r="A16" s="2" t="s">
        <v>45</v>
      </c>
      <c r="B16" s="20">
        <v>0.04</v>
      </c>
    </row>
    <row r="17" spans="1:2" x14ac:dyDescent="0.2">
      <c r="A17" s="2" t="s">
        <v>46</v>
      </c>
      <c r="B17" s="20">
        <v>0.05</v>
      </c>
    </row>
    <row r="18" spans="1:2" x14ac:dyDescent="0.2">
      <c r="A18" s="2" t="s">
        <v>51</v>
      </c>
      <c r="B18" s="20">
        <v>0.03</v>
      </c>
    </row>
    <row r="19" spans="1:2" x14ac:dyDescent="0.2">
      <c r="A19" s="2"/>
    </row>
    <row r="20" spans="1:2" x14ac:dyDescent="0.2">
      <c r="A20" s="2" t="s">
        <v>82</v>
      </c>
      <c r="B20" s="19">
        <f>SUM(B4:W4)</f>
        <v>992.88659624149352</v>
      </c>
    </row>
    <row r="21" spans="1:2" x14ac:dyDescent="0.2">
      <c r="A21" s="2" t="s">
        <v>83</v>
      </c>
      <c r="B21" s="19">
        <f>B20+'Chinese Technology'!G5-'Chinese Technology'!F5</f>
        <v>1288.8126462414937</v>
      </c>
    </row>
    <row r="23" spans="1:2" x14ac:dyDescent="0.2">
      <c r="A23" s="2" t="s">
        <v>86</v>
      </c>
      <c r="B23" s="15">
        <f>B21/'Chinese Technology'!D5-1</f>
        <v>1.4813107276766768E-2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D2371-4EBB-354F-A903-B1345542F064}">
  <dimension ref="A1:W18"/>
  <sheetViews>
    <sheetView workbookViewId="0">
      <selection activeCell="B9" sqref="B9"/>
    </sheetView>
  </sheetViews>
  <sheetFormatPr baseColWidth="10" defaultRowHeight="16" x14ac:dyDescent="0.2"/>
  <cols>
    <col min="1" max="1" width="19.83203125" customWidth="1"/>
    <col min="2" max="2" width="11.5" bestFit="1" customWidth="1"/>
    <col min="3" max="21" width="8" bestFit="1" customWidth="1"/>
    <col min="23" max="23" width="14.83203125" customWidth="1"/>
  </cols>
  <sheetData>
    <row r="1" spans="1:23" x14ac:dyDescent="0.2">
      <c r="A1" s="2" t="s">
        <v>56</v>
      </c>
      <c r="B1" s="2">
        <v>2024</v>
      </c>
      <c r="C1" s="2">
        <f>B1+1</f>
        <v>2025</v>
      </c>
      <c r="D1" s="2">
        <f t="shared" ref="D1" si="0">C1+1</f>
        <v>2026</v>
      </c>
      <c r="E1" s="2">
        <f t="shared" ref="E1" si="1">D1+1</f>
        <v>2027</v>
      </c>
      <c r="F1" s="2">
        <f t="shared" ref="F1" si="2">E1+1</f>
        <v>2028</v>
      </c>
      <c r="G1" s="2">
        <f t="shared" ref="G1" si="3">F1+1</f>
        <v>2029</v>
      </c>
      <c r="H1" s="2">
        <f t="shared" ref="H1" si="4">G1+1</f>
        <v>2030</v>
      </c>
      <c r="I1" s="2">
        <f t="shared" ref="I1" si="5">H1+1</f>
        <v>2031</v>
      </c>
      <c r="J1" s="2">
        <f t="shared" ref="J1" si="6">I1+1</f>
        <v>2032</v>
      </c>
      <c r="K1" s="2">
        <f t="shared" ref="K1" si="7">J1+1</f>
        <v>2033</v>
      </c>
      <c r="L1" s="2">
        <f t="shared" ref="L1" si="8">K1+1</f>
        <v>2034</v>
      </c>
      <c r="M1" s="2">
        <f t="shared" ref="M1" si="9">L1+1</f>
        <v>2035</v>
      </c>
      <c r="N1" s="2">
        <f t="shared" ref="N1" si="10">M1+1</f>
        <v>2036</v>
      </c>
      <c r="O1" s="2">
        <f t="shared" ref="O1" si="11">N1+1</f>
        <v>2037</v>
      </c>
      <c r="P1" s="2">
        <f t="shared" ref="P1" si="12">O1+1</f>
        <v>2038</v>
      </c>
      <c r="Q1" s="2">
        <f t="shared" ref="Q1" si="13">P1+1</f>
        <v>2039</v>
      </c>
      <c r="R1" s="2">
        <f t="shared" ref="R1" si="14">Q1+1</f>
        <v>2040</v>
      </c>
      <c r="S1" s="2">
        <f t="shared" ref="S1" si="15">R1+1</f>
        <v>2041</v>
      </c>
      <c r="T1" s="2">
        <f t="shared" ref="T1" si="16">S1+1</f>
        <v>2042</v>
      </c>
      <c r="U1" s="2">
        <f>T1+1</f>
        <v>2043</v>
      </c>
      <c r="V1" s="2">
        <f t="shared" ref="V1" si="17">U1+1</f>
        <v>2044</v>
      </c>
      <c r="W1" s="2" t="s">
        <v>63</v>
      </c>
    </row>
    <row r="2" spans="1:23" x14ac:dyDescent="0.2">
      <c r="A2" s="21" t="s">
        <v>64</v>
      </c>
      <c r="B2" s="13">
        <v>20</v>
      </c>
      <c r="C2" s="13">
        <f>B2*(1+$B8)</f>
        <v>20.6</v>
      </c>
      <c r="D2" s="13">
        <f t="shared" ref="D2" si="18">C2*(1+$B8)</f>
        <v>21.218000000000004</v>
      </c>
      <c r="E2" s="13">
        <f t="shared" ref="E2" si="19">D2*(1+$B8)</f>
        <v>21.854540000000004</v>
      </c>
      <c r="F2" s="13">
        <f t="shared" ref="F2" si="20">E2*(1+$B8)</f>
        <v>22.510176200000004</v>
      </c>
      <c r="G2" s="13">
        <f>F2*(1+$B8)</f>
        <v>23.185481486000004</v>
      </c>
      <c r="H2" s="13">
        <f t="shared" ref="H2" si="21">G2*(1+$B8)</f>
        <v>23.881045930580004</v>
      </c>
      <c r="I2" s="13">
        <f t="shared" ref="I2" si="22">H2*(1+$B8)</f>
        <v>24.597477308497407</v>
      </c>
      <c r="J2" s="13">
        <f t="shared" ref="J2" si="23">I2*(1+$B8)</f>
        <v>25.335401627752329</v>
      </c>
      <c r="K2" s="13">
        <f>J2*(1+$B8)</f>
        <v>26.095463676584899</v>
      </c>
      <c r="L2" s="13">
        <f t="shared" ref="L2" si="24">K2*(1+$B8)</f>
        <v>26.878327586882445</v>
      </c>
      <c r="M2" s="13">
        <f t="shared" ref="M2" si="25">L2*(1+$B8)</f>
        <v>27.68467741448892</v>
      </c>
      <c r="N2" s="13">
        <f t="shared" ref="N2" si="26">M2*(1+$B8)</f>
        <v>28.515217736923589</v>
      </c>
      <c r="O2" s="13">
        <f t="shared" ref="O2" si="27">N2*(1+$B8)</f>
        <v>29.370674269031298</v>
      </c>
      <c r="P2" s="13">
        <f t="shared" ref="P2" si="28">O2*(1+$B8)</f>
        <v>30.251794497102239</v>
      </c>
      <c r="Q2" s="13">
        <f t="shared" ref="Q2" si="29">P2*(1+$B8)</f>
        <v>31.159348332015306</v>
      </c>
      <c r="R2" s="13">
        <f t="shared" ref="R2" si="30">Q2*(1+$B8)</f>
        <v>32.094128781975769</v>
      </c>
      <c r="S2" s="13">
        <f t="shared" ref="S2" si="31">R2*(1+$B8)</f>
        <v>33.05695264543504</v>
      </c>
      <c r="T2" s="13">
        <f t="shared" ref="T2" si="32">S2*(1+$B8)</f>
        <v>34.048661224798089</v>
      </c>
      <c r="U2" s="13">
        <f t="shared" ref="U2" si="33">T2*(1+$B8)</f>
        <v>35.070121061542032</v>
      </c>
      <c r="V2" s="13">
        <f t="shared" ref="V2" si="34">U2*(1+$B8)</f>
        <v>36.122224693388297</v>
      </c>
      <c r="W2" s="13">
        <f>(V2*(1+B8))/(B10-B8)</f>
        <v>465.07364292737429</v>
      </c>
    </row>
    <row r="3" spans="1:23" x14ac:dyDescent="0.2">
      <c r="A3" s="2" t="s">
        <v>65</v>
      </c>
      <c r="B3">
        <v>0</v>
      </c>
      <c r="C3">
        <f>B3+1</f>
        <v>1</v>
      </c>
      <c r="D3">
        <f t="shared" ref="D3" si="35">C3+1</f>
        <v>2</v>
      </c>
      <c r="E3">
        <f t="shared" ref="E3" si="36">D3+1</f>
        <v>3</v>
      </c>
      <c r="F3">
        <f t="shared" ref="F3" si="37">E3+1</f>
        <v>4</v>
      </c>
      <c r="G3">
        <f t="shared" ref="G3" si="38">F3+1</f>
        <v>5</v>
      </c>
      <c r="H3">
        <f t="shared" ref="H3" si="39">G3+1</f>
        <v>6</v>
      </c>
      <c r="I3">
        <f t="shared" ref="I3" si="40">H3+1</f>
        <v>7</v>
      </c>
      <c r="J3">
        <f t="shared" ref="J3" si="41">I3+1</f>
        <v>8</v>
      </c>
      <c r="K3">
        <f t="shared" ref="K3" si="42">J3+1</f>
        <v>9</v>
      </c>
      <c r="L3">
        <f t="shared" ref="L3" si="43">K3+1</f>
        <v>10</v>
      </c>
      <c r="M3">
        <f t="shared" ref="M3" si="44">L3+1</f>
        <v>11</v>
      </c>
      <c r="N3">
        <f t="shared" ref="N3" si="45">M3+1</f>
        <v>12</v>
      </c>
      <c r="O3">
        <f t="shared" ref="O3" si="46">N3+1</f>
        <v>13</v>
      </c>
      <c r="P3">
        <f t="shared" ref="P3" si="47">O3+1</f>
        <v>14</v>
      </c>
      <c r="Q3">
        <f t="shared" ref="Q3" si="48">P3+1</f>
        <v>15</v>
      </c>
      <c r="R3">
        <f t="shared" ref="R3" si="49">Q3+1</f>
        <v>16</v>
      </c>
      <c r="S3">
        <f t="shared" ref="S3" si="50">R3+1</f>
        <v>17</v>
      </c>
      <c r="T3">
        <f t="shared" ref="T3" si="51">S3+1</f>
        <v>18</v>
      </c>
      <c r="U3">
        <f t="shared" ref="U3" si="52">T3+1</f>
        <v>19</v>
      </c>
      <c r="V3">
        <f t="shared" ref="V3:W3" si="53">U3+1</f>
        <v>20</v>
      </c>
      <c r="W3">
        <f t="shared" si="53"/>
        <v>21</v>
      </c>
    </row>
    <row r="4" spans="1:23" s="19" customFormat="1" x14ac:dyDescent="0.2">
      <c r="A4" s="22" t="s">
        <v>66</v>
      </c>
      <c r="B4" s="19">
        <f>B2/((1+$B10)^B3)</f>
        <v>20</v>
      </c>
      <c r="C4" s="19">
        <f t="shared" ref="C4:D4" si="54">C2/((1+$B10)^C3)</f>
        <v>18.558558558558559</v>
      </c>
      <c r="D4" s="19">
        <f t="shared" si="54"/>
        <v>17.221004788572355</v>
      </c>
      <c r="E4" s="19">
        <f>E2/((1+$B10)^E3)</f>
        <v>15.979851290296871</v>
      </c>
      <c r="F4" s="19">
        <f t="shared" ref="F4:V4" si="55">F2/((1+$B10)^F3)</f>
        <v>14.828150296401599</v>
      </c>
      <c r="G4" s="19">
        <f t="shared" si="55"/>
        <v>13.759454779543825</v>
      </c>
      <c r="H4" s="19">
        <f t="shared" si="55"/>
        <v>12.767782363000126</v>
      </c>
      <c r="I4" s="19">
        <f t="shared" si="55"/>
        <v>11.847581832333452</v>
      </c>
      <c r="J4" s="19">
        <f t="shared" si="55"/>
        <v>10.993702060633741</v>
      </c>
      <c r="K4" s="19">
        <f t="shared" si="55"/>
        <v>10.201363173380857</v>
      </c>
      <c r="L4" s="19">
        <f t="shared" si="55"/>
        <v>9.4661297915155682</v>
      </c>
      <c r="M4" s="19">
        <f t="shared" si="55"/>
        <v>8.7838862029378699</v>
      </c>
      <c r="N4" s="19">
        <f t="shared" si="55"/>
        <v>8.1508133234468527</v>
      </c>
      <c r="O4" s="19">
        <f t="shared" si="55"/>
        <v>7.5633673181533858</v>
      </c>
      <c r="P4" s="19">
        <f t="shared" si="55"/>
        <v>7.0182597636918809</v>
      </c>
      <c r="Q4" s="19">
        <f t="shared" si="55"/>
        <v>6.5124392401825562</v>
      </c>
      <c r="R4" s="19">
        <f t="shared" si="55"/>
        <v>6.0430742498991279</v>
      </c>
      <c r="S4" s="19">
        <f t="shared" si="55"/>
        <v>5.6075373670235145</v>
      </c>
      <c r="T4" s="19">
        <f t="shared" si="55"/>
        <v>5.2033905297605578</v>
      </c>
      <c r="U4" s="19">
        <f t="shared" si="55"/>
        <v>4.8283713924805181</v>
      </c>
      <c r="V4" s="19">
        <f t="shared" si="55"/>
        <v>4.4803806614909307</v>
      </c>
      <c r="W4" s="19">
        <f t="shared" ref="W4" si="56">W2/((1+$B10)^W3)</f>
        <v>51.968379294320471</v>
      </c>
    </row>
    <row r="5" spans="1:23" x14ac:dyDescent="0.2">
      <c r="A5" s="2"/>
    </row>
    <row r="6" spans="1:23" x14ac:dyDescent="0.2">
      <c r="A6" s="2" t="s">
        <v>67</v>
      </c>
      <c r="B6" s="13">
        <f>'Chinese Technology'!D7</f>
        <v>235.16</v>
      </c>
    </row>
    <row r="7" spans="1:23" x14ac:dyDescent="0.2">
      <c r="A7" s="2"/>
    </row>
    <row r="8" spans="1:23" x14ac:dyDescent="0.2">
      <c r="A8" s="2" t="s">
        <v>47</v>
      </c>
      <c r="B8" s="20">
        <v>0.03</v>
      </c>
    </row>
    <row r="9" spans="1:23" x14ac:dyDescent="0.2">
      <c r="A9" s="2" t="s">
        <v>43</v>
      </c>
      <c r="B9" s="19">
        <f>SUM(B4:V4)</f>
        <v>219.8150989833041</v>
      </c>
    </row>
    <row r="10" spans="1:23" x14ac:dyDescent="0.2">
      <c r="A10" s="2" t="s">
        <v>44</v>
      </c>
      <c r="B10" s="20">
        <f>SUM(B11:B13)</f>
        <v>0.11</v>
      </c>
    </row>
    <row r="11" spans="1:23" x14ac:dyDescent="0.2">
      <c r="A11" s="2" t="s">
        <v>45</v>
      </c>
      <c r="B11" s="20">
        <v>0.03</v>
      </c>
    </row>
    <row r="12" spans="1:23" x14ac:dyDescent="0.2">
      <c r="A12" s="2" t="s">
        <v>46</v>
      </c>
      <c r="B12" s="20">
        <v>0.03</v>
      </c>
    </row>
    <row r="13" spans="1:23" x14ac:dyDescent="0.2">
      <c r="A13" s="2" t="s">
        <v>51</v>
      </c>
      <c r="B13" s="15">
        <v>0.05</v>
      </c>
    </row>
    <row r="14" spans="1:23" x14ac:dyDescent="0.2">
      <c r="A14" s="2"/>
      <c r="B14" s="15"/>
    </row>
    <row r="15" spans="1:23" x14ac:dyDescent="0.2">
      <c r="A15" s="2" t="s">
        <v>82</v>
      </c>
      <c r="B15" s="19">
        <f>SUM(B4:W4)</f>
        <v>271.78347827762457</v>
      </c>
    </row>
    <row r="16" spans="1:23" x14ac:dyDescent="0.2">
      <c r="A16" s="2" t="s">
        <v>83</v>
      </c>
      <c r="B16" s="19">
        <f>B15+'Chinese Technology'!G7-'Chinese Technology'!F7</f>
        <v>477.9334782776246</v>
      </c>
    </row>
    <row r="18" spans="1:2" x14ac:dyDescent="0.2">
      <c r="A18" s="2" t="s">
        <v>86</v>
      </c>
      <c r="B18" s="15">
        <f>B16/'Chinese Technology'!D7-1</f>
        <v>1.0323757368499091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E-commerce</vt:lpstr>
      <vt:lpstr>Chinese Technology</vt:lpstr>
      <vt:lpstr>JD Case 1</vt:lpstr>
      <vt:lpstr>BABA Case 1</vt:lpstr>
      <vt:lpstr>PDD Case 1</vt:lpstr>
      <vt:lpstr>Baidu Case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Nam</dc:creator>
  <cp:lastModifiedBy>Janc, Maja</cp:lastModifiedBy>
  <dcterms:created xsi:type="dcterms:W3CDTF">2024-06-22T23:36:51Z</dcterms:created>
  <dcterms:modified xsi:type="dcterms:W3CDTF">2024-10-15T19:34:15Z</dcterms:modified>
</cp:coreProperties>
</file>