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ownloads/"/>
    </mc:Choice>
  </mc:AlternateContent>
  <xr:revisionPtr revIDLastSave="0" documentId="13_ncr:1_{117EA45C-5CB0-FF44-9312-EC3F3B8AB5CD}" xr6:coauthVersionLast="47" xr6:coauthVersionMax="47" xr10:uidLastSave="{00000000-0000-0000-0000-000000000000}"/>
  <bookViews>
    <workbookView xWindow="-840" yWindow="500" windowWidth="28800" windowHeight="16400" activeTab="1" xr2:uid="{99790AA5-3840-4A41-8864-A932B225279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2" l="1"/>
  <c r="N55" i="2"/>
  <c r="N50" i="2"/>
  <c r="N54" i="2"/>
  <c r="L55" i="2"/>
  <c r="S29" i="2"/>
  <c r="T29" i="2"/>
  <c r="S26" i="2"/>
  <c r="S6" i="2"/>
  <c r="H73" i="2"/>
  <c r="T73" i="2"/>
  <c r="N13" i="2"/>
  <c r="O13" i="2"/>
  <c r="P13" i="2"/>
  <c r="Q13" i="2"/>
  <c r="R13" i="2"/>
  <c r="S13" i="2"/>
  <c r="S73" i="2" s="1"/>
  <c r="N19" i="2"/>
  <c r="O19" i="2"/>
  <c r="P19" i="2"/>
  <c r="Q19" i="2"/>
  <c r="R19" i="2"/>
  <c r="S19" i="2"/>
  <c r="S74" i="2"/>
  <c r="S75" i="2"/>
  <c r="T75" i="2"/>
  <c r="T74" i="2"/>
  <c r="H75" i="2"/>
  <c r="N25" i="2"/>
  <c r="O25" i="2"/>
  <c r="P25" i="2"/>
  <c r="Q25" i="2"/>
  <c r="R25" i="2"/>
  <c r="S25" i="2"/>
  <c r="T25" i="2"/>
  <c r="T19" i="2"/>
  <c r="L13" i="2"/>
  <c r="L73" i="2" s="1"/>
  <c r="T6" i="2"/>
  <c r="T13" i="2"/>
  <c r="L19" i="2"/>
  <c r="L74" i="2" s="1"/>
  <c r="P67" i="2"/>
  <c r="O67" i="2"/>
  <c r="N67" i="2"/>
  <c r="N36" i="2"/>
  <c r="N34" i="2"/>
  <c r="N30" i="2"/>
  <c r="N29" i="2"/>
  <c r="O36" i="2"/>
  <c r="O34" i="2"/>
  <c r="O30" i="2"/>
  <c r="O29" i="2"/>
  <c r="P36" i="2"/>
  <c r="P34" i="2"/>
  <c r="P30" i="2"/>
  <c r="Q36" i="2"/>
  <c r="Q34" i="2"/>
  <c r="Q30" i="2"/>
  <c r="P29" i="2"/>
  <c r="P31" i="2" s="1"/>
  <c r="P33" i="2" s="1"/>
  <c r="P35" i="2" s="1"/>
  <c r="Q29" i="2"/>
  <c r="S67" i="2"/>
  <c r="T67" i="2"/>
  <c r="U67" i="2"/>
  <c r="R36" i="2"/>
  <c r="R34" i="2"/>
  <c r="R30" i="2"/>
  <c r="S36" i="2"/>
  <c r="S34" i="2"/>
  <c r="S30" i="2"/>
  <c r="T36" i="2"/>
  <c r="T34" i="2"/>
  <c r="T30" i="2"/>
  <c r="R29" i="2"/>
  <c r="H29" i="2"/>
  <c r="H36" i="2"/>
  <c r="H34" i="2"/>
  <c r="H30" i="2"/>
  <c r="G36" i="2"/>
  <c r="G34" i="2"/>
  <c r="G30" i="2"/>
  <c r="G29" i="2"/>
  <c r="K36" i="2"/>
  <c r="K34" i="2"/>
  <c r="K30" i="2"/>
  <c r="K29" i="2"/>
  <c r="H19" i="2"/>
  <c r="H74" i="2" s="1"/>
  <c r="L6" i="2"/>
  <c r="K6" i="2"/>
  <c r="H13" i="2"/>
  <c r="L75" i="2"/>
  <c r="L65" i="2"/>
  <c r="I7" i="1"/>
  <c r="L58" i="2"/>
  <c r="L63" i="2" s="1"/>
  <c r="L53" i="2"/>
  <c r="L46" i="2"/>
  <c r="L36" i="2"/>
  <c r="L34" i="2"/>
  <c r="L30" i="2"/>
  <c r="L29" i="2"/>
  <c r="I4" i="1"/>
  <c r="T31" i="2" l="1"/>
  <c r="T41" i="2" s="1"/>
  <c r="S43" i="2"/>
  <c r="R43" i="2"/>
  <c r="O31" i="2"/>
  <c r="O41" i="2" s="1"/>
  <c r="P43" i="2"/>
  <c r="H31" i="2"/>
  <c r="H33" i="2" s="1"/>
  <c r="H35" i="2" s="1"/>
  <c r="H37" i="2" s="1"/>
  <c r="H38" i="2" s="1"/>
  <c r="O43" i="2"/>
  <c r="N31" i="2"/>
  <c r="N33" i="2" s="1"/>
  <c r="P37" i="2"/>
  <c r="P38" i="2" s="1"/>
  <c r="T43" i="2"/>
  <c r="Q43" i="2"/>
  <c r="P41" i="2"/>
  <c r="P42" i="2"/>
  <c r="Q31" i="2"/>
  <c r="K43" i="2"/>
  <c r="S31" i="2"/>
  <c r="S41" i="2" s="1"/>
  <c r="R31" i="2"/>
  <c r="R41" i="2" s="1"/>
  <c r="L43" i="2"/>
  <c r="G31" i="2"/>
  <c r="G33" i="2" s="1"/>
  <c r="G35" i="2" s="1"/>
  <c r="G37" i="2" s="1"/>
  <c r="G38" i="2" s="1"/>
  <c r="K31" i="2"/>
  <c r="L31" i="2"/>
  <c r="L33" i="2" s="1"/>
  <c r="N41" i="2" l="1"/>
  <c r="T33" i="2"/>
  <c r="T42" i="2" s="1"/>
  <c r="O33" i="2"/>
  <c r="O42" i="2" s="1"/>
  <c r="N42" i="2"/>
  <c r="N35" i="2"/>
  <c r="N37" i="2" s="1"/>
  <c r="N38" i="2" s="1"/>
  <c r="Q33" i="2"/>
  <c r="Q41" i="2"/>
  <c r="S33" i="2"/>
  <c r="S42" i="2" s="1"/>
  <c r="R33" i="2"/>
  <c r="R42" i="2" s="1"/>
  <c r="K33" i="2"/>
  <c r="K41" i="2"/>
  <c r="L41" i="2"/>
  <c r="L35" i="2"/>
  <c r="L37" i="2" s="1"/>
  <c r="L38" i="2" s="1"/>
  <c r="L42" i="2"/>
  <c r="O35" i="2" l="1"/>
  <c r="O37" i="2" s="1"/>
  <c r="O38" i="2" s="1"/>
  <c r="T35" i="2"/>
  <c r="T37" i="2" s="1"/>
  <c r="T38" i="2" s="1"/>
  <c r="Q35" i="2"/>
  <c r="Q37" i="2" s="1"/>
  <c r="Q38" i="2" s="1"/>
  <c r="Q42" i="2"/>
  <c r="R35" i="2"/>
  <c r="R37" i="2" s="1"/>
  <c r="R38" i="2" s="1"/>
  <c r="S35" i="2"/>
  <c r="S37" i="2" s="1"/>
  <c r="S38" i="2" s="1"/>
  <c r="K35" i="2"/>
  <c r="K37" i="2" s="1"/>
  <c r="K38" i="2" s="1"/>
  <c r="K42" i="2"/>
</calcChain>
</file>

<file path=xl/sharedStrings.xml><?xml version="1.0" encoding="utf-8"?>
<sst xmlns="http://schemas.openxmlformats.org/spreadsheetml/2006/main" count="90" uniqueCount="84">
  <si>
    <t>Price</t>
  </si>
  <si>
    <t>Shares</t>
  </si>
  <si>
    <t>MC</t>
  </si>
  <si>
    <t>Cash</t>
  </si>
  <si>
    <t>Debt</t>
  </si>
  <si>
    <t>EV</t>
  </si>
  <si>
    <t>Main</t>
  </si>
  <si>
    <t>Revenue</t>
  </si>
  <si>
    <t>Q224</t>
  </si>
  <si>
    <t>Services</t>
  </si>
  <si>
    <t>Products</t>
  </si>
  <si>
    <t>COGS</t>
  </si>
  <si>
    <t>Gross Profit</t>
  </si>
  <si>
    <t>SG&amp;A</t>
  </si>
  <si>
    <t>Operating Income</t>
  </si>
  <si>
    <t>Gross Margin</t>
  </si>
  <si>
    <t>Operating Margin</t>
  </si>
  <si>
    <t>Pretax Income</t>
  </si>
  <si>
    <t>Interest</t>
  </si>
  <si>
    <t>Taxes</t>
  </si>
  <si>
    <t>Net Income</t>
  </si>
  <si>
    <t>EPS</t>
  </si>
  <si>
    <t>Accounts Receivable</t>
  </si>
  <si>
    <t>Inventories</t>
  </si>
  <si>
    <t>Content Advances</t>
  </si>
  <si>
    <t>OCA</t>
  </si>
  <si>
    <t>Content</t>
  </si>
  <si>
    <t>PP&amp;E</t>
  </si>
  <si>
    <t>Goodwill</t>
  </si>
  <si>
    <t>Other</t>
  </si>
  <si>
    <t>Assets</t>
  </si>
  <si>
    <t>AP</t>
  </si>
  <si>
    <t>DT</t>
  </si>
  <si>
    <t>OLTL</t>
  </si>
  <si>
    <t>S/E</t>
  </si>
  <si>
    <t>L+S/E</t>
  </si>
  <si>
    <t>DR</t>
  </si>
  <si>
    <t>CFFO</t>
  </si>
  <si>
    <t>FQ324</t>
  </si>
  <si>
    <t>FQ224</t>
  </si>
  <si>
    <t>FQ124</t>
  </si>
  <si>
    <t>Revenue y/y</t>
  </si>
  <si>
    <t>Entertainment</t>
  </si>
  <si>
    <t>Sports</t>
  </si>
  <si>
    <t>Experiences</t>
  </si>
  <si>
    <t>Entertainment OI</t>
  </si>
  <si>
    <t>Sports OI</t>
  </si>
  <si>
    <t>Experiences OI</t>
  </si>
  <si>
    <t>FQ423</t>
  </si>
  <si>
    <t>FQ23</t>
  </si>
  <si>
    <t>Entertainment OM</t>
  </si>
  <si>
    <t>Sports OM</t>
  </si>
  <si>
    <t>Experiences OM</t>
  </si>
  <si>
    <t>Linear Networks</t>
  </si>
  <si>
    <t>DTC</t>
  </si>
  <si>
    <t>Content Sales</t>
  </si>
  <si>
    <t>Disney+ Domestic</t>
  </si>
  <si>
    <t>Disney+ Intl</t>
  </si>
  <si>
    <t>Disney+ Hotstar</t>
  </si>
  <si>
    <t>Disney+ Total</t>
  </si>
  <si>
    <t>Hulu</t>
  </si>
  <si>
    <t>ESPN</t>
  </si>
  <si>
    <t>Star India</t>
  </si>
  <si>
    <t>F2024</t>
  </si>
  <si>
    <t>F2023</t>
  </si>
  <si>
    <t>F2022</t>
  </si>
  <si>
    <t>F2021</t>
  </si>
  <si>
    <t>CapEx</t>
  </si>
  <si>
    <t>FCF</t>
  </si>
  <si>
    <t>F2000</t>
  </si>
  <si>
    <t>F2019</t>
  </si>
  <si>
    <t>F2018</t>
  </si>
  <si>
    <t>F2017</t>
  </si>
  <si>
    <t>Advertising</t>
  </si>
  <si>
    <t>Subscription fees</t>
  </si>
  <si>
    <t>Theme park admissions</t>
  </si>
  <si>
    <t>Resorts and vacations</t>
  </si>
  <si>
    <t>Parks &amp; Experiences merchandise, food and beverage</t>
  </si>
  <si>
    <t>Merchandise licensing and retail</t>
  </si>
  <si>
    <t>Parks licensing and other</t>
  </si>
  <si>
    <t>Eliminations &amp; Other</t>
  </si>
  <si>
    <t>Assets -  cash</t>
  </si>
  <si>
    <t>Net debt</t>
  </si>
  <si>
    <t>Operating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</si>
</sst>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#,##0.0"/>
    <numFmt numFmtId="172" formatCode="_([$$-409]* #,##0_);_([$$-409]* \(#,##0\);_([$$-409]* &quot;-&quot;??_);_(@_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0" applyNumberFormat="1" applyAlignment="1">
      <alignment horizontal="right"/>
    </xf>
    <xf numFmtId="172" fontId="1" fillId="0" borderId="0" xfId="0" applyNumberFormat="1" applyFont="1"/>
    <xf numFmtId="172" fontId="1" fillId="0" borderId="0" xfId="0" applyNumberFormat="1" applyFont="1" applyAlignment="1">
      <alignment horizontal="right"/>
    </xf>
    <xf numFmtId="172" fontId="3" fillId="0" borderId="0" xfId="0" applyNumberFormat="1" applyFont="1" applyAlignment="1">
      <alignment horizontal="right"/>
    </xf>
    <xf numFmtId="172" fontId="0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87DA70-ED3C-407F-8A9C-6BD7483F92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1C7F-C83B-4EA6-B74B-61DB3BF098F0}">
  <dimension ref="H2:J7"/>
  <sheetViews>
    <sheetView zoomScale="220" zoomScaleNormal="220" workbookViewId="0">
      <selection activeCell="I8" sqref="I8"/>
    </sheetView>
  </sheetViews>
  <sheetFormatPr baseColWidth="10" defaultColWidth="8.83203125" defaultRowHeight="13" x14ac:dyDescent="0.15"/>
  <sheetData>
    <row r="2" spans="8:10" x14ac:dyDescent="0.15">
      <c r="H2" t="s">
        <v>0</v>
      </c>
      <c r="I2" s="1">
        <v>85.67</v>
      </c>
    </row>
    <row r="3" spans="8:10" x14ac:dyDescent="0.15">
      <c r="H3" t="s">
        <v>1</v>
      </c>
      <c r="I3" s="2">
        <v>1813.5873799999999</v>
      </c>
      <c r="J3" s="3" t="s">
        <v>8</v>
      </c>
    </row>
    <row r="4" spans="8:10" x14ac:dyDescent="0.15">
      <c r="H4" t="s">
        <v>2</v>
      </c>
      <c r="I4" s="2">
        <f>+I2*I3</f>
        <v>155370.0308446</v>
      </c>
      <c r="J4" s="3"/>
    </row>
    <row r="5" spans="8:10" x14ac:dyDescent="0.15">
      <c r="H5" t="s">
        <v>3</v>
      </c>
      <c r="I5" s="2">
        <v>10586</v>
      </c>
      <c r="J5" s="3" t="s">
        <v>8</v>
      </c>
    </row>
    <row r="6" spans="8:10" x14ac:dyDescent="0.15">
      <c r="H6" t="s">
        <v>4</v>
      </c>
      <c r="I6" s="2">
        <v>47584</v>
      </c>
      <c r="J6" s="3" t="s">
        <v>8</v>
      </c>
    </row>
    <row r="7" spans="8:10" x14ac:dyDescent="0.15">
      <c r="H7" t="s">
        <v>5</v>
      </c>
      <c r="I7" s="2">
        <f>+I4-I5+I6</f>
        <v>192368.0308446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3778-8872-4317-A2AC-EAF4F0379902}">
  <dimension ref="A1:U75"/>
  <sheetViews>
    <sheetView tabSelected="1" zoomScale="137" zoomScaleNormal="205" workbookViewId="0">
      <pane xSplit="2" ySplit="3" topLeftCell="C27" activePane="bottomRight" state="frozen"/>
      <selection pane="topRight" activeCell="C1" sqref="C1"/>
      <selection pane="bottomLeft" activeCell="A3" sqref="A3"/>
      <selection pane="bottomRight" activeCell="P43" sqref="P43"/>
    </sheetView>
  </sheetViews>
  <sheetFormatPr baseColWidth="10" defaultColWidth="8.83203125" defaultRowHeight="13" x14ac:dyDescent="0.15"/>
  <cols>
    <col min="1" max="1" width="5" bestFit="1" customWidth="1"/>
    <col min="2" max="2" width="19.5" customWidth="1"/>
    <col min="3" max="6" width="9.1640625" style="3"/>
    <col min="7" max="8" width="11.1640625" style="3" bestFit="1" customWidth="1"/>
    <col min="9" max="10" width="9.1640625" style="3"/>
    <col min="11" max="12" width="11.1640625" style="3" bestFit="1" customWidth="1"/>
    <col min="13" max="13" width="15" style="3" customWidth="1"/>
    <col min="14" max="18" width="11.1640625" style="3" bestFit="1" customWidth="1"/>
    <col min="19" max="19" width="11.1640625" bestFit="1" customWidth="1"/>
    <col min="20" max="20" width="11.1640625" style="3" bestFit="1" customWidth="1"/>
    <col min="21" max="21" width="9.1640625" style="3"/>
  </cols>
  <sheetData>
    <row r="1" spans="1:21" x14ac:dyDescent="0.15">
      <c r="A1" s="8" t="s">
        <v>6</v>
      </c>
    </row>
    <row r="2" spans="1:21" x14ac:dyDescent="0.15">
      <c r="A2" s="8"/>
      <c r="H2" s="9">
        <v>45108</v>
      </c>
      <c r="K2" s="9">
        <v>45381</v>
      </c>
      <c r="L2" s="9">
        <v>45472</v>
      </c>
    </row>
    <row r="3" spans="1:21" x14ac:dyDescent="0.15">
      <c r="H3" s="3" t="s">
        <v>49</v>
      </c>
      <c r="I3" s="3" t="s">
        <v>48</v>
      </c>
      <c r="J3" s="3" t="s">
        <v>40</v>
      </c>
      <c r="K3" s="3" t="s">
        <v>39</v>
      </c>
      <c r="L3" s="3" t="s">
        <v>38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66</v>
      </c>
      <c r="S3" s="3" t="s">
        <v>65</v>
      </c>
      <c r="T3" s="3" t="s">
        <v>64</v>
      </c>
      <c r="U3" s="3" t="s">
        <v>63</v>
      </c>
    </row>
    <row r="4" spans="1:21" x14ac:dyDescent="0.15">
      <c r="B4" s="3" t="s">
        <v>56</v>
      </c>
      <c r="K4" s="11">
        <v>54</v>
      </c>
      <c r="L4" s="11">
        <v>54.8</v>
      </c>
      <c r="S4">
        <v>46.4</v>
      </c>
      <c r="T4" s="3">
        <v>46.5</v>
      </c>
    </row>
    <row r="5" spans="1:21" x14ac:dyDescent="0.15">
      <c r="B5" s="3" t="s">
        <v>57</v>
      </c>
      <c r="K5" s="11">
        <v>63.6</v>
      </c>
      <c r="L5" s="11">
        <v>63.5</v>
      </c>
      <c r="S5">
        <v>56.5</v>
      </c>
      <c r="T5" s="3">
        <v>66.099999999999994</v>
      </c>
    </row>
    <row r="6" spans="1:21" x14ac:dyDescent="0.15">
      <c r="B6" s="4" t="s">
        <v>59</v>
      </c>
      <c r="C6" s="5"/>
      <c r="D6" s="5"/>
      <c r="E6" s="5"/>
      <c r="F6" s="5"/>
      <c r="G6" s="5"/>
      <c r="H6" s="5"/>
      <c r="I6" s="5"/>
      <c r="J6" s="5"/>
      <c r="K6" s="18">
        <f>+K5+K4</f>
        <v>117.6</v>
      </c>
      <c r="L6" s="18">
        <f>+L5+L4</f>
        <v>118.3</v>
      </c>
      <c r="M6" s="5"/>
      <c r="N6" s="5"/>
      <c r="O6" s="5"/>
      <c r="P6" s="5"/>
      <c r="Q6" s="5"/>
      <c r="R6" s="5"/>
      <c r="S6" s="5">
        <f>SUM(S4:S5)</f>
        <v>102.9</v>
      </c>
      <c r="T6" s="5">
        <f>SUM(T4:T5)</f>
        <v>112.6</v>
      </c>
    </row>
    <row r="7" spans="1:21" x14ac:dyDescent="0.15">
      <c r="B7" t="s">
        <v>58</v>
      </c>
      <c r="K7" s="11">
        <v>36</v>
      </c>
      <c r="L7" s="11">
        <v>35.5</v>
      </c>
      <c r="S7">
        <v>61.3</v>
      </c>
      <c r="T7" s="3">
        <v>37.6</v>
      </c>
    </row>
    <row r="8" spans="1:21" x14ac:dyDescent="0.15">
      <c r="B8" t="s">
        <v>60</v>
      </c>
      <c r="K8" s="11">
        <v>50.2</v>
      </c>
      <c r="L8" s="11">
        <v>51.1</v>
      </c>
      <c r="S8">
        <v>47.2</v>
      </c>
      <c r="T8" s="3">
        <v>48.5</v>
      </c>
    </row>
    <row r="10" spans="1:21" s="12" customFormat="1" x14ac:dyDescent="0.15">
      <c r="B10" s="13" t="s">
        <v>53</v>
      </c>
      <c r="C10" s="13"/>
      <c r="D10" s="13"/>
      <c r="E10" s="13"/>
      <c r="F10" s="13"/>
      <c r="G10" s="13"/>
      <c r="H10" s="13">
        <v>2872</v>
      </c>
      <c r="I10" s="13"/>
      <c r="J10" s="13"/>
      <c r="K10" s="13"/>
      <c r="L10" s="13">
        <v>2663</v>
      </c>
      <c r="M10" s="13"/>
      <c r="N10" s="13"/>
      <c r="O10" s="13"/>
      <c r="P10" s="13"/>
      <c r="Q10" s="13"/>
      <c r="R10" s="13"/>
      <c r="S10" s="12">
        <v>12828</v>
      </c>
      <c r="T10" s="13">
        <v>11701</v>
      </c>
      <c r="U10" s="13"/>
    </row>
    <row r="11" spans="1:21" s="12" customFormat="1" x14ac:dyDescent="0.15">
      <c r="B11" s="13" t="s">
        <v>54</v>
      </c>
      <c r="C11" s="13"/>
      <c r="D11" s="13"/>
      <c r="E11" s="13"/>
      <c r="F11" s="13"/>
      <c r="G11" s="13"/>
      <c r="H11" s="13">
        <v>5045</v>
      </c>
      <c r="I11" s="13"/>
      <c r="J11" s="13"/>
      <c r="K11" s="13"/>
      <c r="L11" s="13">
        <v>5805</v>
      </c>
      <c r="M11" s="13"/>
      <c r="N11" s="13"/>
      <c r="O11" s="13"/>
      <c r="P11" s="13"/>
      <c r="Q11" s="13"/>
      <c r="R11" s="13"/>
      <c r="S11" s="12">
        <v>17975</v>
      </c>
      <c r="T11" s="13">
        <v>19886</v>
      </c>
      <c r="U11" s="13"/>
    </row>
    <row r="12" spans="1:21" s="12" customFormat="1" x14ac:dyDescent="0.15">
      <c r="B12" s="13" t="s">
        <v>55</v>
      </c>
      <c r="C12" s="13"/>
      <c r="D12" s="13"/>
      <c r="E12" s="13"/>
      <c r="F12" s="13"/>
      <c r="G12" s="13"/>
      <c r="H12" s="13">
        <v>2210</v>
      </c>
      <c r="I12" s="13"/>
      <c r="J12" s="13"/>
      <c r="K12" s="13"/>
      <c r="L12" s="13">
        <v>2112</v>
      </c>
      <c r="M12" s="13"/>
      <c r="N12" s="13"/>
      <c r="O12" s="13"/>
      <c r="P12" s="13"/>
      <c r="Q12" s="13"/>
      <c r="R12" s="13"/>
      <c r="S12" s="12">
        <v>8766</v>
      </c>
      <c r="T12" s="13">
        <v>9048</v>
      </c>
      <c r="U12" s="13"/>
    </row>
    <row r="13" spans="1:21" s="12" customFormat="1" x14ac:dyDescent="0.15">
      <c r="B13" s="14" t="s">
        <v>42</v>
      </c>
      <c r="C13" s="15"/>
      <c r="D13" s="15"/>
      <c r="E13" s="15"/>
      <c r="F13" s="15"/>
      <c r="G13" s="15"/>
      <c r="H13" s="15">
        <f>SUM(H10:H12)</f>
        <v>10127</v>
      </c>
      <c r="I13" s="15"/>
      <c r="J13" s="15"/>
      <c r="K13" s="15"/>
      <c r="L13" s="15">
        <f>SUM(L10:L12)</f>
        <v>10580</v>
      </c>
      <c r="M13" s="15"/>
      <c r="N13" s="15">
        <f t="shared" ref="N13:S13" si="0">SUM(N10:N12)</f>
        <v>0</v>
      </c>
      <c r="O13" s="15">
        <f t="shared" si="0"/>
        <v>0</v>
      </c>
      <c r="P13" s="15">
        <f t="shared" si="0"/>
        <v>0</v>
      </c>
      <c r="Q13" s="15">
        <f t="shared" si="0"/>
        <v>0</v>
      </c>
      <c r="R13" s="15">
        <f t="shared" si="0"/>
        <v>0</v>
      </c>
      <c r="S13" s="15">
        <f t="shared" si="0"/>
        <v>39569</v>
      </c>
      <c r="T13" s="15">
        <f>SUM(T10:T12)</f>
        <v>40635</v>
      </c>
      <c r="U13" s="13"/>
    </row>
    <row r="14" spans="1:21" s="12" customFormat="1" x14ac:dyDescent="0.15">
      <c r="B14" s="13" t="s">
        <v>61</v>
      </c>
      <c r="C14" s="13"/>
      <c r="D14" s="13"/>
      <c r="E14" s="13"/>
      <c r="F14" s="13"/>
      <c r="G14" s="13"/>
      <c r="H14" s="13">
        <v>4058</v>
      </c>
      <c r="I14" s="13"/>
      <c r="J14" s="13"/>
      <c r="K14" s="13"/>
      <c r="L14" s="13">
        <v>4279</v>
      </c>
      <c r="M14" s="13"/>
      <c r="N14" s="13"/>
      <c r="O14" s="13"/>
      <c r="P14" s="13"/>
      <c r="Q14" s="13"/>
      <c r="R14" s="13"/>
      <c r="S14" s="12">
        <v>10521</v>
      </c>
      <c r="T14" s="13">
        <v>10318</v>
      </c>
      <c r="U14" s="13"/>
    </row>
    <row r="15" spans="1:21" s="12" customFormat="1" x14ac:dyDescent="0.15">
      <c r="B15" s="13" t="s">
        <v>62</v>
      </c>
      <c r="C15" s="13"/>
      <c r="D15" s="13"/>
      <c r="E15" s="13"/>
      <c r="F15" s="13"/>
      <c r="G15" s="13"/>
      <c r="H15" s="13">
        <v>277</v>
      </c>
      <c r="I15" s="13"/>
      <c r="J15" s="13"/>
      <c r="K15" s="13"/>
      <c r="L15" s="13">
        <v>279</v>
      </c>
      <c r="M15" s="13"/>
      <c r="N15" s="13"/>
      <c r="O15" s="13"/>
      <c r="P15" s="13"/>
      <c r="Q15" s="13"/>
      <c r="R15" s="13"/>
      <c r="S15" s="12">
        <v>275</v>
      </c>
      <c r="T15" s="13">
        <v>272</v>
      </c>
      <c r="U15" s="13"/>
    </row>
    <row r="16" spans="1:21" s="12" customFormat="1" x14ac:dyDescent="0.15">
      <c r="B16" s="13" t="s">
        <v>73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2">
        <v>4370</v>
      </c>
      <c r="T16" s="13">
        <v>3920</v>
      </c>
      <c r="U16" s="13"/>
    </row>
    <row r="17" spans="2:21" s="12" customFormat="1" x14ac:dyDescent="0.15">
      <c r="B17" s="13" t="s">
        <v>74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2">
        <v>1113</v>
      </c>
      <c r="T17" s="13">
        <v>1517</v>
      </c>
      <c r="U17" s="13"/>
    </row>
    <row r="18" spans="2:21" s="12" customFormat="1" x14ac:dyDescent="0.15">
      <c r="B18" s="13" t="s">
        <v>29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>
        <v>991</v>
      </c>
      <c r="T18" s="13">
        <v>1084</v>
      </c>
      <c r="U18" s="13"/>
    </row>
    <row r="19" spans="2:21" s="12" customFormat="1" x14ac:dyDescent="0.15">
      <c r="B19" s="14" t="s">
        <v>43</v>
      </c>
      <c r="C19" s="15"/>
      <c r="D19" s="15"/>
      <c r="E19" s="15"/>
      <c r="F19" s="15"/>
      <c r="G19" s="15"/>
      <c r="H19" s="15">
        <f>+H15+H14</f>
        <v>4335</v>
      </c>
      <c r="I19" s="15"/>
      <c r="J19" s="15"/>
      <c r="K19" s="15"/>
      <c r="L19" s="15">
        <f>+L15+L14</f>
        <v>4558</v>
      </c>
      <c r="M19" s="15"/>
      <c r="N19" s="15">
        <f t="shared" ref="N19:S19" si="1">SUM(N14:N18)</f>
        <v>0</v>
      </c>
      <c r="O19" s="15">
        <f t="shared" si="1"/>
        <v>0</v>
      </c>
      <c r="P19" s="15">
        <f t="shared" si="1"/>
        <v>0</v>
      </c>
      <c r="Q19" s="15">
        <f t="shared" si="1"/>
        <v>0</v>
      </c>
      <c r="R19" s="15">
        <f t="shared" si="1"/>
        <v>0</v>
      </c>
      <c r="S19" s="15">
        <f t="shared" si="1"/>
        <v>17270</v>
      </c>
      <c r="T19" s="15">
        <f>SUM(T14:T18)</f>
        <v>17111</v>
      </c>
      <c r="U19" s="13"/>
    </row>
    <row r="20" spans="2:21" s="12" customFormat="1" x14ac:dyDescent="0.15">
      <c r="B20" s="16" t="s">
        <v>75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2">
        <v>8602</v>
      </c>
      <c r="T20" s="13">
        <v>10423</v>
      </c>
      <c r="U20" s="13"/>
    </row>
    <row r="21" spans="2:21" s="12" customFormat="1" x14ac:dyDescent="0.15">
      <c r="B21" s="16" t="s">
        <v>76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2">
        <v>6410</v>
      </c>
      <c r="T21" s="13">
        <v>7949</v>
      </c>
      <c r="U21" s="13"/>
    </row>
    <row r="22" spans="2:21" s="12" customFormat="1" x14ac:dyDescent="0.15">
      <c r="B22" s="17" t="s">
        <v>77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2">
        <v>6579</v>
      </c>
      <c r="T22" s="13">
        <v>7712</v>
      </c>
      <c r="U22" s="13"/>
    </row>
    <row r="23" spans="2:21" s="12" customFormat="1" x14ac:dyDescent="0.15">
      <c r="B23" s="16" t="s">
        <v>78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2">
        <v>4609</v>
      </c>
      <c r="T23" s="13">
        <v>4358</v>
      </c>
      <c r="U23" s="13"/>
    </row>
    <row r="24" spans="2:21" s="12" customFormat="1" x14ac:dyDescent="0.15">
      <c r="B24" s="16" t="s">
        <v>79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>
        <v>1885</v>
      </c>
      <c r="T24" s="13">
        <v>2107</v>
      </c>
      <c r="U24" s="13"/>
    </row>
    <row r="25" spans="2:21" s="12" customFormat="1" x14ac:dyDescent="0.15">
      <c r="B25" s="14" t="s">
        <v>44</v>
      </c>
      <c r="C25" s="15"/>
      <c r="D25" s="15"/>
      <c r="E25" s="15"/>
      <c r="F25" s="15"/>
      <c r="G25" s="15"/>
      <c r="H25" s="15">
        <v>8198</v>
      </c>
      <c r="I25" s="15"/>
      <c r="J25" s="15"/>
      <c r="K25" s="15"/>
      <c r="L25" s="15">
        <v>8386</v>
      </c>
      <c r="M25" s="15"/>
      <c r="N25" s="15">
        <f t="shared" ref="N25:S25" si="2">SUM(N20:N24)</f>
        <v>0</v>
      </c>
      <c r="O25" s="15">
        <f t="shared" si="2"/>
        <v>0</v>
      </c>
      <c r="P25" s="15">
        <f t="shared" si="2"/>
        <v>0</v>
      </c>
      <c r="Q25" s="15">
        <f t="shared" si="2"/>
        <v>0</v>
      </c>
      <c r="R25" s="15">
        <f t="shared" si="2"/>
        <v>0</v>
      </c>
      <c r="S25" s="15">
        <f t="shared" si="2"/>
        <v>28085</v>
      </c>
      <c r="T25" s="15">
        <f>SUM(T20:T24)</f>
        <v>32549</v>
      </c>
      <c r="U25" s="16"/>
    </row>
    <row r="26" spans="2:21" s="12" customFormat="1" x14ac:dyDescent="0.15">
      <c r="B26" s="14" t="s">
        <v>80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">
        <f>-1179-1023</f>
        <v>-2202</v>
      </c>
      <c r="T26" s="15">
        <v>-1397</v>
      </c>
      <c r="U26" s="16"/>
    </row>
    <row r="27" spans="2:21" s="12" customFormat="1" x14ac:dyDescent="0.15">
      <c r="B27" s="12" t="s">
        <v>9</v>
      </c>
      <c r="C27" s="13"/>
      <c r="D27" s="13"/>
      <c r="E27" s="13"/>
      <c r="F27" s="13"/>
      <c r="G27" s="13">
        <v>19586</v>
      </c>
      <c r="H27" s="13">
        <v>20008</v>
      </c>
      <c r="I27" s="13"/>
      <c r="J27" s="13"/>
      <c r="K27" s="13">
        <v>19757</v>
      </c>
      <c r="L27" s="13">
        <v>20836</v>
      </c>
      <c r="M27" s="13"/>
      <c r="N27" s="13">
        <v>46843</v>
      </c>
      <c r="O27" s="13">
        <v>50869</v>
      </c>
      <c r="P27" s="13">
        <v>60579</v>
      </c>
      <c r="Q27" s="13">
        <v>59265</v>
      </c>
      <c r="R27" s="13">
        <v>61768</v>
      </c>
      <c r="S27" s="13">
        <v>74200</v>
      </c>
      <c r="T27" s="13">
        <v>79562</v>
      </c>
      <c r="U27" s="13"/>
    </row>
    <row r="28" spans="2:21" s="12" customFormat="1" x14ac:dyDescent="0.15">
      <c r="B28" s="12" t="s">
        <v>10</v>
      </c>
      <c r="C28" s="13"/>
      <c r="D28" s="13"/>
      <c r="E28" s="13"/>
      <c r="F28" s="13"/>
      <c r="G28" s="13">
        <v>2229</v>
      </c>
      <c r="H28" s="13">
        <v>2322</v>
      </c>
      <c r="I28" s="13"/>
      <c r="J28" s="13"/>
      <c r="K28" s="13">
        <v>2326</v>
      </c>
      <c r="L28" s="13">
        <v>2319</v>
      </c>
      <c r="M28" s="13"/>
      <c r="N28" s="13">
        <v>8294</v>
      </c>
      <c r="O28" s="13">
        <v>8585</v>
      </c>
      <c r="P28" s="13">
        <v>9028</v>
      </c>
      <c r="Q28" s="13">
        <v>6123</v>
      </c>
      <c r="R28" s="13">
        <v>5650</v>
      </c>
      <c r="S28" s="13">
        <v>8522</v>
      </c>
      <c r="T28" s="13">
        <v>9336</v>
      </c>
    </row>
    <row r="29" spans="2:21" s="14" customFormat="1" x14ac:dyDescent="0.15">
      <c r="B29" s="14" t="s">
        <v>7</v>
      </c>
      <c r="C29" s="15"/>
      <c r="D29" s="15"/>
      <c r="E29" s="15"/>
      <c r="F29" s="15"/>
      <c r="G29" s="15">
        <f>+G27+G28</f>
        <v>21815</v>
      </c>
      <c r="H29" s="15">
        <f>+H27+H28</f>
        <v>22330</v>
      </c>
      <c r="I29" s="15"/>
      <c r="J29" s="15"/>
      <c r="K29" s="15">
        <f>+K27+K28</f>
        <v>22083</v>
      </c>
      <c r="L29" s="15">
        <f>+L27+L28</f>
        <v>23155</v>
      </c>
      <c r="M29" s="15"/>
      <c r="N29" s="15">
        <f t="shared" ref="N29:O29" si="3">+N27+N28</f>
        <v>55137</v>
      </c>
      <c r="O29" s="15">
        <f t="shared" si="3"/>
        <v>59454</v>
      </c>
      <c r="P29" s="15">
        <f>+P27+P28</f>
        <v>69607</v>
      </c>
      <c r="Q29" s="15">
        <f>+Q27+Q28</f>
        <v>65388</v>
      </c>
      <c r="R29" s="15">
        <f>+R27+R28</f>
        <v>67418</v>
      </c>
      <c r="S29" s="15">
        <f>SUM(S25:S26)+S13+S19</f>
        <v>82722</v>
      </c>
      <c r="T29" s="15">
        <f>SUM(T25:T26)+T13+T19</f>
        <v>88898</v>
      </c>
      <c r="U29" s="16"/>
    </row>
    <row r="30" spans="2:21" s="12" customFormat="1" x14ac:dyDescent="0.15">
      <c r="B30" s="12" t="s">
        <v>11</v>
      </c>
      <c r="C30" s="13"/>
      <c r="D30" s="13"/>
      <c r="E30" s="13"/>
      <c r="F30" s="13"/>
      <c r="G30" s="13">
        <f>13160+1456</f>
        <v>14616</v>
      </c>
      <c r="H30" s="13">
        <f>12974+1497</f>
        <v>14471</v>
      </c>
      <c r="I30" s="13"/>
      <c r="J30" s="13"/>
      <c r="K30" s="13">
        <f>12663+1509</f>
        <v>14172</v>
      </c>
      <c r="L30" s="13">
        <f>13236+1473</f>
        <v>14709</v>
      </c>
      <c r="M30" s="13"/>
      <c r="N30" s="13">
        <f>25320+4986</f>
        <v>30306</v>
      </c>
      <c r="O30" s="13">
        <f>27528+5198</f>
        <v>32726</v>
      </c>
      <c r="P30" s="13">
        <f>36493+5568</f>
        <v>42061</v>
      </c>
      <c r="Q30" s="13">
        <f>39406+4474</f>
        <v>43880</v>
      </c>
      <c r="R30" s="13">
        <f>41129+4002</f>
        <v>45131</v>
      </c>
      <c r="S30" s="13">
        <f>48962+5439</f>
        <v>54401</v>
      </c>
      <c r="T30" s="13">
        <f>53139+6062</f>
        <v>59201</v>
      </c>
      <c r="U30" s="13"/>
    </row>
    <row r="31" spans="2:21" s="12" customFormat="1" x14ac:dyDescent="0.15">
      <c r="B31" s="12" t="s">
        <v>12</v>
      </c>
      <c r="C31" s="13"/>
      <c r="D31" s="13"/>
      <c r="E31" s="13"/>
      <c r="F31" s="13"/>
      <c r="G31" s="13">
        <f>+G29-G30</f>
        <v>7199</v>
      </c>
      <c r="H31" s="13">
        <f>+H29-H30</f>
        <v>7859</v>
      </c>
      <c r="I31" s="13"/>
      <c r="J31" s="13"/>
      <c r="K31" s="13">
        <f>+K29-K30</f>
        <v>7911</v>
      </c>
      <c r="L31" s="13">
        <f>+L29-L30</f>
        <v>8446</v>
      </c>
      <c r="M31" s="13"/>
      <c r="N31" s="13">
        <f t="shared" ref="N31:O31" si="4">+N29-N30</f>
        <v>24831</v>
      </c>
      <c r="O31" s="13">
        <f t="shared" si="4"/>
        <v>26728</v>
      </c>
      <c r="P31" s="13">
        <f>+P29-P30</f>
        <v>27546</v>
      </c>
      <c r="Q31" s="13">
        <f>+Q29-Q30</f>
        <v>21508</v>
      </c>
      <c r="R31" s="13">
        <f>+R29-R30</f>
        <v>22287</v>
      </c>
      <c r="S31" s="13">
        <f>+S29-S30</f>
        <v>28321</v>
      </c>
      <c r="T31" s="13">
        <f>+T29-T30</f>
        <v>29697</v>
      </c>
      <c r="U31" s="13"/>
    </row>
    <row r="32" spans="2:21" s="12" customFormat="1" x14ac:dyDescent="0.15">
      <c r="B32" s="12" t="s">
        <v>13</v>
      </c>
      <c r="C32" s="13"/>
      <c r="D32" s="13"/>
      <c r="E32" s="13"/>
      <c r="F32" s="13"/>
      <c r="G32" s="13">
        <v>3614</v>
      </c>
      <c r="H32" s="13">
        <v>2874</v>
      </c>
      <c r="I32" s="13"/>
      <c r="J32" s="13"/>
      <c r="K32" s="13">
        <v>3790</v>
      </c>
      <c r="L32" s="13">
        <v>3872</v>
      </c>
      <c r="M32" s="13"/>
      <c r="N32" s="13">
        <v>8176</v>
      </c>
      <c r="O32" s="13">
        <v>8860</v>
      </c>
      <c r="P32" s="13">
        <v>11549</v>
      </c>
      <c r="Q32" s="13">
        <v>12369</v>
      </c>
      <c r="R32" s="13">
        <v>13517</v>
      </c>
      <c r="S32" s="13">
        <v>16388</v>
      </c>
      <c r="T32" s="13">
        <v>15336</v>
      </c>
      <c r="U32" s="13"/>
    </row>
    <row r="33" spans="2:21" s="12" customFormat="1" x14ac:dyDescent="0.15">
      <c r="B33" s="12" t="s">
        <v>14</v>
      </c>
      <c r="C33" s="13"/>
      <c r="D33" s="13"/>
      <c r="E33" s="13"/>
      <c r="F33" s="13"/>
      <c r="G33" s="13">
        <f>+G31-G32</f>
        <v>3585</v>
      </c>
      <c r="H33" s="13">
        <f>+H31-H32</f>
        <v>4985</v>
      </c>
      <c r="I33" s="13"/>
      <c r="J33" s="13"/>
      <c r="K33" s="13">
        <f>+K31-K32</f>
        <v>4121</v>
      </c>
      <c r="L33" s="13">
        <f>+L31-L32</f>
        <v>4574</v>
      </c>
      <c r="M33" s="13"/>
      <c r="N33" s="13">
        <f t="shared" ref="N33:O33" si="5">+N31-N32</f>
        <v>16655</v>
      </c>
      <c r="O33" s="13">
        <f t="shared" si="5"/>
        <v>17868</v>
      </c>
      <c r="P33" s="13">
        <f>+P31-P32</f>
        <v>15997</v>
      </c>
      <c r="Q33" s="13">
        <f>+Q31-Q32</f>
        <v>9139</v>
      </c>
      <c r="R33" s="13">
        <f>+R31-R32</f>
        <v>8770</v>
      </c>
      <c r="S33" s="13">
        <f>+S31-S32</f>
        <v>11933</v>
      </c>
      <c r="T33" s="13">
        <f>+T31-T32</f>
        <v>14361</v>
      </c>
      <c r="U33" s="13"/>
    </row>
    <row r="34" spans="2:21" s="12" customFormat="1" x14ac:dyDescent="0.15">
      <c r="B34" s="12" t="s">
        <v>18</v>
      </c>
      <c r="C34" s="13"/>
      <c r="D34" s="13"/>
      <c r="E34" s="13"/>
      <c r="F34" s="13"/>
      <c r="G34" s="13">
        <f>149-322+173</f>
        <v>0</v>
      </c>
      <c r="H34" s="13">
        <f>-11-305+191</f>
        <v>-125</v>
      </c>
      <c r="I34" s="13"/>
      <c r="J34" s="13"/>
      <c r="K34" s="13">
        <f>-311+141</f>
        <v>-170</v>
      </c>
      <c r="L34" s="13">
        <f>65-342+146</f>
        <v>-131</v>
      </c>
      <c r="M34" s="13"/>
      <c r="N34" s="13">
        <f>78-385+320</f>
        <v>13</v>
      </c>
      <c r="O34" s="13">
        <f>601-574-102</f>
        <v>-75</v>
      </c>
      <c r="P34" s="13">
        <f>-978-103</f>
        <v>-1081</v>
      </c>
      <c r="Q34" s="13">
        <f>1038-1491+651</f>
        <v>198</v>
      </c>
      <c r="R34" s="13">
        <f>201-1406+761</f>
        <v>-444</v>
      </c>
      <c r="S34" s="13">
        <f>-667-1397+816</f>
        <v>-1248</v>
      </c>
      <c r="T34" s="13">
        <f>96-1209+782</f>
        <v>-331</v>
      </c>
      <c r="U34" s="13"/>
    </row>
    <row r="35" spans="2:21" s="12" customFormat="1" x14ac:dyDescent="0.15">
      <c r="B35" s="12" t="s">
        <v>17</v>
      </c>
      <c r="C35" s="13"/>
      <c r="D35" s="13"/>
      <c r="E35" s="13"/>
      <c r="F35" s="13"/>
      <c r="G35" s="13">
        <f>+G33+G34</f>
        <v>3585</v>
      </c>
      <c r="H35" s="13">
        <f>+H33+H34</f>
        <v>4860</v>
      </c>
      <c r="I35" s="13"/>
      <c r="J35" s="13"/>
      <c r="K35" s="13">
        <f>+K33+K34</f>
        <v>3951</v>
      </c>
      <c r="L35" s="13">
        <f>+L33+L34</f>
        <v>4443</v>
      </c>
      <c r="M35" s="13"/>
      <c r="N35" s="13">
        <f t="shared" ref="N35:O35" si="6">+N33+N34</f>
        <v>16668</v>
      </c>
      <c r="O35" s="13">
        <f t="shared" si="6"/>
        <v>17793</v>
      </c>
      <c r="P35" s="13">
        <f>+P33+P34</f>
        <v>14916</v>
      </c>
      <c r="Q35" s="13">
        <f>+Q33+Q34</f>
        <v>9337</v>
      </c>
      <c r="R35" s="13">
        <f>+R33+R34</f>
        <v>8326</v>
      </c>
      <c r="S35" s="13">
        <f>+S33+S34</f>
        <v>10685</v>
      </c>
      <c r="T35" s="13">
        <f>+T33+T34</f>
        <v>14030</v>
      </c>
      <c r="U35" s="13"/>
    </row>
    <row r="36" spans="2:21" s="12" customFormat="1" x14ac:dyDescent="0.15">
      <c r="B36" s="12" t="s">
        <v>19</v>
      </c>
      <c r="C36" s="13"/>
      <c r="D36" s="13"/>
      <c r="E36" s="13"/>
      <c r="F36" s="13"/>
      <c r="G36" s="13">
        <f>635-217</f>
        <v>418</v>
      </c>
      <c r="H36" s="13">
        <f>19+307</f>
        <v>326</v>
      </c>
      <c r="I36" s="13"/>
      <c r="J36" s="13"/>
      <c r="K36" s="13">
        <f>441-236</f>
        <v>205</v>
      </c>
      <c r="L36" s="13">
        <f>251+221</f>
        <v>472</v>
      </c>
      <c r="M36" s="13"/>
      <c r="N36" s="13">
        <f>4422+386</f>
        <v>4808</v>
      </c>
      <c r="O36" s="13">
        <f>1663+468</f>
        <v>2131</v>
      </c>
      <c r="P36" s="13">
        <f>3026-687+472+58</f>
        <v>2869</v>
      </c>
      <c r="Q36" s="13">
        <f>699+32+390</f>
        <v>1121</v>
      </c>
      <c r="R36" s="13">
        <f>25+29+512</f>
        <v>566</v>
      </c>
      <c r="S36" s="13">
        <f>1732+48+360</f>
        <v>2140</v>
      </c>
      <c r="T36" s="13">
        <f>1379+1036</f>
        <v>2415</v>
      </c>
      <c r="U36" s="13"/>
    </row>
    <row r="37" spans="2:21" s="12" customFormat="1" x14ac:dyDescent="0.15">
      <c r="B37" s="12" t="s">
        <v>20</v>
      </c>
      <c r="C37" s="13"/>
      <c r="D37" s="13"/>
      <c r="E37" s="13"/>
      <c r="F37" s="13"/>
      <c r="G37" s="13">
        <f>+G35-G36</f>
        <v>3167</v>
      </c>
      <c r="H37" s="13">
        <f>+H35-H36</f>
        <v>4534</v>
      </c>
      <c r="I37" s="13"/>
      <c r="J37" s="13"/>
      <c r="K37" s="13">
        <f>+K35-K36</f>
        <v>3746</v>
      </c>
      <c r="L37" s="13">
        <f>+L35-L36</f>
        <v>3971</v>
      </c>
      <c r="M37" s="13"/>
      <c r="N37" s="13">
        <f t="shared" ref="N37:O37" si="7">+N35-N36</f>
        <v>11860</v>
      </c>
      <c r="O37" s="13">
        <f t="shared" si="7"/>
        <v>15662</v>
      </c>
      <c r="P37" s="13">
        <f>+P35-P36</f>
        <v>12047</v>
      </c>
      <c r="Q37" s="13">
        <f>+Q35-Q36</f>
        <v>8216</v>
      </c>
      <c r="R37" s="13">
        <f>+R35-R36</f>
        <v>7760</v>
      </c>
      <c r="S37" s="13">
        <f>+S35-S36</f>
        <v>8545</v>
      </c>
      <c r="T37" s="13">
        <f>+T35-T36</f>
        <v>11615</v>
      </c>
      <c r="U37" s="13"/>
    </row>
    <row r="38" spans="2:21" s="12" customFormat="1" x14ac:dyDescent="0.15">
      <c r="B38" s="12" t="s">
        <v>21</v>
      </c>
      <c r="C38" s="13"/>
      <c r="D38" s="13"/>
      <c r="E38" s="13"/>
      <c r="F38" s="13"/>
      <c r="G38" s="13">
        <f>+G37/G39</f>
        <v>1.7324945295404814</v>
      </c>
      <c r="H38" s="13">
        <f>+H37/H39</f>
        <v>2.4789502460360855</v>
      </c>
      <c r="I38" s="13"/>
      <c r="J38" s="13"/>
      <c r="K38" s="13">
        <f>+K37/K39</f>
        <v>2.0425299890948745</v>
      </c>
      <c r="L38" s="13">
        <f>+L37/L39</f>
        <v>2.1806699615595826</v>
      </c>
      <c r="M38" s="13"/>
      <c r="N38" s="13">
        <f t="shared" ref="N38:O38" si="8">+N37/N39</f>
        <v>7.5637755102040813</v>
      </c>
      <c r="O38" s="13">
        <f t="shared" si="8"/>
        <v>10.448298865910607</v>
      </c>
      <c r="P38" s="13">
        <f>+P37/P39</f>
        <v>7.27475845410628</v>
      </c>
      <c r="Q38" s="13">
        <f>+Q37/Q39</f>
        <v>4.5442477876106198</v>
      </c>
      <c r="R38" s="13">
        <f>+R37/R39</f>
        <v>4.2731277533039647</v>
      </c>
      <c r="S38" s="13">
        <f>+S37/S39</f>
        <v>4.6899012074643247</v>
      </c>
      <c r="T38" s="13">
        <f>+T37/T39</f>
        <v>6.3539387308533914</v>
      </c>
      <c r="U38" s="13"/>
    </row>
    <row r="39" spans="2:21" x14ac:dyDescent="0.15">
      <c r="B39" t="s">
        <v>1</v>
      </c>
      <c r="G39" s="6">
        <v>1828</v>
      </c>
      <c r="H39" s="6">
        <v>1829</v>
      </c>
      <c r="K39" s="6">
        <v>1834</v>
      </c>
      <c r="L39" s="6">
        <v>1821</v>
      </c>
      <c r="N39" s="6">
        <v>1568</v>
      </c>
      <c r="O39" s="6">
        <v>1499</v>
      </c>
      <c r="P39" s="6">
        <v>1656</v>
      </c>
      <c r="Q39" s="6">
        <v>1808</v>
      </c>
      <c r="R39" s="6">
        <v>1816</v>
      </c>
      <c r="S39" s="6">
        <v>1822</v>
      </c>
      <c r="T39" s="6">
        <v>1828</v>
      </c>
    </row>
    <row r="41" spans="2:21" x14ac:dyDescent="0.15">
      <c r="B41" t="s">
        <v>15</v>
      </c>
      <c r="K41" s="7">
        <f>+K31/K29</f>
        <v>0.35823936965086267</v>
      </c>
      <c r="L41" s="7">
        <f>+L31/L29</f>
        <v>0.36475923126754478</v>
      </c>
      <c r="N41" s="7">
        <f t="shared" ref="N41" si="9">+N31/N29</f>
        <v>0.45035094401218784</v>
      </c>
      <c r="O41" s="7">
        <f t="shared" ref="O41" si="10">+O31/O29</f>
        <v>0.44955764120160124</v>
      </c>
      <c r="P41" s="7">
        <f>+P31/P29</f>
        <v>0.39573606102834485</v>
      </c>
      <c r="Q41" s="7">
        <f t="shared" ref="Q41:T41" si="11">+Q31/Q29</f>
        <v>0.32892885544748274</v>
      </c>
      <c r="R41" s="7">
        <f t="shared" si="11"/>
        <v>0.33057937049452668</v>
      </c>
      <c r="S41" s="7">
        <f t="shared" si="11"/>
        <v>0.34236357921713689</v>
      </c>
      <c r="T41" s="7">
        <f t="shared" si="11"/>
        <v>0.33405700915656145</v>
      </c>
      <c r="U41" s="7"/>
    </row>
    <row r="42" spans="2:21" x14ac:dyDescent="0.15">
      <c r="B42" t="s">
        <v>16</v>
      </c>
      <c r="K42" s="7">
        <f>+K33/K29</f>
        <v>0.18661413757188788</v>
      </c>
      <c r="L42" s="7">
        <f>+L33/L29</f>
        <v>0.19753832865471821</v>
      </c>
      <c r="N42" s="7">
        <f t="shared" ref="N42" si="12">+N33/N29</f>
        <v>0.3020657634619221</v>
      </c>
      <c r="O42" s="7">
        <f t="shared" ref="O42" si="13">+O33/O29</f>
        <v>0.30053486729236051</v>
      </c>
      <c r="P42" s="7">
        <f>+P33/P29</f>
        <v>0.22981884005918946</v>
      </c>
      <c r="Q42" s="7">
        <f t="shared" ref="Q42:T42" si="14">+Q33/Q29</f>
        <v>0.13976570624579435</v>
      </c>
      <c r="R42" s="7">
        <f t="shared" si="14"/>
        <v>0.1300839538402207</v>
      </c>
      <c r="S42" s="7">
        <f t="shared" si="14"/>
        <v>0.14425424917192525</v>
      </c>
      <c r="T42" s="7">
        <f t="shared" si="14"/>
        <v>0.16154469166910393</v>
      </c>
      <c r="U42" s="7"/>
    </row>
    <row r="43" spans="2:21" s="4" customFormat="1" x14ac:dyDescent="0.15">
      <c r="B43" s="4" t="s">
        <v>41</v>
      </c>
      <c r="C43" s="5"/>
      <c r="D43" s="5"/>
      <c r="E43" s="5"/>
      <c r="F43" s="5"/>
      <c r="G43" s="5"/>
      <c r="H43" s="5"/>
      <c r="I43" s="5"/>
      <c r="J43" s="5"/>
      <c r="K43" s="10">
        <f>+K29/G29-1</f>
        <v>1.2285124914049872E-2</v>
      </c>
      <c r="L43" s="10">
        <f>+L29/H29-1</f>
        <v>3.6945812807881673E-2</v>
      </c>
      <c r="M43" s="5"/>
      <c r="N43" s="5"/>
      <c r="O43" s="10">
        <f>+O29/N29-1</f>
        <v>7.8295881168725101E-2</v>
      </c>
      <c r="P43" s="10">
        <f>+P29/O29-1</f>
        <v>0.17077067985333194</v>
      </c>
      <c r="Q43" s="10">
        <f>+Q29/P29-1</f>
        <v>-6.0611720085623544E-2</v>
      </c>
      <c r="R43" s="10">
        <f t="shared" ref="R43:T43" si="15">+R29/Q29-1</f>
        <v>3.1045451764849741E-2</v>
      </c>
      <c r="S43" s="10">
        <f t="shared" si="15"/>
        <v>0.22700169094307165</v>
      </c>
      <c r="T43" s="10">
        <f t="shared" si="15"/>
        <v>7.4659703585503223E-2</v>
      </c>
      <c r="U43" s="10"/>
    </row>
    <row r="46" spans="2:21" x14ac:dyDescent="0.15">
      <c r="B46" t="s">
        <v>3</v>
      </c>
      <c r="L46" s="6">
        <f>5954+4632</f>
        <v>10586</v>
      </c>
    </row>
    <row r="47" spans="2:21" x14ac:dyDescent="0.15">
      <c r="B47" t="s">
        <v>22</v>
      </c>
      <c r="L47" s="6">
        <v>12966</v>
      </c>
    </row>
    <row r="48" spans="2:21" x14ac:dyDescent="0.15">
      <c r="B48" t="s">
        <v>23</v>
      </c>
      <c r="L48" s="6">
        <v>1984</v>
      </c>
    </row>
    <row r="49" spans="2:14" x14ac:dyDescent="0.15">
      <c r="B49" t="s">
        <v>24</v>
      </c>
      <c r="L49" s="6">
        <v>1992</v>
      </c>
    </row>
    <row r="50" spans="2:14" x14ac:dyDescent="0.15">
      <c r="B50" t="s">
        <v>25</v>
      </c>
      <c r="L50" s="6">
        <v>2597</v>
      </c>
      <c r="N50" s="6">
        <f>SUM(L46:L50)</f>
        <v>30125</v>
      </c>
    </row>
    <row r="51" spans="2:14" x14ac:dyDescent="0.15">
      <c r="B51" t="s">
        <v>26</v>
      </c>
      <c r="L51" s="6">
        <v>32799</v>
      </c>
    </row>
    <row r="52" spans="2:14" x14ac:dyDescent="0.15">
      <c r="B52" t="s">
        <v>27</v>
      </c>
      <c r="L52" s="6">
        <v>36041</v>
      </c>
    </row>
    <row r="53" spans="2:14" x14ac:dyDescent="0.15">
      <c r="B53" t="s">
        <v>28</v>
      </c>
      <c r="L53" s="6">
        <f>11107+73914</f>
        <v>85021</v>
      </c>
      <c r="M53" s="3" t="s">
        <v>83</v>
      </c>
      <c r="N53" s="6">
        <f>SUM(L51:L53)</f>
        <v>153861</v>
      </c>
    </row>
    <row r="54" spans="2:14" x14ac:dyDescent="0.15">
      <c r="B54" t="s">
        <v>29</v>
      </c>
      <c r="L54" s="6">
        <v>13786</v>
      </c>
      <c r="M54" s="3" t="s">
        <v>82</v>
      </c>
      <c r="N54" s="6">
        <f>L58-L46</f>
        <v>36998</v>
      </c>
    </row>
    <row r="55" spans="2:14" x14ac:dyDescent="0.15">
      <c r="B55" t="s">
        <v>30</v>
      </c>
      <c r="L55" s="6">
        <f>SUM(L46:L54)</f>
        <v>197772</v>
      </c>
      <c r="M55" s="3" t="s">
        <v>81</v>
      </c>
      <c r="N55" s="6">
        <f>SUM(L47:L54)</f>
        <v>187186</v>
      </c>
    </row>
    <row r="56" spans="2:14" x14ac:dyDescent="0.15">
      <c r="N56" s="6"/>
    </row>
    <row r="57" spans="2:14" x14ac:dyDescent="0.15">
      <c r="B57" t="s">
        <v>31</v>
      </c>
      <c r="L57" s="6">
        <v>20216</v>
      </c>
    </row>
    <row r="58" spans="2:14" x14ac:dyDescent="0.15">
      <c r="B58" t="s">
        <v>4</v>
      </c>
      <c r="L58" s="6">
        <f>8060+39524</f>
        <v>47584</v>
      </c>
    </row>
    <row r="59" spans="2:14" x14ac:dyDescent="0.15">
      <c r="B59" t="s">
        <v>36</v>
      </c>
      <c r="L59" s="6">
        <v>7336</v>
      </c>
    </row>
    <row r="60" spans="2:14" x14ac:dyDescent="0.15">
      <c r="B60" t="s">
        <v>32</v>
      </c>
      <c r="L60" s="6">
        <v>6628</v>
      </c>
    </row>
    <row r="61" spans="2:14" x14ac:dyDescent="0.15">
      <c r="B61" t="s">
        <v>33</v>
      </c>
      <c r="L61" s="6">
        <v>10705</v>
      </c>
    </row>
    <row r="62" spans="2:14" x14ac:dyDescent="0.15">
      <c r="B62" t="s">
        <v>34</v>
      </c>
      <c r="L62" s="6">
        <v>105303</v>
      </c>
    </row>
    <row r="63" spans="2:14" x14ac:dyDescent="0.15">
      <c r="B63" t="s">
        <v>35</v>
      </c>
      <c r="L63" s="6">
        <f>SUM(L57:L62)</f>
        <v>197772</v>
      </c>
    </row>
    <row r="65" spans="2:21" x14ac:dyDescent="0.15">
      <c r="B65" t="s">
        <v>37</v>
      </c>
      <c r="L65" s="6">
        <f>8453-K65-J65</f>
        <v>8453</v>
      </c>
      <c r="N65" s="6">
        <v>12343</v>
      </c>
      <c r="O65" s="6">
        <v>14295</v>
      </c>
      <c r="P65" s="6">
        <v>5984</v>
      </c>
      <c r="S65" s="2">
        <v>5566</v>
      </c>
      <c r="T65" s="6">
        <v>6002</v>
      </c>
      <c r="U65" s="6">
        <v>9866</v>
      </c>
    </row>
    <row r="66" spans="2:21" x14ac:dyDescent="0.15">
      <c r="B66" t="s">
        <v>67</v>
      </c>
      <c r="L66" s="6"/>
      <c r="N66" s="6">
        <v>3623</v>
      </c>
      <c r="O66" s="6">
        <v>4465</v>
      </c>
      <c r="P66" s="6">
        <v>4876</v>
      </c>
      <c r="S66" s="2">
        <v>3578</v>
      </c>
      <c r="T66" s="6">
        <v>4943</v>
      </c>
      <c r="U66" s="6">
        <v>4969</v>
      </c>
    </row>
    <row r="67" spans="2:21" x14ac:dyDescent="0.15">
      <c r="B67" t="s">
        <v>68</v>
      </c>
      <c r="L67" s="6"/>
      <c r="N67" s="6">
        <f>+N65-N66</f>
        <v>8720</v>
      </c>
      <c r="O67" s="6">
        <f>+O65-O66</f>
        <v>9830</v>
      </c>
      <c r="P67" s="6">
        <f>+P65-P66</f>
        <v>1108</v>
      </c>
      <c r="S67" s="2">
        <f>+S65-S66</f>
        <v>1988</v>
      </c>
      <c r="T67" s="6">
        <f>+T65-T66</f>
        <v>1059</v>
      </c>
      <c r="U67" s="6">
        <f>+U65-U66</f>
        <v>4897</v>
      </c>
    </row>
    <row r="69" spans="2:21" x14ac:dyDescent="0.15">
      <c r="B69" t="s">
        <v>45</v>
      </c>
      <c r="H69" s="3">
        <v>408</v>
      </c>
      <c r="L69" s="3">
        <v>1201</v>
      </c>
      <c r="S69">
        <v>2126</v>
      </c>
      <c r="T69" s="3">
        <v>1444</v>
      </c>
    </row>
    <row r="70" spans="2:21" x14ac:dyDescent="0.15">
      <c r="B70" t="s">
        <v>46</v>
      </c>
      <c r="H70" s="3">
        <v>854</v>
      </c>
      <c r="L70" s="3">
        <v>802</v>
      </c>
      <c r="S70">
        <v>2710</v>
      </c>
      <c r="T70" s="3">
        <v>2465</v>
      </c>
    </row>
    <row r="71" spans="2:21" x14ac:dyDescent="0.15">
      <c r="B71" t="s">
        <v>47</v>
      </c>
      <c r="H71" s="3">
        <v>2297</v>
      </c>
      <c r="L71" s="3">
        <v>2222</v>
      </c>
      <c r="S71">
        <v>7285</v>
      </c>
      <c r="T71" s="3">
        <v>8954</v>
      </c>
    </row>
    <row r="73" spans="2:21" x14ac:dyDescent="0.15">
      <c r="B73" t="s">
        <v>50</v>
      </c>
      <c r="H73" s="7">
        <f>+H69/H13</f>
        <v>4.0288338106053125E-2</v>
      </c>
      <c r="L73" s="7">
        <f>+L69/L13</f>
        <v>0.11351606805293006</v>
      </c>
      <c r="S73" s="7">
        <f>+S69/S13</f>
        <v>5.3728929212262126E-2</v>
      </c>
      <c r="T73" s="7">
        <f>+T69/T13</f>
        <v>3.5535868094007626E-2</v>
      </c>
    </row>
    <row r="74" spans="2:21" x14ac:dyDescent="0.15">
      <c r="B74" t="s">
        <v>51</v>
      </c>
      <c r="H74" s="7">
        <f>+H70/H19</f>
        <v>0.19700115340253749</v>
      </c>
      <c r="L74" s="7">
        <f>+L70/L19</f>
        <v>0.17595436594997807</v>
      </c>
      <c r="S74" s="7">
        <f>+S70/S19</f>
        <v>0.15691951360741169</v>
      </c>
      <c r="T74" s="7">
        <f>+T70/T19</f>
        <v>0.14405937700894161</v>
      </c>
    </row>
    <row r="75" spans="2:21" x14ac:dyDescent="0.15">
      <c r="B75" t="s">
        <v>52</v>
      </c>
      <c r="H75" s="7">
        <f>+H71/H25</f>
        <v>0.28019029031471093</v>
      </c>
      <c r="L75" s="7">
        <f>+L71/L25</f>
        <v>0.2649654185547341</v>
      </c>
      <c r="S75" s="7">
        <f>+S71/S25</f>
        <v>0.259391134057326</v>
      </c>
      <c r="T75" s="7">
        <f>+T71/T25</f>
        <v>0.27509293680297398</v>
      </c>
    </row>
  </sheetData>
  <hyperlinks>
    <hyperlink ref="A1" location="Main!A1" display="Main" xr:uid="{CD0BA4EA-D892-4986-A3CE-C3AD36EEDA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Janc, Maja</cp:lastModifiedBy>
  <dcterms:created xsi:type="dcterms:W3CDTF">2024-08-13T15:14:55Z</dcterms:created>
  <dcterms:modified xsi:type="dcterms:W3CDTF">2024-08-15T23:41:33Z</dcterms:modified>
</cp:coreProperties>
</file>