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76AE8CA4-0FB4-5048-A65B-EF813DA8EC32}" xr6:coauthVersionLast="47" xr6:coauthVersionMax="47" xr10:uidLastSave="{00000000-0000-0000-0000-000000000000}"/>
  <bookViews>
    <workbookView xWindow="3540" yWindow="9760" windowWidth="23960" windowHeight="16280" activeTab="3" xr2:uid="{C4591328-EAD5-144B-B944-58C3FE24C913}"/>
  </bookViews>
  <sheets>
    <sheet name="Overview" sheetId="1" r:id="rId1"/>
    <sheet name="Bank" sheetId="2" r:id="rId2"/>
    <sheet name="Insurance" sheetId="3" r:id="rId3"/>
    <sheet name="Credit Card" sheetId="5" r:id="rId4"/>
    <sheet name="P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5" l="1"/>
  <c r="AH3" i="5"/>
  <c r="AI3" i="5"/>
  <c r="M4" i="5"/>
  <c r="AA3" i="5"/>
  <c r="AC3" i="5"/>
  <c r="AB3" i="5"/>
  <c r="X3" i="5"/>
  <c r="W3" i="5"/>
  <c r="Y3" i="5" s="1"/>
  <c r="AB2" i="5"/>
  <c r="AC2" i="5"/>
  <c r="AA2" i="5"/>
  <c r="X2" i="5"/>
  <c r="W2" i="5"/>
  <c r="M5" i="2"/>
  <c r="R5" i="2" s="1"/>
  <c r="T4" i="1"/>
  <c r="B12" i="5"/>
  <c r="B8" i="5"/>
  <c r="B6" i="5"/>
  <c r="E4" i="5" s="1"/>
  <c r="AK4" i="5" s="1"/>
  <c r="V4" i="5"/>
  <c r="U4" i="5"/>
  <c r="I4" i="5"/>
  <c r="AJ4" i="5" s="1"/>
  <c r="H4" i="5"/>
  <c r="G4" i="5"/>
  <c r="V3" i="5"/>
  <c r="U3" i="5"/>
  <c r="I3" i="5"/>
  <c r="H3" i="5"/>
  <c r="M3" i="5" s="1"/>
  <c r="G3" i="5"/>
  <c r="V2" i="5"/>
  <c r="U2" i="5"/>
  <c r="I2" i="5"/>
  <c r="L2" i="5" s="1"/>
  <c r="G2" i="5"/>
  <c r="B16" i="2"/>
  <c r="B12" i="2"/>
  <c r="B10" i="2"/>
  <c r="E6" i="2" s="1"/>
  <c r="X6" i="2" s="1"/>
  <c r="B12" i="3"/>
  <c r="E3" i="3"/>
  <c r="E4" i="3"/>
  <c r="B8" i="3"/>
  <c r="B6" i="3"/>
  <c r="E2" i="3" s="1"/>
  <c r="X2" i="3" s="1"/>
  <c r="B13" i="3" s="1"/>
  <c r="B13" i="4"/>
  <c r="E3" i="4"/>
  <c r="X3" i="4" s="1"/>
  <c r="B9" i="4"/>
  <c r="B7" i="4"/>
  <c r="E4" i="4" s="1"/>
  <c r="X4" i="4" s="1"/>
  <c r="V5" i="4"/>
  <c r="U5" i="4"/>
  <c r="I5" i="4"/>
  <c r="L5" i="4" s="1"/>
  <c r="H5" i="4"/>
  <c r="M5" i="4" s="1"/>
  <c r="G5" i="4"/>
  <c r="V4" i="4"/>
  <c r="U4" i="4"/>
  <c r="I4" i="4"/>
  <c r="L4" i="4" s="1"/>
  <c r="H4" i="4"/>
  <c r="G4" i="4"/>
  <c r="V3" i="4"/>
  <c r="U3" i="4"/>
  <c r="I3" i="4"/>
  <c r="J3" i="4" s="1"/>
  <c r="H3" i="4"/>
  <c r="G3" i="4"/>
  <c r="V2" i="4"/>
  <c r="U2" i="4"/>
  <c r="T2" i="4"/>
  <c r="S2" i="4"/>
  <c r="R2" i="4"/>
  <c r="I2" i="4"/>
  <c r="L2" i="4" s="1"/>
  <c r="H2" i="4"/>
  <c r="G2" i="4"/>
  <c r="V4" i="3"/>
  <c r="U4" i="3"/>
  <c r="I4" i="3"/>
  <c r="L4" i="3" s="1"/>
  <c r="H4" i="3"/>
  <c r="M4" i="3" s="1"/>
  <c r="G4" i="3"/>
  <c r="X4" i="3"/>
  <c r="V3" i="3"/>
  <c r="U3" i="3"/>
  <c r="I3" i="3"/>
  <c r="W3" i="3" s="1"/>
  <c r="H3" i="3"/>
  <c r="M3" i="3" s="1"/>
  <c r="B7" i="3" s="1"/>
  <c r="G3" i="3"/>
  <c r="X3" i="3"/>
  <c r="V2" i="3"/>
  <c r="U2" i="3"/>
  <c r="T2" i="3"/>
  <c r="S2" i="3"/>
  <c r="R2" i="3"/>
  <c r="I2" i="3"/>
  <c r="L2" i="3" s="1"/>
  <c r="H2" i="3"/>
  <c r="G2" i="3"/>
  <c r="V8" i="2"/>
  <c r="U8" i="2"/>
  <c r="L8" i="2"/>
  <c r="I8" i="2"/>
  <c r="W8" i="2" s="1"/>
  <c r="H8" i="2"/>
  <c r="M8" i="2" s="1"/>
  <c r="G8" i="2"/>
  <c r="V7" i="2"/>
  <c r="U7" i="2"/>
  <c r="I7" i="2"/>
  <c r="J7" i="2" s="1"/>
  <c r="H7" i="2"/>
  <c r="G7" i="2"/>
  <c r="V6" i="2"/>
  <c r="U6" i="2"/>
  <c r="I6" i="2"/>
  <c r="L6" i="2" s="1"/>
  <c r="H6" i="2"/>
  <c r="G6" i="2"/>
  <c r="V5" i="2"/>
  <c r="U5" i="2"/>
  <c r="I5" i="2"/>
  <c r="L5" i="2" s="1"/>
  <c r="H5" i="2"/>
  <c r="G5" i="2"/>
  <c r="V4" i="2"/>
  <c r="U4" i="2"/>
  <c r="I4" i="2"/>
  <c r="W4" i="2" s="1"/>
  <c r="H4" i="2"/>
  <c r="G4" i="2"/>
  <c r="V3" i="2"/>
  <c r="U3" i="2"/>
  <c r="L3" i="2"/>
  <c r="I3" i="2"/>
  <c r="W3" i="2" s="1"/>
  <c r="H3" i="2"/>
  <c r="J3" i="2" s="1"/>
  <c r="G3" i="2"/>
  <c r="V2" i="2"/>
  <c r="U2" i="2"/>
  <c r="T2" i="2"/>
  <c r="S2" i="2"/>
  <c r="R2" i="2"/>
  <c r="I2" i="2"/>
  <c r="L2" i="2" s="1"/>
  <c r="H2" i="2"/>
  <c r="G2" i="2"/>
  <c r="I4" i="1"/>
  <c r="J4" i="1" s="1"/>
  <c r="I5" i="1"/>
  <c r="H21" i="1"/>
  <c r="I21" i="1"/>
  <c r="W21" i="1" s="1"/>
  <c r="G21" i="1"/>
  <c r="G20" i="1"/>
  <c r="H20" i="1"/>
  <c r="I20" i="1"/>
  <c r="G19" i="1"/>
  <c r="H19" i="1"/>
  <c r="I19" i="1"/>
  <c r="H18" i="1"/>
  <c r="I18" i="1"/>
  <c r="W18" i="1" s="1"/>
  <c r="G18" i="1"/>
  <c r="H17" i="1"/>
  <c r="I17" i="1"/>
  <c r="M17" i="1" s="1"/>
  <c r="T17" i="1" s="1"/>
  <c r="G17" i="1"/>
  <c r="H16" i="1"/>
  <c r="I16" i="1"/>
  <c r="L16" i="1" s="1"/>
  <c r="G16" i="1"/>
  <c r="H15" i="1"/>
  <c r="J15" i="1" s="1"/>
  <c r="I15" i="1"/>
  <c r="G15" i="1"/>
  <c r="H14" i="1"/>
  <c r="M14" i="1" s="1"/>
  <c r="T14" i="1" s="1"/>
  <c r="I14" i="1"/>
  <c r="W14" i="1" s="1"/>
  <c r="G14" i="1"/>
  <c r="H13" i="1"/>
  <c r="I13" i="1"/>
  <c r="W13" i="1" s="1"/>
  <c r="G13" i="1"/>
  <c r="U12" i="1"/>
  <c r="V12" i="1"/>
  <c r="U13" i="1"/>
  <c r="V13" i="1"/>
  <c r="U14" i="1"/>
  <c r="V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W20" i="1"/>
  <c r="U21" i="1"/>
  <c r="V21" i="1"/>
  <c r="H12" i="1"/>
  <c r="I12" i="1"/>
  <c r="J12" i="1" s="1"/>
  <c r="J16" i="1"/>
  <c r="J17" i="1"/>
  <c r="J21" i="1"/>
  <c r="L13" i="1"/>
  <c r="L15" i="1"/>
  <c r="M16" i="1"/>
  <c r="S16" i="1" s="1"/>
  <c r="L17" i="1"/>
  <c r="L18" i="1"/>
  <c r="L20" i="1"/>
  <c r="L21" i="1"/>
  <c r="G12" i="1"/>
  <c r="B29" i="1"/>
  <c r="B25" i="1"/>
  <c r="B23" i="1"/>
  <c r="E13" i="1" s="1"/>
  <c r="X13" i="1" s="1"/>
  <c r="R2" i="1"/>
  <c r="S2" i="1"/>
  <c r="R3" i="1"/>
  <c r="S3" i="1"/>
  <c r="R4" i="1"/>
  <c r="S4" i="1"/>
  <c r="R5" i="1"/>
  <c r="S5" i="1"/>
  <c r="T2" i="1"/>
  <c r="U2" i="1"/>
  <c r="V2" i="1"/>
  <c r="T3" i="1"/>
  <c r="U3" i="1"/>
  <c r="V3" i="1"/>
  <c r="U4" i="1"/>
  <c r="V4" i="1"/>
  <c r="T5" i="1"/>
  <c r="U5" i="1"/>
  <c r="V5" i="1"/>
  <c r="L11" i="1"/>
  <c r="L5" i="1"/>
  <c r="H11" i="1"/>
  <c r="I11" i="1"/>
  <c r="W11" i="1" s="1"/>
  <c r="H10" i="1"/>
  <c r="I10" i="1"/>
  <c r="L10" i="1" s="1"/>
  <c r="H9" i="1"/>
  <c r="I9" i="1"/>
  <c r="H8" i="1"/>
  <c r="I8" i="1"/>
  <c r="W8" i="1" s="1"/>
  <c r="H2" i="1"/>
  <c r="H3" i="1"/>
  <c r="H7" i="1"/>
  <c r="I7" i="1"/>
  <c r="W7" i="1" s="1"/>
  <c r="I3" i="1"/>
  <c r="L3" i="1" s="1"/>
  <c r="H6" i="1"/>
  <c r="I6" i="1"/>
  <c r="W6" i="1" s="1"/>
  <c r="H5" i="1"/>
  <c r="I2" i="1"/>
  <c r="L2" i="1" s="1"/>
  <c r="G11" i="1"/>
  <c r="U11" i="1"/>
  <c r="V11" i="1"/>
  <c r="U6" i="1"/>
  <c r="V6" i="1"/>
  <c r="U7" i="1"/>
  <c r="V7" i="1"/>
  <c r="U8" i="1"/>
  <c r="V8" i="1"/>
  <c r="U9" i="1"/>
  <c r="V9" i="1"/>
  <c r="U10" i="1"/>
  <c r="V10" i="1"/>
  <c r="G3" i="1"/>
  <c r="G4" i="1"/>
  <c r="G5" i="1"/>
  <c r="G6" i="1"/>
  <c r="G7" i="1"/>
  <c r="G8" i="1"/>
  <c r="G9" i="1"/>
  <c r="G10" i="1"/>
  <c r="G2" i="1"/>
  <c r="Z3" i="5" l="1"/>
  <c r="S3" i="5"/>
  <c r="T3" i="5"/>
  <c r="R3" i="5"/>
  <c r="Y2" i="5"/>
  <c r="AD3" i="5"/>
  <c r="AF3" i="5" s="1"/>
  <c r="AE2" i="5"/>
  <c r="M2" i="5"/>
  <c r="AI2" i="5" s="1"/>
  <c r="AF2" i="5"/>
  <c r="AE3" i="5"/>
  <c r="AG3" i="5" s="1"/>
  <c r="J3" i="5"/>
  <c r="E3" i="5"/>
  <c r="AK3" i="5" s="1"/>
  <c r="E2" i="2"/>
  <c r="X2" i="2" s="1"/>
  <c r="E5" i="2"/>
  <c r="X5" i="2" s="1"/>
  <c r="M12" i="1"/>
  <c r="S12" i="1" s="1"/>
  <c r="W12" i="1"/>
  <c r="L4" i="2"/>
  <c r="M7" i="2"/>
  <c r="M3" i="4"/>
  <c r="B8" i="4" s="1"/>
  <c r="E2" i="4"/>
  <c r="X2" i="4" s="1"/>
  <c r="E8" i="2"/>
  <c r="X8" i="2" s="1"/>
  <c r="E4" i="2"/>
  <c r="X4" i="2" s="1"/>
  <c r="M21" i="1"/>
  <c r="S21" i="1" s="1"/>
  <c r="L12" i="1"/>
  <c r="J13" i="1"/>
  <c r="M13" i="1"/>
  <c r="T13" i="1" s="1"/>
  <c r="E5" i="4"/>
  <c r="X5" i="4" s="1"/>
  <c r="E7" i="2"/>
  <c r="X7" i="2" s="1"/>
  <c r="E3" i="2"/>
  <c r="X3" i="2" s="1"/>
  <c r="L4" i="5"/>
  <c r="E2" i="5"/>
  <c r="AK2" i="5" s="1"/>
  <c r="W3" i="1"/>
  <c r="L14" i="1"/>
  <c r="M4" i="2"/>
  <c r="M6" i="2"/>
  <c r="R6" i="2" s="1"/>
  <c r="M4" i="4"/>
  <c r="T4" i="5"/>
  <c r="S4" i="5"/>
  <c r="R4" i="5"/>
  <c r="J4" i="5"/>
  <c r="AL4" i="5" s="1"/>
  <c r="L3" i="5"/>
  <c r="J2" i="5"/>
  <c r="Y3" i="4"/>
  <c r="R5" i="4"/>
  <c r="S5" i="4"/>
  <c r="W5" i="4"/>
  <c r="J5" i="4"/>
  <c r="Y5" i="4" s="1"/>
  <c r="T4" i="4"/>
  <c r="R4" i="4"/>
  <c r="S4" i="4"/>
  <c r="J4" i="4"/>
  <c r="Y4" i="4" s="1"/>
  <c r="W4" i="4"/>
  <c r="S3" i="4"/>
  <c r="T3" i="4"/>
  <c r="B15" i="4" s="1"/>
  <c r="R3" i="4"/>
  <c r="W3" i="4"/>
  <c r="L3" i="4"/>
  <c r="W2" i="4"/>
  <c r="J2" i="4"/>
  <c r="T4" i="3"/>
  <c r="R4" i="3"/>
  <c r="S4" i="3"/>
  <c r="J4" i="3"/>
  <c r="Y4" i="3" s="1"/>
  <c r="W4" i="3"/>
  <c r="S3" i="3"/>
  <c r="T3" i="3"/>
  <c r="B14" i="3" s="1"/>
  <c r="R3" i="3"/>
  <c r="L3" i="3"/>
  <c r="J3" i="3"/>
  <c r="Y3" i="3" s="1"/>
  <c r="W2" i="3"/>
  <c r="J2" i="3"/>
  <c r="S8" i="2"/>
  <c r="T8" i="2"/>
  <c r="R8" i="2"/>
  <c r="J8" i="2"/>
  <c r="Y8" i="2" s="1"/>
  <c r="T7" i="2"/>
  <c r="S7" i="2"/>
  <c r="R7" i="2"/>
  <c r="T6" i="2"/>
  <c r="W7" i="2"/>
  <c r="J6" i="2"/>
  <c r="Y6" i="2" s="1"/>
  <c r="W6" i="2"/>
  <c r="L7" i="2"/>
  <c r="S4" i="2"/>
  <c r="T4" i="2"/>
  <c r="R4" i="2"/>
  <c r="S5" i="2"/>
  <c r="M3" i="2"/>
  <c r="B11" i="2" s="1"/>
  <c r="J5" i="2"/>
  <c r="Y5" i="2" s="1"/>
  <c r="W5" i="2"/>
  <c r="J4" i="2"/>
  <c r="Y4" i="2" s="1"/>
  <c r="W2" i="2"/>
  <c r="J2" i="2"/>
  <c r="M15" i="1"/>
  <c r="J14" i="1"/>
  <c r="M18" i="1"/>
  <c r="R18" i="1" s="1"/>
  <c r="W2" i="1"/>
  <c r="R12" i="1"/>
  <c r="T12" i="1"/>
  <c r="R14" i="1"/>
  <c r="R16" i="1"/>
  <c r="R17" i="1"/>
  <c r="M19" i="1"/>
  <c r="R19" i="1" s="1"/>
  <c r="R21" i="1"/>
  <c r="M20" i="1"/>
  <c r="R20" i="1" s="1"/>
  <c r="T20" i="1"/>
  <c r="S20" i="1"/>
  <c r="J20" i="1"/>
  <c r="T19" i="1"/>
  <c r="J19" i="1"/>
  <c r="W19" i="1"/>
  <c r="L19" i="1"/>
  <c r="J18" i="1"/>
  <c r="S17" i="1"/>
  <c r="T16" i="1"/>
  <c r="E15" i="1"/>
  <c r="T15" i="1"/>
  <c r="S14" i="1"/>
  <c r="E19" i="1"/>
  <c r="X19" i="1" s="1"/>
  <c r="E18" i="1"/>
  <c r="R13" i="1"/>
  <c r="S13" i="1"/>
  <c r="E12" i="1"/>
  <c r="E16" i="1"/>
  <c r="Y13" i="1"/>
  <c r="E20" i="1"/>
  <c r="E14" i="1"/>
  <c r="E4" i="1"/>
  <c r="E21" i="1"/>
  <c r="E17" i="1"/>
  <c r="L6" i="1"/>
  <c r="L9" i="1"/>
  <c r="L8" i="1"/>
  <c r="L4" i="1"/>
  <c r="L7" i="1"/>
  <c r="E7" i="1"/>
  <c r="X7" i="1" s="1"/>
  <c r="E6" i="1"/>
  <c r="X6" i="1" s="1"/>
  <c r="E11" i="1"/>
  <c r="X11" i="1" s="1"/>
  <c r="E3" i="1"/>
  <c r="J9" i="1"/>
  <c r="E10" i="1"/>
  <c r="X10" i="1" s="1"/>
  <c r="E9" i="1"/>
  <c r="X9" i="1" s="1"/>
  <c r="E5" i="1"/>
  <c r="E2" i="1"/>
  <c r="E8" i="1"/>
  <c r="X8" i="1" s="1"/>
  <c r="M8" i="1"/>
  <c r="S8" i="1" s="1"/>
  <c r="M11" i="1"/>
  <c r="S11" i="1" s="1"/>
  <c r="M9" i="1"/>
  <c r="S9" i="1" s="1"/>
  <c r="J11" i="1"/>
  <c r="J7" i="1"/>
  <c r="M10" i="1"/>
  <c r="S10" i="1" s="1"/>
  <c r="J10" i="1"/>
  <c r="W10" i="1"/>
  <c r="M6" i="1"/>
  <c r="J3" i="1"/>
  <c r="J8" i="1"/>
  <c r="M7" i="1"/>
  <c r="S7" i="1" s="1"/>
  <c r="J6" i="1"/>
  <c r="J5" i="1"/>
  <c r="J2" i="1"/>
  <c r="AH2" i="5" l="1"/>
  <c r="T2" i="5"/>
  <c r="S2" i="5"/>
  <c r="Z2" i="5"/>
  <c r="R2" i="5"/>
  <c r="B14" i="5"/>
  <c r="AG2" i="5"/>
  <c r="B7" i="5"/>
  <c r="B13" i="5"/>
  <c r="AL3" i="5"/>
  <c r="Y7" i="2"/>
  <c r="Y3" i="2"/>
  <c r="Y2" i="3"/>
  <c r="B9" i="3"/>
  <c r="Y2" i="4"/>
  <c r="B11" i="4" s="1"/>
  <c r="B10" i="4"/>
  <c r="B14" i="4"/>
  <c r="AL2" i="5"/>
  <c r="B9" i="5"/>
  <c r="S19" i="1"/>
  <c r="S6" i="2"/>
  <c r="Y2" i="2"/>
  <c r="B13" i="2"/>
  <c r="B17" i="2"/>
  <c r="B10" i="3"/>
  <c r="R3" i="2"/>
  <c r="T3" i="2"/>
  <c r="B18" i="2" s="1"/>
  <c r="S3" i="2"/>
  <c r="S6" i="1"/>
  <c r="B24" i="1"/>
  <c r="T18" i="1"/>
  <c r="S15" i="1"/>
  <c r="R15" i="1"/>
  <c r="S18" i="1"/>
  <c r="B26" i="1"/>
  <c r="Y18" i="1"/>
  <c r="X18" i="1"/>
  <c r="Y19" i="1"/>
  <c r="Y6" i="1"/>
  <c r="Y7" i="1"/>
  <c r="X17" i="1"/>
  <c r="Y17" i="1"/>
  <c r="X15" i="1"/>
  <c r="Y15" i="1"/>
  <c r="X12" i="1"/>
  <c r="Y12" i="1"/>
  <c r="Y14" i="1"/>
  <c r="X14" i="1"/>
  <c r="X16" i="1"/>
  <c r="Y16" i="1"/>
  <c r="X21" i="1"/>
  <c r="Y21" i="1"/>
  <c r="X20" i="1"/>
  <c r="Y20" i="1"/>
  <c r="Y8" i="1"/>
  <c r="Y10" i="1"/>
  <c r="X2" i="1"/>
  <c r="Y2" i="1"/>
  <c r="X4" i="1"/>
  <c r="Y4" i="1"/>
  <c r="Y5" i="1"/>
  <c r="X5" i="1"/>
  <c r="Y3" i="1"/>
  <c r="X3" i="1"/>
  <c r="Y11" i="1"/>
  <c r="Y9" i="1"/>
  <c r="R8" i="1"/>
  <c r="R6" i="1"/>
  <c r="R9" i="1"/>
  <c r="T6" i="1"/>
  <c r="R11" i="1"/>
  <c r="T11" i="1"/>
  <c r="T9" i="1"/>
  <c r="R10" i="1"/>
  <c r="T10" i="1"/>
  <c r="R7" i="1"/>
  <c r="T7" i="1"/>
  <c r="B10" i="5" l="1"/>
  <c r="B14" i="2"/>
  <c r="B31" i="1"/>
  <c r="B27" i="1"/>
  <c r="B30" i="1"/>
</calcChain>
</file>

<file path=xl/sharedStrings.xml><?xml version="1.0" encoding="utf-8"?>
<sst xmlns="http://schemas.openxmlformats.org/spreadsheetml/2006/main" count="314" uniqueCount="100">
  <si>
    <t>Company ($ Billions)</t>
  </si>
  <si>
    <t>Ticker</t>
  </si>
  <si>
    <t xml:space="preserve">Share Price </t>
  </si>
  <si>
    <t>Shares Outstanding</t>
  </si>
  <si>
    <t xml:space="preserve">Market Cap </t>
  </si>
  <si>
    <t>Cash/Debt Ratio</t>
  </si>
  <si>
    <t>Enterprise Value (USD)</t>
  </si>
  <si>
    <t>Revenue</t>
  </si>
  <si>
    <t>Operating Income</t>
  </si>
  <si>
    <t>OFCF</t>
  </si>
  <si>
    <t>P/E (TTM)</t>
  </si>
  <si>
    <t>EV/OFCF</t>
  </si>
  <si>
    <t>EV/Revenue</t>
  </si>
  <si>
    <t>EV/OI</t>
  </si>
  <si>
    <t>Operating Margin</t>
  </si>
  <si>
    <t>OFCF/Revenue</t>
  </si>
  <si>
    <t>P/E (Adj. Size)</t>
  </si>
  <si>
    <t>Target Multiple</t>
  </si>
  <si>
    <t xml:space="preserve"> Est. EV</t>
  </si>
  <si>
    <t>Est. Market Cap</t>
  </si>
  <si>
    <t>Est. Share Price</t>
  </si>
  <si>
    <t>Potential Return</t>
  </si>
  <si>
    <t>BRK.B</t>
  </si>
  <si>
    <t>JPM</t>
  </si>
  <si>
    <t>V</t>
  </si>
  <si>
    <t>MA</t>
  </si>
  <si>
    <t>BAC</t>
  </si>
  <si>
    <t>Wells Fargo &amp; Co</t>
  </si>
  <si>
    <t>WFC</t>
  </si>
  <si>
    <t>GS</t>
  </si>
  <si>
    <t>SPGI</t>
  </si>
  <si>
    <t>AXP</t>
  </si>
  <si>
    <t>PGR</t>
  </si>
  <si>
    <t>ROA</t>
  </si>
  <si>
    <t>Cash &amp; Liquid Assets</t>
  </si>
  <si>
    <t>S&amp;P P/E</t>
  </si>
  <si>
    <t>Average P/E</t>
  </si>
  <si>
    <t>Total Market Cap</t>
  </si>
  <si>
    <t>Total Enterprise Value</t>
  </si>
  <si>
    <t>Total Revenue</t>
  </si>
  <si>
    <t>Average Cash/Debt Ratio</t>
  </si>
  <si>
    <t>Weighted Cash/Debt Ratio</t>
  </si>
  <si>
    <t>Size (%)</t>
  </si>
  <si>
    <t>Weighted P/E</t>
  </si>
  <si>
    <t>Average EV/OI</t>
  </si>
  <si>
    <t>Debt + Deposit + Policy Reserves</t>
  </si>
  <si>
    <t>Net Loan</t>
  </si>
  <si>
    <t>Net Loan % of Assets</t>
  </si>
  <si>
    <t>Progressive Corp</t>
  </si>
  <si>
    <t>American Express Co</t>
  </si>
  <si>
    <t>S&amp;P Global Inc</t>
  </si>
  <si>
    <t>Berkshire Hathaway B</t>
  </si>
  <si>
    <t>JP Morgan &amp; Co</t>
  </si>
  <si>
    <t>Visa Inc A</t>
  </si>
  <si>
    <t>MasterCard Inc A</t>
  </si>
  <si>
    <t>Bank of America Corp</t>
  </si>
  <si>
    <t>Goldman Sachs Inc</t>
  </si>
  <si>
    <t>BlackRock Inc</t>
  </si>
  <si>
    <t>Morgan Stanley</t>
  </si>
  <si>
    <t>BLK</t>
  </si>
  <si>
    <t>MS</t>
  </si>
  <si>
    <t>Citigroup Inc</t>
  </si>
  <si>
    <t>Chubb Limited</t>
  </si>
  <si>
    <t>Marsh &amp; McLennan Companies</t>
  </si>
  <si>
    <t>Fiserv Inc</t>
  </si>
  <si>
    <t>Blackstone Inc.</t>
  </si>
  <si>
    <t xml:space="preserve">Intercontinental Exchange </t>
  </si>
  <si>
    <t xml:space="preserve">KKR &amp; Co Inc </t>
  </si>
  <si>
    <t>C</t>
  </si>
  <si>
    <t>CB</t>
  </si>
  <si>
    <t>MMC</t>
  </si>
  <si>
    <t>FI</t>
  </si>
  <si>
    <t>BX</t>
  </si>
  <si>
    <t>SCHW</t>
  </si>
  <si>
    <t>ICE</t>
  </si>
  <si>
    <t>KKR</t>
  </si>
  <si>
    <t>Charles Schwab</t>
  </si>
  <si>
    <t>Sector</t>
  </si>
  <si>
    <t>Credit Card</t>
  </si>
  <si>
    <t>Bank</t>
  </si>
  <si>
    <t>Rating Agency</t>
  </si>
  <si>
    <t>Insurance</t>
  </si>
  <si>
    <t>PE</t>
  </si>
  <si>
    <t xml:space="preserve">Bank </t>
  </si>
  <si>
    <t>Other</t>
  </si>
  <si>
    <t>PE/Insurance</t>
  </si>
  <si>
    <t>OFCF Margin</t>
  </si>
  <si>
    <t>Operating Assets (Net PPE  + IP)</t>
  </si>
  <si>
    <t>NWC</t>
  </si>
  <si>
    <t>Invested Capital</t>
  </si>
  <si>
    <t>D&amp;A</t>
  </si>
  <si>
    <t>CapEx</t>
  </si>
  <si>
    <t>Change in NWC</t>
  </si>
  <si>
    <t>Adj. OI</t>
  </si>
  <si>
    <t>Adj. OFCF</t>
  </si>
  <si>
    <t>Adj. OI/IC</t>
  </si>
  <si>
    <t>Adj. OFCF/IC</t>
  </si>
  <si>
    <t>EV/IC</t>
  </si>
  <si>
    <t>EV/Adj. OI</t>
  </si>
  <si>
    <t>EV/Adj. OFCF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</si>
</sst>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[$$-409]* #,##0.00_);_([$$-409]* \(#,##0.00\);_([$$-409]* &quot;-&quot;??_);_(@_)"/>
    <numFmt numFmtId="166" formatCode="0.0%"/>
    <numFmt numFmtId="167" formatCode="_([$$-409]* #,##0.0_);_([$$-409]* \(#,##0.0\);_([$$-409]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2" fontId="0" fillId="2" borderId="0" xfId="0" applyNumberFormat="1" applyFill="1"/>
    <xf numFmtId="9" fontId="0" fillId="3" borderId="0" xfId="1" applyFont="1" applyFill="1"/>
    <xf numFmtId="9" fontId="0" fillId="0" borderId="0" xfId="1" applyFont="1"/>
    <xf numFmtId="2" fontId="0" fillId="0" borderId="0" xfId="1" applyNumberFormat="1" applyFont="1"/>
    <xf numFmtId="167" fontId="0" fillId="0" borderId="0" xfId="0" applyNumberFormat="1"/>
    <xf numFmtId="0" fontId="3" fillId="0" borderId="0" xfId="0" applyFont="1"/>
    <xf numFmtId="2" fontId="3" fillId="0" borderId="0" xfId="0" applyNumberFormat="1" applyFont="1"/>
    <xf numFmtId="9" fontId="3" fillId="0" borderId="0" xfId="1" applyFont="1"/>
    <xf numFmtId="0" fontId="2" fillId="0" borderId="0" xfId="0" applyFont="1"/>
    <xf numFmtId="165" fontId="3" fillId="0" borderId="0" xfId="0" applyNumberFormat="1" applyFont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9F9E-4CBD-2347-9304-31825136FFE2}">
  <dimension ref="A1:AQ31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T4" sqref="T4"/>
    </sheetView>
  </sheetViews>
  <sheetFormatPr baseColWidth="10" defaultRowHeight="16" x14ac:dyDescent="0.2"/>
  <cols>
    <col min="1" max="1" width="27.33203125" customWidth="1"/>
    <col min="2" max="2" width="13.33203125" customWidth="1"/>
    <col min="4" max="5" width="10.5" customWidth="1"/>
    <col min="6" max="6" width="11.5" customWidth="1"/>
  </cols>
  <sheetData>
    <row r="1" spans="1:43" s="2" customFormat="1" ht="108" customHeight="1" x14ac:dyDescent="0.2">
      <c r="A1" s="1" t="s">
        <v>0</v>
      </c>
      <c r="B1" s="1" t="s">
        <v>77</v>
      </c>
      <c r="C1" s="1" t="s">
        <v>1</v>
      </c>
      <c r="D1" s="1" t="s">
        <v>4</v>
      </c>
      <c r="E1" s="1" t="s">
        <v>42</v>
      </c>
      <c r="F1" s="1" t="s">
        <v>3</v>
      </c>
      <c r="G1" s="1" t="s">
        <v>2</v>
      </c>
      <c r="H1" s="1" t="s">
        <v>45</v>
      </c>
      <c r="I1" s="1" t="s">
        <v>34</v>
      </c>
      <c r="J1" s="1" t="s">
        <v>5</v>
      </c>
      <c r="K1" s="1" t="s">
        <v>46</v>
      </c>
      <c r="L1" s="1" t="s">
        <v>47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16</v>
      </c>
      <c r="Y1" s="1" t="s">
        <v>41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/>
      <c r="AF1" s="1"/>
      <c r="AG1" s="1"/>
      <c r="AH1" s="1"/>
    </row>
    <row r="2" spans="1:43" ht="17" x14ac:dyDescent="0.2">
      <c r="A2" s="2" t="s">
        <v>51</v>
      </c>
      <c r="B2" s="2" t="s">
        <v>85</v>
      </c>
      <c r="C2" t="s">
        <v>22</v>
      </c>
      <c r="D2">
        <v>930.27</v>
      </c>
      <c r="E2" s="9">
        <f t="shared" ref="E2:E21" si="0">D2/B$23</f>
        <v>0.20052379720641486</v>
      </c>
      <c r="F2">
        <v>2.16</v>
      </c>
      <c r="G2" s="3">
        <f>D2/F2</f>
        <v>430.68055555555554</v>
      </c>
      <c r="H2" s="11">
        <f>2.25+121.37+206.7</f>
        <v>330.32</v>
      </c>
      <c r="I2" s="11">
        <f>592.44+42.32</f>
        <v>634.7600000000001</v>
      </c>
      <c r="J2" s="4">
        <f t="shared" ref="J2:J10" si="1">I2/H2</f>
        <v>1.9216517316541539</v>
      </c>
      <c r="K2" s="12">
        <v>26.09</v>
      </c>
      <c r="L2" s="14">
        <f>K2/I2</f>
        <v>4.1102148843657441E-2</v>
      </c>
      <c r="M2" s="13">
        <v>1014.41</v>
      </c>
      <c r="N2" s="12">
        <v>439.34</v>
      </c>
      <c r="O2" s="12">
        <v>120.17</v>
      </c>
      <c r="P2" s="12">
        <v>49.195999999999998</v>
      </c>
      <c r="Q2" s="12">
        <v>13.72</v>
      </c>
      <c r="R2" s="4">
        <f t="shared" ref="R2:R5" si="2">M2/P2</f>
        <v>20.619765834620701</v>
      </c>
      <c r="S2" s="4">
        <f t="shared" ref="S2:S5" si="3">M2/N2</f>
        <v>2.3089406837529021</v>
      </c>
      <c r="T2" s="7">
        <f t="shared" ref="T2:T5" si="4">M2/O2</f>
        <v>8.4414579345926608</v>
      </c>
      <c r="U2" s="8">
        <f t="shared" ref="U2:U5" si="5">O2/N2</f>
        <v>0.27352392224700689</v>
      </c>
      <c r="V2" s="9">
        <f t="shared" ref="V2:V5" si="6">P2/N2</f>
        <v>0.11197705649383166</v>
      </c>
      <c r="W2" s="6">
        <f t="shared" ref="W2:W3" si="7">O2/I2</f>
        <v>0.18931564685865521</v>
      </c>
      <c r="X2" s="10">
        <f t="shared" ref="X2:X5" si="8">Q2*E2</f>
        <v>2.7511864976720122</v>
      </c>
      <c r="Y2" s="10">
        <f t="shared" ref="Y2:Y5" si="9">J2*E2</f>
        <v>0.3853369021395735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x14ac:dyDescent="0.2">
      <c r="A3" t="s">
        <v>52</v>
      </c>
      <c r="B3" s="12" t="s">
        <v>79</v>
      </c>
      <c r="C3" t="s">
        <v>23</v>
      </c>
      <c r="D3">
        <v>585.53</v>
      </c>
      <c r="E3" s="9">
        <f t="shared" si="0"/>
        <v>0.12621357130539745</v>
      </c>
      <c r="F3">
        <v>2.85</v>
      </c>
      <c r="G3" s="3">
        <f t="shared" ref="G3:G10" si="10">D3/F3</f>
        <v>205.44912280701752</v>
      </c>
      <c r="H3" s="11">
        <f>3800-322.92-34.82</f>
        <v>3442.2599999999998</v>
      </c>
      <c r="I3" s="11">
        <f>4140-353.65-64.53-30.58-135.69</f>
        <v>3555.5499999999997</v>
      </c>
      <c r="J3" s="4">
        <f t="shared" si="1"/>
        <v>1.0329115174333141</v>
      </c>
      <c r="K3" s="12">
        <v>1300</v>
      </c>
      <c r="L3" s="14">
        <f t="shared" ref="L3:L11" si="11">K3/I3</f>
        <v>0.36562557128995515</v>
      </c>
      <c r="M3" s="13">
        <v>1.1000000000000001</v>
      </c>
      <c r="N3" s="12">
        <v>154.94999999999999</v>
      </c>
      <c r="O3" s="12">
        <v>61.61</v>
      </c>
      <c r="P3" s="12">
        <v>12.974</v>
      </c>
      <c r="Q3" s="12">
        <v>11.47</v>
      </c>
      <c r="R3" s="4">
        <f t="shared" si="2"/>
        <v>8.4784954524433492E-2</v>
      </c>
      <c r="S3" s="4">
        <f t="shared" si="3"/>
        <v>7.0990642142626662E-3</v>
      </c>
      <c r="T3" s="7">
        <f t="shared" si="4"/>
        <v>1.7854244440837528E-2</v>
      </c>
      <c r="U3" s="8">
        <f t="shared" si="5"/>
        <v>0.3976121329461117</v>
      </c>
      <c r="V3" s="9">
        <f t="shared" si="6"/>
        <v>8.3730235559858021E-2</v>
      </c>
      <c r="W3" s="6">
        <f t="shared" si="7"/>
        <v>1.7327839574749336E-2</v>
      </c>
      <c r="X3" s="10">
        <f t="shared" si="8"/>
        <v>1.4476696628729089</v>
      </c>
      <c r="Y3" s="10">
        <f t="shared" si="9"/>
        <v>0.13036745145773587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1:43" x14ac:dyDescent="0.2">
      <c r="A4" t="s">
        <v>53</v>
      </c>
      <c r="B4" t="s">
        <v>78</v>
      </c>
      <c r="C4" t="s">
        <v>24</v>
      </c>
      <c r="D4">
        <v>513.26</v>
      </c>
      <c r="E4" s="9">
        <f t="shared" si="0"/>
        <v>0.11063545438868769</v>
      </c>
      <c r="F4">
        <v>1.98</v>
      </c>
      <c r="G4" s="3">
        <f t="shared" si="10"/>
        <v>259.22222222222223</v>
      </c>
      <c r="H4" s="11">
        <v>20.6</v>
      </c>
      <c r="I4" s="11">
        <f>16.64+5.07+1.92</f>
        <v>23.630000000000003</v>
      </c>
      <c r="J4" s="4">
        <f t="shared" si="1"/>
        <v>1.1470873786407767</v>
      </c>
      <c r="K4" s="12"/>
      <c r="L4" s="14">
        <f t="shared" si="11"/>
        <v>0</v>
      </c>
      <c r="M4" s="13">
        <v>1.25</v>
      </c>
      <c r="N4" s="12">
        <v>32.65</v>
      </c>
      <c r="O4" s="12">
        <v>21.93</v>
      </c>
      <c r="P4" s="12">
        <v>20.754999999999999</v>
      </c>
      <c r="Q4" s="12">
        <v>27.81</v>
      </c>
      <c r="R4" s="4">
        <f t="shared" si="2"/>
        <v>6.022645145748013E-2</v>
      </c>
      <c r="S4" s="4">
        <f t="shared" si="3"/>
        <v>3.8284839203675348E-2</v>
      </c>
      <c r="T4" s="7">
        <f>M4/O4</f>
        <v>5.699954400364797E-2</v>
      </c>
      <c r="U4" s="8">
        <f t="shared" si="5"/>
        <v>0.67166921898928023</v>
      </c>
      <c r="V4" s="9">
        <f t="shared" si="6"/>
        <v>0.63568147013782539</v>
      </c>
      <c r="W4" s="6"/>
      <c r="X4" s="10">
        <f t="shared" si="8"/>
        <v>3.0767719865494043</v>
      </c>
      <c r="Y4" s="10">
        <f t="shared" si="9"/>
        <v>0.12690853335945099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x14ac:dyDescent="0.2">
      <c r="A5" t="s">
        <v>54</v>
      </c>
      <c r="B5" t="s">
        <v>78</v>
      </c>
      <c r="C5" t="s">
        <v>25</v>
      </c>
      <c r="D5">
        <v>421.99</v>
      </c>
      <c r="E5" s="9">
        <f t="shared" si="0"/>
        <v>9.0961803759268822E-2</v>
      </c>
      <c r="F5">
        <v>0.92383000000000004</v>
      </c>
      <c r="G5" s="3">
        <f t="shared" si="10"/>
        <v>456.78317439355726</v>
      </c>
      <c r="H5" s="11">
        <f>1.09+14.52</f>
        <v>15.61</v>
      </c>
      <c r="I5" s="11">
        <f>7.36+1.77+1.71</f>
        <v>10.84</v>
      </c>
      <c r="J5" s="4">
        <f t="shared" si="1"/>
        <v>0.69442664958360023</v>
      </c>
      <c r="K5" s="12"/>
      <c r="L5" s="14">
        <f t="shared" si="11"/>
        <v>0</v>
      </c>
      <c r="M5" s="12">
        <v>27.92</v>
      </c>
      <c r="N5" s="12">
        <v>25.1</v>
      </c>
      <c r="O5" s="12">
        <v>14.63</v>
      </c>
      <c r="P5" s="12">
        <v>11.98</v>
      </c>
      <c r="Q5" s="12">
        <v>34.92</v>
      </c>
      <c r="R5" s="4">
        <f t="shared" si="2"/>
        <v>2.330550918196995</v>
      </c>
      <c r="S5" s="4">
        <f t="shared" si="3"/>
        <v>1.1123505976095618</v>
      </c>
      <c r="T5" s="7">
        <f t="shared" si="4"/>
        <v>1.9084073820915926</v>
      </c>
      <c r="U5" s="8">
        <f t="shared" si="5"/>
        <v>0.58286852589641436</v>
      </c>
      <c r="V5" s="9">
        <f t="shared" si="6"/>
        <v>0.47729083665338645</v>
      </c>
      <c r="W5" s="6"/>
      <c r="X5" s="10">
        <f t="shared" si="8"/>
        <v>3.1763861872736676</v>
      </c>
      <c r="Y5" s="10">
        <f t="shared" si="9"/>
        <v>6.3166300624629981E-2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">
      <c r="A6" t="s">
        <v>55</v>
      </c>
      <c r="B6" t="s">
        <v>79</v>
      </c>
      <c r="C6" t="s">
        <v>26</v>
      </c>
      <c r="D6">
        <v>297.04000000000002</v>
      </c>
      <c r="E6" s="9">
        <f t="shared" si="0"/>
        <v>6.4028280738058274E-2</v>
      </c>
      <c r="F6">
        <v>7.76</v>
      </c>
      <c r="G6" s="3">
        <f t="shared" si="10"/>
        <v>38.27835051546392</v>
      </c>
      <c r="H6" s="11">
        <f>2960-212.65-1.1</f>
        <v>2746.25</v>
      </c>
      <c r="I6" s="11">
        <f>3260-69.02-309.64-11.92-95.82</f>
        <v>2773.6</v>
      </c>
      <c r="J6" s="4">
        <f t="shared" si="1"/>
        <v>1.0099590350477925</v>
      </c>
      <c r="K6" s="4">
        <v>1040</v>
      </c>
      <c r="L6" s="14">
        <f t="shared" si="11"/>
        <v>0.37496394577444475</v>
      </c>
      <c r="M6" s="5">
        <f>H6-I6+D6</f>
        <v>269.69000000000011</v>
      </c>
      <c r="N6">
        <v>98.58</v>
      </c>
      <c r="O6">
        <v>28.34</v>
      </c>
      <c r="P6">
        <v>44.981999999999999</v>
      </c>
      <c r="Q6">
        <v>13.43</v>
      </c>
      <c r="R6" s="4">
        <f t="shared" ref="R6:R16" si="12">M6/P6</f>
        <v>5.9955093148370482</v>
      </c>
      <c r="S6" s="4">
        <f t="shared" ref="S6:S11" si="13">M6/N6</f>
        <v>2.7357476161493217</v>
      </c>
      <c r="T6" s="7">
        <f>M6/O6</f>
        <v>9.5162314749470749</v>
      </c>
      <c r="U6" s="8">
        <f t="shared" ref="U6:U10" si="14">O6/N6</f>
        <v>0.28748224792047067</v>
      </c>
      <c r="V6" s="9">
        <f t="shared" ref="V6:V10" si="15">P6/N6</f>
        <v>0.45629945222154594</v>
      </c>
      <c r="W6" s="6">
        <f>O6/I6</f>
        <v>1.021776752235362E-2</v>
      </c>
      <c r="X6" s="10">
        <f t="shared" ref="X6:X11" si="16">Q6*E6</f>
        <v>0.85989981031212259</v>
      </c>
      <c r="Y6" s="10">
        <f t="shared" ref="Y6:Y11" si="17">J6*E6</f>
        <v>6.4665940629978491E-2</v>
      </c>
    </row>
    <row r="7" spans="1:43" x14ac:dyDescent="0.2">
      <c r="A7" t="s">
        <v>27</v>
      </c>
      <c r="B7" t="s">
        <v>79</v>
      </c>
      <c r="C7" t="s">
        <v>28</v>
      </c>
      <c r="D7">
        <v>179.58</v>
      </c>
      <c r="E7" s="9">
        <f t="shared" si="0"/>
        <v>3.8709260217278836E-2</v>
      </c>
      <c r="F7">
        <v>3.4</v>
      </c>
      <c r="G7" s="3">
        <f t="shared" si="10"/>
        <v>52.817647058823532</v>
      </c>
      <c r="H7" s="11">
        <f>1760-81.82</f>
        <v>1678.18</v>
      </c>
      <c r="I7" s="11">
        <f>1940-112.53-33.2-18.87-44.45</f>
        <v>1730.95</v>
      </c>
      <c r="J7" s="4">
        <f t="shared" si="1"/>
        <v>1.0314447794634665</v>
      </c>
      <c r="K7" s="4">
        <v>894.15</v>
      </c>
      <c r="L7" s="14">
        <f t="shared" si="11"/>
        <v>0.5165660475461451</v>
      </c>
      <c r="M7" s="5">
        <f>H7-I7+D7</f>
        <v>126.81000000000003</v>
      </c>
      <c r="N7">
        <v>82.6</v>
      </c>
      <c r="O7">
        <v>21.64</v>
      </c>
      <c r="P7">
        <v>40.357999999999997</v>
      </c>
      <c r="Q7">
        <v>10.81</v>
      </c>
      <c r="R7" s="4">
        <f t="shared" si="12"/>
        <v>3.1421279548045007</v>
      </c>
      <c r="S7" s="4">
        <f t="shared" si="13"/>
        <v>1.5352300242130756</v>
      </c>
      <c r="T7" s="7">
        <f>M7/O7</f>
        <v>5.8599815157116462</v>
      </c>
      <c r="U7" s="8">
        <f t="shared" si="14"/>
        <v>0.26198547215496371</v>
      </c>
      <c r="V7" s="9">
        <f t="shared" si="15"/>
        <v>0.48859564164648911</v>
      </c>
      <c r="W7" s="6">
        <f>O7/I7</f>
        <v>1.2501805366995003E-2</v>
      </c>
      <c r="X7" s="10">
        <f t="shared" si="16"/>
        <v>0.41844710294878423</v>
      </c>
      <c r="Y7" s="10">
        <f t="shared" si="17"/>
        <v>3.9926464368005107E-2</v>
      </c>
    </row>
    <row r="8" spans="1:43" x14ac:dyDescent="0.2">
      <c r="A8" t="s">
        <v>56</v>
      </c>
      <c r="B8" t="s">
        <v>79</v>
      </c>
      <c r="C8" t="s">
        <v>29</v>
      </c>
      <c r="D8">
        <v>154.82</v>
      </c>
      <c r="E8" s="9">
        <f t="shared" si="0"/>
        <v>3.3372133126401096E-2</v>
      </c>
      <c r="F8">
        <v>0.31580000000000003</v>
      </c>
      <c r="G8" s="3">
        <f t="shared" si="10"/>
        <v>490.24699176694105</v>
      </c>
      <c r="H8" s="11">
        <f>243.26+63.02+63.94+0.415+91.27+433.11+238.14</f>
        <v>1133.155</v>
      </c>
      <c r="I8" s="11">
        <f>1650-6.89-11.76-158.06</f>
        <v>1473.29</v>
      </c>
      <c r="J8" s="4">
        <f t="shared" si="1"/>
        <v>1.3001663497050271</v>
      </c>
      <c r="K8" s="4">
        <v>184.13</v>
      </c>
      <c r="L8" s="14">
        <f t="shared" si="11"/>
        <v>0.12497878896890632</v>
      </c>
      <c r="M8" s="5">
        <f>H8-I8+D8</f>
        <v>-185.315</v>
      </c>
      <c r="N8">
        <v>46.25</v>
      </c>
      <c r="O8">
        <v>10.74</v>
      </c>
      <c r="P8">
        <v>-12.587</v>
      </c>
      <c r="Q8">
        <v>15.73</v>
      </c>
      <c r="R8" s="4">
        <f t="shared" si="12"/>
        <v>14.722729800587908</v>
      </c>
      <c r="S8" s="4">
        <f t="shared" si="13"/>
        <v>-4.0068108108108111</v>
      </c>
      <c r="T8" s="7"/>
      <c r="U8" s="8">
        <f t="shared" si="14"/>
        <v>0.23221621621621621</v>
      </c>
      <c r="V8" s="9">
        <f t="shared" si="15"/>
        <v>-0.27215135135135132</v>
      </c>
      <c r="W8" s="6">
        <f>O8/I8</f>
        <v>7.2898071662741218E-3</v>
      </c>
      <c r="X8" s="10">
        <f t="shared" si="16"/>
        <v>0.52494365407828925</v>
      </c>
      <c r="Y8" s="10">
        <f t="shared" si="17"/>
        <v>4.3389324508823129E-2</v>
      </c>
    </row>
    <row r="9" spans="1:43" x14ac:dyDescent="0.2">
      <c r="A9" t="s">
        <v>50</v>
      </c>
      <c r="B9" t="s">
        <v>80</v>
      </c>
      <c r="C9" t="s">
        <v>30</v>
      </c>
      <c r="D9">
        <v>152.97999999999999</v>
      </c>
      <c r="E9" s="9">
        <f t="shared" si="0"/>
        <v>3.2975513019486112E-2</v>
      </c>
      <c r="F9">
        <v>0.313</v>
      </c>
      <c r="G9" s="3">
        <f t="shared" si="10"/>
        <v>488.75399361022363</v>
      </c>
      <c r="H9">
        <f>0.004+11.4</f>
        <v>11.404</v>
      </c>
      <c r="I9">
        <f>2.04+0.001+1.8</f>
        <v>3.8410000000000002</v>
      </c>
      <c r="J9" s="4">
        <f t="shared" si="1"/>
        <v>0.3368116450368292</v>
      </c>
      <c r="K9" s="4"/>
      <c r="L9" s="14">
        <f t="shared" si="11"/>
        <v>0</v>
      </c>
      <c r="M9" s="5">
        <f>H9-I9+D9</f>
        <v>160.54299999999998</v>
      </c>
      <c r="N9">
        <v>12.5</v>
      </c>
      <c r="O9">
        <v>3.67</v>
      </c>
      <c r="P9">
        <v>3.71</v>
      </c>
      <c r="Q9">
        <v>46.35</v>
      </c>
      <c r="R9" s="4">
        <f t="shared" si="12"/>
        <v>43.273045822102418</v>
      </c>
      <c r="S9" s="4">
        <f t="shared" si="13"/>
        <v>12.843439999999998</v>
      </c>
      <c r="T9" s="7">
        <f>M9/O9</f>
        <v>43.744686648501357</v>
      </c>
      <c r="U9" s="8">
        <f t="shared" si="14"/>
        <v>0.29359999999999997</v>
      </c>
      <c r="V9" s="9">
        <f t="shared" si="15"/>
        <v>0.29680000000000001</v>
      </c>
      <c r="W9" s="9"/>
      <c r="X9" s="10">
        <f t="shared" si="16"/>
        <v>1.5284150284531814</v>
      </c>
      <c r="Y9" s="10">
        <f t="shared" si="17"/>
        <v>1.1106536786026496E-2</v>
      </c>
    </row>
    <row r="10" spans="1:43" x14ac:dyDescent="0.2">
      <c r="A10" t="s">
        <v>49</v>
      </c>
      <c r="B10" t="s">
        <v>78</v>
      </c>
      <c r="C10" t="s">
        <v>31</v>
      </c>
      <c r="D10">
        <v>169.09</v>
      </c>
      <c r="E10" s="9">
        <f t="shared" si="0"/>
        <v>3.6448094499051557E-2</v>
      </c>
      <c r="F10">
        <v>0.71091000000000004</v>
      </c>
      <c r="G10" s="3">
        <f t="shared" si="10"/>
        <v>237.85007947560169</v>
      </c>
      <c r="H10">
        <f>242.68-42.63-13.15</f>
        <v>186.9</v>
      </c>
      <c r="I10">
        <f>272.22-19.84-5.25</f>
        <v>247.13000000000002</v>
      </c>
      <c r="J10" s="4">
        <f t="shared" si="1"/>
        <v>1.3222578919208134</v>
      </c>
      <c r="K10" s="4">
        <v>193.03</v>
      </c>
      <c r="L10" s="14">
        <f t="shared" si="11"/>
        <v>0.78108687735200089</v>
      </c>
      <c r="M10" s="5">
        <f>H10-I10+D10</f>
        <v>108.85999999999999</v>
      </c>
      <c r="N10">
        <v>60.36</v>
      </c>
      <c r="O10">
        <v>10.51</v>
      </c>
      <c r="P10">
        <v>18.559000000000001</v>
      </c>
      <c r="Q10">
        <v>17.75</v>
      </c>
      <c r="R10" s="4">
        <f t="shared" si="12"/>
        <v>5.865617759577562</v>
      </c>
      <c r="S10" s="4">
        <f t="shared" si="13"/>
        <v>1.8035122597746851</v>
      </c>
      <c r="T10" s="7">
        <f>M10/O10</f>
        <v>10.357754519505232</v>
      </c>
      <c r="U10" s="8">
        <f t="shared" si="14"/>
        <v>0.1741219350563287</v>
      </c>
      <c r="V10" s="9">
        <f t="shared" si="15"/>
        <v>0.30747183565275016</v>
      </c>
      <c r="W10" s="9">
        <f>O10/I10</f>
        <v>4.2528224011653779E-2</v>
      </c>
      <c r="X10" s="10">
        <f t="shared" si="16"/>
        <v>0.64695367735816511</v>
      </c>
      <c r="Y10" s="10">
        <f t="shared" si="17"/>
        <v>4.8193780596846508E-2</v>
      </c>
    </row>
    <row r="11" spans="1:43" x14ac:dyDescent="0.2">
      <c r="A11" t="s">
        <v>48</v>
      </c>
      <c r="B11" t="s">
        <v>81</v>
      </c>
      <c r="C11" t="s">
        <v>32</v>
      </c>
      <c r="D11">
        <v>129.86000000000001</v>
      </c>
      <c r="E11" s="9">
        <f t="shared" si="0"/>
        <v>2.7991895154336952E-2</v>
      </c>
      <c r="F11">
        <v>0.58567000000000002</v>
      </c>
      <c r="G11" s="3">
        <f t="shared" ref="G11:G21" si="18">D11/F11</f>
        <v>221.72895999453618</v>
      </c>
      <c r="H11">
        <f>74.55-7.38</f>
        <v>67.17</v>
      </c>
      <c r="I11">
        <f>97.89-1.5-0.7135-0.2908-1.94-19.43</f>
        <v>74.01570000000001</v>
      </c>
      <c r="J11" s="4">
        <f t="shared" ref="J11:J21" si="19">I11/H11</f>
        <v>1.1019160339437251</v>
      </c>
      <c r="K11" s="4"/>
      <c r="L11" s="14">
        <f t="shared" si="11"/>
        <v>0</v>
      </c>
      <c r="M11" s="5">
        <f t="shared" ref="M11" si="20">H11-I11+D11</f>
        <v>123.01430000000001</v>
      </c>
      <c r="N11">
        <v>62.08</v>
      </c>
      <c r="O11">
        <v>4.9000000000000004</v>
      </c>
      <c r="P11">
        <v>10.643000000000001</v>
      </c>
      <c r="Q11">
        <v>18.98</v>
      </c>
      <c r="R11" s="4">
        <f t="shared" si="12"/>
        <v>11.558235459926712</v>
      </c>
      <c r="S11" s="4">
        <f t="shared" si="13"/>
        <v>1.9815447809278353</v>
      </c>
      <c r="T11" s="7">
        <f>M11/O11</f>
        <v>25.104959183673468</v>
      </c>
      <c r="U11" s="8">
        <f t="shared" ref="U11" si="21">O11/N11</f>
        <v>7.8930412371134032E-2</v>
      </c>
      <c r="V11" s="9">
        <f t="shared" ref="V11" si="22">P11/N11</f>
        <v>0.17144007731958766</v>
      </c>
      <c r="W11" s="9">
        <f>O11/I11</f>
        <v>6.6202170620557527E-2</v>
      </c>
      <c r="X11" s="10">
        <f t="shared" si="16"/>
        <v>0.53128617002931533</v>
      </c>
      <c r="Y11" s="10">
        <f t="shared" si="17"/>
        <v>3.0844718091035551E-2</v>
      </c>
    </row>
    <row r="12" spans="1:43" x14ac:dyDescent="0.2">
      <c r="A12" t="s">
        <v>57</v>
      </c>
      <c r="B12" t="s">
        <v>82</v>
      </c>
      <c r="C12" t="s">
        <v>59</v>
      </c>
      <c r="D12">
        <v>126.83</v>
      </c>
      <c r="E12" s="9">
        <f t="shared" si="0"/>
        <v>2.7338765304362817E-2</v>
      </c>
      <c r="F12">
        <v>0.14813000000000001</v>
      </c>
      <c r="G12" s="3">
        <f t="shared" si="18"/>
        <v>856.207385404712</v>
      </c>
      <c r="H12">
        <f>9.86</f>
        <v>9.86</v>
      </c>
      <c r="I12">
        <f>21.29-3.99+8.17</f>
        <v>25.47</v>
      </c>
      <c r="J12" s="4">
        <f t="shared" si="19"/>
        <v>2.5831643002028399</v>
      </c>
      <c r="L12" s="14">
        <f t="shared" ref="L12:L21" si="23">K12/I12</f>
        <v>0</v>
      </c>
      <c r="M12" s="5">
        <f t="shared" ref="M12:M21" si="24">H12-I12+D12</f>
        <v>111.22</v>
      </c>
      <c r="N12">
        <v>17.86</v>
      </c>
      <c r="O12">
        <v>6.33</v>
      </c>
      <c r="P12">
        <v>4.165</v>
      </c>
      <c r="Q12">
        <v>21.26</v>
      </c>
      <c r="R12" s="4">
        <f t="shared" si="12"/>
        <v>26.703481392557023</v>
      </c>
      <c r="S12" s="4">
        <f t="shared" ref="S12:S21" si="25">M12/N12</f>
        <v>6.2273236282194846</v>
      </c>
      <c r="T12" s="7">
        <f t="shared" ref="T12:T20" si="26">M12/O12</f>
        <v>17.570300157977883</v>
      </c>
      <c r="U12" s="8">
        <f t="shared" ref="U12:U21" si="27">O12/N12</f>
        <v>0.35442329227323632</v>
      </c>
      <c r="V12" s="9">
        <f t="shared" ref="V12:V21" si="28">P12/N12</f>
        <v>0.2332026875699888</v>
      </c>
      <c r="W12" s="9">
        <f t="shared" ref="W12:W21" si="29">O12/I12</f>
        <v>0.248527679623086</v>
      </c>
      <c r="X12" s="10">
        <f t="shared" ref="X12:X21" si="30">Q12*E12</f>
        <v>0.58122215037075353</v>
      </c>
      <c r="Y12" s="10">
        <f t="shared" ref="Y12:Y21" si="31">J12*E12</f>
        <v>7.0620522545854061E-2</v>
      </c>
    </row>
    <row r="13" spans="1:43" x14ac:dyDescent="0.2">
      <c r="A13" t="s">
        <v>58</v>
      </c>
      <c r="B13" t="s">
        <v>83</v>
      </c>
      <c r="C13" t="s">
        <v>60</v>
      </c>
      <c r="D13">
        <v>153.24</v>
      </c>
      <c r="E13" s="9">
        <f t="shared" si="0"/>
        <v>3.3031557165028452E-2</v>
      </c>
      <c r="F13">
        <v>1.62</v>
      </c>
      <c r="G13" s="3">
        <f t="shared" si="18"/>
        <v>94.592592592592595</v>
      </c>
      <c r="H13">
        <f>1110-205.98-25.95</f>
        <v>878.06999999999994</v>
      </c>
      <c r="I13">
        <f>209.07+228.25+350.68+122.71</f>
        <v>910.71</v>
      </c>
      <c r="J13" s="4">
        <f t="shared" si="19"/>
        <v>1.0371724349994875</v>
      </c>
      <c r="K13">
        <v>228.25</v>
      </c>
      <c r="L13" s="14">
        <f t="shared" si="23"/>
        <v>0.2506286304092411</v>
      </c>
      <c r="M13" s="5">
        <f t="shared" si="24"/>
        <v>120.59999999999991</v>
      </c>
      <c r="N13">
        <v>50.67</v>
      </c>
      <c r="O13">
        <v>11.81</v>
      </c>
      <c r="P13">
        <v>-33.536000000000001</v>
      </c>
      <c r="Q13">
        <v>15.58</v>
      </c>
      <c r="R13" s="4">
        <f t="shared" si="12"/>
        <v>-3.5961354961832033</v>
      </c>
      <c r="S13" s="4">
        <f t="shared" si="25"/>
        <v>2.380106571936055</v>
      </c>
      <c r="T13" s="7">
        <f t="shared" si="26"/>
        <v>10.211685012701093</v>
      </c>
      <c r="U13" s="8">
        <f t="shared" si="27"/>
        <v>0.23307677126504836</v>
      </c>
      <c r="V13" s="9">
        <f t="shared" si="28"/>
        <v>-0.66185119400039472</v>
      </c>
      <c r="W13" s="9">
        <f t="shared" si="29"/>
        <v>1.2967904162686256E-2</v>
      </c>
      <c r="X13" s="10">
        <f t="shared" si="30"/>
        <v>0.5146316606311433</v>
      </c>
      <c r="Y13" s="10">
        <f t="shared" si="31"/>
        <v>3.425942057667733E-2</v>
      </c>
    </row>
    <row r="14" spans="1:43" x14ac:dyDescent="0.2">
      <c r="A14" t="s">
        <v>61</v>
      </c>
      <c r="B14" t="s">
        <v>79</v>
      </c>
      <c r="C14" t="s">
        <v>68</v>
      </c>
      <c r="D14">
        <v>110.35</v>
      </c>
      <c r="E14" s="9">
        <f t="shared" si="0"/>
        <v>2.3786428694602513E-2</v>
      </c>
      <c r="F14">
        <v>1.91</v>
      </c>
      <c r="G14" s="3">
        <f t="shared" si="18"/>
        <v>57.774869109947645</v>
      </c>
      <c r="H14">
        <f>2200-69.3-73.62</f>
        <v>2057.08</v>
      </c>
      <c r="I14">
        <f>2410-312.89-23.93-29.4-64.83</f>
        <v>1978.9500000000003</v>
      </c>
      <c r="J14" s="4">
        <f t="shared" si="19"/>
        <v>0.96201897835767225</v>
      </c>
      <c r="K14">
        <v>669.3</v>
      </c>
      <c r="L14" s="14">
        <f t="shared" si="23"/>
        <v>0.33820965663609481</v>
      </c>
      <c r="M14" s="5">
        <f t="shared" si="24"/>
        <v>188.47999999999965</v>
      </c>
      <c r="N14">
        <v>78.489999999999995</v>
      </c>
      <c r="O14">
        <v>12.91</v>
      </c>
      <c r="P14">
        <v>-73.415999999999997</v>
      </c>
      <c r="Q14">
        <v>15.98</v>
      </c>
      <c r="R14" s="4">
        <f t="shared" si="12"/>
        <v>-2.5672877846790843</v>
      </c>
      <c r="S14" s="4">
        <f t="shared" si="25"/>
        <v>2.4013250095553529</v>
      </c>
      <c r="T14" s="7">
        <f t="shared" si="26"/>
        <v>14.599535243996874</v>
      </c>
      <c r="U14" s="8">
        <f t="shared" si="27"/>
        <v>0.16447955153522742</v>
      </c>
      <c r="V14" s="9">
        <f t="shared" si="28"/>
        <v>-0.93535482227035294</v>
      </c>
      <c r="W14" s="9">
        <f t="shared" si="29"/>
        <v>6.5236615376841247E-3</v>
      </c>
      <c r="X14" s="10">
        <f t="shared" si="30"/>
        <v>0.38010713053974815</v>
      </c>
      <c r="Y14" s="10">
        <f t="shared" si="31"/>
        <v>2.288299583155913E-2</v>
      </c>
    </row>
    <row r="15" spans="1:43" x14ac:dyDescent="0.2">
      <c r="A15" t="s">
        <v>62</v>
      </c>
      <c r="B15" t="s">
        <v>81</v>
      </c>
      <c r="C15" t="s">
        <v>69</v>
      </c>
      <c r="D15">
        <v>109.17</v>
      </c>
      <c r="E15" s="9">
        <f t="shared" si="0"/>
        <v>2.3532074495602687E-2</v>
      </c>
      <c r="F15">
        <v>0.40393000000000001</v>
      </c>
      <c r="G15" s="3">
        <f t="shared" si="18"/>
        <v>270.26960116851927</v>
      </c>
      <c r="H15">
        <f>13.18+1.55+128.74</f>
        <v>143.47</v>
      </c>
      <c r="I15">
        <f>238.55-7.68-29.89-7.81-35.58</f>
        <v>157.59000000000003</v>
      </c>
      <c r="J15" s="4">
        <f t="shared" si="19"/>
        <v>1.0984177876908068</v>
      </c>
      <c r="L15" s="14">
        <f t="shared" si="23"/>
        <v>0</v>
      </c>
      <c r="M15" s="5">
        <f t="shared" si="24"/>
        <v>95.049999999999969</v>
      </c>
      <c r="N15">
        <v>49.83</v>
      </c>
      <c r="O15">
        <v>9.5299999999999994</v>
      </c>
      <c r="P15">
        <v>12.632</v>
      </c>
      <c r="Q15">
        <v>11.43</v>
      </c>
      <c r="R15" s="4">
        <f t="shared" si="12"/>
        <v>7.5245408486383765</v>
      </c>
      <c r="S15" s="4">
        <f t="shared" si="25"/>
        <v>1.9074854505318075</v>
      </c>
      <c r="T15" s="7">
        <f t="shared" si="26"/>
        <v>9.9737670514165764</v>
      </c>
      <c r="U15" s="8">
        <f t="shared" si="27"/>
        <v>0.19125025085289984</v>
      </c>
      <c r="V15" s="9">
        <f t="shared" si="28"/>
        <v>0.25350190648203891</v>
      </c>
      <c r="W15" s="9">
        <f t="shared" si="29"/>
        <v>6.0473380290627564E-2</v>
      </c>
      <c r="X15" s="10">
        <f t="shared" si="30"/>
        <v>0.26897161148473869</v>
      </c>
      <c r="Y15" s="10">
        <f t="shared" si="31"/>
        <v>2.5848049207235161E-2</v>
      </c>
    </row>
    <row r="16" spans="1:43" x14ac:dyDescent="0.2">
      <c r="A16" t="s">
        <v>63</v>
      </c>
      <c r="B16" t="s">
        <v>84</v>
      </c>
      <c r="C16" t="s">
        <v>70</v>
      </c>
      <c r="D16">
        <v>108.22</v>
      </c>
      <c r="E16" s="9">
        <f t="shared" si="0"/>
        <v>2.3327297809967232E-2</v>
      </c>
      <c r="F16">
        <v>0.49175999999999997</v>
      </c>
      <c r="G16" s="3">
        <f t="shared" si="18"/>
        <v>220.06669920286319</v>
      </c>
      <c r="H16">
        <f>1.27+12.28</f>
        <v>13.549999999999999</v>
      </c>
      <c r="I16">
        <f>1.65+11.5</f>
        <v>13.15</v>
      </c>
      <c r="J16" s="4">
        <f t="shared" si="19"/>
        <v>0.97047970479704804</v>
      </c>
      <c r="L16" s="14">
        <f t="shared" si="23"/>
        <v>0</v>
      </c>
      <c r="M16" s="5">
        <f t="shared" si="24"/>
        <v>108.62</v>
      </c>
      <c r="N16">
        <v>22.74</v>
      </c>
      <c r="O16">
        <v>5.28</v>
      </c>
      <c r="P16">
        <v>4.258</v>
      </c>
      <c r="Q16">
        <v>27.3</v>
      </c>
      <c r="R16" s="4">
        <f t="shared" si="12"/>
        <v>25.509628933771726</v>
      </c>
      <c r="S16" s="4">
        <f t="shared" si="25"/>
        <v>4.7766051011433603</v>
      </c>
      <c r="T16" s="7">
        <f t="shared" si="26"/>
        <v>20.571969696969695</v>
      </c>
      <c r="U16" s="8">
        <f t="shared" si="27"/>
        <v>0.23218997361477575</v>
      </c>
      <c r="V16" s="9">
        <f t="shared" si="28"/>
        <v>0.18724714160070363</v>
      </c>
      <c r="W16" s="9"/>
      <c r="X16" s="10">
        <f t="shared" si="30"/>
        <v>0.63683523021210542</v>
      </c>
      <c r="Y16" s="10">
        <f t="shared" si="31"/>
        <v>2.2638669092329824E-2</v>
      </c>
    </row>
    <row r="17" spans="1:25" x14ac:dyDescent="0.2">
      <c r="A17" t="s">
        <v>64</v>
      </c>
      <c r="B17" t="s">
        <v>84</v>
      </c>
      <c r="C17" t="s">
        <v>71</v>
      </c>
      <c r="D17">
        <v>93.03</v>
      </c>
      <c r="E17" s="9">
        <f t="shared" si="0"/>
        <v>2.0053026383859283E-2</v>
      </c>
      <c r="F17">
        <v>0.57572999999999996</v>
      </c>
      <c r="G17" s="3">
        <f t="shared" si="18"/>
        <v>161.5861601792507</v>
      </c>
      <c r="H17">
        <f>0.794+23.74</f>
        <v>24.533999999999999</v>
      </c>
      <c r="I17">
        <f>38.33-33.39+2.21</f>
        <v>7.1499999999999977</v>
      </c>
      <c r="J17" s="4">
        <f t="shared" si="19"/>
        <v>0.2914322980353794</v>
      </c>
      <c r="L17" s="14">
        <f t="shared" si="23"/>
        <v>0</v>
      </c>
      <c r="M17" s="5">
        <f t="shared" si="24"/>
        <v>110.414</v>
      </c>
      <c r="N17">
        <v>19.09</v>
      </c>
      <c r="O17">
        <v>4.8499999999999996</v>
      </c>
      <c r="P17">
        <v>5.1619999999999999</v>
      </c>
      <c r="Q17">
        <v>28.1</v>
      </c>
      <c r="R17" s="4">
        <f t="shared" ref="R17:R21" si="32">M17/P17</f>
        <v>21.389771406431617</v>
      </c>
      <c r="S17" s="4">
        <f t="shared" si="25"/>
        <v>5.7838658983761135</v>
      </c>
      <c r="T17" s="7">
        <f t="shared" si="26"/>
        <v>22.765773195876292</v>
      </c>
      <c r="U17" s="8">
        <f t="shared" si="27"/>
        <v>0.25405971712938707</v>
      </c>
      <c r="V17" s="9">
        <f t="shared" si="28"/>
        <v>0.27040335254059716</v>
      </c>
      <c r="W17" s="9"/>
      <c r="X17" s="10">
        <f t="shared" si="30"/>
        <v>0.56349004138644587</v>
      </c>
      <c r="Y17" s="10">
        <f t="shared" si="31"/>
        <v>5.8440995616122048E-3</v>
      </c>
    </row>
    <row r="18" spans="1:25" x14ac:dyDescent="0.2">
      <c r="A18" t="s">
        <v>65</v>
      </c>
      <c r="B18" t="s">
        <v>82</v>
      </c>
      <c r="C18" t="s">
        <v>72</v>
      </c>
      <c r="D18">
        <v>100.26</v>
      </c>
      <c r="E18" s="9">
        <f t="shared" si="0"/>
        <v>2.1611484738748056E-2</v>
      </c>
      <c r="F18">
        <v>0.76576</v>
      </c>
      <c r="G18" s="3">
        <f t="shared" si="18"/>
        <v>130.92875052235689</v>
      </c>
      <c r="H18">
        <f>11.83</f>
        <v>11.83</v>
      </c>
      <c r="I18">
        <f>40.59-28.89-2.07-0.34353-5.12</f>
        <v>4.166470000000003</v>
      </c>
      <c r="J18" s="4">
        <f t="shared" si="19"/>
        <v>0.35219526627218961</v>
      </c>
      <c r="L18" s="14">
        <f t="shared" si="23"/>
        <v>0</v>
      </c>
      <c r="M18" s="5">
        <f t="shared" si="24"/>
        <v>107.92353</v>
      </c>
      <c r="N18">
        <v>7.01</v>
      </c>
      <c r="O18">
        <v>2.96</v>
      </c>
      <c r="P18">
        <v>4.0570000000000004</v>
      </c>
      <c r="Q18">
        <v>49.97</v>
      </c>
      <c r="R18" s="4">
        <f t="shared" si="32"/>
        <v>26.601806753758932</v>
      </c>
      <c r="S18" s="4">
        <f t="shared" si="25"/>
        <v>15.395653352353781</v>
      </c>
      <c r="T18" s="7">
        <f t="shared" si="26"/>
        <v>36.460652027027024</v>
      </c>
      <c r="U18" s="8">
        <f t="shared" si="27"/>
        <v>0.42225392296718972</v>
      </c>
      <c r="V18" s="9">
        <f t="shared" si="28"/>
        <v>0.57874465049928681</v>
      </c>
      <c r="W18" s="9">
        <f t="shared" si="29"/>
        <v>0.71043353246273167</v>
      </c>
      <c r="X18" s="10">
        <f t="shared" si="30"/>
        <v>1.0799258923952404</v>
      </c>
      <c r="Y18" s="10">
        <f t="shared" si="31"/>
        <v>7.611462622100734E-3</v>
      </c>
    </row>
    <row r="19" spans="1:25" x14ac:dyDescent="0.2">
      <c r="A19" t="s">
        <v>76</v>
      </c>
      <c r="B19" t="s">
        <v>79</v>
      </c>
      <c r="C19" t="s">
        <v>73</v>
      </c>
      <c r="D19">
        <v>114.17</v>
      </c>
      <c r="E19" s="9">
        <f t="shared" si="0"/>
        <v>2.4609846525262973E-2</v>
      </c>
      <c r="F19">
        <v>1.83</v>
      </c>
      <c r="G19" s="3">
        <f t="shared" si="18"/>
        <v>62.387978142076499</v>
      </c>
      <c r="H19">
        <f>34.4+252.42+22.39</f>
        <v>309.20999999999998</v>
      </c>
      <c r="I19">
        <f>449.68-27.26-19.95-3.44-72.84</f>
        <v>326.19000000000005</v>
      </c>
      <c r="J19" s="4">
        <f t="shared" si="19"/>
        <v>1.0549141360240615</v>
      </c>
      <c r="K19">
        <v>42.18</v>
      </c>
      <c r="L19" s="14">
        <f t="shared" si="23"/>
        <v>0.12931113768049293</v>
      </c>
      <c r="M19" s="5">
        <f t="shared" si="24"/>
        <v>97.189999999999927</v>
      </c>
      <c r="N19">
        <v>18.84</v>
      </c>
      <c r="O19">
        <v>6.38</v>
      </c>
      <c r="P19">
        <v>19.587</v>
      </c>
      <c r="Q19">
        <v>26</v>
      </c>
      <c r="R19" s="4">
        <f t="shared" si="32"/>
        <v>4.9619645683361373</v>
      </c>
      <c r="S19" s="4">
        <f t="shared" si="25"/>
        <v>5.1587048832271725</v>
      </c>
      <c r="T19" s="7">
        <f t="shared" si="26"/>
        <v>15.233542319749205</v>
      </c>
      <c r="U19" s="8">
        <f t="shared" si="27"/>
        <v>0.33864118895966028</v>
      </c>
      <c r="V19" s="9">
        <f t="shared" si="28"/>
        <v>1.0396496815286624</v>
      </c>
      <c r="W19" s="9">
        <f t="shared" si="29"/>
        <v>1.9559152641098743E-2</v>
      </c>
      <c r="X19" s="10">
        <f t="shared" si="30"/>
        <v>0.63985600965683731</v>
      </c>
      <c r="Y19" s="10">
        <f t="shared" si="31"/>
        <v>2.596127498488254E-2</v>
      </c>
    </row>
    <row r="20" spans="1:25" x14ac:dyDescent="0.2">
      <c r="A20" t="s">
        <v>66</v>
      </c>
      <c r="B20" t="s">
        <v>84</v>
      </c>
      <c r="C20" t="s">
        <v>74</v>
      </c>
      <c r="D20">
        <v>88.46</v>
      </c>
      <c r="E20" s="9">
        <f t="shared" si="0"/>
        <v>1.9067942748749778E-2</v>
      </c>
      <c r="F20">
        <v>0.57413999999999998</v>
      </c>
      <c r="G20" s="3">
        <f t="shared" si="18"/>
        <v>154.07391925314383</v>
      </c>
      <c r="H20">
        <f>3.23+18.57</f>
        <v>21.8</v>
      </c>
      <c r="I20">
        <f>0.983+0.08188</f>
        <v>1.06488</v>
      </c>
      <c r="J20" s="4">
        <f t="shared" si="19"/>
        <v>4.8847706422018349E-2</v>
      </c>
      <c r="L20" s="14">
        <f t="shared" si="23"/>
        <v>0</v>
      </c>
      <c r="M20" s="5">
        <f t="shared" si="24"/>
        <v>109.19512</v>
      </c>
      <c r="N20">
        <v>9.9</v>
      </c>
      <c r="O20">
        <v>3.96</v>
      </c>
      <c r="P20">
        <v>3.5419999999999998</v>
      </c>
      <c r="Q20">
        <v>38.229999999999997</v>
      </c>
      <c r="R20" s="4">
        <f t="shared" si="32"/>
        <v>30.8286617730096</v>
      </c>
      <c r="S20" s="4">
        <f t="shared" si="25"/>
        <v>11.029810101010101</v>
      </c>
      <c r="T20" s="7">
        <f t="shared" si="26"/>
        <v>27.574525252525252</v>
      </c>
      <c r="U20" s="8">
        <f t="shared" si="27"/>
        <v>0.39999999999999997</v>
      </c>
      <c r="V20" s="9">
        <f t="shared" si="28"/>
        <v>0.35777777777777775</v>
      </c>
      <c r="W20" s="9">
        <f t="shared" si="29"/>
        <v>3.7187288708586883</v>
      </c>
      <c r="X20" s="10">
        <f t="shared" si="30"/>
        <v>0.72896745128470397</v>
      </c>
      <c r="Y20" s="10">
        <f t="shared" si="31"/>
        <v>9.3142526946278276E-4</v>
      </c>
    </row>
    <row r="21" spans="1:25" x14ac:dyDescent="0.2">
      <c r="A21" t="s">
        <v>67</v>
      </c>
      <c r="B21" t="s">
        <v>82</v>
      </c>
      <c r="C21" t="s">
        <v>75</v>
      </c>
      <c r="D21">
        <v>101.05</v>
      </c>
      <c r="E21" s="9">
        <f t="shared" si="0"/>
        <v>2.1781772719434381E-2</v>
      </c>
      <c r="F21">
        <v>0.88744000000000001</v>
      </c>
      <c r="G21" s="3">
        <f t="shared" si="18"/>
        <v>113.86685297034165</v>
      </c>
      <c r="H21">
        <f>49.66</f>
        <v>49.66</v>
      </c>
      <c r="I21">
        <f>114.21+46.82+0.52959+117.43+0.31507</f>
        <v>279.30466000000001</v>
      </c>
      <c r="J21" s="4">
        <f t="shared" si="19"/>
        <v>5.6243387031816354</v>
      </c>
      <c r="K21">
        <v>46.82</v>
      </c>
      <c r="L21" s="14">
        <f t="shared" si="23"/>
        <v>0.16763057229335163</v>
      </c>
      <c r="M21" s="5">
        <f t="shared" si="24"/>
        <v>-128.59466000000003</v>
      </c>
      <c r="N21">
        <v>14.32</v>
      </c>
      <c r="O21">
        <v>2.14</v>
      </c>
      <c r="P21">
        <v>-1.494</v>
      </c>
      <c r="Q21">
        <v>26.98</v>
      </c>
      <c r="R21" s="4">
        <f t="shared" si="32"/>
        <v>86.074069611780473</v>
      </c>
      <c r="S21" s="4">
        <f t="shared" si="25"/>
        <v>-8.9800740223463702</v>
      </c>
      <c r="T21" s="7"/>
      <c r="U21" s="8">
        <f t="shared" si="27"/>
        <v>0.1494413407821229</v>
      </c>
      <c r="V21" s="9">
        <f t="shared" si="28"/>
        <v>-0.10432960893854748</v>
      </c>
      <c r="W21" s="9">
        <f t="shared" si="29"/>
        <v>7.6618843380557994E-3</v>
      </c>
      <c r="X21" s="10">
        <f t="shared" si="30"/>
        <v>0.58767222797033958</v>
      </c>
      <c r="Y21" s="10">
        <f t="shared" si="31"/>
        <v>0.1225080673298207</v>
      </c>
    </row>
    <row r="23" spans="1:25" x14ac:dyDescent="0.2">
      <c r="A23" s="15" t="s">
        <v>37</v>
      </c>
      <c r="B23" s="5">
        <f>SUM(D2:D21)</f>
        <v>4639.2000000000007</v>
      </c>
    </row>
    <row r="24" spans="1:25" x14ac:dyDescent="0.2">
      <c r="A24" s="15" t="s">
        <v>38</v>
      </c>
      <c r="B24" s="5">
        <f>SUM(M2:M21)</f>
        <v>2568.3802899999996</v>
      </c>
    </row>
    <row r="25" spans="1:25" x14ac:dyDescent="0.2">
      <c r="A25" s="15" t="s">
        <v>39</v>
      </c>
      <c r="B25" s="5">
        <f>SUM(N2:N21)</f>
        <v>1303.1599999999999</v>
      </c>
    </row>
    <row r="26" spans="1:25" x14ac:dyDescent="0.2">
      <c r="A26" s="15" t="s">
        <v>40</v>
      </c>
      <c r="B26" s="4">
        <f>AVERAGE(J2:J21)</f>
        <v>1.2460807164206318</v>
      </c>
    </row>
    <row r="27" spans="1:25" x14ac:dyDescent="0.2">
      <c r="A27" s="15" t="s">
        <v>41</v>
      </c>
      <c r="B27" s="4">
        <f>SUM(Y2:Y21)</f>
        <v>1.2830119395836401</v>
      </c>
    </row>
    <row r="28" spans="1:25" x14ac:dyDescent="0.2">
      <c r="A28" s="15" t="s">
        <v>35</v>
      </c>
      <c r="B28">
        <v>27.92</v>
      </c>
    </row>
    <row r="29" spans="1:25" x14ac:dyDescent="0.2">
      <c r="A29" s="15" t="s">
        <v>36</v>
      </c>
      <c r="B29" s="4">
        <f>AVERAGE(Q2:Q21)</f>
        <v>23.590000000000003</v>
      </c>
    </row>
    <row r="30" spans="1:25" x14ac:dyDescent="0.2">
      <c r="A30" s="15" t="s">
        <v>43</v>
      </c>
      <c r="B30" s="4">
        <f>SUM(X2:X21)</f>
        <v>20.943639183479906</v>
      </c>
    </row>
    <row r="31" spans="1:25" x14ac:dyDescent="0.2">
      <c r="A31" s="15" t="s">
        <v>44</v>
      </c>
      <c r="B31" s="4">
        <f>AVERAGE(T2:T21)</f>
        <v>15.553893466983746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AE7D-EADE-B844-BAAF-A495D39E7502}">
  <dimension ref="A1:AQ18"/>
  <sheetViews>
    <sheetView workbookViewId="0">
      <selection activeCell="I4" sqref="I4"/>
    </sheetView>
  </sheetViews>
  <sheetFormatPr baseColWidth="10" defaultRowHeight="16" x14ac:dyDescent="0.2"/>
  <cols>
    <col min="1" max="1" width="22.6640625" customWidth="1"/>
  </cols>
  <sheetData>
    <row r="1" spans="1:43" s="2" customFormat="1" ht="108" customHeight="1" x14ac:dyDescent="0.2">
      <c r="A1" s="1" t="s">
        <v>0</v>
      </c>
      <c r="B1" s="1" t="s">
        <v>77</v>
      </c>
      <c r="C1" s="1" t="s">
        <v>1</v>
      </c>
      <c r="D1" s="1" t="s">
        <v>4</v>
      </c>
      <c r="E1" s="1" t="s">
        <v>42</v>
      </c>
      <c r="F1" s="1" t="s">
        <v>3</v>
      </c>
      <c r="G1" s="1" t="s">
        <v>2</v>
      </c>
      <c r="H1" s="1" t="s">
        <v>45</v>
      </c>
      <c r="I1" s="1" t="s">
        <v>34</v>
      </c>
      <c r="J1" s="1" t="s">
        <v>5</v>
      </c>
      <c r="K1" s="1" t="s">
        <v>46</v>
      </c>
      <c r="L1" s="1" t="s">
        <v>47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16</v>
      </c>
      <c r="Y1" s="1" t="s">
        <v>41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/>
      <c r="AF1" s="1"/>
      <c r="AG1" s="1"/>
      <c r="AH1" s="1"/>
    </row>
    <row r="2" spans="1:43" x14ac:dyDescent="0.2">
      <c r="A2" t="s">
        <v>52</v>
      </c>
      <c r="B2" s="12" t="s">
        <v>79</v>
      </c>
      <c r="C2" t="s">
        <v>23</v>
      </c>
      <c r="D2">
        <v>585.53</v>
      </c>
      <c r="E2" s="9">
        <f>D2/B$10</f>
        <v>0.36614847795092426</v>
      </c>
      <c r="F2">
        <v>2.85</v>
      </c>
      <c r="G2" s="3">
        <f t="shared" ref="G2:G8" si="0">D2/F2</f>
        <v>205.44912280701752</v>
      </c>
      <c r="H2" s="11">
        <f>3800-322.92-34.82</f>
        <v>3442.2599999999998</v>
      </c>
      <c r="I2" s="11">
        <f>4140-353.65-64.53-30.58-135.69</f>
        <v>3555.5499999999997</v>
      </c>
      <c r="J2" s="4">
        <f t="shared" ref="J2:J8" si="1">I2/H2</f>
        <v>1.0329115174333141</v>
      </c>
      <c r="K2" s="12">
        <v>1300</v>
      </c>
      <c r="L2" s="14">
        <f t="shared" ref="L2:L8" si="2">K2/I2</f>
        <v>0.36562557128995515</v>
      </c>
      <c r="M2" s="13">
        <v>1.1000000000000001</v>
      </c>
      <c r="N2" s="12">
        <v>154.94999999999999</v>
      </c>
      <c r="O2" s="12">
        <v>61.61</v>
      </c>
      <c r="P2" s="12">
        <v>12.974</v>
      </c>
      <c r="Q2" s="12">
        <v>11.47</v>
      </c>
      <c r="R2" s="4">
        <f t="shared" ref="R2" si="3">M2/P2</f>
        <v>8.4784954524433492E-2</v>
      </c>
      <c r="S2" s="4">
        <f t="shared" ref="S2" si="4">M2/N2</f>
        <v>7.0990642142626662E-3</v>
      </c>
      <c r="T2" s="7">
        <f t="shared" ref="T2" si="5">M2/O2</f>
        <v>1.7854244440837528E-2</v>
      </c>
      <c r="U2" s="8">
        <f t="shared" ref="U2:U8" si="6">O2/N2</f>
        <v>0.3976121329461117</v>
      </c>
      <c r="V2" s="9">
        <f t="shared" ref="V2:V8" si="7">P2/N2</f>
        <v>8.3730235559858021E-2</v>
      </c>
      <c r="W2" s="6">
        <f t="shared" ref="W2" si="8">O2/I2</f>
        <v>1.7327839574749336E-2</v>
      </c>
      <c r="X2" s="10">
        <f t="shared" ref="X2" si="9">Q2*E2</f>
        <v>4.1997230420971015</v>
      </c>
      <c r="Y2" s="10">
        <f t="shared" ref="Y2" si="10">J2*E2</f>
        <v>0.37819897996618751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x14ac:dyDescent="0.2">
      <c r="A3" t="s">
        <v>55</v>
      </c>
      <c r="B3" t="s">
        <v>79</v>
      </c>
      <c r="C3" t="s">
        <v>26</v>
      </c>
      <c r="D3">
        <v>297.04000000000002</v>
      </c>
      <c r="E3" s="9">
        <f t="shared" ref="E3:E8" si="11">D3/B$10</f>
        <v>0.18574751744665952</v>
      </c>
      <c r="F3">
        <v>7.76</v>
      </c>
      <c r="G3" s="3">
        <f t="shared" si="0"/>
        <v>38.27835051546392</v>
      </c>
      <c r="H3" s="11">
        <f>2960-212.65-1.1</f>
        <v>2746.25</v>
      </c>
      <c r="I3" s="11">
        <f>3260-69.02-309.64-11.92-95.82</f>
        <v>2773.6</v>
      </c>
      <c r="J3" s="4">
        <f t="shared" si="1"/>
        <v>1.0099590350477925</v>
      </c>
      <c r="K3" s="4">
        <v>1040</v>
      </c>
      <c r="L3" s="14">
        <f t="shared" si="2"/>
        <v>0.37496394577444475</v>
      </c>
      <c r="M3" s="5">
        <f>H3-I3+D3</f>
        <v>269.69000000000011</v>
      </c>
      <c r="N3">
        <v>98.58</v>
      </c>
      <c r="O3">
        <v>28.34</v>
      </c>
      <c r="P3">
        <v>44.981999999999999</v>
      </c>
      <c r="Q3">
        <v>13.43</v>
      </c>
      <c r="R3" s="4">
        <f>M3/P3</f>
        <v>5.9955093148370482</v>
      </c>
      <c r="S3" s="4">
        <f>M3/N3</f>
        <v>2.7357476161493217</v>
      </c>
      <c r="T3" s="7">
        <f>M3/O3</f>
        <v>9.5162314749470749</v>
      </c>
      <c r="U3" s="8">
        <f t="shared" si="6"/>
        <v>0.28748224792047067</v>
      </c>
      <c r="V3" s="9">
        <f t="shared" si="7"/>
        <v>0.45629945222154594</v>
      </c>
      <c r="W3" s="6">
        <f>O3/I3</f>
        <v>1.021776752235362E-2</v>
      </c>
      <c r="X3" s="10">
        <f>Q3*E3</f>
        <v>2.4945891593086373</v>
      </c>
      <c r="Y3" s="10">
        <f>J3*E3</f>
        <v>0.18759738348295124</v>
      </c>
    </row>
    <row r="4" spans="1:43" x14ac:dyDescent="0.2">
      <c r="A4" t="s">
        <v>27</v>
      </c>
      <c r="B4" t="s">
        <v>79</v>
      </c>
      <c r="C4" t="s">
        <v>28</v>
      </c>
      <c r="D4">
        <v>179.58</v>
      </c>
      <c r="E4" s="9">
        <f t="shared" si="11"/>
        <v>0.1122964556392106</v>
      </c>
      <c r="F4">
        <v>3.4</v>
      </c>
      <c r="G4" s="3">
        <f t="shared" si="0"/>
        <v>52.817647058823532</v>
      </c>
      <c r="H4" s="11">
        <f>1760-81.82</f>
        <v>1678.18</v>
      </c>
      <c r="I4" s="11">
        <f>1940-112.53-33.2-18.87-44.45</f>
        <v>1730.95</v>
      </c>
      <c r="J4" s="4">
        <f t="shared" si="1"/>
        <v>1.0314447794634665</v>
      </c>
      <c r="K4" s="4">
        <v>894.15</v>
      </c>
      <c r="L4" s="14">
        <f t="shared" si="2"/>
        <v>0.5165660475461451</v>
      </c>
      <c r="M4" s="5">
        <f>H4-I4+D4</f>
        <v>126.81000000000003</v>
      </c>
      <c r="N4">
        <v>82.6</v>
      </c>
      <c r="O4">
        <v>21.64</v>
      </c>
      <c r="P4">
        <v>40.357999999999997</v>
      </c>
      <c r="Q4">
        <v>10.81</v>
      </c>
      <c r="R4" s="4">
        <f>M4/P4</f>
        <v>3.1421279548045007</v>
      </c>
      <c r="S4" s="4">
        <f>M4/N4</f>
        <v>1.5352300242130756</v>
      </c>
      <c r="T4" s="7">
        <f>M4/O4</f>
        <v>5.8599815157116462</v>
      </c>
      <c r="U4" s="8">
        <f t="shared" si="6"/>
        <v>0.26198547215496371</v>
      </c>
      <c r="V4" s="9">
        <f t="shared" si="7"/>
        <v>0.48859564164648911</v>
      </c>
      <c r="W4" s="6">
        <f>O4/I4</f>
        <v>1.2501805366995003E-2</v>
      </c>
      <c r="X4" s="10">
        <f>Q4*E4</f>
        <v>1.2139246854598666</v>
      </c>
      <c r="Y4" s="10">
        <f>J4*E4</f>
        <v>0.11582759292131453</v>
      </c>
    </row>
    <row r="5" spans="1:43" x14ac:dyDescent="0.2">
      <c r="A5" t="s">
        <v>56</v>
      </c>
      <c r="B5" t="s">
        <v>79</v>
      </c>
      <c r="C5" t="s">
        <v>29</v>
      </c>
      <c r="D5">
        <v>159.25</v>
      </c>
      <c r="E5" s="9">
        <f t="shared" si="11"/>
        <v>9.9583531353960836E-2</v>
      </c>
      <c r="F5">
        <v>0.31580000000000003</v>
      </c>
      <c r="G5" s="3">
        <f t="shared" si="0"/>
        <v>504.27485750474978</v>
      </c>
      <c r="H5" s="11">
        <f>243.26+63.02+63.94+0.415+91.27+433.11+238.14</f>
        <v>1133.155</v>
      </c>
      <c r="I5" s="11">
        <f>1650-6.89-11.76-158.06</f>
        <v>1473.29</v>
      </c>
      <c r="J5" s="4">
        <f t="shared" si="1"/>
        <v>1.3001663497050271</v>
      </c>
      <c r="K5" s="4">
        <v>184.13</v>
      </c>
      <c r="L5" s="14">
        <f t="shared" si="2"/>
        <v>0.12497878896890632</v>
      </c>
      <c r="M5" s="5">
        <f>H5-I5+D5</f>
        <v>-180.88499999999999</v>
      </c>
      <c r="N5">
        <v>46.25</v>
      </c>
      <c r="O5">
        <v>10.74</v>
      </c>
      <c r="P5">
        <v>-12.587</v>
      </c>
      <c r="Q5">
        <v>15.73</v>
      </c>
      <c r="R5" s="4">
        <f>M5/P5</f>
        <v>14.370779375546197</v>
      </c>
      <c r="S5" s="4">
        <f>M5/N5</f>
        <v>-3.9110270270270266</v>
      </c>
      <c r="T5" s="7"/>
      <c r="U5" s="8">
        <f t="shared" si="6"/>
        <v>0.23221621621621621</v>
      </c>
      <c r="V5" s="9">
        <f t="shared" si="7"/>
        <v>-0.27215135135135132</v>
      </c>
      <c r="W5" s="6">
        <f>O5/I5</f>
        <v>7.2898071662741218E-3</v>
      </c>
      <c r="X5" s="10">
        <f>Q5*E5</f>
        <v>1.5664489481978039</v>
      </c>
      <c r="Y5" s="10">
        <f>J5*E5</f>
        <v>0.12947515645121538</v>
      </c>
    </row>
    <row r="6" spans="1:43" x14ac:dyDescent="0.2">
      <c r="A6" t="s">
        <v>58</v>
      </c>
      <c r="B6" t="s">
        <v>83</v>
      </c>
      <c r="C6" t="s">
        <v>60</v>
      </c>
      <c r="D6">
        <v>153.24</v>
      </c>
      <c r="E6" s="9">
        <f t="shared" si="11"/>
        <v>9.5825308286850611E-2</v>
      </c>
      <c r="F6">
        <v>1.62</v>
      </c>
      <c r="G6" s="3">
        <f t="shared" si="0"/>
        <v>94.592592592592595</v>
      </c>
      <c r="H6">
        <f>1110-205.98-25.95</f>
        <v>878.06999999999994</v>
      </c>
      <c r="I6">
        <f>209.07+228.25+350.68+122.71</f>
        <v>910.71</v>
      </c>
      <c r="J6" s="4">
        <f t="shared" si="1"/>
        <v>1.0371724349994875</v>
      </c>
      <c r="K6">
        <v>228.25</v>
      </c>
      <c r="L6" s="14">
        <f t="shared" si="2"/>
        <v>0.2506286304092411</v>
      </c>
      <c r="M6" s="5">
        <f t="shared" ref="M6:M8" si="12">H6-I6+D6</f>
        <v>120.59999999999991</v>
      </c>
      <c r="N6">
        <v>50.67</v>
      </c>
      <c r="O6">
        <v>11.81</v>
      </c>
      <c r="P6">
        <v>-33.536000000000001</v>
      </c>
      <c r="Q6">
        <v>15.58</v>
      </c>
      <c r="R6" s="4">
        <f>M6/P6</f>
        <v>-3.5961354961832033</v>
      </c>
      <c r="S6" s="4">
        <f t="shared" ref="S6:S8" si="13">M6/N6</f>
        <v>2.380106571936055</v>
      </c>
      <c r="T6" s="7">
        <f t="shared" ref="T6:T8" si="14">M6/O6</f>
        <v>10.211685012701093</v>
      </c>
      <c r="U6" s="8">
        <f t="shared" si="6"/>
        <v>0.23307677126504836</v>
      </c>
      <c r="V6" s="9">
        <f t="shared" si="7"/>
        <v>-0.66185119400039472</v>
      </c>
      <c r="W6" s="6">
        <f t="shared" ref="W6:W8" si="15">O6/I6</f>
        <v>1.2967904162686256E-2</v>
      </c>
      <c r="X6" s="10">
        <f t="shared" ref="X6:X8" si="16">Q6*E6</f>
        <v>1.4929583031091325</v>
      </c>
      <c r="Y6" s="10">
        <f t="shared" ref="Y6:Y8" si="17">J6*E6</f>
        <v>9.9387368330449422E-2</v>
      </c>
    </row>
    <row r="7" spans="1:43" x14ac:dyDescent="0.2">
      <c r="A7" t="s">
        <v>61</v>
      </c>
      <c r="B7" t="s">
        <v>79</v>
      </c>
      <c r="C7" t="s">
        <v>68</v>
      </c>
      <c r="D7">
        <v>110.35</v>
      </c>
      <c r="E7" s="9">
        <f t="shared" si="11"/>
        <v>6.9004977613246962E-2</v>
      </c>
      <c r="F7">
        <v>1.91</v>
      </c>
      <c r="G7" s="3">
        <f t="shared" si="0"/>
        <v>57.774869109947645</v>
      </c>
      <c r="H7">
        <f>2200-69.3-73.62</f>
        <v>2057.08</v>
      </c>
      <c r="I7">
        <f>2410-312.89-23.93-29.4-64.83</f>
        <v>1978.9500000000003</v>
      </c>
      <c r="J7" s="4">
        <f t="shared" si="1"/>
        <v>0.96201897835767225</v>
      </c>
      <c r="K7">
        <v>669.3</v>
      </c>
      <c r="L7" s="14">
        <f t="shared" si="2"/>
        <v>0.33820965663609481</v>
      </c>
      <c r="M7" s="5">
        <f t="shared" si="12"/>
        <v>188.47999999999965</v>
      </c>
      <c r="N7">
        <v>78.489999999999995</v>
      </c>
      <c r="O7">
        <v>12.91</v>
      </c>
      <c r="P7">
        <v>-73.415999999999997</v>
      </c>
      <c r="Q7">
        <v>15.98</v>
      </c>
      <c r="R7" s="4">
        <f>M7/P7</f>
        <v>-2.5672877846790843</v>
      </c>
      <c r="S7" s="4">
        <f t="shared" si="13"/>
        <v>2.4013250095553529</v>
      </c>
      <c r="T7" s="7">
        <f t="shared" si="14"/>
        <v>14.599535243996874</v>
      </c>
      <c r="U7" s="8">
        <f t="shared" si="6"/>
        <v>0.16447955153522742</v>
      </c>
      <c r="V7" s="9">
        <f t="shared" si="7"/>
        <v>-0.93535482227035294</v>
      </c>
      <c r="W7" s="6">
        <f t="shared" si="15"/>
        <v>6.5236615376841247E-3</v>
      </c>
      <c r="X7" s="10">
        <f t="shared" si="16"/>
        <v>1.1026995422596866</v>
      </c>
      <c r="Y7" s="10">
        <f t="shared" si="17"/>
        <v>6.6384098065089894E-2</v>
      </c>
    </row>
    <row r="8" spans="1:43" x14ac:dyDescent="0.2">
      <c r="A8" t="s">
        <v>76</v>
      </c>
      <c r="B8" t="s">
        <v>79</v>
      </c>
      <c r="C8" t="s">
        <v>73</v>
      </c>
      <c r="D8">
        <v>114.17</v>
      </c>
      <c r="E8" s="9">
        <f t="shared" si="11"/>
        <v>7.1393731709147312E-2</v>
      </c>
      <c r="F8">
        <v>1.83</v>
      </c>
      <c r="G8" s="3">
        <f t="shared" si="0"/>
        <v>62.387978142076499</v>
      </c>
      <c r="H8">
        <f>34.4+252.42+22.39</f>
        <v>309.20999999999998</v>
      </c>
      <c r="I8">
        <f>449.68-27.26-19.95-3.44-72.84</f>
        <v>326.19000000000005</v>
      </c>
      <c r="J8" s="4">
        <f t="shared" si="1"/>
        <v>1.0549141360240615</v>
      </c>
      <c r="K8">
        <v>42.18</v>
      </c>
      <c r="L8" s="14">
        <f t="shared" si="2"/>
        <v>0.12931113768049293</v>
      </c>
      <c r="M8" s="5">
        <f t="shared" si="12"/>
        <v>97.189999999999927</v>
      </c>
      <c r="N8">
        <v>18.84</v>
      </c>
      <c r="O8">
        <v>6.38</v>
      </c>
      <c r="P8">
        <v>19.587</v>
      </c>
      <c r="Q8">
        <v>26</v>
      </c>
      <c r="R8" s="4">
        <f t="shared" ref="R8" si="18">M8/P8</f>
        <v>4.9619645683361373</v>
      </c>
      <c r="S8" s="4">
        <f t="shared" si="13"/>
        <v>5.1587048832271725</v>
      </c>
      <c r="T8" s="7">
        <f t="shared" si="14"/>
        <v>15.233542319749205</v>
      </c>
      <c r="U8" s="8">
        <f t="shared" si="6"/>
        <v>0.33864118895966028</v>
      </c>
      <c r="V8" s="9">
        <f t="shared" si="7"/>
        <v>1.0396496815286624</v>
      </c>
      <c r="W8" s="6">
        <f t="shared" si="15"/>
        <v>1.9559152641098743E-2</v>
      </c>
      <c r="X8" s="10">
        <f t="shared" si="16"/>
        <v>1.8562370244378301</v>
      </c>
      <c r="Y8" s="10">
        <f t="shared" si="17"/>
        <v>7.5314256803488785E-2</v>
      </c>
    </row>
    <row r="10" spans="1:43" x14ac:dyDescent="0.2">
      <c r="A10" s="15" t="s">
        <v>37</v>
      </c>
      <c r="B10">
        <f>SUM(D2:D8)</f>
        <v>1599.1599999999999</v>
      </c>
    </row>
    <row r="11" spans="1:43" x14ac:dyDescent="0.2">
      <c r="A11" s="15" t="s">
        <v>38</v>
      </c>
      <c r="B11" s="4">
        <f>SUM(M2:M8)</f>
        <v>622.98499999999967</v>
      </c>
      <c r="C11" s="5"/>
    </row>
    <row r="12" spans="1:43" x14ac:dyDescent="0.2">
      <c r="A12" s="15" t="s">
        <v>39</v>
      </c>
      <c r="B12">
        <f>SUM(N2:N8)</f>
        <v>530.38</v>
      </c>
      <c r="C12" s="4"/>
    </row>
    <row r="13" spans="1:43" x14ac:dyDescent="0.2">
      <c r="A13" s="15" t="s">
        <v>40</v>
      </c>
      <c r="B13" s="4">
        <f>AVERAGE(J2:J8)</f>
        <v>1.0612267472901173</v>
      </c>
      <c r="C13" s="4"/>
    </row>
    <row r="14" spans="1:43" x14ac:dyDescent="0.2">
      <c r="A14" s="15" t="s">
        <v>41</v>
      </c>
      <c r="B14" s="4">
        <f>SUM(Y2:Y8)</f>
        <v>1.0521848360206967</v>
      </c>
      <c r="C14" s="4"/>
    </row>
    <row r="15" spans="1:43" x14ac:dyDescent="0.2">
      <c r="A15" s="15" t="s">
        <v>35</v>
      </c>
      <c r="B15">
        <v>27</v>
      </c>
    </row>
    <row r="16" spans="1:43" x14ac:dyDescent="0.2">
      <c r="A16" s="15" t="s">
        <v>36</v>
      </c>
      <c r="B16" s="4">
        <f>AVERAGE(Q2:Q8)</f>
        <v>15.571428571428571</v>
      </c>
      <c r="C16" s="4"/>
    </row>
    <row r="17" spans="1:3" x14ac:dyDescent="0.2">
      <c r="A17" s="15" t="s">
        <v>43</v>
      </c>
      <c r="B17" s="4">
        <f>SUM(X2:X8)</f>
        <v>13.926580704870059</v>
      </c>
      <c r="C17" s="4"/>
    </row>
    <row r="18" spans="1:3" x14ac:dyDescent="0.2">
      <c r="A18" s="15" t="s">
        <v>44</v>
      </c>
      <c r="B18" s="4">
        <f>AVERAGE(T2:T8)</f>
        <v>9.2398049685911214</v>
      </c>
      <c r="C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35CA-3F04-D64C-B297-1DABCBCC02FB}">
  <dimension ref="A1:AQ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RowHeight="16" x14ac:dyDescent="0.2"/>
  <cols>
    <col min="1" max="1" width="19.33203125" customWidth="1"/>
    <col min="2" max="2" width="11.83203125" bestFit="1" customWidth="1"/>
    <col min="3" max="3" width="6.1640625" bestFit="1" customWidth="1"/>
    <col min="4" max="4" width="10.6640625" bestFit="1" customWidth="1"/>
    <col min="5" max="5" width="7.6640625" bestFit="1" customWidth="1"/>
    <col min="6" max="6" width="10.33203125" bestFit="1" customWidth="1"/>
    <col min="7" max="7" width="10.5" bestFit="1" customWidth="1"/>
    <col min="8" max="8" width="9" bestFit="1" customWidth="1"/>
    <col min="9" max="9" width="8.1640625" bestFit="1" customWidth="1"/>
    <col min="10" max="10" width="10.1640625" bestFit="1" customWidth="1"/>
    <col min="11" max="11" width="8.5" bestFit="1" customWidth="1"/>
    <col min="12" max="12" width="10.33203125" bestFit="1" customWidth="1"/>
    <col min="13" max="13" width="9.6640625" bestFit="1" customWidth="1"/>
    <col min="14" max="14" width="8.1640625" bestFit="1" customWidth="1"/>
    <col min="15" max="15" width="9.33203125" bestFit="1" customWidth="1"/>
    <col min="16" max="16" width="7.1640625" bestFit="1" customWidth="1"/>
    <col min="17" max="17" width="8.83203125" bestFit="1" customWidth="1"/>
    <col min="18" max="18" width="8.6640625" bestFit="1" customWidth="1"/>
    <col min="19" max="19" width="10" bestFit="1" customWidth="1"/>
    <col min="20" max="20" width="5.83203125" bestFit="1" customWidth="1"/>
    <col min="21" max="21" width="9.33203125" bestFit="1" customWidth="1"/>
    <col min="22" max="22" width="10.5" bestFit="1" customWidth="1"/>
    <col min="23" max="23" width="6.1640625" bestFit="1" customWidth="1"/>
    <col min="24" max="24" width="8.1640625" bestFit="1" customWidth="1"/>
    <col min="25" max="25" width="10.1640625" bestFit="1" customWidth="1"/>
    <col min="26" max="26" width="7.83203125" bestFit="1" customWidth="1"/>
    <col min="27" max="27" width="7.1640625" bestFit="1" customWidth="1"/>
    <col min="28" max="28" width="10.5" bestFit="1" customWidth="1"/>
    <col min="29" max="29" width="9.33203125" bestFit="1" customWidth="1"/>
    <col min="30" max="30" width="8.6640625" bestFit="1" customWidth="1"/>
  </cols>
  <sheetData>
    <row r="1" spans="1:43" s="2" customFormat="1" ht="108" customHeight="1" x14ac:dyDescent="0.2">
      <c r="A1" s="1" t="s">
        <v>0</v>
      </c>
      <c r="B1" s="1" t="s">
        <v>77</v>
      </c>
      <c r="C1" s="1" t="s">
        <v>1</v>
      </c>
      <c r="D1" s="1" t="s">
        <v>4</v>
      </c>
      <c r="E1" s="1" t="s">
        <v>42</v>
      </c>
      <c r="F1" s="1" t="s">
        <v>3</v>
      </c>
      <c r="G1" s="1" t="s">
        <v>2</v>
      </c>
      <c r="H1" s="1" t="s">
        <v>45</v>
      </c>
      <c r="I1" s="1" t="s">
        <v>34</v>
      </c>
      <c r="J1" s="1" t="s">
        <v>5</v>
      </c>
      <c r="K1" s="1" t="s">
        <v>46</v>
      </c>
      <c r="L1" s="1" t="s">
        <v>47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16</v>
      </c>
      <c r="Y1" s="1" t="s">
        <v>41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/>
      <c r="AF1" s="1"/>
      <c r="AG1" s="1"/>
      <c r="AH1" s="1"/>
    </row>
    <row r="2" spans="1:43" ht="17" x14ac:dyDescent="0.2">
      <c r="A2" s="2" t="s">
        <v>51</v>
      </c>
      <c r="B2" s="2" t="s">
        <v>85</v>
      </c>
      <c r="C2" t="s">
        <v>22</v>
      </c>
      <c r="D2">
        <v>930.27</v>
      </c>
      <c r="E2" s="9">
        <f>D2/B$6</f>
        <v>0.79557855126999044</v>
      </c>
      <c r="F2">
        <v>2.16</v>
      </c>
      <c r="G2" s="3">
        <f>D2/F2</f>
        <v>430.68055555555554</v>
      </c>
      <c r="H2" s="11">
        <f>2.25+121.37+206.7</f>
        <v>330.32</v>
      </c>
      <c r="I2" s="11">
        <f>592.44+42.32</f>
        <v>634.7600000000001</v>
      </c>
      <c r="J2" s="4">
        <f t="shared" ref="J2:J4" si="0">I2/H2</f>
        <v>1.9216517316541539</v>
      </c>
      <c r="K2" s="12">
        <v>26.09</v>
      </c>
      <c r="L2" s="14">
        <f>K2/I2</f>
        <v>4.1102148843657441E-2</v>
      </c>
      <c r="M2" s="13">
        <v>1014.41</v>
      </c>
      <c r="N2" s="12">
        <v>439.34</v>
      </c>
      <c r="O2" s="12">
        <v>120.17</v>
      </c>
      <c r="P2" s="12">
        <v>49.195999999999998</v>
      </c>
      <c r="Q2" s="12">
        <v>13.72</v>
      </c>
      <c r="R2" s="4">
        <f t="shared" ref="R2" si="1">M2/P2</f>
        <v>20.619765834620701</v>
      </c>
      <c r="S2" s="4">
        <f t="shared" ref="S2" si="2">M2/N2</f>
        <v>2.3089406837529021</v>
      </c>
      <c r="T2" s="7">
        <f t="shared" ref="T2" si="3">M2/O2</f>
        <v>8.4414579345926608</v>
      </c>
      <c r="U2" s="8">
        <f t="shared" ref="U2:U4" si="4">O2/N2</f>
        <v>0.27352392224700689</v>
      </c>
      <c r="V2" s="9">
        <f t="shared" ref="V2:V4" si="5">P2/N2</f>
        <v>0.11197705649383166</v>
      </c>
      <c r="W2" s="6">
        <f t="shared" ref="W2" si="6">O2/I2</f>
        <v>0.18931564685865521</v>
      </c>
      <c r="X2" s="10">
        <f t="shared" ref="X2" si="7">Q2*E2</f>
        <v>10.915337723424269</v>
      </c>
      <c r="Y2" s="10">
        <f t="shared" ref="Y2" si="8">J2*E2</f>
        <v>1.5288249007148802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x14ac:dyDescent="0.2">
      <c r="A3" t="s">
        <v>48</v>
      </c>
      <c r="B3" t="s">
        <v>81</v>
      </c>
      <c r="C3" t="s">
        <v>32</v>
      </c>
      <c r="D3">
        <v>129.86000000000001</v>
      </c>
      <c r="E3" s="9">
        <f t="shared" ref="E3:E4" si="9">D3/B$6</f>
        <v>0.11105789788762507</v>
      </c>
      <c r="F3">
        <v>0.58567000000000002</v>
      </c>
      <c r="G3" s="3">
        <f t="shared" ref="G3:G4" si="10">D3/F3</f>
        <v>221.72895999453618</v>
      </c>
      <c r="H3">
        <f>74.55-7.38</f>
        <v>67.17</v>
      </c>
      <c r="I3">
        <f>97.89-1.5-0.7135-0.2908-1.94-19.43</f>
        <v>74.01570000000001</v>
      </c>
      <c r="J3" s="4">
        <f t="shared" si="0"/>
        <v>1.1019160339437251</v>
      </c>
      <c r="K3" s="4"/>
      <c r="L3" s="14">
        <f t="shared" ref="L3:L4" si="11">K3/I3</f>
        <v>0</v>
      </c>
      <c r="M3" s="5">
        <f t="shared" ref="M3:M4" si="12">H3-I3+D3</f>
        <v>123.01430000000001</v>
      </c>
      <c r="N3">
        <v>62.08</v>
      </c>
      <c r="O3">
        <v>4.9000000000000004</v>
      </c>
      <c r="P3">
        <v>10.643000000000001</v>
      </c>
      <c r="Q3">
        <v>18.98</v>
      </c>
      <c r="R3" s="4">
        <f>M3/P3</f>
        <v>11.558235459926712</v>
      </c>
      <c r="S3" s="4">
        <f>M3/N3</f>
        <v>1.9815447809278353</v>
      </c>
      <c r="T3" s="7">
        <f>M3/O3</f>
        <v>25.104959183673468</v>
      </c>
      <c r="U3" s="8">
        <f t="shared" si="4"/>
        <v>7.8930412371134032E-2</v>
      </c>
      <c r="V3" s="9">
        <f t="shared" si="5"/>
        <v>0.17144007731958766</v>
      </c>
      <c r="W3" s="9">
        <f>O3/I3</f>
        <v>6.6202170620557527E-2</v>
      </c>
      <c r="X3" s="10">
        <f>Q3*E3</f>
        <v>2.107878901907124</v>
      </c>
      <c r="Y3" s="10">
        <f>J3*E3</f>
        <v>0.12237647837845902</v>
      </c>
    </row>
    <row r="4" spans="1:43" x14ac:dyDescent="0.2">
      <c r="A4" t="s">
        <v>62</v>
      </c>
      <c r="B4" t="s">
        <v>81</v>
      </c>
      <c r="C4" t="s">
        <v>69</v>
      </c>
      <c r="D4">
        <v>109.17</v>
      </c>
      <c r="E4" s="9">
        <f t="shared" si="9"/>
        <v>9.3363550842384319E-2</v>
      </c>
      <c r="F4">
        <v>0.40393000000000001</v>
      </c>
      <c r="G4" s="3">
        <f t="shared" si="10"/>
        <v>270.26960116851927</v>
      </c>
      <c r="H4">
        <f>13.18+1.55+128.74</f>
        <v>143.47</v>
      </c>
      <c r="I4">
        <f>238.55-7.68-29.89-7.81-35.58</f>
        <v>157.59000000000003</v>
      </c>
      <c r="J4" s="4">
        <f t="shared" si="0"/>
        <v>1.0984177876908068</v>
      </c>
      <c r="L4" s="14">
        <f t="shared" si="11"/>
        <v>0</v>
      </c>
      <c r="M4" s="5">
        <f t="shared" si="12"/>
        <v>95.049999999999969</v>
      </c>
      <c r="N4">
        <v>49.83</v>
      </c>
      <c r="O4">
        <v>9.5299999999999994</v>
      </c>
      <c r="P4">
        <v>12.632</v>
      </c>
      <c r="Q4">
        <v>11.43</v>
      </c>
      <c r="R4" s="4">
        <f>M4/P4</f>
        <v>7.5245408486383765</v>
      </c>
      <c r="S4" s="4">
        <f t="shared" ref="S4" si="13">M4/N4</f>
        <v>1.9074854505318075</v>
      </c>
      <c r="T4" s="7">
        <f t="shared" ref="T4" si="14">M4/O4</f>
        <v>9.9737670514165764</v>
      </c>
      <c r="U4" s="8">
        <f t="shared" si="4"/>
        <v>0.19125025085289984</v>
      </c>
      <c r="V4" s="9">
        <f t="shared" si="5"/>
        <v>0.25350190648203891</v>
      </c>
      <c r="W4" s="9">
        <f t="shared" ref="W4" si="15">O4/I4</f>
        <v>6.0473380290627564E-2</v>
      </c>
      <c r="X4" s="10">
        <f t="shared" ref="X4" si="16">Q4*E4</f>
        <v>1.0671453861284528</v>
      </c>
      <c r="Y4" s="10">
        <f t="shared" ref="Y4" si="17">J4*E4</f>
        <v>0.10255218496724994</v>
      </c>
    </row>
    <row r="6" spans="1:43" x14ac:dyDescent="0.2">
      <c r="A6" s="15" t="s">
        <v>37</v>
      </c>
      <c r="B6">
        <f>SUM(D2:D4)</f>
        <v>1169.3000000000002</v>
      </c>
    </row>
    <row r="7" spans="1:43" x14ac:dyDescent="0.2">
      <c r="A7" s="15" t="s">
        <v>38</v>
      </c>
      <c r="B7" s="4">
        <f>SUM(M2:M4)</f>
        <v>1232.4742999999999</v>
      </c>
      <c r="C7" s="5"/>
    </row>
    <row r="8" spans="1:43" x14ac:dyDescent="0.2">
      <c r="A8" s="15" t="s">
        <v>39</v>
      </c>
      <c r="B8">
        <f>SUM(N2:N4)</f>
        <v>551.25</v>
      </c>
      <c r="C8" s="4"/>
    </row>
    <row r="9" spans="1:43" x14ac:dyDescent="0.2">
      <c r="A9" s="15" t="s">
        <v>40</v>
      </c>
      <c r="B9" s="4">
        <f>AVERAGE(J2:J4)</f>
        <v>1.3739951844295621</v>
      </c>
      <c r="C9" s="4"/>
    </row>
    <row r="10" spans="1:43" x14ac:dyDescent="0.2">
      <c r="A10" s="15" t="s">
        <v>41</v>
      </c>
      <c r="B10" s="4">
        <f>SUM(Y2:Y4)</f>
        <v>1.7537535640605892</v>
      </c>
      <c r="C10" s="4"/>
    </row>
    <row r="11" spans="1:43" x14ac:dyDescent="0.2">
      <c r="A11" s="15" t="s">
        <v>35</v>
      </c>
      <c r="B11">
        <v>27</v>
      </c>
    </row>
    <row r="12" spans="1:43" x14ac:dyDescent="0.2">
      <c r="A12" s="15" t="s">
        <v>36</v>
      </c>
      <c r="B12">
        <f>AVERAGE(Q2:Q4)</f>
        <v>14.71</v>
      </c>
      <c r="C12" s="4"/>
    </row>
    <row r="13" spans="1:43" x14ac:dyDescent="0.2">
      <c r="A13" s="15" t="s">
        <v>43</v>
      </c>
      <c r="B13" s="4">
        <f>SUM(X2:X4)</f>
        <v>14.090362011459845</v>
      </c>
      <c r="C13" s="4"/>
    </row>
    <row r="14" spans="1:43" x14ac:dyDescent="0.2">
      <c r="A14" s="15" t="s">
        <v>44</v>
      </c>
      <c r="B14" s="4">
        <f>AVERAGE(T2:T4)</f>
        <v>14.506728056560902</v>
      </c>
      <c r="C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3F5E-33CF-A54B-860F-8BEB873F1F58}">
  <dimension ref="A1:AY1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2" sqref="L2"/>
    </sheetView>
  </sheetViews>
  <sheetFormatPr baseColWidth="10" defaultRowHeight="16" x14ac:dyDescent="0.2"/>
  <cols>
    <col min="1" max="1" width="24.6640625" customWidth="1"/>
    <col min="21" max="21" width="11.83203125" customWidth="1"/>
    <col min="22" max="22" width="14.83203125" customWidth="1"/>
  </cols>
  <sheetData>
    <row r="1" spans="1:51" s="2" customFormat="1" ht="108" customHeight="1" x14ac:dyDescent="0.2">
      <c r="A1" s="1" t="s">
        <v>0</v>
      </c>
      <c r="B1" s="1" t="s">
        <v>77</v>
      </c>
      <c r="C1" s="1" t="s">
        <v>1</v>
      </c>
      <c r="D1" s="1" t="s">
        <v>4</v>
      </c>
      <c r="E1" s="1" t="s">
        <v>42</v>
      </c>
      <c r="F1" s="1" t="s">
        <v>3</v>
      </c>
      <c r="G1" s="1" t="s">
        <v>2</v>
      </c>
      <c r="H1" s="1" t="s">
        <v>45</v>
      </c>
      <c r="I1" s="1" t="s">
        <v>34</v>
      </c>
      <c r="J1" s="1" t="s">
        <v>5</v>
      </c>
      <c r="K1" s="1" t="s">
        <v>46</v>
      </c>
      <c r="L1" s="1" t="s">
        <v>47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97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98</v>
      </c>
      <c r="AI1" s="1" t="s">
        <v>99</v>
      </c>
      <c r="AJ1" s="1" t="s">
        <v>33</v>
      </c>
      <c r="AK1" s="1" t="s">
        <v>16</v>
      </c>
      <c r="AL1" s="1" t="s">
        <v>41</v>
      </c>
      <c r="AM1" s="1"/>
      <c r="AN1" s="1"/>
      <c r="AO1" s="1"/>
      <c r="AP1" s="1"/>
    </row>
    <row r="2" spans="1:51" x14ac:dyDescent="0.2">
      <c r="A2" t="s">
        <v>53</v>
      </c>
      <c r="B2" t="s">
        <v>78</v>
      </c>
      <c r="C2" t="s">
        <v>24</v>
      </c>
      <c r="D2">
        <v>547.01</v>
      </c>
      <c r="E2" s="9">
        <f>D2/B$6</f>
        <v>0.48063861381788792</v>
      </c>
      <c r="F2">
        <v>1.98</v>
      </c>
      <c r="G2" s="3">
        <f t="shared" ref="G2:G4" si="0">D2/F2</f>
        <v>276.26767676767679</v>
      </c>
      <c r="H2" s="11">
        <v>20.6</v>
      </c>
      <c r="I2" s="11">
        <f>16.64+5.07+1.92</f>
        <v>23.630000000000003</v>
      </c>
      <c r="J2" s="4">
        <f t="shared" ref="J2:J4" si="1">I2/H2</f>
        <v>1.1470873786407767</v>
      </c>
      <c r="K2" s="12"/>
      <c r="L2" s="14">
        <f t="shared" ref="L2:L4" si="2">K2/I2</f>
        <v>0</v>
      </c>
      <c r="M2" s="5">
        <f t="shared" ref="M2" si="3">H2-I2+D2</f>
        <v>543.98</v>
      </c>
      <c r="N2" s="12">
        <v>32.65</v>
      </c>
      <c r="O2" s="12">
        <v>21.93</v>
      </c>
      <c r="P2" s="12">
        <v>20.754999999999999</v>
      </c>
      <c r="Q2" s="12">
        <v>27.81</v>
      </c>
      <c r="R2" s="4">
        <f t="shared" ref="R2:R3" si="4">M2/P2</f>
        <v>26.209588051072032</v>
      </c>
      <c r="S2" s="4">
        <f t="shared" ref="S2:S3" si="5">M2/N2</f>
        <v>16.660949464012251</v>
      </c>
      <c r="T2" s="7">
        <f>M2/O2</f>
        <v>24.80528955768354</v>
      </c>
      <c r="U2" s="8">
        <f t="shared" ref="U2:U4" si="6">O2/N2</f>
        <v>0.67166921898928023</v>
      </c>
      <c r="V2" s="9">
        <f t="shared" ref="V2:V4" si="7">P2/N2</f>
        <v>0.63568147013782539</v>
      </c>
      <c r="W2" s="12">
        <f>3.77+45.06</f>
        <v>48.830000000000005</v>
      </c>
      <c r="X2" s="12">
        <f>31.04-16.64</f>
        <v>14.399999999999999</v>
      </c>
      <c r="Y2" s="12">
        <f>SUM(W2:X2)</f>
        <v>63.230000000000004</v>
      </c>
      <c r="Z2" s="13">
        <f>M2/Y2</f>
        <v>8.6031946860667396</v>
      </c>
      <c r="AA2" s="12">
        <f>0.264+0.249+0.247+2.35</f>
        <v>3.1100000000000003</v>
      </c>
      <c r="AB2" s="12">
        <f>-0.4-0.281-0.267-2.95</f>
        <v>-3.8980000000000001</v>
      </c>
      <c r="AC2" s="12">
        <f>-3.78-3.79-5.12-1.78</f>
        <v>-14.47</v>
      </c>
      <c r="AD2" s="16">
        <f>SUM(AA2:AC2)+O2</f>
        <v>6.6719999999999988</v>
      </c>
      <c r="AE2" s="16">
        <f>SUM(AA2:AC2)+P2</f>
        <v>5.4969999999999981</v>
      </c>
      <c r="AF2" s="14">
        <f>AD2/$Y2</f>
        <v>0.10551953186778426</v>
      </c>
      <c r="AG2" s="14">
        <f>AE2/$Y2</f>
        <v>8.6936580736991897E-2</v>
      </c>
      <c r="AH2" s="17">
        <f>$M2/AD2</f>
        <v>81.53177458033575</v>
      </c>
      <c r="AI2" s="17">
        <f>$M2/AE2</f>
        <v>98.959432417682407</v>
      </c>
      <c r="AJ2" s="6"/>
      <c r="AK2" s="10">
        <f t="shared" ref="AK2:AK3" si="8">Q2*E2</f>
        <v>13.366559850275463</v>
      </c>
      <c r="AL2" s="10">
        <f t="shared" ref="AL2:AL3" si="9">J2*E2</f>
        <v>0.5513344875978976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x14ac:dyDescent="0.2">
      <c r="A3" t="s">
        <v>54</v>
      </c>
      <c r="B3" t="s">
        <v>78</v>
      </c>
      <c r="C3" t="s">
        <v>25</v>
      </c>
      <c r="D3">
        <v>421.99</v>
      </c>
      <c r="E3" s="9">
        <f t="shared" ref="E3:E4" si="10">D3/B$6</f>
        <v>0.37078789902380305</v>
      </c>
      <c r="F3">
        <v>0.92383000000000004</v>
      </c>
      <c r="G3" s="3">
        <f t="shared" si="0"/>
        <v>456.78317439355726</v>
      </c>
      <c r="H3" s="11">
        <f>1.09+14.52</f>
        <v>15.61</v>
      </c>
      <c r="I3" s="11">
        <f>7.36+1.77+1.71</f>
        <v>10.84</v>
      </c>
      <c r="J3" s="4">
        <f t="shared" si="1"/>
        <v>0.69442664958360023</v>
      </c>
      <c r="K3" s="12"/>
      <c r="L3" s="14">
        <f t="shared" si="2"/>
        <v>0</v>
      </c>
      <c r="M3" s="5">
        <f>H3-I3+D3</f>
        <v>426.76</v>
      </c>
      <c r="N3" s="12">
        <v>25.1</v>
      </c>
      <c r="O3" s="12">
        <v>14.63</v>
      </c>
      <c r="P3" s="12">
        <v>11.98</v>
      </c>
      <c r="Q3" s="12">
        <v>34.92</v>
      </c>
      <c r="R3" s="4">
        <f t="shared" si="4"/>
        <v>35.622704507512516</v>
      </c>
      <c r="S3" s="4">
        <f t="shared" si="5"/>
        <v>17.002390438247012</v>
      </c>
      <c r="T3" s="7">
        <f t="shared" ref="T3" si="11">M3/O3</f>
        <v>29.1701982228298</v>
      </c>
      <c r="U3" s="8">
        <f t="shared" si="6"/>
        <v>0.58286852589641436</v>
      </c>
      <c r="V3" s="9">
        <f t="shared" si="7"/>
        <v>0.47729083665338645</v>
      </c>
      <c r="W3" s="12">
        <f>2.15+11.71</f>
        <v>13.860000000000001</v>
      </c>
      <c r="X3" s="12">
        <f>17.78-1.77-7.36</f>
        <v>8.6500000000000021</v>
      </c>
      <c r="Y3" s="12">
        <f>SUM(W3:X3)</f>
        <v>22.510000000000005</v>
      </c>
      <c r="Z3" s="13">
        <f>M3/Y3</f>
        <v>18.958685028876051</v>
      </c>
      <c r="AA3" s="12">
        <f>0.225+0.216+0.205+0.211</f>
        <v>0.85699999999999998</v>
      </c>
      <c r="AB3" s="12">
        <f>-0.29-0.221-0.157-0.192-0.077-0.13-0.104</f>
        <v>-1.1710000000000003</v>
      </c>
      <c r="AC3" s="12">
        <f>-0.88-2.1+0.719-0.515</f>
        <v>-2.7760000000000002</v>
      </c>
      <c r="AD3" s="16">
        <f>SUM(AA3:AC3)+O3</f>
        <v>11.54</v>
      </c>
      <c r="AE3" s="16">
        <f>SUM(AA3:AC3)+P3</f>
        <v>8.89</v>
      </c>
      <c r="AF3" s="14">
        <f>AD3/$Y3</f>
        <v>0.51266103953798292</v>
      </c>
      <c r="AG3" s="14">
        <f>AE3/$Y3</f>
        <v>0.39493558418480668</v>
      </c>
      <c r="AH3" s="17">
        <f>$M3/AD3</f>
        <v>36.980935875216637</v>
      </c>
      <c r="AI3" s="17">
        <f>$M3/AE3</f>
        <v>48.004499437570303</v>
      </c>
      <c r="AJ3" s="6"/>
      <c r="AK3" s="10">
        <f t="shared" si="8"/>
        <v>12.947913433911204</v>
      </c>
      <c r="AL3" s="10">
        <f t="shared" si="9"/>
        <v>0.25748499842524181</v>
      </c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2">
      <c r="A4" t="s">
        <v>49</v>
      </c>
      <c r="B4" t="s">
        <v>78</v>
      </c>
      <c r="C4" t="s">
        <v>31</v>
      </c>
      <c r="D4">
        <v>169.09</v>
      </c>
      <c r="E4" s="9">
        <f t="shared" si="10"/>
        <v>0.14857348715830912</v>
      </c>
      <c r="F4">
        <v>0.71091000000000004</v>
      </c>
      <c r="G4" s="3">
        <f t="shared" si="0"/>
        <v>237.85007947560169</v>
      </c>
      <c r="H4">
        <f>242.68-42.63-13.15</f>
        <v>186.9</v>
      </c>
      <c r="I4">
        <f>272.22-19.84-5.25</f>
        <v>247.13000000000002</v>
      </c>
      <c r="J4" s="4">
        <f t="shared" si="1"/>
        <v>1.3222578919208134</v>
      </c>
      <c r="K4" s="4">
        <v>193.03</v>
      </c>
      <c r="L4" s="14">
        <f t="shared" si="2"/>
        <v>0.78108687735200089</v>
      </c>
      <c r="M4" s="5">
        <f>H4-I4+D4</f>
        <v>108.85999999999999</v>
      </c>
      <c r="N4">
        <v>60.36</v>
      </c>
      <c r="O4">
        <v>10.51</v>
      </c>
      <c r="P4">
        <v>18.559000000000001</v>
      </c>
      <c r="Q4">
        <v>17.75</v>
      </c>
      <c r="R4" s="4">
        <f>M4/P4</f>
        <v>5.865617759577562</v>
      </c>
      <c r="S4" s="4">
        <f>M4/N4</f>
        <v>1.8035122597746851</v>
      </c>
      <c r="T4" s="7">
        <f>M4/O4</f>
        <v>10.357754519505232</v>
      </c>
      <c r="U4" s="8">
        <f t="shared" si="6"/>
        <v>0.1741219350563287</v>
      </c>
      <c r="V4" s="9">
        <f t="shared" si="7"/>
        <v>0.30747183565275016</v>
      </c>
      <c r="AJ4" s="9">
        <f>O4/I4</f>
        <v>4.2528224011653779E-2</v>
      </c>
      <c r="AK4" s="10">
        <f>Q4*E4</f>
        <v>2.6371793970599868</v>
      </c>
      <c r="AL4" s="10">
        <f>J4*E4</f>
        <v>0.19645246592526985</v>
      </c>
    </row>
    <row r="6" spans="1:51" x14ac:dyDescent="0.2">
      <c r="A6" s="15" t="s">
        <v>37</v>
      </c>
      <c r="B6">
        <f>SUM(D2:D4)</f>
        <v>1138.0899999999999</v>
      </c>
    </row>
    <row r="7" spans="1:51" x14ac:dyDescent="0.2">
      <c r="A7" s="15" t="s">
        <v>38</v>
      </c>
      <c r="B7" s="5">
        <f>SUM(M2:M4)</f>
        <v>1079.5999999999999</v>
      </c>
    </row>
    <row r="8" spans="1:51" x14ac:dyDescent="0.2">
      <c r="A8" s="15" t="s">
        <v>39</v>
      </c>
      <c r="B8" s="4">
        <f>SUM(N2:N4)</f>
        <v>118.11</v>
      </c>
    </row>
    <row r="9" spans="1:51" x14ac:dyDescent="0.2">
      <c r="A9" s="15" t="s">
        <v>40</v>
      </c>
      <c r="B9" s="4">
        <f>AVERAGE(J2:J4)</f>
        <v>1.0545906400483969</v>
      </c>
    </row>
    <row r="10" spans="1:51" x14ac:dyDescent="0.2">
      <c r="A10" s="15" t="s">
        <v>41</v>
      </c>
      <c r="B10" s="4">
        <f>SUM(AL2:AL4)</f>
        <v>1.0052719519484092</v>
      </c>
    </row>
    <row r="11" spans="1:51" x14ac:dyDescent="0.2">
      <c r="A11" s="15" t="s">
        <v>35</v>
      </c>
      <c r="B11">
        <v>27.92</v>
      </c>
    </row>
    <row r="12" spans="1:51" x14ac:dyDescent="0.2">
      <c r="A12" s="15" t="s">
        <v>36</v>
      </c>
      <c r="B12" s="4">
        <f>AVERAGE(Q2:Q4)</f>
        <v>26.826666666666668</v>
      </c>
    </row>
    <row r="13" spans="1:51" x14ac:dyDescent="0.2">
      <c r="A13" s="15" t="s">
        <v>43</v>
      </c>
      <c r="B13" s="4">
        <f>SUM(AK2:AK4)</f>
        <v>28.951652681246657</v>
      </c>
    </row>
    <row r="14" spans="1:51" x14ac:dyDescent="0.2">
      <c r="A14" s="15" t="s">
        <v>44</v>
      </c>
      <c r="B14" s="4">
        <f>AVERAGE(T2:T4)</f>
        <v>21.444414100006188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E8CA-DDFA-4347-A258-9EC3C461689C}">
  <dimension ref="A1:AQ1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RowHeight="16" x14ac:dyDescent="0.2"/>
  <cols>
    <col min="1" max="1" width="23" bestFit="1" customWidth="1"/>
    <col min="2" max="2" width="11.83203125" bestFit="1" customWidth="1"/>
    <col min="3" max="3" width="6.1640625" bestFit="1" customWidth="1"/>
    <col min="4" max="4" width="10.6640625" bestFit="1" customWidth="1"/>
    <col min="5" max="5" width="7.6640625" bestFit="1" customWidth="1"/>
    <col min="6" max="6" width="10.33203125" bestFit="1" customWidth="1"/>
    <col min="7" max="7" width="10.5" bestFit="1" customWidth="1"/>
    <col min="8" max="8" width="9" bestFit="1" customWidth="1"/>
    <col min="9" max="10" width="10.1640625" bestFit="1" customWidth="1"/>
    <col min="11" max="11" width="8.5" bestFit="1" customWidth="1"/>
    <col min="12" max="12" width="10.33203125" bestFit="1" customWidth="1"/>
    <col min="13" max="13" width="9.6640625" bestFit="1" customWidth="1"/>
    <col min="14" max="14" width="8.1640625" bestFit="1" customWidth="1"/>
    <col min="15" max="15" width="9.33203125" bestFit="1" customWidth="1"/>
    <col min="16" max="16" width="7.1640625" bestFit="1" customWidth="1"/>
    <col min="17" max="17" width="8.83203125" bestFit="1" customWidth="1"/>
    <col min="18" max="18" width="8.6640625" bestFit="1" customWidth="1"/>
    <col min="19" max="19" width="10" bestFit="1" customWidth="1"/>
    <col min="20" max="20" width="5.83203125" bestFit="1" customWidth="1"/>
    <col min="21" max="21" width="9.33203125" bestFit="1" customWidth="1"/>
    <col min="22" max="22" width="10.5" bestFit="1" customWidth="1"/>
    <col min="23" max="23" width="6.1640625" bestFit="1" customWidth="1"/>
    <col min="24" max="24" width="8.1640625" bestFit="1" customWidth="1"/>
    <col min="25" max="25" width="10.1640625" bestFit="1" customWidth="1"/>
    <col min="26" max="26" width="7.83203125" bestFit="1" customWidth="1"/>
    <col min="27" max="27" width="7.1640625" bestFit="1" customWidth="1"/>
    <col min="28" max="28" width="10.5" bestFit="1" customWidth="1"/>
    <col min="29" max="29" width="9.33203125" bestFit="1" customWidth="1"/>
    <col min="30" max="30" width="8.6640625" bestFit="1" customWidth="1"/>
  </cols>
  <sheetData>
    <row r="1" spans="1:43" s="2" customFormat="1" ht="108" customHeight="1" x14ac:dyDescent="0.2">
      <c r="A1" s="1" t="s">
        <v>0</v>
      </c>
      <c r="B1" s="1" t="s">
        <v>77</v>
      </c>
      <c r="C1" s="1" t="s">
        <v>1</v>
      </c>
      <c r="D1" s="1" t="s">
        <v>4</v>
      </c>
      <c r="E1" s="1" t="s">
        <v>42</v>
      </c>
      <c r="F1" s="1" t="s">
        <v>3</v>
      </c>
      <c r="G1" s="1" t="s">
        <v>2</v>
      </c>
      <c r="H1" s="1" t="s">
        <v>45</v>
      </c>
      <c r="I1" s="1" t="s">
        <v>34</v>
      </c>
      <c r="J1" s="1" t="s">
        <v>5</v>
      </c>
      <c r="K1" s="1" t="s">
        <v>46</v>
      </c>
      <c r="L1" s="1" t="s">
        <v>47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16</v>
      </c>
      <c r="Y1" s="1" t="s">
        <v>41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/>
      <c r="AF1" s="1"/>
      <c r="AG1" s="1"/>
      <c r="AH1" s="1"/>
    </row>
    <row r="2" spans="1:43" ht="18" customHeight="1" x14ac:dyDescent="0.2">
      <c r="A2" s="2" t="s">
        <v>51</v>
      </c>
      <c r="B2" s="2" t="s">
        <v>85</v>
      </c>
      <c r="C2" t="s">
        <v>22</v>
      </c>
      <c r="D2">
        <v>930.27</v>
      </c>
      <c r="E2" s="9">
        <f>D2/B$7</f>
        <v>0.73924237728562237</v>
      </c>
      <c r="F2">
        <v>2.16</v>
      </c>
      <c r="G2" s="3">
        <f>D2/F2</f>
        <v>430.68055555555554</v>
      </c>
      <c r="H2" s="11">
        <f>2.25+121.37+206.7</f>
        <v>330.32</v>
      </c>
      <c r="I2" s="11">
        <f>592.44+42.32</f>
        <v>634.7600000000001</v>
      </c>
      <c r="J2" s="4">
        <f t="shared" ref="J2:J5" si="0">I2/H2</f>
        <v>1.9216517316541539</v>
      </c>
      <c r="K2" s="12">
        <v>26.09</v>
      </c>
      <c r="L2" s="14">
        <f>K2/I2</f>
        <v>4.1102148843657441E-2</v>
      </c>
      <c r="M2" s="13">
        <v>1014.41</v>
      </c>
      <c r="N2" s="12">
        <v>439.34</v>
      </c>
      <c r="O2" s="12">
        <v>120.17</v>
      </c>
      <c r="P2" s="12">
        <v>49.195999999999998</v>
      </c>
      <c r="Q2" s="12">
        <v>13.72</v>
      </c>
      <c r="R2" s="4">
        <f t="shared" ref="R2" si="1">M2/P2</f>
        <v>20.619765834620701</v>
      </c>
      <c r="S2" s="4">
        <f t="shared" ref="S2:S5" si="2">M2/N2</f>
        <v>2.3089406837529021</v>
      </c>
      <c r="T2" s="7">
        <f t="shared" ref="T2:T4" si="3">M2/O2</f>
        <v>8.4414579345926608</v>
      </c>
      <c r="U2" s="8">
        <f t="shared" ref="U2:U5" si="4">O2/N2</f>
        <v>0.27352392224700689</v>
      </c>
      <c r="V2" s="9">
        <f t="shared" ref="V2:V5" si="5">P2/N2</f>
        <v>0.11197705649383166</v>
      </c>
      <c r="W2" s="6">
        <f t="shared" ref="W2:W5" si="6">O2/I2</f>
        <v>0.18931564685865521</v>
      </c>
      <c r="X2" s="10">
        <f t="shared" ref="X2:X5" si="7">Q2*E2</f>
        <v>10.14240541635874</v>
      </c>
      <c r="Y2" s="10">
        <f t="shared" ref="Y2:Y5" si="8">J2*E2</f>
        <v>1.4205663944230495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x14ac:dyDescent="0.2">
      <c r="A3" t="s">
        <v>57</v>
      </c>
      <c r="B3" t="s">
        <v>82</v>
      </c>
      <c r="C3" t="s">
        <v>59</v>
      </c>
      <c r="D3">
        <v>126.83</v>
      </c>
      <c r="E3" s="9">
        <f t="shared" ref="E3:E5" si="9">D3/B$7</f>
        <v>0.1007859123814973</v>
      </c>
      <c r="F3">
        <v>0.14813000000000001</v>
      </c>
      <c r="G3" s="3">
        <f t="shared" ref="G3:G5" si="10">D3/F3</f>
        <v>856.207385404712</v>
      </c>
      <c r="H3">
        <f>9.86</f>
        <v>9.86</v>
      </c>
      <c r="I3">
        <f>21.29-3.99+8.17</f>
        <v>25.47</v>
      </c>
      <c r="J3" s="4">
        <f t="shared" si="0"/>
        <v>2.5831643002028399</v>
      </c>
      <c r="L3" s="14">
        <f t="shared" ref="L3:L5" si="11">K3/I3</f>
        <v>0</v>
      </c>
      <c r="M3" s="5">
        <f t="shared" ref="M3:M5" si="12">H3-I3+D3</f>
        <v>111.22</v>
      </c>
      <c r="N3">
        <v>17.86</v>
      </c>
      <c r="O3">
        <v>6.33</v>
      </c>
      <c r="P3">
        <v>4.165</v>
      </c>
      <c r="Q3">
        <v>21.26</v>
      </c>
      <c r="R3" s="4">
        <f>M3/P3</f>
        <v>26.703481392557023</v>
      </c>
      <c r="S3" s="4">
        <f t="shared" si="2"/>
        <v>6.2273236282194846</v>
      </c>
      <c r="T3" s="7">
        <f t="shared" si="3"/>
        <v>17.570300157977883</v>
      </c>
      <c r="U3" s="8">
        <f t="shared" si="4"/>
        <v>0.35442329227323632</v>
      </c>
      <c r="V3" s="9">
        <f t="shared" si="5"/>
        <v>0.2332026875699888</v>
      </c>
      <c r="W3" s="9">
        <f t="shared" si="6"/>
        <v>0.248527679623086</v>
      </c>
      <c r="X3" s="10">
        <f t="shared" si="7"/>
        <v>2.1427084972306325</v>
      </c>
      <c r="Y3" s="10">
        <f t="shared" si="8"/>
        <v>0.26034657082725521</v>
      </c>
    </row>
    <row r="4" spans="1:43" x14ac:dyDescent="0.2">
      <c r="A4" t="s">
        <v>65</v>
      </c>
      <c r="B4" t="s">
        <v>82</v>
      </c>
      <c r="C4" t="s">
        <v>72</v>
      </c>
      <c r="D4">
        <v>100.26</v>
      </c>
      <c r="E4" s="9">
        <f t="shared" si="9"/>
        <v>7.9671967005983751E-2</v>
      </c>
      <c r="F4">
        <v>0.76576</v>
      </c>
      <c r="G4" s="3">
        <f t="shared" si="10"/>
        <v>130.92875052235689</v>
      </c>
      <c r="H4">
        <f>11.83</f>
        <v>11.83</v>
      </c>
      <c r="I4">
        <f>40.59-28.89-2.07-0.34353-5.12</f>
        <v>4.166470000000003</v>
      </c>
      <c r="J4" s="4">
        <f t="shared" si="0"/>
        <v>0.35219526627218961</v>
      </c>
      <c r="L4" s="14">
        <f t="shared" si="11"/>
        <v>0</v>
      </c>
      <c r="M4" s="5">
        <f t="shared" si="12"/>
        <v>107.92353</v>
      </c>
      <c r="N4">
        <v>7.01</v>
      </c>
      <c r="O4">
        <v>2.96</v>
      </c>
      <c r="P4">
        <v>4.0570000000000004</v>
      </c>
      <c r="Q4">
        <v>49.97</v>
      </c>
      <c r="R4" s="4">
        <f t="shared" ref="R4:R5" si="13">M4/P4</f>
        <v>26.601806753758932</v>
      </c>
      <c r="S4" s="4">
        <f t="shared" si="2"/>
        <v>15.395653352353781</v>
      </c>
      <c r="T4" s="7">
        <f t="shared" si="3"/>
        <v>36.460652027027024</v>
      </c>
      <c r="U4" s="8">
        <f t="shared" si="4"/>
        <v>0.42225392296718972</v>
      </c>
      <c r="V4" s="9">
        <f t="shared" si="5"/>
        <v>0.57874465049928681</v>
      </c>
      <c r="W4" s="9">
        <f t="shared" si="6"/>
        <v>0.71043353246273167</v>
      </c>
      <c r="X4" s="10">
        <f t="shared" si="7"/>
        <v>3.9812081912890078</v>
      </c>
      <c r="Y4" s="10">
        <f t="shared" si="8"/>
        <v>2.8060089634101552E-2</v>
      </c>
    </row>
    <row r="5" spans="1:43" x14ac:dyDescent="0.2">
      <c r="A5" t="s">
        <v>67</v>
      </c>
      <c r="B5" t="s">
        <v>82</v>
      </c>
      <c r="C5" t="s">
        <v>75</v>
      </c>
      <c r="D5">
        <v>101.05</v>
      </c>
      <c r="E5" s="9">
        <f t="shared" si="9"/>
        <v>8.0299743326896642E-2</v>
      </c>
      <c r="F5">
        <v>0.88744000000000001</v>
      </c>
      <c r="G5" s="3">
        <f t="shared" si="10"/>
        <v>113.86685297034165</v>
      </c>
      <c r="H5">
        <f>49.66</f>
        <v>49.66</v>
      </c>
      <c r="I5">
        <f>114.21+46.82+0.52959+117.43+0.31507</f>
        <v>279.30466000000001</v>
      </c>
      <c r="J5" s="4">
        <f t="shared" si="0"/>
        <v>5.6243387031816354</v>
      </c>
      <c r="K5">
        <v>46.82</v>
      </c>
      <c r="L5" s="14">
        <f t="shared" si="11"/>
        <v>0.16763057229335163</v>
      </c>
      <c r="M5" s="5">
        <f t="shared" si="12"/>
        <v>-128.59466000000003</v>
      </c>
      <c r="N5">
        <v>14.32</v>
      </c>
      <c r="O5">
        <v>2.14</v>
      </c>
      <c r="P5">
        <v>-1.494</v>
      </c>
      <c r="Q5">
        <v>26.98</v>
      </c>
      <c r="R5" s="4">
        <f t="shared" si="13"/>
        <v>86.074069611780473</v>
      </c>
      <c r="S5" s="4">
        <f t="shared" si="2"/>
        <v>-8.9800740223463702</v>
      </c>
      <c r="T5" s="7"/>
      <c r="U5" s="8">
        <f t="shared" si="4"/>
        <v>0.1494413407821229</v>
      </c>
      <c r="V5" s="9">
        <f t="shared" si="5"/>
        <v>-0.10432960893854748</v>
      </c>
      <c r="W5" s="9">
        <f t="shared" si="6"/>
        <v>7.6618843380557994E-3</v>
      </c>
      <c r="X5" s="10">
        <f t="shared" si="7"/>
        <v>2.1664870749596714</v>
      </c>
      <c r="Y5" s="10">
        <f t="shared" si="8"/>
        <v>0.45163295424901606</v>
      </c>
    </row>
    <row r="7" spans="1:43" x14ac:dyDescent="0.2">
      <c r="A7" s="15" t="s">
        <v>37</v>
      </c>
      <c r="B7">
        <f>SUM(D2:D5)</f>
        <v>1258.4099999999999</v>
      </c>
    </row>
    <row r="8" spans="1:43" x14ac:dyDescent="0.2">
      <c r="A8" s="15" t="s">
        <v>38</v>
      </c>
      <c r="B8" s="4">
        <f>SUM(M2:M5)</f>
        <v>1104.9588699999999</v>
      </c>
      <c r="C8" s="5"/>
    </row>
    <row r="9" spans="1:43" x14ac:dyDescent="0.2">
      <c r="A9" s="15" t="s">
        <v>39</v>
      </c>
      <c r="B9">
        <f>SUM(N2:N5)</f>
        <v>478.53</v>
      </c>
      <c r="C9" s="4"/>
    </row>
    <row r="10" spans="1:43" x14ac:dyDescent="0.2">
      <c r="A10" s="15" t="s">
        <v>40</v>
      </c>
      <c r="B10" s="4">
        <f>AVERAGE(J2:J5)</f>
        <v>2.6203375003277047</v>
      </c>
      <c r="C10" s="4"/>
    </row>
    <row r="11" spans="1:43" x14ac:dyDescent="0.2">
      <c r="A11" s="15" t="s">
        <v>41</v>
      </c>
      <c r="B11" s="4">
        <f>SUM(Y2:Y5)</f>
        <v>2.1606060091334225</v>
      </c>
      <c r="C11" s="4"/>
    </row>
    <row r="12" spans="1:43" x14ac:dyDescent="0.2">
      <c r="A12" s="15" t="s">
        <v>35</v>
      </c>
      <c r="B12">
        <v>27</v>
      </c>
    </row>
    <row r="13" spans="1:43" x14ac:dyDescent="0.2">
      <c r="A13" s="15" t="s">
        <v>36</v>
      </c>
      <c r="B13">
        <f>AVERAGE(Q2:Q5)</f>
        <v>27.982500000000002</v>
      </c>
      <c r="C13" s="4"/>
    </row>
    <row r="14" spans="1:43" x14ac:dyDescent="0.2">
      <c r="A14" s="15" t="s">
        <v>43</v>
      </c>
      <c r="B14" s="4">
        <f>SUM(X2:X5)</f>
        <v>18.432809179838053</v>
      </c>
      <c r="C14" s="4"/>
    </row>
    <row r="15" spans="1:43" x14ac:dyDescent="0.2">
      <c r="A15" s="15" t="s">
        <v>44</v>
      </c>
      <c r="B15" s="4">
        <f>AVERAGE(T2:T5)</f>
        <v>20.824136706532524</v>
      </c>
      <c r="C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Bank</vt:lpstr>
      <vt:lpstr>Insurance</vt:lpstr>
      <vt:lpstr>Credit Card</vt:lpstr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2024-08-11T16:17:51Z</dcterms:created>
  <dcterms:modified xsi:type="dcterms:W3CDTF">2024-10-10T16:57:39Z</dcterms:modified>
</cp:coreProperties>
</file>