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/>
  <mc:AlternateContent xmlns:mc="http://schemas.openxmlformats.org/markup-compatibility/2006">
    <mc:Choice Requires="x15">
      <x15ac:absPath xmlns:x15ac="http://schemas.microsoft.com/office/spreadsheetml/2010/11/ac" url="/Users/nam/Downloads/"/>
    </mc:Choice>
  </mc:AlternateContent>
  <xr:revisionPtr revIDLastSave="0" documentId="13_ncr:9_{E4B0B098-503D-F541-856D-4961D4FDBABD}" xr6:coauthVersionLast="47" xr6:coauthVersionMax="47" xr10:uidLastSave="{00000000-0000-0000-0000-000000000000}"/>
  <bookViews>
    <workbookView xWindow="5240" yWindow="500" windowWidth="21780" windowHeight="16080" tabRatio="602" activeTab="1" xr2:uid="{00000000-000D-0000-FFFF-FFFF00000000}"/>
  </bookViews>
  <sheets>
    <sheet name="0000000" sheetId="1" state="veryHidden" r:id="rId1"/>
    <sheet name="KMB" sheetId="2" r:id="rId2"/>
    <sheet name="Sheet1" sheetId="3" r:id="rId3"/>
  </sheets>
  <definedNames>
    <definedName name="_xlnm.Print_Area" localSheetId="1">KMB!$A$1:$D$63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F107" i="2" l="1"/>
  <c r="F104" i="2"/>
  <c r="J83" i="2"/>
  <c r="J80" i="2"/>
  <c r="C107" i="2"/>
  <c r="D107" i="2"/>
  <c r="E107" i="2"/>
  <c r="G107" i="2"/>
  <c r="H107" i="2"/>
  <c r="I107" i="2"/>
  <c r="J107" i="2"/>
  <c r="D104" i="2"/>
  <c r="E104" i="2"/>
  <c r="G104" i="2"/>
  <c r="H104" i="2"/>
  <c r="I104" i="2"/>
  <c r="J104" i="2"/>
  <c r="K104" i="2"/>
  <c r="L104" i="2"/>
  <c r="C104" i="2"/>
  <c r="K105" i="2"/>
  <c r="S62" i="2"/>
  <c r="C62" i="2"/>
  <c r="C60" i="2"/>
  <c r="B35" i="2"/>
  <c r="B33" i="2"/>
  <c r="C55" i="2"/>
  <c r="K71" i="2"/>
  <c r="I127" i="2"/>
  <c r="J70" i="2"/>
  <c r="J81" i="2"/>
  <c r="J82" i="2"/>
  <c r="I80" i="2"/>
  <c r="J79" i="2"/>
  <c r="Y19" i="2"/>
  <c r="C56" i="2"/>
  <c r="B39" i="2"/>
  <c r="S56" i="2"/>
  <c r="E179" i="2"/>
  <c r="E175" i="2"/>
  <c r="E181" i="2" s="1"/>
  <c r="E160" i="2"/>
  <c r="J139" i="2"/>
  <c r="J142" i="2" s="1"/>
  <c r="AD38" i="2"/>
  <c r="AD39" i="2" s="1"/>
  <c r="AD26" i="2"/>
  <c r="AD27" i="2" s="1"/>
  <c r="AD41" i="2"/>
  <c r="AC38" i="2"/>
  <c r="AC41" i="2"/>
  <c r="B239" i="2"/>
  <c r="B211" i="2"/>
  <c r="L19" i="2"/>
  <c r="L25" i="2" s="1"/>
  <c r="L27" i="2"/>
  <c r="L196" i="2"/>
  <c r="L199" i="2"/>
  <c r="K15" i="2"/>
  <c r="K16" i="2"/>
  <c r="L56" i="2" s="1"/>
  <c r="K17" i="2"/>
  <c r="K57" i="2" s="1"/>
  <c r="K18" i="2"/>
  <c r="AC19" i="2"/>
  <c r="AD19" i="2"/>
  <c r="AD22" i="2" s="1"/>
  <c r="AD23" i="2" s="1"/>
  <c r="AE19" i="2"/>
  <c r="AE22" i="2" s="1"/>
  <c r="AF19" i="2"/>
  <c r="AF25" i="2" s="1"/>
  <c r="K24" i="2"/>
  <c r="AC27" i="2"/>
  <c r="AE27" i="2"/>
  <c r="AF27" i="2"/>
  <c r="K46" i="2"/>
  <c r="K47" i="2"/>
  <c r="K83" i="2"/>
  <c r="L71" i="2"/>
  <c r="L83" i="2"/>
  <c r="L105" i="2"/>
  <c r="J19" i="2"/>
  <c r="J25" i="2" s="1"/>
  <c r="J27" i="2"/>
  <c r="J144" i="2"/>
  <c r="I145" i="2"/>
  <c r="J145" i="2" s="1"/>
  <c r="K199" i="2"/>
  <c r="J94" i="2"/>
  <c r="J102" i="2"/>
  <c r="J105" i="2" s="1"/>
  <c r="K50" i="2"/>
  <c r="K220" i="2" s="1"/>
  <c r="K36" i="2"/>
  <c r="L62" i="2" s="1"/>
  <c r="K34" i="2"/>
  <c r="L61" i="2" s="1"/>
  <c r="K32" i="2"/>
  <c r="L60" i="2" s="1"/>
  <c r="K11" i="2"/>
  <c r="K10" i="2"/>
  <c r="K9" i="2"/>
  <c r="K8" i="2"/>
  <c r="AE39" i="2"/>
  <c r="AE37" i="2"/>
  <c r="AD37" i="2"/>
  <c r="AC37" i="2"/>
  <c r="AE35" i="2"/>
  <c r="AD35" i="2"/>
  <c r="AC35" i="2"/>
  <c r="AE33" i="2"/>
  <c r="AD33" i="2"/>
  <c r="AC33" i="2"/>
  <c r="AE12" i="2"/>
  <c r="AD12" i="2"/>
  <c r="AC12" i="2"/>
  <c r="Z19" i="2"/>
  <c r="Z25" i="2" s="1"/>
  <c r="Z27" i="2"/>
  <c r="L120" i="2"/>
  <c r="L127" i="2"/>
  <c r="L128" i="2"/>
  <c r="K127" i="2"/>
  <c r="K128" i="2"/>
  <c r="K106" i="2"/>
  <c r="L106" i="2" s="1"/>
  <c r="L107" i="2" s="1"/>
  <c r="L220" i="2"/>
  <c r="I19" i="2"/>
  <c r="I22" i="2" s="1"/>
  <c r="I27" i="2"/>
  <c r="L39" i="2"/>
  <c r="L37" i="2"/>
  <c r="L35" i="2"/>
  <c r="L33" i="2"/>
  <c r="L12" i="2"/>
  <c r="J77" i="2"/>
  <c r="J72" i="2"/>
  <c r="J74" i="2" s="1"/>
  <c r="J75" i="2" s="1"/>
  <c r="J226" i="2" s="1"/>
  <c r="I230" i="2" s="1"/>
  <c r="J109" i="2"/>
  <c r="J96" i="2"/>
  <c r="AA19" i="2"/>
  <c r="AA22" i="2" s="1"/>
  <c r="AA23" i="2" s="1"/>
  <c r="AA27" i="2"/>
  <c r="Y27" i="2"/>
  <c r="X19" i="2"/>
  <c r="X27" i="2"/>
  <c r="AF62" i="2"/>
  <c r="AE62" i="2"/>
  <c r="AD62" i="2"/>
  <c r="AC62" i="2"/>
  <c r="AF61" i="2"/>
  <c r="AE61" i="2"/>
  <c r="AD61" i="2"/>
  <c r="AC61" i="2"/>
  <c r="AF60" i="2"/>
  <c r="AE60" i="2"/>
  <c r="AD60" i="2"/>
  <c r="AC60" i="2"/>
  <c r="AF57" i="2"/>
  <c r="AE57" i="2"/>
  <c r="AD57" i="2"/>
  <c r="AC57" i="2"/>
  <c r="AF56" i="2"/>
  <c r="AE56" i="2"/>
  <c r="AD56" i="2"/>
  <c r="AC56" i="2"/>
  <c r="AF55" i="2"/>
  <c r="AE55" i="2"/>
  <c r="AD55" i="2"/>
  <c r="AC55" i="2"/>
  <c r="AF39" i="2"/>
  <c r="AF37" i="2"/>
  <c r="AF35" i="2"/>
  <c r="AF33" i="2"/>
  <c r="AF12" i="2"/>
  <c r="H94" i="2"/>
  <c r="H102" i="2"/>
  <c r="H105" i="2" s="1"/>
  <c r="I94" i="2"/>
  <c r="I102" i="2"/>
  <c r="I105" i="2" s="1"/>
  <c r="G94" i="2"/>
  <c r="G102" i="2"/>
  <c r="G105" i="2" s="1"/>
  <c r="F94" i="2"/>
  <c r="F102" i="2"/>
  <c r="F105" i="2" s="1"/>
  <c r="E94" i="2"/>
  <c r="E102" i="2"/>
  <c r="E105" i="2" s="1"/>
  <c r="J199" i="2"/>
  <c r="J11" i="2"/>
  <c r="J12" i="2" s="1"/>
  <c r="N12" i="2"/>
  <c r="O12" i="2"/>
  <c r="P12" i="2"/>
  <c r="Q12" i="2"/>
  <c r="N19" i="2"/>
  <c r="N22" i="2" s="1"/>
  <c r="O19" i="2"/>
  <c r="O22" i="2" s="1"/>
  <c r="P19" i="2"/>
  <c r="P22" i="2" s="1"/>
  <c r="Q19" i="2"/>
  <c r="Q25" i="2" s="1"/>
  <c r="N27" i="2"/>
  <c r="O27" i="2"/>
  <c r="P27" i="2"/>
  <c r="Q27" i="2"/>
  <c r="N33" i="2"/>
  <c r="O33" i="2"/>
  <c r="P33" i="2"/>
  <c r="Q33" i="2"/>
  <c r="N35" i="2"/>
  <c r="O35" i="2"/>
  <c r="P35" i="2"/>
  <c r="Q35" i="2"/>
  <c r="N37" i="2"/>
  <c r="O37" i="2"/>
  <c r="P37" i="2"/>
  <c r="Q37" i="2"/>
  <c r="N39" i="2"/>
  <c r="O39" i="2"/>
  <c r="P39" i="2"/>
  <c r="Q39" i="2"/>
  <c r="J56" i="2"/>
  <c r="I109" i="2"/>
  <c r="I96" i="2"/>
  <c r="I128" i="2" s="1"/>
  <c r="I82" i="2"/>
  <c r="I81" i="2"/>
  <c r="I79" i="2"/>
  <c r="I70" i="2"/>
  <c r="I72" i="2" s="1"/>
  <c r="I74" i="2" s="1"/>
  <c r="B82" i="2"/>
  <c r="B81" i="2"/>
  <c r="C82" i="2"/>
  <c r="C81" i="2"/>
  <c r="D82" i="2"/>
  <c r="D81" i="2"/>
  <c r="E82" i="2"/>
  <c r="E81" i="2"/>
  <c r="F82" i="2"/>
  <c r="F81" i="2"/>
  <c r="G81" i="2"/>
  <c r="G82" i="2"/>
  <c r="H82" i="2"/>
  <c r="H81" i="2"/>
  <c r="H80" i="2"/>
  <c r="G80" i="2"/>
  <c r="F80" i="2"/>
  <c r="E80" i="2"/>
  <c r="D80" i="2"/>
  <c r="C80" i="2"/>
  <c r="B80" i="2"/>
  <c r="Z39" i="2"/>
  <c r="Y39" i="2"/>
  <c r="X39" i="2"/>
  <c r="Z37" i="2"/>
  <c r="Y37" i="2"/>
  <c r="X37" i="2"/>
  <c r="Z35" i="2"/>
  <c r="Y35" i="2"/>
  <c r="X35" i="2"/>
  <c r="Z33" i="2"/>
  <c r="X33" i="2"/>
  <c r="Z12" i="2"/>
  <c r="Y12" i="2"/>
  <c r="X12" i="2"/>
  <c r="AA62" i="2"/>
  <c r="Z62" i="2"/>
  <c r="Y62" i="2"/>
  <c r="X62" i="2"/>
  <c r="AA61" i="2"/>
  <c r="Z61" i="2"/>
  <c r="Y61" i="2"/>
  <c r="X61" i="2"/>
  <c r="AA60" i="2"/>
  <c r="Z60" i="2"/>
  <c r="Y60" i="2"/>
  <c r="X60" i="2"/>
  <c r="AA57" i="2"/>
  <c r="Z57" i="2"/>
  <c r="Y57" i="2"/>
  <c r="X57" i="2"/>
  <c r="AA56" i="2"/>
  <c r="Z56" i="2"/>
  <c r="Y56" i="2"/>
  <c r="X56" i="2"/>
  <c r="AA55" i="2"/>
  <c r="Z55" i="2"/>
  <c r="Y55" i="2"/>
  <c r="X55" i="2"/>
  <c r="AA39" i="2"/>
  <c r="AA37" i="2"/>
  <c r="AA35" i="2"/>
  <c r="AA33" i="2"/>
  <c r="AA12" i="2"/>
  <c r="I200" i="2"/>
  <c r="H200" i="2"/>
  <c r="G200" i="2"/>
  <c r="I199" i="2"/>
  <c r="H199" i="2"/>
  <c r="G199" i="2"/>
  <c r="F200" i="2"/>
  <c r="F199" i="2"/>
  <c r="I57" i="2"/>
  <c r="U19" i="2"/>
  <c r="U22" i="2" s="1"/>
  <c r="V19" i="2"/>
  <c r="V25" i="2" s="1"/>
  <c r="U27" i="2"/>
  <c r="V27" i="2"/>
  <c r="S27" i="2"/>
  <c r="S19" i="2"/>
  <c r="S25" i="2" s="1"/>
  <c r="T19" i="2"/>
  <c r="T27" i="2"/>
  <c r="I37" i="2"/>
  <c r="I11" i="2"/>
  <c r="I10" i="2"/>
  <c r="I9" i="2"/>
  <c r="I8" i="2"/>
  <c r="V62" i="2"/>
  <c r="U62" i="2"/>
  <c r="T62" i="2"/>
  <c r="V61" i="2"/>
  <c r="U61" i="2"/>
  <c r="T61" i="2"/>
  <c r="S61" i="2"/>
  <c r="V60" i="2"/>
  <c r="U60" i="2"/>
  <c r="T60" i="2"/>
  <c r="S60" i="2"/>
  <c r="V57" i="2"/>
  <c r="U57" i="2"/>
  <c r="T57" i="2"/>
  <c r="S57" i="2"/>
  <c r="V56" i="2"/>
  <c r="U56" i="2"/>
  <c r="T56" i="2"/>
  <c r="V55" i="2"/>
  <c r="U55" i="2"/>
  <c r="T55" i="2"/>
  <c r="S55" i="2"/>
  <c r="V39" i="2"/>
  <c r="U39" i="2"/>
  <c r="T39" i="2"/>
  <c r="S39" i="2"/>
  <c r="V37" i="2"/>
  <c r="U37" i="2"/>
  <c r="T37" i="2"/>
  <c r="S37" i="2"/>
  <c r="V35" i="2"/>
  <c r="U35" i="2"/>
  <c r="T35" i="2"/>
  <c r="S35" i="2"/>
  <c r="V33" i="2"/>
  <c r="U33" i="2"/>
  <c r="T33" i="2"/>
  <c r="S33" i="2"/>
  <c r="V12" i="2"/>
  <c r="U12" i="2"/>
  <c r="T12" i="2"/>
  <c r="S12" i="2"/>
  <c r="J127" i="2"/>
  <c r="H79" i="2"/>
  <c r="H77" i="2"/>
  <c r="H70" i="2"/>
  <c r="H72" i="2" s="1"/>
  <c r="H74" i="2" s="1"/>
  <c r="H75" i="2" s="1"/>
  <c r="H226" i="2" s="1"/>
  <c r="G230" i="2" s="1"/>
  <c r="H109" i="2"/>
  <c r="H96" i="2"/>
  <c r="H128" i="2" s="1"/>
  <c r="G110" i="2"/>
  <c r="G109" i="2"/>
  <c r="G96" i="2"/>
  <c r="G128" i="2" s="1"/>
  <c r="G79" i="2"/>
  <c r="G70" i="2"/>
  <c r="G72" i="2" s="1"/>
  <c r="G74" i="2" s="1"/>
  <c r="G75" i="2" s="1"/>
  <c r="G226" i="2" s="1"/>
  <c r="F230" i="2" s="1"/>
  <c r="H220" i="2"/>
  <c r="G55" i="2"/>
  <c r="G27" i="2"/>
  <c r="G220" i="2"/>
  <c r="E19" i="2"/>
  <c r="E27" i="2"/>
  <c r="D19" i="2"/>
  <c r="D22" i="2" s="1"/>
  <c r="D23" i="2" s="1"/>
  <c r="D27" i="2"/>
  <c r="C19" i="2"/>
  <c r="C25" i="2" s="1"/>
  <c r="C27" i="2"/>
  <c r="B19" i="2"/>
  <c r="B25" i="2" s="1"/>
  <c r="B27" i="2"/>
  <c r="F19" i="2"/>
  <c r="F22" i="2" s="1"/>
  <c r="F23" i="2" s="1"/>
  <c r="F27" i="2"/>
  <c r="G12" i="2"/>
  <c r="G61" i="2"/>
  <c r="H127" i="2"/>
  <c r="H12" i="2"/>
  <c r="F109" i="2"/>
  <c r="F96" i="2"/>
  <c r="F128" i="2" s="1"/>
  <c r="F79" i="2"/>
  <c r="F70" i="2"/>
  <c r="F72" i="2" s="1"/>
  <c r="F74" i="2" s="1"/>
  <c r="F75" i="2" s="1"/>
  <c r="F226" i="2" s="1"/>
  <c r="E230" i="2" s="1"/>
  <c r="E79" i="2"/>
  <c r="E70" i="2"/>
  <c r="E72" i="2" s="1"/>
  <c r="E74" i="2" s="1"/>
  <c r="E109" i="2"/>
  <c r="E96" i="2"/>
  <c r="E128" i="2" s="1"/>
  <c r="C41" i="2"/>
  <c r="B41" i="2"/>
  <c r="F219" i="2"/>
  <c r="F220" i="2"/>
  <c r="G127" i="2"/>
  <c r="F127" i="2"/>
  <c r="E219" i="2"/>
  <c r="E220" i="2"/>
  <c r="D102" i="2"/>
  <c r="D105" i="2" s="1"/>
  <c r="D109" i="2"/>
  <c r="D110" i="2"/>
  <c r="D96" i="2"/>
  <c r="D128" i="2" s="1"/>
  <c r="D79" i="2"/>
  <c r="D70" i="2"/>
  <c r="D72" i="2" s="1"/>
  <c r="D74" i="2" s="1"/>
  <c r="B47" i="2"/>
  <c r="C38" i="2"/>
  <c r="C39" i="2" s="1"/>
  <c r="E127" i="2"/>
  <c r="F62" i="2"/>
  <c r="F61" i="2"/>
  <c r="F60" i="2"/>
  <c r="F57" i="2"/>
  <c r="F56" i="2"/>
  <c r="F55" i="2"/>
  <c r="F39" i="2"/>
  <c r="F37" i="2"/>
  <c r="F35" i="2"/>
  <c r="F33" i="2"/>
  <c r="F12" i="2"/>
  <c r="B109" i="2"/>
  <c r="B102" i="2"/>
  <c r="B105" i="2" s="1"/>
  <c r="B96" i="2"/>
  <c r="B128" i="2" s="1"/>
  <c r="C109" i="2"/>
  <c r="C102" i="2"/>
  <c r="C105" i="2" s="1"/>
  <c r="C96" i="2"/>
  <c r="C128" i="2" s="1"/>
  <c r="C79" i="2"/>
  <c r="C70" i="2"/>
  <c r="C72" i="2" s="1"/>
  <c r="C74" i="2" s="1"/>
  <c r="C75" i="2" s="1"/>
  <c r="C226" i="2" s="1"/>
  <c r="B230" i="2" s="1"/>
  <c r="B79" i="2"/>
  <c r="B83" i="2" s="1"/>
  <c r="B70" i="2"/>
  <c r="B72" i="2" s="1"/>
  <c r="B74" i="2" s="1"/>
  <c r="D219" i="2"/>
  <c r="D220" i="2"/>
  <c r="E37" i="2"/>
  <c r="E39" i="2"/>
  <c r="E35" i="2"/>
  <c r="E33" i="2"/>
  <c r="D94" i="2"/>
  <c r="D127" i="2"/>
  <c r="E62" i="2"/>
  <c r="E61" i="2"/>
  <c r="E60" i="2"/>
  <c r="E57" i="2"/>
  <c r="E56" i="2"/>
  <c r="E55" i="2"/>
  <c r="D12" i="2"/>
  <c r="C220" i="2"/>
  <c r="C219" i="2"/>
  <c r="C12" i="2"/>
  <c r="D62" i="2"/>
  <c r="D61" i="2"/>
  <c r="D60" i="2"/>
  <c r="D57" i="2"/>
  <c r="D56" i="2"/>
  <c r="D55" i="2"/>
  <c r="D39" i="2"/>
  <c r="D37" i="2"/>
  <c r="D35" i="2"/>
  <c r="D33" i="2"/>
  <c r="C127" i="2"/>
  <c r="B220" i="2"/>
  <c r="B127" i="2"/>
  <c r="C61" i="2"/>
  <c r="C57" i="2"/>
  <c r="C37" i="2"/>
  <c r="B37" i="2"/>
  <c r="C35" i="2"/>
  <c r="C33" i="2"/>
  <c r="C94" i="2"/>
  <c r="B94" i="2"/>
  <c r="B219" i="2"/>
  <c r="H39" i="2"/>
  <c r="H33" i="2"/>
  <c r="H60" i="2"/>
  <c r="G35" i="2"/>
  <c r="G56" i="2"/>
  <c r="G57" i="2"/>
  <c r="G37" i="2"/>
  <c r="H61" i="2"/>
  <c r="H62" i="2"/>
  <c r="G62" i="2"/>
  <c r="G19" i="2"/>
  <c r="G22" i="2" s="1"/>
  <c r="H55" i="2"/>
  <c r="G39" i="2"/>
  <c r="G33" i="2"/>
  <c r="G60" i="2"/>
  <c r="G219" i="2"/>
  <c r="H27" i="2"/>
  <c r="H37" i="2"/>
  <c r="H57" i="2"/>
  <c r="H219" i="2"/>
  <c r="H56" i="2"/>
  <c r="H35" i="2"/>
  <c r="H19" i="2"/>
  <c r="E12" i="2"/>
  <c r="B12" i="2"/>
  <c r="I55" i="2"/>
  <c r="J61" i="2"/>
  <c r="J55" i="2"/>
  <c r="J33" i="2"/>
  <c r="J220" i="2"/>
  <c r="J35" i="2"/>
  <c r="J37" i="2"/>
  <c r="J39" i="2"/>
  <c r="I220" i="2"/>
  <c r="I62" i="2"/>
  <c r="I56" i="2"/>
  <c r="J57" i="2"/>
  <c r="I35" i="2"/>
  <c r="J62" i="2"/>
  <c r="I61" i="2"/>
  <c r="I33" i="2"/>
  <c r="I60" i="2"/>
  <c r="J60" i="2"/>
  <c r="I39" i="2"/>
  <c r="G201" i="2"/>
  <c r="F201" i="2"/>
  <c r="I219" i="2"/>
  <c r="J219" i="2"/>
  <c r="J126" i="2" l="1"/>
  <c r="K107" i="2"/>
  <c r="F113" i="2"/>
  <c r="I113" i="2"/>
  <c r="Y54" i="2"/>
  <c r="B126" i="2"/>
  <c r="E113" i="2"/>
  <c r="B84" i="2"/>
  <c r="Y22" i="2"/>
  <c r="S54" i="2"/>
  <c r="AC22" i="2"/>
  <c r="AC23" i="2" s="1"/>
  <c r="X54" i="2"/>
  <c r="J113" i="2"/>
  <c r="I126" i="2"/>
  <c r="I54" i="2"/>
  <c r="I25" i="2"/>
  <c r="Q28" i="2"/>
  <c r="E182" i="2"/>
  <c r="I83" i="2"/>
  <c r="I84" i="2" s="1"/>
  <c r="I28" i="2"/>
  <c r="E164" i="2"/>
  <c r="E166" i="2" s="1"/>
  <c r="E161" i="2" s="1"/>
  <c r="AA28" i="2"/>
  <c r="V22" i="2"/>
  <c r="V23" i="2" s="1"/>
  <c r="K41" i="2"/>
  <c r="K38" i="2"/>
  <c r="K39" i="2" s="1"/>
  <c r="K26" i="2"/>
  <c r="K27" i="2" s="1"/>
  <c r="X28" i="2"/>
  <c r="P28" i="2"/>
  <c r="S22" i="2"/>
  <c r="S29" i="2" s="1"/>
  <c r="H111" i="2"/>
  <c r="P25" i="2"/>
  <c r="T54" i="2"/>
  <c r="J22" i="2"/>
  <c r="J23" i="2" s="1"/>
  <c r="D29" i="2"/>
  <c r="D119" i="2" s="1"/>
  <c r="H83" i="2"/>
  <c r="H84" i="2" s="1"/>
  <c r="C221" i="2"/>
  <c r="Z54" i="2"/>
  <c r="AE28" i="2"/>
  <c r="Y29" i="2"/>
  <c r="Y30" i="2" s="1"/>
  <c r="D28" i="2"/>
  <c r="Y25" i="2"/>
  <c r="I75" i="2"/>
  <c r="I226" i="2" s="1"/>
  <c r="H230" i="2" s="1"/>
  <c r="X25" i="2"/>
  <c r="AC39" i="2"/>
  <c r="E221" i="2"/>
  <c r="G54" i="2"/>
  <c r="D54" i="2"/>
  <c r="D126" i="2"/>
  <c r="D129" i="2" s="1"/>
  <c r="D222" i="2" s="1"/>
  <c r="I12" i="2"/>
  <c r="F111" i="2"/>
  <c r="AE29" i="2"/>
  <c r="AE42" i="2" s="1"/>
  <c r="U28" i="2"/>
  <c r="I97" i="2"/>
  <c r="K62" i="2"/>
  <c r="I111" i="2"/>
  <c r="P23" i="2"/>
  <c r="P29" i="2"/>
  <c r="U23" i="2"/>
  <c r="U58" i="2"/>
  <c r="U29" i="2"/>
  <c r="U42" i="2" s="1"/>
  <c r="C28" i="2"/>
  <c r="B22" i="2"/>
  <c r="B29" i="2" s="1"/>
  <c r="D25" i="2"/>
  <c r="C22" i="2"/>
  <c r="E97" i="2"/>
  <c r="AA54" i="2"/>
  <c r="L28" i="2"/>
  <c r="G111" i="2"/>
  <c r="D221" i="2"/>
  <c r="G83" i="2"/>
  <c r="G84" i="2" s="1"/>
  <c r="G97" i="2"/>
  <c r="J221" i="2"/>
  <c r="H28" i="2"/>
  <c r="G25" i="2"/>
  <c r="B221" i="2"/>
  <c r="B111" i="2"/>
  <c r="E28" i="2"/>
  <c r="D111" i="2"/>
  <c r="G126" i="2"/>
  <c r="G129" i="2" s="1"/>
  <c r="G222" i="2" s="1"/>
  <c r="E111" i="2"/>
  <c r="AE25" i="2"/>
  <c r="N28" i="2"/>
  <c r="C97" i="2"/>
  <c r="B28" i="2"/>
  <c r="I29" i="2"/>
  <c r="I195" i="2" s="1"/>
  <c r="I23" i="2"/>
  <c r="E54" i="2"/>
  <c r="L22" i="2"/>
  <c r="AA29" i="2"/>
  <c r="AA42" i="2" s="1"/>
  <c r="AA44" i="2" s="1"/>
  <c r="F54" i="2"/>
  <c r="AA25" i="2"/>
  <c r="F28" i="2"/>
  <c r="G28" i="2"/>
  <c r="J54" i="2"/>
  <c r="D83" i="2"/>
  <c r="D84" i="2" s="1"/>
  <c r="E126" i="2"/>
  <c r="E129" i="2" s="1"/>
  <c r="E222" i="2" s="1"/>
  <c r="O25" i="2"/>
  <c r="G221" i="2"/>
  <c r="J97" i="2"/>
  <c r="O28" i="2"/>
  <c r="J111" i="2"/>
  <c r="AE54" i="2"/>
  <c r="F25" i="2"/>
  <c r="J84" i="2"/>
  <c r="AF28" i="2"/>
  <c r="N25" i="2"/>
  <c r="F83" i="2"/>
  <c r="F84" i="2" s="1"/>
  <c r="E83" i="2"/>
  <c r="E84" i="2" s="1"/>
  <c r="F221" i="2"/>
  <c r="AF54" i="2"/>
  <c r="C111" i="2"/>
  <c r="D97" i="2"/>
  <c r="I221" i="2"/>
  <c r="J28" i="2"/>
  <c r="K56" i="2"/>
  <c r="Y28" i="2"/>
  <c r="AF22" i="2"/>
  <c r="AF29" i="2" s="1"/>
  <c r="G58" i="2"/>
  <c r="G29" i="2"/>
  <c r="G195" i="2" s="1"/>
  <c r="G23" i="2"/>
  <c r="B129" i="2"/>
  <c r="B222" i="2" s="1"/>
  <c r="D75" i="2"/>
  <c r="D226" i="2" s="1"/>
  <c r="C230" i="2" s="1"/>
  <c r="F97" i="2"/>
  <c r="O23" i="2"/>
  <c r="O29" i="2"/>
  <c r="C54" i="2"/>
  <c r="C126" i="2"/>
  <c r="C129" i="2" s="1"/>
  <c r="C222" i="2" s="1"/>
  <c r="H25" i="2"/>
  <c r="F126" i="2"/>
  <c r="F129" i="2" s="1"/>
  <c r="F222" i="2" s="1"/>
  <c r="J146" i="2"/>
  <c r="J149" i="2" s="1"/>
  <c r="J148" i="2"/>
  <c r="D160" i="2" s="1"/>
  <c r="F160" i="2" s="1"/>
  <c r="B75" i="2"/>
  <c r="B226" i="2" s="1"/>
  <c r="F29" i="2"/>
  <c r="F195" i="2" s="1"/>
  <c r="H221" i="2"/>
  <c r="G113" i="2"/>
  <c r="H22" i="2"/>
  <c r="H54" i="2"/>
  <c r="Y23" i="2"/>
  <c r="H113" i="2"/>
  <c r="H114" i="2" s="1"/>
  <c r="H201" i="2" s="1"/>
  <c r="H126" i="2"/>
  <c r="H129" i="2" s="1"/>
  <c r="H222" i="2" s="1"/>
  <c r="T25" i="2"/>
  <c r="H97" i="2"/>
  <c r="E22" i="2"/>
  <c r="J128" i="2"/>
  <c r="V54" i="2"/>
  <c r="Q22" i="2"/>
  <c r="X22" i="2"/>
  <c r="N29" i="2"/>
  <c r="N23" i="2"/>
  <c r="E25" i="2"/>
  <c r="E75" i="2"/>
  <c r="E226" i="2" s="1"/>
  <c r="D230" i="2" s="1"/>
  <c r="B97" i="2"/>
  <c r="V28" i="2"/>
  <c r="C83" i="2"/>
  <c r="C84" i="2" s="1"/>
  <c r="T28" i="2"/>
  <c r="U54" i="2"/>
  <c r="U25" i="2"/>
  <c r="Z22" i="2"/>
  <c r="Z28" i="2"/>
  <c r="T22" i="2"/>
  <c r="AE21" i="2"/>
  <c r="S28" i="2"/>
  <c r="K61" i="2"/>
  <c r="K35" i="2"/>
  <c r="AD54" i="2"/>
  <c r="AD25" i="2"/>
  <c r="AD28" i="2"/>
  <c r="K12" i="2"/>
  <c r="AC28" i="2"/>
  <c r="K60" i="2"/>
  <c r="K37" i="2"/>
  <c r="L57" i="2"/>
  <c r="AC54" i="2"/>
  <c r="AC25" i="2"/>
  <c r="K19" i="2"/>
  <c r="K25" i="2" s="1"/>
  <c r="K33" i="2"/>
  <c r="K55" i="2"/>
  <c r="L55" i="2"/>
  <c r="AA58" i="2" l="1"/>
  <c r="J114" i="2"/>
  <c r="J201" i="2" s="1"/>
  <c r="D58" i="2"/>
  <c r="C58" i="2"/>
  <c r="L54" i="2"/>
  <c r="D223" i="2"/>
  <c r="D224" i="2" s="1"/>
  <c r="I114" i="2"/>
  <c r="I201" i="2" s="1"/>
  <c r="B42" i="2"/>
  <c r="B44" i="2" s="1"/>
  <c r="B120" i="2" s="1"/>
  <c r="B119" i="2"/>
  <c r="D42" i="2"/>
  <c r="D44" i="2" s="1"/>
  <c r="D120" i="2" s="1"/>
  <c r="E229" i="2"/>
  <c r="E183" i="2"/>
  <c r="C185" i="2" s="1"/>
  <c r="E185" i="2" s="1"/>
  <c r="C189" i="2"/>
  <c r="C191" i="2" s="1"/>
  <c r="D186" i="2" s="1"/>
  <c r="D30" i="2"/>
  <c r="V29" i="2"/>
  <c r="AA59" i="2" s="1"/>
  <c r="S58" i="2"/>
  <c r="S23" i="2"/>
  <c r="J29" i="2"/>
  <c r="J119" i="2" s="1"/>
  <c r="J155" i="2"/>
  <c r="D161" i="2"/>
  <c r="F161" i="2" s="1"/>
  <c r="F162" i="2" s="1"/>
  <c r="I30" i="2"/>
  <c r="J58" i="2"/>
  <c r="U30" i="2"/>
  <c r="C229" i="2"/>
  <c r="D229" i="2"/>
  <c r="I223" i="2"/>
  <c r="H228" i="2" s="1"/>
  <c r="G229" i="2"/>
  <c r="Y42" i="2"/>
  <c r="Y45" i="2" s="1"/>
  <c r="Y48" i="2" s="1"/>
  <c r="Y49" i="2" s="1"/>
  <c r="AE30" i="2"/>
  <c r="U59" i="2"/>
  <c r="I129" i="2"/>
  <c r="I222" i="2" s="1"/>
  <c r="I229" i="2" s="1"/>
  <c r="AF59" i="2"/>
  <c r="J129" i="2"/>
  <c r="J222" i="2" s="1"/>
  <c r="J229" i="2" s="1"/>
  <c r="J59" i="2"/>
  <c r="AA30" i="2"/>
  <c r="B229" i="2"/>
  <c r="C29" i="2"/>
  <c r="F229" i="2"/>
  <c r="C23" i="2"/>
  <c r="B30" i="2"/>
  <c r="B223" i="2"/>
  <c r="B224" i="2" s="1"/>
  <c r="P30" i="2"/>
  <c r="P42" i="2"/>
  <c r="B23" i="2"/>
  <c r="AA45" i="2"/>
  <c r="AA48" i="2" s="1"/>
  <c r="AA49" i="2" s="1"/>
  <c r="V30" i="2"/>
  <c r="V42" i="2"/>
  <c r="AF21" i="2"/>
  <c r="K21" i="2" s="1"/>
  <c r="K22" i="2" s="1"/>
  <c r="L58" i="2" s="1"/>
  <c r="L29" i="2"/>
  <c r="L21" i="2"/>
  <c r="AF42" i="2"/>
  <c r="AF43" i="2" s="1"/>
  <c r="AF30" i="2"/>
  <c r="AF58" i="2"/>
  <c r="J150" i="2"/>
  <c r="I42" i="2"/>
  <c r="I44" i="2" s="1"/>
  <c r="I119" i="2"/>
  <c r="E58" i="2"/>
  <c r="E29" i="2"/>
  <c r="F59" i="2" s="1"/>
  <c r="E23" i="2"/>
  <c r="T58" i="2"/>
  <c r="T29" i="2"/>
  <c r="T23" i="2"/>
  <c r="O30" i="2"/>
  <c r="O42" i="2"/>
  <c r="Z23" i="2"/>
  <c r="Z29" i="2"/>
  <c r="AE58" i="2"/>
  <c r="Z58" i="2"/>
  <c r="F58" i="2"/>
  <c r="G42" i="2"/>
  <c r="G223" i="2"/>
  <c r="G30" i="2"/>
  <c r="G59" i="2"/>
  <c r="G119" i="2"/>
  <c r="N42" i="2"/>
  <c r="N30" i="2"/>
  <c r="AE43" i="2"/>
  <c r="AE45" i="2" s="1"/>
  <c r="AE48" i="2" s="1"/>
  <c r="AE49" i="2" s="1"/>
  <c r="H58" i="2"/>
  <c r="H23" i="2"/>
  <c r="H29" i="2"/>
  <c r="H195" i="2" s="1"/>
  <c r="I58" i="2"/>
  <c r="Y58" i="2"/>
  <c r="S42" i="2"/>
  <c r="S30" i="2"/>
  <c r="S59" i="2"/>
  <c r="X29" i="2"/>
  <c r="X23" i="2"/>
  <c r="X58" i="2"/>
  <c r="F30" i="2"/>
  <c r="F42" i="2"/>
  <c r="F119" i="2"/>
  <c r="F223" i="2"/>
  <c r="U44" i="2"/>
  <c r="U45" i="2"/>
  <c r="U48" i="2" s="1"/>
  <c r="U49" i="2" s="1"/>
  <c r="D121" i="2"/>
  <c r="D122" i="2" s="1"/>
  <c r="D131" i="2" s="1"/>
  <c r="D227" i="2" s="1"/>
  <c r="H229" i="2"/>
  <c r="Q29" i="2"/>
  <c r="Q23" i="2"/>
  <c r="V58" i="2"/>
  <c r="K28" i="2"/>
  <c r="K54" i="2"/>
  <c r="AD29" i="2"/>
  <c r="AD58" i="2"/>
  <c r="AC29" i="2"/>
  <c r="AC58" i="2"/>
  <c r="B45" i="2" l="1"/>
  <c r="B48" i="2" s="1"/>
  <c r="B49" i="2" s="1"/>
  <c r="B121" i="2"/>
  <c r="C228" i="2"/>
  <c r="D45" i="2"/>
  <c r="D48" i="2" s="1"/>
  <c r="D49" i="2" s="1"/>
  <c r="D59" i="2"/>
  <c r="C59" i="2"/>
  <c r="J223" i="2"/>
  <c r="J225" i="2" s="1"/>
  <c r="Y44" i="2"/>
  <c r="C186" i="2"/>
  <c r="E186" i="2" s="1"/>
  <c r="E187" i="2" s="1"/>
  <c r="J42" i="2"/>
  <c r="J44" i="2" s="1"/>
  <c r="J196" i="2" s="1"/>
  <c r="I224" i="2"/>
  <c r="J195" i="2"/>
  <c r="J30" i="2"/>
  <c r="B122" i="2"/>
  <c r="B131" i="2" s="1"/>
  <c r="B227" i="2" s="1"/>
  <c r="C30" i="2"/>
  <c r="C42" i="2"/>
  <c r="C44" i="2" s="1"/>
  <c r="C120" i="2" s="1"/>
  <c r="C223" i="2"/>
  <c r="C224" i="2" s="1"/>
  <c r="I228" i="2"/>
  <c r="J224" i="2"/>
  <c r="C119" i="2"/>
  <c r="P44" i="2"/>
  <c r="P45" i="2"/>
  <c r="P48" i="2" s="1"/>
  <c r="P49" i="2" s="1"/>
  <c r="U63" i="2" s="1"/>
  <c r="AF45" i="2"/>
  <c r="AF48" i="2" s="1"/>
  <c r="AF49" i="2" s="1"/>
  <c r="AF63" i="2" s="1"/>
  <c r="I196" i="2"/>
  <c r="I45" i="2"/>
  <c r="I48" i="2" s="1"/>
  <c r="I49" i="2" s="1"/>
  <c r="V45" i="2"/>
  <c r="V48" i="2" s="1"/>
  <c r="V49" i="2" s="1"/>
  <c r="AA63" i="2" s="1"/>
  <c r="V44" i="2"/>
  <c r="L30" i="2"/>
  <c r="L195" i="2"/>
  <c r="L223" i="2"/>
  <c r="L42" i="2"/>
  <c r="L119" i="2"/>
  <c r="L121" i="2" s="1"/>
  <c r="L122" i="2" s="1"/>
  <c r="N44" i="2"/>
  <c r="N45" i="2"/>
  <c r="N48" i="2" s="1"/>
  <c r="N49" i="2" s="1"/>
  <c r="H42" i="2"/>
  <c r="I59" i="2"/>
  <c r="H223" i="2"/>
  <c r="H59" i="2"/>
  <c r="H30" i="2"/>
  <c r="H119" i="2"/>
  <c r="Z59" i="2"/>
  <c r="Z42" i="2"/>
  <c r="Z30" i="2"/>
  <c r="AE59" i="2"/>
  <c r="F45" i="2"/>
  <c r="F48" i="2" s="1"/>
  <c r="F49" i="2" s="1"/>
  <c r="F44" i="2"/>
  <c r="F196" i="2" s="1"/>
  <c r="O44" i="2"/>
  <c r="O45" i="2"/>
  <c r="O48" i="2" s="1"/>
  <c r="O49" i="2" s="1"/>
  <c r="X42" i="2"/>
  <c r="X30" i="2"/>
  <c r="X59" i="2"/>
  <c r="G224" i="2"/>
  <c r="G225" i="2"/>
  <c r="F228" i="2"/>
  <c r="T59" i="2"/>
  <c r="T42" i="2"/>
  <c r="T30" i="2"/>
  <c r="Y59" i="2"/>
  <c r="G44" i="2"/>
  <c r="G196" i="2" s="1"/>
  <c r="G45" i="2"/>
  <c r="G48" i="2" s="1"/>
  <c r="G49" i="2" s="1"/>
  <c r="E223" i="2"/>
  <c r="E119" i="2"/>
  <c r="E42" i="2"/>
  <c r="E44" i="2" s="1"/>
  <c r="E30" i="2"/>
  <c r="E59" i="2"/>
  <c r="Q30" i="2"/>
  <c r="Q42" i="2"/>
  <c r="V59" i="2"/>
  <c r="S44" i="2"/>
  <c r="S45" i="2"/>
  <c r="S48" i="2" s="1"/>
  <c r="S49" i="2" s="1"/>
  <c r="F224" i="2"/>
  <c r="E228" i="2"/>
  <c r="AD42" i="2"/>
  <c r="AD44" i="2" s="1"/>
  <c r="AD59" i="2"/>
  <c r="AD30" i="2"/>
  <c r="K23" i="2"/>
  <c r="K58" i="2"/>
  <c r="K29" i="2"/>
  <c r="K59" i="2" s="1"/>
  <c r="AC30" i="2"/>
  <c r="AC42" i="2"/>
  <c r="AC44" i="2" s="1"/>
  <c r="AC59" i="2"/>
  <c r="G141" i="2" l="1"/>
  <c r="J141" i="2" s="1"/>
  <c r="J154" i="2" s="1"/>
  <c r="J156" i="2" s="1"/>
  <c r="J120" i="2"/>
  <c r="J121" i="2" s="1"/>
  <c r="J122" i="2" s="1"/>
  <c r="J131" i="2" s="1"/>
  <c r="J227" i="2" s="1"/>
  <c r="J45" i="2"/>
  <c r="J48" i="2" s="1"/>
  <c r="J49" i="2" s="1"/>
  <c r="J63" i="2" s="1"/>
  <c r="C121" i="2"/>
  <c r="C122" i="2" s="1"/>
  <c r="C131" i="2" s="1"/>
  <c r="C227" i="2" s="1"/>
  <c r="J197" i="2"/>
  <c r="J198" i="2" s="1"/>
  <c r="J202" i="2" s="1"/>
  <c r="C45" i="2"/>
  <c r="C48" i="2" s="1"/>
  <c r="C49" i="2" s="1"/>
  <c r="C63" i="2" s="1"/>
  <c r="D225" i="2"/>
  <c r="B228" i="2"/>
  <c r="C225" i="2"/>
  <c r="S63" i="2"/>
  <c r="L43" i="2"/>
  <c r="L45" i="2" s="1"/>
  <c r="L48" i="2" s="1"/>
  <c r="L224" i="2"/>
  <c r="B234" i="2"/>
  <c r="B236" i="2" s="1"/>
  <c r="L197" i="2"/>
  <c r="L198" i="2" s="1"/>
  <c r="I120" i="2"/>
  <c r="I121" i="2" s="1"/>
  <c r="I122" i="2" s="1"/>
  <c r="I131" i="2" s="1"/>
  <c r="I227" i="2" s="1"/>
  <c r="I197" i="2"/>
  <c r="I198" i="2" s="1"/>
  <c r="I202" i="2" s="1"/>
  <c r="T45" i="2"/>
  <c r="T48" i="2" s="1"/>
  <c r="T49" i="2" s="1"/>
  <c r="T44" i="2"/>
  <c r="E45" i="2"/>
  <c r="E48" i="2" s="1"/>
  <c r="E49" i="2" s="1"/>
  <c r="E63" i="2" s="1"/>
  <c r="E120" i="2"/>
  <c r="E121" i="2" s="1"/>
  <c r="E122" i="2" s="1"/>
  <c r="E131" i="2" s="1"/>
  <c r="E227" i="2" s="1"/>
  <c r="F120" i="2"/>
  <c r="F121" i="2" s="1"/>
  <c r="F122" i="2" s="1"/>
  <c r="F131" i="2" s="1"/>
  <c r="F227" i="2" s="1"/>
  <c r="F197" i="2"/>
  <c r="F198" i="2" s="1"/>
  <c r="F202" i="2" s="1"/>
  <c r="Q45" i="2"/>
  <c r="Q48" i="2" s="1"/>
  <c r="Q49" i="2" s="1"/>
  <c r="V63" i="2" s="1"/>
  <c r="Q44" i="2"/>
  <c r="G63" i="2"/>
  <c r="Z44" i="2"/>
  <c r="Z45" i="2"/>
  <c r="Z48" i="2" s="1"/>
  <c r="Z49" i="2" s="1"/>
  <c r="D63" i="2"/>
  <c r="H224" i="2"/>
  <c r="G228" i="2"/>
  <c r="H225" i="2"/>
  <c r="I225" i="2"/>
  <c r="X45" i="2"/>
  <c r="X48" i="2" s="1"/>
  <c r="X49" i="2" s="1"/>
  <c r="X63" i="2" s="1"/>
  <c r="X44" i="2"/>
  <c r="E225" i="2"/>
  <c r="E224" i="2"/>
  <c r="D228" i="2"/>
  <c r="H45" i="2"/>
  <c r="H48" i="2" s="1"/>
  <c r="H49" i="2" s="1"/>
  <c r="H63" i="2" s="1"/>
  <c r="H44" i="2"/>
  <c r="H196" i="2" s="1"/>
  <c r="G197" i="2"/>
  <c r="G198" i="2" s="1"/>
  <c r="G202" i="2" s="1"/>
  <c r="G120" i="2"/>
  <c r="G121" i="2" s="1"/>
  <c r="G122" i="2" s="1"/>
  <c r="G131" i="2" s="1"/>
  <c r="G227" i="2" s="1"/>
  <c r="F225" i="2"/>
  <c r="L203" i="2"/>
  <c r="M203" i="2"/>
  <c r="K203" i="2"/>
  <c r="K119" i="2"/>
  <c r="K42" i="2"/>
  <c r="K223" i="2"/>
  <c r="K225" i="2" s="1"/>
  <c r="L59" i="2"/>
  <c r="K195" i="2"/>
  <c r="K30" i="2"/>
  <c r="AD45" i="2"/>
  <c r="AD48" i="2" s="1"/>
  <c r="AD49" i="2" s="1"/>
  <c r="AD63" i="2" s="1"/>
  <c r="AC45" i="2"/>
  <c r="AC48" i="2" s="1"/>
  <c r="AC49" i="2" s="1"/>
  <c r="AC63" i="2" l="1"/>
  <c r="F63" i="2"/>
  <c r="L49" i="2"/>
  <c r="L67" i="2"/>
  <c r="L72" i="2" s="1"/>
  <c r="L74" i="2" s="1"/>
  <c r="H197" i="2"/>
  <c r="H198" i="2" s="1"/>
  <c r="H202" i="2" s="1"/>
  <c r="H120" i="2"/>
  <c r="H121" i="2" s="1"/>
  <c r="H122" i="2" s="1"/>
  <c r="H131" i="2" s="1"/>
  <c r="H227" i="2" s="1"/>
  <c r="I63" i="2"/>
  <c r="L225" i="2"/>
  <c r="Z63" i="2"/>
  <c r="AE63" i="2"/>
  <c r="J228" i="2"/>
  <c r="T63" i="2"/>
  <c r="Y63" i="2"/>
  <c r="K43" i="2"/>
  <c r="K44" i="2" s="1"/>
  <c r="K224" i="2"/>
  <c r="K120" i="2" l="1"/>
  <c r="K121" i="2" s="1"/>
  <c r="K122" i="2" s="1"/>
  <c r="L75" i="2"/>
  <c r="L226" i="2" s="1"/>
  <c r="K230" i="2" s="1"/>
  <c r="L84" i="2"/>
  <c r="K196" i="2"/>
  <c r="K197" i="2" s="1"/>
  <c r="K198" i="2" s="1"/>
  <c r="K45" i="2"/>
  <c r="K48" i="2" s="1"/>
  <c r="K67" i="2" s="1"/>
  <c r="K49" i="2" l="1"/>
  <c r="K72" i="2"/>
  <c r="K74" i="2" s="1"/>
  <c r="K84" i="2" l="1"/>
  <c r="K90" i="2" s="1"/>
  <c r="K75" i="2"/>
  <c r="K226" i="2" s="1"/>
  <c r="J230" i="2" s="1"/>
  <c r="K63" i="2"/>
  <c r="L63" i="2"/>
  <c r="K94" i="2" l="1"/>
  <c r="L90" i="2"/>
  <c r="K219" i="2"/>
  <c r="K221" i="2" s="1"/>
  <c r="K228" i="2" s="1"/>
  <c r="K113" i="2" l="1"/>
  <c r="K114" i="2" s="1"/>
  <c r="K201" i="2" s="1"/>
  <c r="K202" i="2" s="1"/>
  <c r="K204" i="2" s="1"/>
  <c r="K126" i="2"/>
  <c r="L219" i="2"/>
  <c r="B209" i="2"/>
  <c r="L94" i="2"/>
  <c r="K129" i="2"/>
  <c r="K97" i="2"/>
  <c r="L126" i="2" l="1"/>
  <c r="L129" i="2" s="1"/>
  <c r="L222" i="2" s="1"/>
  <c r="L97" i="2"/>
  <c r="L113" i="2"/>
  <c r="L114" i="2" s="1"/>
  <c r="L201" i="2" s="1"/>
  <c r="L202" i="2" s="1"/>
  <c r="K222" i="2"/>
  <c r="K229" i="2" s="1"/>
  <c r="K131" i="2"/>
  <c r="K227" i="2" s="1"/>
  <c r="B237" i="2"/>
  <c r="B238" i="2" s="1"/>
  <c r="B240" i="2" s="1"/>
  <c r="B242" i="2" s="1"/>
  <c r="L221" i="2"/>
  <c r="L131" i="2" l="1"/>
  <c r="L227" i="2" s="1"/>
  <c r="L204" i="2"/>
  <c r="M202" i="2"/>
  <c r="M204" i="2" s="1"/>
  <c r="I204" i="2" s="1"/>
  <c r="B208" i="2" s="1"/>
  <c r="B210" i="2" s="1"/>
  <c r="B212" i="2" s="1"/>
  <c r="B214" i="2" s="1"/>
</calcChain>
</file>

<file path=xl/sharedStrings.xml><?xml version="1.0" encoding="utf-8"?>
<sst xmlns="http://purl.oclc.org/ooxml/spreadsheetml/main" count="201" uniqueCount="143">
  <si>
    <t>Consumer Tissue</t>
  </si>
  <si>
    <t>Marketing, research, and gen</t>
  </si>
  <si>
    <t>EBITD</t>
  </si>
  <si>
    <t>Market capitalization</t>
  </si>
  <si>
    <t>TMV/invested capital</t>
  </si>
  <si>
    <t xml:space="preserve">  Consumer tissue</t>
  </si>
  <si>
    <t xml:space="preserve">  Other</t>
  </si>
  <si>
    <t>Fully diluted</t>
  </si>
  <si>
    <t>Equity Income</t>
  </si>
  <si>
    <t>Minority Interests</t>
  </si>
  <si>
    <t>Net debt</t>
  </si>
  <si>
    <t>Kimberly-Clark</t>
  </si>
  <si>
    <t>Income Statement</t>
  </si>
  <si>
    <t>Year ended December 31,</t>
  </si>
  <si>
    <t>Q1</t>
  </si>
  <si>
    <t>Q2</t>
  </si>
  <si>
    <t>Q3</t>
  </si>
  <si>
    <t>Q4</t>
  </si>
  <si>
    <t>Components of sales change</t>
  </si>
  <si>
    <t xml:space="preserve">  Units</t>
  </si>
  <si>
    <t xml:space="preserve">  Price</t>
  </si>
  <si>
    <t xml:space="preserve">  FX</t>
  </si>
  <si>
    <t xml:space="preserve">  Acq/div</t>
  </si>
  <si>
    <t xml:space="preserve">    Total</t>
  </si>
  <si>
    <t>SALES</t>
  </si>
  <si>
    <t xml:space="preserve">Personal Care </t>
  </si>
  <si>
    <t>Intercompany</t>
  </si>
  <si>
    <t xml:space="preserve">  Total sales</t>
  </si>
  <si>
    <t>EXPENSES</t>
  </si>
  <si>
    <t>Cost of goods sold</t>
  </si>
  <si>
    <t>Gross profit</t>
  </si>
  <si>
    <t>Gross margin</t>
  </si>
  <si>
    <t xml:space="preserve">  Total other</t>
  </si>
  <si>
    <t>OPERATING INCOME</t>
  </si>
  <si>
    <t>Personal Care</t>
  </si>
  <si>
    <t xml:space="preserve">  Total</t>
  </si>
  <si>
    <t>Interest expense</t>
  </si>
  <si>
    <t>INCOME BEFORE TAXES</t>
  </si>
  <si>
    <t xml:space="preserve">  Income taxes</t>
  </si>
  <si>
    <t>Income before equity inv</t>
  </si>
  <si>
    <t>Net Income</t>
  </si>
  <si>
    <t>EPS</t>
  </si>
  <si>
    <t>Growth</t>
  </si>
  <si>
    <t>Sales</t>
  </si>
  <si>
    <t xml:space="preserve">  Personal care</t>
  </si>
  <si>
    <t>Operating income</t>
  </si>
  <si>
    <t>Valuation</t>
  </si>
  <si>
    <t>Stock price</t>
  </si>
  <si>
    <t>EBITD margin</t>
  </si>
  <si>
    <t>TMV/EBITD (forward)</t>
  </si>
  <si>
    <t>Excess cash flow/share</t>
  </si>
  <si>
    <t>Funds Flow</t>
  </si>
  <si>
    <t>Net income</t>
  </si>
  <si>
    <t>Dep and amort</t>
  </si>
  <si>
    <t>Deferred income taxes</t>
  </si>
  <si>
    <t>Other</t>
  </si>
  <si>
    <t>Changes in working capital</t>
  </si>
  <si>
    <t>Capital spending</t>
  </si>
  <si>
    <t>Excess cash flow</t>
  </si>
  <si>
    <t>Acquisitions, net</t>
  </si>
  <si>
    <t>Dividends</t>
  </si>
  <si>
    <t>Purchase of treasury shares</t>
  </si>
  <si>
    <t>Addition/reduction in debt</t>
  </si>
  <si>
    <t>Change in cash</t>
  </si>
  <si>
    <t>Balance sheet</t>
  </si>
  <si>
    <t>Assets</t>
  </si>
  <si>
    <t>Cash and equivalents</t>
  </si>
  <si>
    <t>Accounts receivable</t>
  </si>
  <si>
    <t>Inventories</t>
  </si>
  <si>
    <t xml:space="preserve">  Total current assets</t>
  </si>
  <si>
    <t>Property, plant and equip</t>
  </si>
  <si>
    <t>Other assets</t>
  </si>
  <si>
    <t xml:space="preserve">  Total assets</t>
  </si>
  <si>
    <t>Liabilities and Shareholders' Equity</t>
  </si>
  <si>
    <t>Accounts payable</t>
  </si>
  <si>
    <t>Accrued liabilities</t>
  </si>
  <si>
    <t>Short term debt</t>
  </si>
  <si>
    <t xml:space="preserve">  Total current liabilities</t>
  </si>
  <si>
    <t>Long term debt</t>
  </si>
  <si>
    <t>Other liabilities</t>
  </si>
  <si>
    <t>Shareholders' Equity</t>
  </si>
  <si>
    <t>Net operating profit</t>
  </si>
  <si>
    <t>Taxes</t>
  </si>
  <si>
    <t>NOPAT</t>
  </si>
  <si>
    <t>Invested capital</t>
  </si>
  <si>
    <t>Net working capital</t>
  </si>
  <si>
    <t>PP&amp;E</t>
  </si>
  <si>
    <t>ROIC</t>
  </si>
  <si>
    <t>Price/excess cash flow (forward)</t>
  </si>
  <si>
    <t>Target price</t>
  </si>
  <si>
    <t>Target EBITD multiple</t>
  </si>
  <si>
    <t>TMV</t>
  </si>
  <si>
    <t>Market cap</t>
  </si>
  <si>
    <t>Shares outstanding</t>
  </si>
  <si>
    <t>Current stock price</t>
  </si>
  <si>
    <t>Potential appreciation</t>
  </si>
  <si>
    <t>EBITD growth</t>
  </si>
  <si>
    <t>Tax rate</t>
  </si>
  <si>
    <t>Change in net working capital</t>
  </si>
  <si>
    <t>Cost of capital</t>
  </si>
  <si>
    <t>Equity cost of capital</t>
  </si>
  <si>
    <t>Debt cost of capital</t>
  </si>
  <si>
    <t>Equity capitalization</t>
  </si>
  <si>
    <t>Total capitalization</t>
  </si>
  <si>
    <t>WACC</t>
  </si>
  <si>
    <t>Total</t>
  </si>
  <si>
    <t>Depreciation and amort</t>
  </si>
  <si>
    <t>Free cash flow</t>
  </si>
  <si>
    <t>2023E</t>
  </si>
  <si>
    <t>NPV</t>
  </si>
  <si>
    <t>Estimated stock price</t>
  </si>
  <si>
    <t>Commercial Tissue</t>
  </si>
  <si>
    <t>Commerical Tissue</t>
  </si>
  <si>
    <t>Change in marketable securities</t>
  </si>
  <si>
    <t>Assumed long term growth rate</t>
  </si>
  <si>
    <t>Beta</t>
  </si>
  <si>
    <t>CAPM</t>
  </si>
  <si>
    <t>DCF</t>
  </si>
  <si>
    <t>Net debt weighting</t>
  </si>
  <si>
    <t>Equity weighting</t>
  </si>
  <si>
    <t>Cost of debt</t>
  </si>
  <si>
    <t>Cost of equity</t>
  </si>
  <si>
    <t>Total market value</t>
  </si>
  <si>
    <t>2024E</t>
  </si>
  <si>
    <t>2024E EBITD</t>
  </si>
  <si>
    <t>`</t>
  </si>
  <si>
    <t>Risk free rate</t>
  </si>
  <si>
    <t>Return on market</t>
  </si>
  <si>
    <t>Cost of Capital-M&amp;M</t>
  </si>
  <si>
    <t>Debt/total capitalization</t>
  </si>
  <si>
    <t>Equity/total capitalization</t>
  </si>
  <si>
    <t>Debt/equity ratio</t>
  </si>
  <si>
    <t>Levered equity cost of capital</t>
  </si>
  <si>
    <t>Cost of capital post-share repurchase</t>
  </si>
  <si>
    <t>Company issues $8 billion in debt and uses the proceeds to repurchase stock</t>
  </si>
  <si>
    <t>Debt pre-share repurchase</t>
  </si>
  <si>
    <t>Debt issued</t>
  </si>
  <si>
    <t>New debt</t>
  </si>
  <si>
    <t>Equity pre-share repurchase</t>
  </si>
  <si>
    <t>Share repurchase</t>
  </si>
  <si>
    <t>New equity</t>
  </si>
  <si>
    <t>Debt</t>
  </si>
  <si>
    <t>Equity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</si>
</sst>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(* #,##0.00_);_(* \(#,##0.00\);_(* &quot;-&quot;??_);_(@_)"/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0.0%"/>
    <numFmt numFmtId="168" formatCode="0.0"/>
    <numFmt numFmtId="169" formatCode="_(* #,##0_);_(* \(#,##0\);_(* &quot;-&quot;??_);_(@_)"/>
    <numFmt numFmtId="170" formatCode="#,##0.0_);[Red]\(#,##0.0\)"/>
    <numFmt numFmtId="171" formatCode="&quot;$&quot;#,##0.00"/>
    <numFmt numFmtId="172" formatCode="##0"/>
    <numFmt numFmtId="173" formatCode="&quot;$&quot;#,##0.0_);\(&quot;$&quot;#,##0.0\)"/>
    <numFmt numFmtId="174" formatCode="0.0_);\(0.0\)"/>
    <numFmt numFmtId="175" formatCode="#,##0_ ;\-#,##0\ "/>
    <numFmt numFmtId="176" formatCode="&quot;$&quot;#,##0"/>
    <numFmt numFmtId="177" formatCode="0.00_);\(0.00\)"/>
  </numFmts>
  <fonts count="13">
    <font>
      <sz val="10"/>
      <name val="Arial"/>
      <family val="2"/>
    </font>
    <font>
      <sz val="10"/>
      <name val="Arial"/>
      <family val="2"/>
    </font>
    <font>
      <sz val="9"/>
      <name val="Times New Roman"/>
      <family val="1"/>
    </font>
    <font>
      <sz val="10"/>
      <name val="MS Sans Serif"/>
    </font>
    <font>
      <sz val="8"/>
      <color indexed="39"/>
      <name val="Arial"/>
      <family val="2"/>
    </font>
    <font>
      <sz val="10"/>
      <color indexed="12"/>
      <name val="MS Sans Serif"/>
    </font>
    <font>
      <sz val="7"/>
      <name val="Arial"/>
      <family val="2"/>
    </font>
    <font>
      <sz val="12"/>
      <name val="Bookman Old Style"/>
      <family val="1"/>
    </font>
    <font>
      <sz val="12"/>
      <name val="Times New Roman"/>
      <family val="1"/>
    </font>
    <font>
      <b/>
      <sz val="12"/>
      <name val="Bookman Old Style"/>
      <family val="1"/>
    </font>
    <font>
      <sz val="12"/>
      <color theme="1"/>
      <name val="Bookman Old Style"/>
      <family val="1"/>
    </font>
    <font>
      <u/>
      <sz val="12"/>
      <name val="Bookman Old Style"/>
      <family val="1"/>
    </font>
    <font>
      <b/>
      <sz val="12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19">
    <xf numFmtId="0" fontId="0" fillId="0" borderId="0"/>
    <xf numFmtId="0" fontId="2" fillId="0" borderId="0"/>
    <xf numFmtId="43" fontId="1" fillId="0" borderId="0" applyFont="0" applyFill="0" applyBorder="0" applyAlignment="0" applyProtection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2" fontId="3" fillId="0" borderId="0"/>
    <xf numFmtId="170" fontId="4" fillId="2" borderId="0" applyNumberFormat="0" applyBorder="0" applyAlignment="0">
      <protection locked="0"/>
    </xf>
    <xf numFmtId="10" fontId="5" fillId="0" borderId="0">
      <protection locked="0"/>
    </xf>
    <xf numFmtId="15" fontId="5" fillId="0" borderId="0">
      <protection locked="0"/>
    </xf>
    <xf numFmtId="2" fontId="5" fillId="0" borderId="1">
      <protection locked="0"/>
    </xf>
    <xf numFmtId="0" fontId="5" fillId="0" borderId="0">
      <protection locked="0"/>
    </xf>
    <xf numFmtId="171" fontId="3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14" fontId="7" fillId="0" borderId="0" xfId="0" applyNumberFormat="1" applyFont="1" applyAlignment="1">
      <alignment horizontal="center"/>
    </xf>
    <xf numFmtId="3" fontId="7" fillId="0" borderId="0" xfId="0" applyNumberFormat="1" applyFont="1"/>
    <xf numFmtId="1" fontId="7" fillId="0" borderId="0" xfId="0" applyNumberFormat="1" applyFont="1" applyAlignment="1">
      <alignment horizontal="center"/>
    </xf>
    <xf numFmtId="3" fontId="7" fillId="0" borderId="0" xfId="0" quotePrefix="1" applyNumberFormat="1" applyFont="1"/>
    <xf numFmtId="14" fontId="7" fillId="0" borderId="0" xfId="0" applyNumberFormat="1" applyFont="1"/>
    <xf numFmtId="1" fontId="7" fillId="0" borderId="0" xfId="0" applyNumberFormat="1" applyFont="1"/>
    <xf numFmtId="167" fontId="7" fillId="0" borderId="0" xfId="0" applyNumberFormat="1" applyFont="1"/>
    <xf numFmtId="167" fontId="7" fillId="0" borderId="0" xfId="17" applyNumberFormat="1" applyFont="1"/>
    <xf numFmtId="9" fontId="7" fillId="0" borderId="0" xfId="17" applyFont="1"/>
    <xf numFmtId="164" fontId="7" fillId="0" borderId="0" xfId="0" applyNumberFormat="1" applyFont="1"/>
    <xf numFmtId="169" fontId="7" fillId="0" borderId="0" xfId="2" applyNumberFormat="1" applyFont="1"/>
    <xf numFmtId="37" fontId="7" fillId="0" borderId="0" xfId="0" applyNumberFormat="1" applyFont="1"/>
    <xf numFmtId="38" fontId="7" fillId="0" borderId="0" xfId="0" applyNumberFormat="1" applyFont="1"/>
    <xf numFmtId="167" fontId="7" fillId="0" borderId="0" xfId="17" quotePrefix="1" applyNumberFormat="1" applyFont="1"/>
    <xf numFmtId="166" fontId="7" fillId="0" borderId="0" xfId="0" applyNumberFormat="1" applyFont="1"/>
    <xf numFmtId="168" fontId="7" fillId="0" borderId="0" xfId="0" applyNumberFormat="1" applyFont="1"/>
    <xf numFmtId="3" fontId="8" fillId="0" borderId="0" xfId="0" applyNumberFormat="1" applyFont="1"/>
    <xf numFmtId="4" fontId="8" fillId="0" borderId="0" xfId="0" applyNumberFormat="1" applyFont="1"/>
    <xf numFmtId="0" fontId="8" fillId="0" borderId="0" xfId="0" applyFont="1"/>
    <xf numFmtId="0" fontId="7" fillId="0" borderId="0" xfId="0" applyFont="1"/>
    <xf numFmtId="1" fontId="9" fillId="0" borderId="0" xfId="0" applyNumberFormat="1" applyFont="1"/>
    <xf numFmtId="169" fontId="7" fillId="0" borderId="0" xfId="2" applyNumberFormat="1" applyFont="1" applyBorder="1"/>
    <xf numFmtId="164" fontId="7" fillId="0" borderId="0" xfId="2" applyNumberFormat="1" applyFont="1" applyBorder="1"/>
    <xf numFmtId="165" fontId="7" fillId="0" borderId="0" xfId="0" applyNumberFormat="1" applyFont="1"/>
    <xf numFmtId="38" fontId="7" fillId="0" borderId="0" xfId="2" applyNumberFormat="1" applyFont="1" applyBorder="1"/>
    <xf numFmtId="3" fontId="7" fillId="0" borderId="0" xfId="0" applyNumberFormat="1" applyFont="1" applyAlignment="1">
      <alignment horizontal="center"/>
    </xf>
    <xf numFmtId="17" fontId="7" fillId="0" borderId="0" xfId="0" applyNumberFormat="1" applyFont="1"/>
    <xf numFmtId="164" fontId="7" fillId="0" borderId="0" xfId="17" applyNumberFormat="1" applyFont="1"/>
    <xf numFmtId="174" fontId="7" fillId="0" borderId="0" xfId="17" applyNumberFormat="1" applyFont="1"/>
    <xf numFmtId="173" fontId="7" fillId="0" borderId="0" xfId="17" applyNumberFormat="1" applyFont="1"/>
    <xf numFmtId="175" fontId="7" fillId="0" borderId="0" xfId="0" applyNumberFormat="1" applyFont="1"/>
    <xf numFmtId="175" fontId="7" fillId="0" borderId="0" xfId="17" applyNumberFormat="1" applyFont="1"/>
    <xf numFmtId="43" fontId="7" fillId="0" borderId="0" xfId="2" applyFont="1"/>
    <xf numFmtId="169" fontId="7" fillId="0" borderId="0" xfId="0" applyNumberFormat="1" applyFont="1"/>
    <xf numFmtId="164" fontId="10" fillId="0" borderId="0" xfId="0" applyNumberFormat="1" applyFont="1"/>
    <xf numFmtId="169" fontId="7" fillId="0" borderId="0" xfId="2" applyNumberFormat="1" applyFont="1" applyFill="1"/>
    <xf numFmtId="37" fontId="7" fillId="0" borderId="0" xfId="17" applyNumberFormat="1" applyFont="1"/>
    <xf numFmtId="176" fontId="7" fillId="0" borderId="0" xfId="0" applyNumberFormat="1" applyFont="1"/>
    <xf numFmtId="177" fontId="7" fillId="0" borderId="0" xfId="17" applyNumberFormat="1" applyFont="1"/>
    <xf numFmtId="3" fontId="11" fillId="0" borderId="0" xfId="0" applyNumberFormat="1" applyFont="1"/>
    <xf numFmtId="0" fontId="9" fillId="0" borderId="0" xfId="0" applyFont="1"/>
    <xf numFmtId="0" fontId="12" fillId="0" borderId="0" xfId="0" applyFont="1"/>
    <xf numFmtId="10" fontId="12" fillId="0" borderId="0" xfId="0" applyNumberFormat="1" applyFont="1"/>
    <xf numFmtId="10" fontId="7" fillId="0" borderId="0" xfId="17" applyNumberFormat="1" applyFont="1"/>
    <xf numFmtId="10" fontId="7" fillId="0" borderId="0" xfId="0" applyNumberFormat="1" applyFont="1"/>
    <xf numFmtId="10" fontId="10" fillId="0" borderId="0" xfId="0" applyNumberFormat="1" applyFont="1"/>
  </cellXfs>
  <cellStyles count="19">
    <cellStyle name="Availability" xfId="1" xr:uid="{00000000-0005-0000-0000-000000000000}"/>
    <cellStyle name="Comma" xfId="2" builtinId="3"/>
    <cellStyle name="Comma  - Style1" xfId="3" xr:uid="{00000000-0005-0000-0000-000002000000}"/>
    <cellStyle name="Comma  - Style2" xfId="4" xr:uid="{00000000-0005-0000-0000-000003000000}"/>
    <cellStyle name="Comma  - Style3" xfId="5" xr:uid="{00000000-0005-0000-0000-000004000000}"/>
    <cellStyle name="Comma  - Style4" xfId="6" xr:uid="{00000000-0005-0000-0000-000005000000}"/>
    <cellStyle name="Comma  - Style5" xfId="7" xr:uid="{00000000-0005-0000-0000-000006000000}"/>
    <cellStyle name="Comma  - Style6" xfId="8" xr:uid="{00000000-0005-0000-0000-000007000000}"/>
    <cellStyle name="Comma  - Style7" xfId="9" xr:uid="{00000000-0005-0000-0000-000008000000}"/>
    <cellStyle name="Comma  - Style8" xfId="10" xr:uid="{00000000-0005-0000-0000-000009000000}"/>
    <cellStyle name="Input Titles" xfId="11" xr:uid="{00000000-0005-0000-0000-00000A000000}"/>
    <cellStyle name="Input%" xfId="12" xr:uid="{00000000-0005-0000-0000-00000B000000}"/>
    <cellStyle name="InputDate" xfId="13" xr:uid="{00000000-0005-0000-0000-00000C000000}"/>
    <cellStyle name="InputDecimal" xfId="14" xr:uid="{00000000-0005-0000-0000-00000D000000}"/>
    <cellStyle name="InputValue" xfId="15" xr:uid="{00000000-0005-0000-0000-00000E000000}"/>
    <cellStyle name="Normal" xfId="0" builtinId="0"/>
    <cellStyle name="Normal - Style1" xfId="16" xr:uid="{00000000-0005-0000-0000-000010000000}"/>
    <cellStyle name="Percent" xfId="17" builtinId="5"/>
    <cellStyle name="Role" xfId="18" xr:uid="{00000000-0005-0000-0000-000012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3"/>
  <sheetData/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49"/>
  <sheetViews>
    <sheetView showGridLines="0" tabSelected="1" zoomScale="75" zoomScaleNormal="100" workbookViewId="0">
      <pane xSplit="1" ySplit="5" topLeftCell="B91" activePane="bottomRight" state="frozen"/>
      <selection pane="topRight" activeCell="B1" sqref="B1"/>
      <selection pane="bottomLeft" activeCell="A8" sqref="A8"/>
      <selection pane="bottomRight" activeCell="H104" sqref="H104"/>
    </sheetView>
  </sheetViews>
  <sheetFormatPr baseColWidth="10" defaultColWidth="9.33203125" defaultRowHeight="22" customHeight="1"/>
  <cols>
    <col min="1" max="1" width="28.83203125" style="17" customWidth="1"/>
    <col min="2" max="13" width="10.83203125" style="17" customWidth="1"/>
    <col min="14" max="17" width="10.83203125" style="17" hidden="1" customWidth="1"/>
    <col min="18" max="18" width="13" style="17" hidden="1" customWidth="1"/>
    <col min="19" max="22" width="10.83203125" style="17" customWidth="1"/>
    <col min="23" max="23" width="9.33203125" style="17"/>
    <col min="24" max="27" width="10.83203125" style="17" customWidth="1"/>
    <col min="28" max="28" width="9.33203125" style="17"/>
    <col min="29" max="32" width="10.83203125" style="17" customWidth="1"/>
    <col min="33" max="16384" width="9.33203125" style="17"/>
  </cols>
  <sheetData>
    <row r="1" spans="1:32" s="2" customFormat="1" ht="22" customHeight="1">
      <c r="A1" s="1"/>
    </row>
    <row r="2" spans="1:32" s="2" customFormat="1" ht="22" customHeight="1">
      <c r="A2" s="1"/>
    </row>
    <row r="3" spans="1:32" s="2" customFormat="1" ht="22" customHeight="1">
      <c r="A3" s="2" t="s">
        <v>11</v>
      </c>
      <c r="H3" s="40"/>
    </row>
    <row r="4" spans="1:32" s="2" customFormat="1" ht="22" customHeight="1">
      <c r="A4" s="2" t="s">
        <v>12</v>
      </c>
      <c r="O4" s="3">
        <v>2020</v>
      </c>
      <c r="P4" s="3"/>
      <c r="Q4" s="3"/>
      <c r="T4" s="3">
        <v>2021</v>
      </c>
      <c r="U4" s="3"/>
      <c r="V4" s="3"/>
      <c r="Y4" s="3">
        <v>2022</v>
      </c>
      <c r="Z4" s="3"/>
      <c r="AA4" s="3"/>
      <c r="AD4" s="3" t="s">
        <v>108</v>
      </c>
      <c r="AE4" s="3"/>
      <c r="AF4" s="3"/>
    </row>
    <row r="5" spans="1:32" s="2" customFormat="1" ht="22" customHeight="1">
      <c r="A5" s="2" t="s">
        <v>13</v>
      </c>
      <c r="B5" s="3">
        <v>2014</v>
      </c>
      <c r="C5" s="3">
        <v>2015</v>
      </c>
      <c r="D5" s="3">
        <v>2016</v>
      </c>
      <c r="E5" s="3">
        <v>2017</v>
      </c>
      <c r="F5" s="3">
        <v>2018</v>
      </c>
      <c r="G5" s="3">
        <v>2019</v>
      </c>
      <c r="H5" s="3">
        <v>2020</v>
      </c>
      <c r="I5" s="3">
        <v>2021</v>
      </c>
      <c r="J5" s="3">
        <v>2022</v>
      </c>
      <c r="K5" s="3" t="s">
        <v>108</v>
      </c>
      <c r="L5" s="3" t="s">
        <v>123</v>
      </c>
      <c r="M5" s="3"/>
      <c r="N5" s="26" t="s">
        <v>14</v>
      </c>
      <c r="O5" s="26" t="s">
        <v>15</v>
      </c>
      <c r="P5" s="26" t="s">
        <v>16</v>
      </c>
      <c r="Q5" s="26" t="s">
        <v>17</v>
      </c>
      <c r="S5" s="26" t="s">
        <v>14</v>
      </c>
      <c r="T5" s="26" t="s">
        <v>15</v>
      </c>
      <c r="U5" s="26" t="s">
        <v>16</v>
      </c>
      <c r="V5" s="26" t="s">
        <v>17</v>
      </c>
      <c r="X5" s="26" t="s">
        <v>14</v>
      </c>
      <c r="Y5" s="26" t="s">
        <v>15</v>
      </c>
      <c r="Z5" s="26" t="s">
        <v>16</v>
      </c>
      <c r="AA5" s="26" t="s">
        <v>17</v>
      </c>
      <c r="AC5" s="26" t="s">
        <v>14</v>
      </c>
      <c r="AD5" s="26" t="s">
        <v>15</v>
      </c>
      <c r="AE5" s="26" t="s">
        <v>16</v>
      </c>
      <c r="AF5" s="26" t="s">
        <v>17</v>
      </c>
    </row>
    <row r="6" spans="1:32" s="2" customFormat="1" ht="22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S6" s="4"/>
      <c r="T6" s="4"/>
      <c r="U6" s="4"/>
      <c r="V6" s="4"/>
      <c r="X6" s="4"/>
      <c r="Y6" s="4"/>
      <c r="Z6" s="4"/>
      <c r="AA6" s="4"/>
      <c r="AC6" s="4"/>
      <c r="AD6" s="4"/>
      <c r="AE6" s="4"/>
      <c r="AF6" s="4"/>
    </row>
    <row r="7" spans="1:32" s="2" customFormat="1" ht="22" customHeight="1">
      <c r="A7" s="5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7"/>
      <c r="O7" s="27"/>
      <c r="P7" s="27"/>
      <c r="Q7" s="27"/>
      <c r="S7" s="27"/>
      <c r="T7" s="27"/>
      <c r="U7" s="27"/>
      <c r="V7" s="27"/>
      <c r="X7" s="27"/>
      <c r="Y7" s="27"/>
      <c r="Z7" s="27"/>
      <c r="AA7" s="27"/>
      <c r="AC7" s="27"/>
      <c r="AD7" s="27"/>
      <c r="AE7" s="27"/>
      <c r="AF7" s="27"/>
    </row>
    <row r="8" spans="1:32" s="7" customFormat="1" ht="22" customHeight="1">
      <c r="A8" s="7" t="s">
        <v>19</v>
      </c>
      <c r="B8" s="9">
        <v>2.5000000000000001E-2</v>
      </c>
      <c r="C8" s="9">
        <v>0.04</v>
      </c>
      <c r="D8" s="9">
        <v>0.02</v>
      </c>
      <c r="E8" s="9">
        <v>0.01</v>
      </c>
      <c r="F8" s="9">
        <v>3.0000000000000001E-3</v>
      </c>
      <c r="G8" s="9">
        <v>-0.01</v>
      </c>
      <c r="H8" s="9">
        <v>0.02</v>
      </c>
      <c r="I8" s="9">
        <f>AVERAGE(S8:V8)</f>
        <v>-3.2500000000000001E-2</v>
      </c>
      <c r="J8" s="9">
        <v>-0.03</v>
      </c>
      <c r="K8" s="9">
        <f>AVERAGE(AC8:AF8)</f>
        <v>-9.9999999999999985E-3</v>
      </c>
      <c r="L8" s="9">
        <v>0.02</v>
      </c>
      <c r="M8" s="9"/>
      <c r="N8" s="7">
        <v>0.08</v>
      </c>
      <c r="O8" s="7">
        <v>0.02</v>
      </c>
      <c r="P8" s="7">
        <v>0.02</v>
      </c>
      <c r="Q8" s="7">
        <v>0.02</v>
      </c>
      <c r="S8" s="7">
        <v>-0.09</v>
      </c>
      <c r="T8" s="7">
        <v>-0.04</v>
      </c>
      <c r="U8" s="7">
        <v>0</v>
      </c>
      <c r="V8" s="7">
        <v>0</v>
      </c>
      <c r="X8" s="7">
        <v>0.02</v>
      </c>
      <c r="Y8" s="7">
        <v>-0.01</v>
      </c>
      <c r="Z8" s="7">
        <v>-0.05</v>
      </c>
      <c r="AA8" s="7">
        <v>-7.0000000000000007E-2</v>
      </c>
      <c r="AC8" s="7">
        <v>-0.05</v>
      </c>
      <c r="AD8" s="7">
        <v>-0.03</v>
      </c>
      <c r="AE8" s="7">
        <v>0.02</v>
      </c>
      <c r="AF8" s="7">
        <v>0.02</v>
      </c>
    </row>
    <row r="9" spans="1:32" s="7" customFormat="1" ht="22" customHeight="1">
      <c r="A9" s="7" t="s">
        <v>20</v>
      </c>
      <c r="B9" s="9">
        <v>1.7500000000000002E-2</v>
      </c>
      <c r="C9" s="9">
        <v>0</v>
      </c>
      <c r="D9" s="9">
        <v>0</v>
      </c>
      <c r="E9" s="9">
        <v>-0.01</v>
      </c>
      <c r="F9" s="9">
        <v>1.2999999999999999E-2</v>
      </c>
      <c r="G9" s="9">
        <v>0.04</v>
      </c>
      <c r="H9" s="9">
        <v>0.01</v>
      </c>
      <c r="I9" s="9">
        <f>AVERAGE(S9:V9)</f>
        <v>0.02</v>
      </c>
      <c r="J9" s="9">
        <v>0.1</v>
      </c>
      <c r="K9" s="9">
        <f t="shared" ref="K9:K11" si="0">AVERAGE(AC9:AF9)</f>
        <v>5.5000000000000007E-2</v>
      </c>
      <c r="L9" s="9">
        <v>0.01</v>
      </c>
      <c r="M9" s="9"/>
      <c r="N9" s="7">
        <v>0.02</v>
      </c>
      <c r="O9" s="7">
        <v>0.02</v>
      </c>
      <c r="P9" s="7">
        <v>0.01</v>
      </c>
      <c r="Q9" s="7">
        <v>0.03</v>
      </c>
      <c r="S9" s="7">
        <v>0.01</v>
      </c>
      <c r="T9" s="7">
        <v>0.01</v>
      </c>
      <c r="U9" s="7">
        <v>0.04</v>
      </c>
      <c r="V9" s="7">
        <v>0.02</v>
      </c>
      <c r="X9" s="7">
        <v>0.08</v>
      </c>
      <c r="Y9" s="7">
        <v>0.1</v>
      </c>
      <c r="Z9" s="7">
        <v>0.1</v>
      </c>
      <c r="AA9" s="7">
        <v>0.12</v>
      </c>
      <c r="AC9" s="7">
        <v>0.11</v>
      </c>
      <c r="AD9" s="7">
        <v>0.09</v>
      </c>
      <c r="AE9" s="7">
        <v>0.01</v>
      </c>
      <c r="AF9" s="7">
        <v>0.01</v>
      </c>
    </row>
    <row r="10" spans="1:32" s="7" customFormat="1" ht="22" customHeight="1">
      <c r="A10" s="7" t="s">
        <v>21</v>
      </c>
      <c r="B10" s="9">
        <v>-1.2500000000000001E-2</v>
      </c>
      <c r="C10" s="9">
        <v>-0.1</v>
      </c>
      <c r="D10" s="9">
        <v>-0.04</v>
      </c>
      <c r="E10" s="9">
        <v>0.01</v>
      </c>
      <c r="F10" s="9">
        <v>-8.0000000000000002E-3</v>
      </c>
      <c r="G10" s="9">
        <v>-0.03</v>
      </c>
      <c r="H10" s="9">
        <v>0</v>
      </c>
      <c r="I10" s="9">
        <f>AVERAGE(S10:V10)</f>
        <v>1.5000000000000001E-2</v>
      </c>
      <c r="J10" s="9">
        <v>-0.03</v>
      </c>
      <c r="K10" s="9">
        <f t="shared" si="0"/>
        <v>-0.02</v>
      </c>
      <c r="L10" s="9">
        <v>0</v>
      </c>
      <c r="M10" s="9"/>
      <c r="N10" s="7">
        <v>-0.02</v>
      </c>
      <c r="O10" s="7">
        <v>0</v>
      </c>
      <c r="P10" s="7">
        <v>-0.02</v>
      </c>
      <c r="Q10" s="7">
        <v>-0.01</v>
      </c>
      <c r="S10" s="7">
        <v>0.01</v>
      </c>
      <c r="T10" s="7">
        <v>0.03</v>
      </c>
      <c r="U10" s="7">
        <v>0.01</v>
      </c>
      <c r="V10" s="7">
        <v>0.01</v>
      </c>
      <c r="X10" s="7">
        <v>-0.02</v>
      </c>
      <c r="Y10" s="7">
        <v>-0.02</v>
      </c>
      <c r="Z10" s="7">
        <v>-0.04</v>
      </c>
      <c r="AA10" s="7">
        <v>-0.05</v>
      </c>
      <c r="AC10" s="7">
        <v>-0.04</v>
      </c>
      <c r="AD10" s="7">
        <v>-0.04</v>
      </c>
      <c r="AE10" s="7">
        <v>0</v>
      </c>
      <c r="AF10" s="7">
        <v>0</v>
      </c>
    </row>
    <row r="11" spans="1:32" s="7" customFormat="1" ht="22" customHeight="1">
      <c r="A11" s="7" t="s">
        <v>22</v>
      </c>
      <c r="B11" s="9">
        <v>-0.01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f>AVERAGE(S11:V11)</f>
        <v>1.4999999999999999E-2</v>
      </c>
      <c r="J11" s="9">
        <f t="shared" ref="J11" si="1">AVERAGE(X11:AA11)</f>
        <v>-2.5000000000000001E-3</v>
      </c>
      <c r="K11" s="9">
        <f t="shared" si="0"/>
        <v>0</v>
      </c>
      <c r="L11" s="9">
        <v>0</v>
      </c>
      <c r="M11" s="9"/>
      <c r="N11" s="7">
        <v>0</v>
      </c>
      <c r="O11" s="7">
        <v>-0.04</v>
      </c>
      <c r="P11" s="7">
        <v>0</v>
      </c>
      <c r="Q11" s="7">
        <v>0.02</v>
      </c>
      <c r="S11" s="7">
        <v>0.02</v>
      </c>
      <c r="T11" s="7">
        <v>0.02</v>
      </c>
      <c r="U11" s="7">
        <v>0.02</v>
      </c>
      <c r="V11" s="7">
        <v>0</v>
      </c>
      <c r="X11" s="7">
        <v>-0.01</v>
      </c>
      <c r="Y11" s="7">
        <v>0</v>
      </c>
      <c r="Z11" s="7">
        <v>0</v>
      </c>
      <c r="AA11" s="7">
        <v>0</v>
      </c>
      <c r="AC11" s="7">
        <v>0</v>
      </c>
      <c r="AD11" s="7">
        <v>0</v>
      </c>
      <c r="AE11" s="7">
        <v>0</v>
      </c>
      <c r="AF11" s="7">
        <v>0</v>
      </c>
    </row>
    <row r="12" spans="1:32" s="2" customFormat="1" ht="22" customHeight="1">
      <c r="A12" s="2" t="s">
        <v>23</v>
      </c>
      <c r="B12" s="9">
        <f t="shared" ref="B12:L12" si="2">SUM(B8:B11)</f>
        <v>2.0000000000000004E-2</v>
      </c>
      <c r="C12" s="9">
        <f t="shared" si="2"/>
        <v>-6.0000000000000005E-2</v>
      </c>
      <c r="D12" s="9">
        <f t="shared" si="2"/>
        <v>-0.02</v>
      </c>
      <c r="E12" s="9">
        <f t="shared" si="2"/>
        <v>0.01</v>
      </c>
      <c r="F12" s="9">
        <f t="shared" si="2"/>
        <v>8.0000000000000002E-3</v>
      </c>
      <c r="G12" s="9">
        <f t="shared" si="2"/>
        <v>0</v>
      </c>
      <c r="H12" s="9">
        <f t="shared" si="2"/>
        <v>0.03</v>
      </c>
      <c r="I12" s="9">
        <f t="shared" si="2"/>
        <v>1.7500000000000002E-2</v>
      </c>
      <c r="J12" s="9">
        <f t="shared" si="2"/>
        <v>3.7500000000000006E-2</v>
      </c>
      <c r="K12" s="9">
        <f t="shared" si="2"/>
        <v>2.5000000000000012E-2</v>
      </c>
      <c r="L12" s="9">
        <f t="shared" si="2"/>
        <v>0.03</v>
      </c>
      <c r="M12" s="9"/>
      <c r="N12" s="7">
        <f>SUM(N8:N11)</f>
        <v>0.08</v>
      </c>
      <c r="O12" s="7">
        <f>SUM(O8:O11)</f>
        <v>0</v>
      </c>
      <c r="P12" s="7">
        <f>SUM(P8:P11)</f>
        <v>9.9999999999999985E-3</v>
      </c>
      <c r="Q12" s="7">
        <f>SUM(Q8:Q11)</f>
        <v>0.06</v>
      </c>
      <c r="S12" s="7">
        <f>SUM(S8:S11)</f>
        <v>-0.05</v>
      </c>
      <c r="T12" s="7">
        <f>SUM(T8:T11)</f>
        <v>0.02</v>
      </c>
      <c r="U12" s="7">
        <f>SUM(U8:U11)</f>
        <v>7.0000000000000007E-2</v>
      </c>
      <c r="V12" s="7">
        <f>SUM(V8:V11)</f>
        <v>0.03</v>
      </c>
      <c r="X12" s="7">
        <f>SUM(X8:X11)</f>
        <v>7.0000000000000007E-2</v>
      </c>
      <c r="Y12" s="7">
        <f>SUM(Y8:Y11)</f>
        <v>7.0000000000000007E-2</v>
      </c>
      <c r="Z12" s="7">
        <f>SUM(Z8:Z11)</f>
        <v>1.0000000000000002E-2</v>
      </c>
      <c r="AA12" s="7">
        <f>SUM(AA8:AA11)</f>
        <v>-1.3877787807814457E-17</v>
      </c>
      <c r="AC12" s="7">
        <f t="shared" ref="AC12:AE12" si="3">SUM(AC8:AC11)</f>
        <v>1.9999999999999997E-2</v>
      </c>
      <c r="AD12" s="7">
        <f t="shared" si="3"/>
        <v>1.9999999999999997E-2</v>
      </c>
      <c r="AE12" s="7">
        <f t="shared" si="3"/>
        <v>0.03</v>
      </c>
      <c r="AF12" s="7">
        <f>SUM(AF8:AF11)</f>
        <v>0.03</v>
      </c>
    </row>
    <row r="13" spans="1:32" s="2" customFormat="1" ht="22" customHeight="1">
      <c r="N13" s="7"/>
      <c r="O13" s="7"/>
      <c r="P13" s="7"/>
      <c r="Q13" s="7"/>
      <c r="S13" s="7"/>
      <c r="T13" s="7"/>
      <c r="U13" s="7"/>
      <c r="V13" s="7"/>
      <c r="X13" s="7"/>
      <c r="Y13" s="7"/>
      <c r="Z13" s="7"/>
      <c r="AA13" s="7"/>
      <c r="AC13" s="7"/>
      <c r="AD13" s="7"/>
      <c r="AE13" s="7"/>
      <c r="AF13" s="7"/>
    </row>
    <row r="14" spans="1:32" s="2" customFormat="1" ht="22" customHeight="1">
      <c r="A14" s="2" t="s">
        <v>24</v>
      </c>
      <c r="N14"/>
      <c r="O14" s="7"/>
      <c r="P14" s="7"/>
      <c r="Q14" s="7"/>
      <c r="S14"/>
      <c r="T14"/>
      <c r="U14"/>
      <c r="V14"/>
      <c r="X14"/>
      <c r="Y14"/>
      <c r="Z14"/>
      <c r="AA14"/>
      <c r="AC14"/>
      <c r="AD14"/>
      <c r="AE14"/>
      <c r="AF14"/>
    </row>
    <row r="15" spans="1:32" s="10" customFormat="1" ht="22" customHeight="1">
      <c r="A15" s="10" t="s">
        <v>25</v>
      </c>
      <c r="B15" s="10">
        <v>9635</v>
      </c>
      <c r="C15" s="10">
        <v>9204</v>
      </c>
      <c r="D15" s="10">
        <v>9046</v>
      </c>
      <c r="E15" s="10">
        <v>9078</v>
      </c>
      <c r="F15" s="10">
        <v>9037</v>
      </c>
      <c r="G15" s="10">
        <v>9108</v>
      </c>
      <c r="H15" s="10">
        <v>9339</v>
      </c>
      <c r="I15" s="10">
        <v>10267</v>
      </c>
      <c r="J15" s="10">
        <v>10622</v>
      </c>
      <c r="K15" s="10">
        <f>SUM(AC15:AF15)</f>
        <v>10814</v>
      </c>
      <c r="L15" s="10">
        <v>11200</v>
      </c>
      <c r="N15" s="10">
        <v>2422</v>
      </c>
      <c r="O15" s="10">
        <v>2229</v>
      </c>
      <c r="P15" s="10">
        <v>2339</v>
      </c>
      <c r="Q15" s="10">
        <v>2349</v>
      </c>
      <c r="S15" s="10">
        <v>2462</v>
      </c>
      <c r="T15" s="10">
        <v>2517</v>
      </c>
      <c r="U15" s="10">
        <v>2656</v>
      </c>
      <c r="V15" s="10">
        <v>2632</v>
      </c>
      <c r="X15" s="10">
        <v>2729</v>
      </c>
      <c r="Y15" s="10">
        <v>2710</v>
      </c>
      <c r="Z15" s="10">
        <v>2628</v>
      </c>
      <c r="AA15" s="10">
        <v>2555</v>
      </c>
      <c r="AC15" s="10">
        <v>2704</v>
      </c>
      <c r="AD15" s="10">
        <v>2685</v>
      </c>
      <c r="AE15" s="10">
        <v>2725</v>
      </c>
      <c r="AF15" s="10">
        <v>2700</v>
      </c>
    </row>
    <row r="16" spans="1:32" s="2" customFormat="1" ht="22" customHeight="1">
      <c r="A16" s="2" t="s">
        <v>0</v>
      </c>
      <c r="B16" s="12">
        <v>6645</v>
      </c>
      <c r="C16" s="12">
        <v>6121</v>
      </c>
      <c r="D16" s="12">
        <v>5967</v>
      </c>
      <c r="E16" s="12">
        <v>5932</v>
      </c>
      <c r="F16" s="12">
        <v>6015</v>
      </c>
      <c r="G16" s="31">
        <v>5993</v>
      </c>
      <c r="H16" s="12">
        <v>6718</v>
      </c>
      <c r="I16" s="12">
        <v>6034</v>
      </c>
      <c r="J16" s="12">
        <v>6243</v>
      </c>
      <c r="K16" s="12">
        <f>SUM(AC16:AF16)</f>
        <v>6358</v>
      </c>
      <c r="L16" s="12">
        <v>6557</v>
      </c>
      <c r="M16" s="12"/>
      <c r="N16" s="11">
        <v>1723</v>
      </c>
      <c r="O16" s="11">
        <v>1645</v>
      </c>
      <c r="P16" s="11">
        <v>1623</v>
      </c>
      <c r="Q16" s="11">
        <v>1727</v>
      </c>
      <c r="S16" s="11">
        <v>1510</v>
      </c>
      <c r="T16" s="11">
        <v>1424</v>
      </c>
      <c r="U16" s="11">
        <v>1541</v>
      </c>
      <c r="V16" s="11">
        <v>1559</v>
      </c>
      <c r="X16" s="11">
        <v>1568</v>
      </c>
      <c r="Y16" s="11">
        <v>1537</v>
      </c>
      <c r="Z16" s="11">
        <v>1578</v>
      </c>
      <c r="AA16" s="11">
        <v>1560</v>
      </c>
      <c r="AC16" s="11">
        <v>1634</v>
      </c>
      <c r="AD16" s="11">
        <v>1549</v>
      </c>
      <c r="AE16" s="11">
        <v>1600</v>
      </c>
      <c r="AF16" s="11">
        <v>1575</v>
      </c>
    </row>
    <row r="17" spans="1:32" s="2" customFormat="1" ht="22" customHeight="1">
      <c r="A17" s="2" t="s">
        <v>111</v>
      </c>
      <c r="B17" s="12">
        <v>3388</v>
      </c>
      <c r="C17" s="12">
        <v>3219</v>
      </c>
      <c r="D17" s="12">
        <v>3150</v>
      </c>
      <c r="E17" s="12">
        <v>3208</v>
      </c>
      <c r="F17" s="12">
        <v>3382</v>
      </c>
      <c r="G17" s="31">
        <v>3292</v>
      </c>
      <c r="H17" s="12">
        <v>3019</v>
      </c>
      <c r="I17" s="12">
        <v>3072</v>
      </c>
      <c r="J17" s="12">
        <v>3256</v>
      </c>
      <c r="K17" s="12">
        <f t="shared" ref="K17:K18" si="4">SUM(AC17:AF17)</f>
        <v>3399</v>
      </c>
      <c r="L17" s="12">
        <v>3200</v>
      </c>
      <c r="M17" s="12"/>
      <c r="N17" s="11">
        <v>848</v>
      </c>
      <c r="O17" s="11">
        <v>724</v>
      </c>
      <c r="P17" s="11">
        <v>705</v>
      </c>
      <c r="Q17" s="36">
        <v>742</v>
      </c>
      <c r="S17" s="11">
        <v>752</v>
      </c>
      <c r="T17" s="11">
        <v>765</v>
      </c>
      <c r="U17" s="11">
        <v>797</v>
      </c>
      <c r="V17" s="36">
        <v>758</v>
      </c>
      <c r="X17" s="36">
        <v>780</v>
      </c>
      <c r="Y17" s="36">
        <v>802</v>
      </c>
      <c r="Z17" s="36">
        <v>836</v>
      </c>
      <c r="AA17" s="36">
        <v>838</v>
      </c>
      <c r="AC17" s="36">
        <v>847</v>
      </c>
      <c r="AD17" s="36">
        <v>887</v>
      </c>
      <c r="AE17" s="36">
        <v>840</v>
      </c>
      <c r="AF17" s="36">
        <v>825</v>
      </c>
    </row>
    <row r="18" spans="1:32" s="13" customFormat="1" ht="22" customHeight="1">
      <c r="A18" s="13" t="s">
        <v>26</v>
      </c>
      <c r="B18" s="12">
        <v>56</v>
      </c>
      <c r="C18" s="12">
        <v>47</v>
      </c>
      <c r="D18" s="12">
        <v>39</v>
      </c>
      <c r="E18" s="12">
        <v>41</v>
      </c>
      <c r="F18" s="12">
        <v>52</v>
      </c>
      <c r="G18" s="31">
        <v>57</v>
      </c>
      <c r="H18" s="12">
        <v>64</v>
      </c>
      <c r="I18" s="12">
        <v>67</v>
      </c>
      <c r="J18" s="12">
        <v>54</v>
      </c>
      <c r="K18" s="12">
        <f t="shared" si="4"/>
        <v>55</v>
      </c>
      <c r="L18" s="12">
        <v>60</v>
      </c>
      <c r="M18" s="12"/>
      <c r="N18" s="11">
        <v>16</v>
      </c>
      <c r="O18" s="11">
        <v>14</v>
      </c>
      <c r="P18" s="11">
        <v>16</v>
      </c>
      <c r="Q18" s="11">
        <v>18</v>
      </c>
      <c r="S18" s="11">
        <v>19</v>
      </c>
      <c r="T18" s="11">
        <v>16</v>
      </c>
      <c r="U18" s="11">
        <v>16</v>
      </c>
      <c r="V18" s="11">
        <v>16</v>
      </c>
      <c r="X18" s="11">
        <v>18</v>
      </c>
      <c r="Y18" s="11">
        <v>14</v>
      </c>
      <c r="Z18" s="11">
        <v>11</v>
      </c>
      <c r="AA18" s="11">
        <v>11</v>
      </c>
      <c r="AC18" s="11">
        <v>10</v>
      </c>
      <c r="AD18" s="11">
        <v>13</v>
      </c>
      <c r="AE18" s="11">
        <v>16</v>
      </c>
      <c r="AF18" s="11">
        <v>16</v>
      </c>
    </row>
    <row r="19" spans="1:32" s="2" customFormat="1" ht="22" customHeight="1">
      <c r="A19" s="2" t="s">
        <v>27</v>
      </c>
      <c r="B19" s="10">
        <f t="shared" ref="B19:K19" si="5">SUM(B15:B18)</f>
        <v>19724</v>
      </c>
      <c r="C19" s="10">
        <f t="shared" si="5"/>
        <v>18591</v>
      </c>
      <c r="D19" s="10">
        <f t="shared" si="5"/>
        <v>18202</v>
      </c>
      <c r="E19" s="10">
        <f t="shared" si="5"/>
        <v>18259</v>
      </c>
      <c r="F19" s="10">
        <f t="shared" si="5"/>
        <v>18486</v>
      </c>
      <c r="G19" s="10">
        <f t="shared" si="5"/>
        <v>18450</v>
      </c>
      <c r="H19" s="10">
        <f t="shared" si="5"/>
        <v>19140</v>
      </c>
      <c r="I19" s="10">
        <f t="shared" si="5"/>
        <v>19440</v>
      </c>
      <c r="J19" s="10">
        <f t="shared" si="5"/>
        <v>20175</v>
      </c>
      <c r="K19" s="10">
        <f t="shared" si="5"/>
        <v>20626</v>
      </c>
      <c r="L19" s="10">
        <f t="shared" ref="L19" si="6">SUM(L15:L18)</f>
        <v>21017</v>
      </c>
      <c r="M19" s="10"/>
      <c r="N19" s="10">
        <f>SUM(N15:N18)</f>
        <v>5009</v>
      </c>
      <c r="O19" s="10">
        <f>SUM(O15:O18)</f>
        <v>4612</v>
      </c>
      <c r="P19" s="10">
        <f>SUM(P15:P18)</f>
        <v>4683</v>
      </c>
      <c r="Q19" s="10">
        <f>SUM(Q15:Q18)</f>
        <v>4836</v>
      </c>
      <c r="S19" s="10">
        <f>SUM(S15:S18)</f>
        <v>4743</v>
      </c>
      <c r="T19" s="10">
        <f>SUM(T15:T18)</f>
        <v>4722</v>
      </c>
      <c r="U19" s="10">
        <f>SUM(U15:U18)</f>
        <v>5010</v>
      </c>
      <c r="V19" s="10">
        <f>SUM(V15:V18)</f>
        <v>4965</v>
      </c>
      <c r="X19" s="10">
        <f>SUM(X15:X18)</f>
        <v>5095</v>
      </c>
      <c r="Y19" s="10">
        <f>SUM(Y15:Y18)</f>
        <v>5063</v>
      </c>
      <c r="Z19" s="10">
        <f>SUM(Z15:Z18)</f>
        <v>5053</v>
      </c>
      <c r="AA19" s="10">
        <f>SUM(AA15:AA18)</f>
        <v>4964</v>
      </c>
      <c r="AC19" s="10">
        <f t="shared" ref="AC19:AE19" si="7">SUM(AC15:AC18)</f>
        <v>5195</v>
      </c>
      <c r="AD19" s="10">
        <f t="shared" si="7"/>
        <v>5134</v>
      </c>
      <c r="AE19" s="10">
        <f t="shared" si="7"/>
        <v>5181</v>
      </c>
      <c r="AF19" s="10">
        <f>SUM(AF15:AF18)</f>
        <v>5116</v>
      </c>
    </row>
    <row r="20" spans="1:32" s="7" customFormat="1" ht="22" customHeight="1">
      <c r="A20" s="7" t="s">
        <v>28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33"/>
      <c r="O20" s="33"/>
      <c r="P20" s="33"/>
      <c r="Q20" s="33"/>
      <c r="S20" s="33"/>
      <c r="T20" s="33"/>
      <c r="U20" s="33"/>
      <c r="V20" s="33"/>
      <c r="X20" s="33"/>
      <c r="Y20" s="33"/>
      <c r="Z20" s="33"/>
      <c r="AA20" s="33"/>
      <c r="AC20" s="33"/>
      <c r="AD20" s="33"/>
      <c r="AE20" s="33"/>
      <c r="AF20" s="33"/>
    </row>
    <row r="21" spans="1:32" s="2" customFormat="1" ht="22" customHeight="1">
      <c r="A21" s="2" t="s">
        <v>29</v>
      </c>
      <c r="B21" s="12">
        <v>12949</v>
      </c>
      <c r="C21" s="12">
        <v>11917</v>
      </c>
      <c r="D21" s="12">
        <v>11545</v>
      </c>
      <c r="E21" s="12">
        <v>11706</v>
      </c>
      <c r="F21" s="12">
        <v>12348</v>
      </c>
      <c r="G21" s="31">
        <v>11999</v>
      </c>
      <c r="H21" s="12">
        <v>12035</v>
      </c>
      <c r="I21" s="12">
        <v>13298</v>
      </c>
      <c r="J21" s="12">
        <v>13956</v>
      </c>
      <c r="K21" s="12">
        <f>SUM(AC21:AF21)</f>
        <v>13808.125</v>
      </c>
      <c r="L21" s="12">
        <f>+L19-L22</f>
        <v>14291.56</v>
      </c>
      <c r="M21" s="12"/>
      <c r="N21" s="2">
        <v>3148</v>
      </c>
      <c r="O21" s="2">
        <v>2775</v>
      </c>
      <c r="P21" s="2">
        <v>2986</v>
      </c>
      <c r="Q21" s="2">
        <v>3126</v>
      </c>
      <c r="S21" s="2">
        <v>3129</v>
      </c>
      <c r="T21" s="2">
        <v>3217</v>
      </c>
      <c r="U21" s="2">
        <v>3479</v>
      </c>
      <c r="V21" s="2">
        <v>3473</v>
      </c>
      <c r="X21" s="2">
        <v>3575</v>
      </c>
      <c r="Y21" s="2">
        <v>3534</v>
      </c>
      <c r="Z21" s="2">
        <v>3510</v>
      </c>
      <c r="AA21" s="2">
        <v>3337</v>
      </c>
      <c r="AC21" s="2">
        <v>3469</v>
      </c>
      <c r="AD21" s="2">
        <v>3388</v>
      </c>
      <c r="AE21" s="2">
        <f t="shared" ref="AE21" si="8">+AE19-AE22</f>
        <v>3548.9849999999997</v>
      </c>
      <c r="AF21" s="2">
        <f>+AF19-AF22</f>
        <v>3402.14</v>
      </c>
    </row>
    <row r="22" spans="1:32" s="2" customFormat="1" ht="22" customHeight="1">
      <c r="A22" s="2" t="s">
        <v>30</v>
      </c>
      <c r="B22" s="10">
        <f>+B19-B21</f>
        <v>6775</v>
      </c>
      <c r="C22" s="10">
        <f>+C19-C21</f>
        <v>6674</v>
      </c>
      <c r="D22" s="10">
        <f t="shared" ref="D22:I22" si="9">+D19-D21</f>
        <v>6657</v>
      </c>
      <c r="E22" s="10">
        <f t="shared" si="9"/>
        <v>6553</v>
      </c>
      <c r="F22" s="10">
        <f t="shared" si="9"/>
        <v>6138</v>
      </c>
      <c r="G22" s="10">
        <f t="shared" si="9"/>
        <v>6451</v>
      </c>
      <c r="H22" s="10">
        <f t="shared" si="9"/>
        <v>7105</v>
      </c>
      <c r="I22" s="10">
        <f t="shared" si="9"/>
        <v>6142</v>
      </c>
      <c r="J22" s="10">
        <f t="shared" ref="J22:K22" si="10">+J19-J21</f>
        <v>6219</v>
      </c>
      <c r="K22" s="10">
        <f t="shared" si="10"/>
        <v>6817.875</v>
      </c>
      <c r="L22" s="10">
        <f>+L19*L23</f>
        <v>6725.4400000000005</v>
      </c>
      <c r="M22" s="10"/>
      <c r="N22" s="10">
        <f>+N19-N21</f>
        <v>1861</v>
      </c>
      <c r="O22" s="10">
        <f>+O19-O21</f>
        <v>1837</v>
      </c>
      <c r="P22" s="10">
        <f>+P19-P21</f>
        <v>1697</v>
      </c>
      <c r="Q22" s="10">
        <f>+Q19-Q21</f>
        <v>1710</v>
      </c>
      <c r="S22" s="10">
        <f>+S19-S21</f>
        <v>1614</v>
      </c>
      <c r="T22" s="10">
        <f>+T19-T21</f>
        <v>1505</v>
      </c>
      <c r="U22" s="10">
        <f>+U19-U21</f>
        <v>1531</v>
      </c>
      <c r="V22" s="10">
        <f>+V19-V21</f>
        <v>1492</v>
      </c>
      <c r="X22" s="10">
        <f>+X19-X21</f>
        <v>1520</v>
      </c>
      <c r="Y22" s="10">
        <f>+Y19-Y21</f>
        <v>1529</v>
      </c>
      <c r="Z22" s="10">
        <f>+Z19-Z21</f>
        <v>1543</v>
      </c>
      <c r="AA22" s="10">
        <f>+AA19-AA21</f>
        <v>1627</v>
      </c>
      <c r="AC22" s="10">
        <f>+AC19-AC21</f>
        <v>1726</v>
      </c>
      <c r="AD22" s="10">
        <f>+AD19-AD21</f>
        <v>1746</v>
      </c>
      <c r="AE22" s="10">
        <f t="shared" ref="AE22" si="11">+AE19*AE23</f>
        <v>1632.0150000000001</v>
      </c>
      <c r="AF22" s="10">
        <f>+AF19*AF23</f>
        <v>1713.8600000000001</v>
      </c>
    </row>
    <row r="23" spans="1:32" s="2" customFormat="1" ht="22" customHeight="1">
      <c r="A23" s="2" t="s">
        <v>31</v>
      </c>
      <c r="B23" s="8">
        <f>+B22/B19</f>
        <v>0.343490164266883</v>
      </c>
      <c r="C23" s="8">
        <f>+C22/C19</f>
        <v>0.35899090957990426</v>
      </c>
      <c r="D23" s="8">
        <f t="shared" ref="D23:I23" si="12">+D22/D19</f>
        <v>0.3657290407647511</v>
      </c>
      <c r="E23" s="8">
        <f t="shared" si="12"/>
        <v>0.35889150555890248</v>
      </c>
      <c r="F23" s="8">
        <f t="shared" si="12"/>
        <v>0.33203505355404089</v>
      </c>
      <c r="G23" s="8">
        <f t="shared" si="12"/>
        <v>0.34964769647696475</v>
      </c>
      <c r="H23" s="8">
        <f t="shared" si="12"/>
        <v>0.37121212121212122</v>
      </c>
      <c r="I23" s="8">
        <f t="shared" si="12"/>
        <v>0.31594650205761315</v>
      </c>
      <c r="J23" s="8">
        <f t="shared" ref="J23:K23" si="13">+J22/J19</f>
        <v>0.30825278810408924</v>
      </c>
      <c r="K23" s="8">
        <f t="shared" si="13"/>
        <v>0.33054760981285758</v>
      </c>
      <c r="L23" s="8">
        <v>0.32</v>
      </c>
      <c r="M23" s="8"/>
      <c r="N23" s="8">
        <f>+N22/N19</f>
        <v>0.37153124376122981</v>
      </c>
      <c r="O23" s="8">
        <f>+O22/O19</f>
        <v>0.39830875975715524</v>
      </c>
      <c r="P23" s="8">
        <f>+P22/P19</f>
        <v>0.36237454623104848</v>
      </c>
      <c r="Q23" s="8">
        <f>+Q22/Q19</f>
        <v>0.35359801488833748</v>
      </c>
      <c r="S23" s="8">
        <f>+S22/S19</f>
        <v>0.34029095509171409</v>
      </c>
      <c r="T23" s="8">
        <f>+T22/T19</f>
        <v>0.31872088098263446</v>
      </c>
      <c r="U23" s="8">
        <f>+U22/U19</f>
        <v>0.30558882235528945</v>
      </c>
      <c r="V23" s="8">
        <f>+V22/V19</f>
        <v>0.30050352467270897</v>
      </c>
      <c r="X23" s="8">
        <f>+X22/X19</f>
        <v>0.2983316977428852</v>
      </c>
      <c r="Y23" s="8">
        <f>+Y22/Y19</f>
        <v>0.30199486470472053</v>
      </c>
      <c r="Z23" s="8">
        <f>+Z22/Z19</f>
        <v>0.30536315060360181</v>
      </c>
      <c r="AA23" s="8">
        <f>+AA22/AA19</f>
        <v>0.32775987107171634</v>
      </c>
      <c r="AC23" s="8">
        <f>+AC22/AC19</f>
        <v>0.33224254090471605</v>
      </c>
      <c r="AD23" s="8">
        <f>+AD22/AD19</f>
        <v>0.34008570315543435</v>
      </c>
      <c r="AE23" s="8">
        <v>0.315</v>
      </c>
      <c r="AF23" s="8">
        <v>0.33500000000000002</v>
      </c>
    </row>
    <row r="24" spans="1:32" s="2" customFormat="1" ht="22" customHeight="1">
      <c r="A24" s="2" t="s">
        <v>1</v>
      </c>
      <c r="B24" s="12">
        <v>3595</v>
      </c>
      <c r="C24" s="12">
        <v>3402</v>
      </c>
      <c r="D24" s="12">
        <v>3294</v>
      </c>
      <c r="E24" s="12">
        <v>3227</v>
      </c>
      <c r="F24" s="12">
        <v>2987</v>
      </c>
      <c r="G24" s="31">
        <v>3155</v>
      </c>
      <c r="H24" s="12">
        <v>3491</v>
      </c>
      <c r="I24" s="12">
        <v>3288</v>
      </c>
      <c r="J24" s="12">
        <v>3560</v>
      </c>
      <c r="K24" s="12">
        <f>SUM(AC24:AF24)</f>
        <v>3739</v>
      </c>
      <c r="L24" s="12">
        <v>3700</v>
      </c>
      <c r="M24" s="12"/>
      <c r="N24" s="11">
        <v>850</v>
      </c>
      <c r="O24" s="11">
        <v>817</v>
      </c>
      <c r="P24" s="11">
        <v>885</v>
      </c>
      <c r="Q24" s="11">
        <v>939</v>
      </c>
      <c r="S24" s="11">
        <v>806</v>
      </c>
      <c r="T24" s="11">
        <v>824</v>
      </c>
      <c r="U24" s="11">
        <v>780</v>
      </c>
      <c r="V24" s="11">
        <v>878</v>
      </c>
      <c r="X24" s="11">
        <v>865</v>
      </c>
      <c r="Y24" s="11">
        <v>906</v>
      </c>
      <c r="Z24" s="11">
        <v>873</v>
      </c>
      <c r="AA24" s="11">
        <v>916</v>
      </c>
      <c r="AC24" s="11">
        <v>924</v>
      </c>
      <c r="AD24" s="11">
        <v>1000</v>
      </c>
      <c r="AE24" s="11">
        <v>890</v>
      </c>
      <c r="AF24" s="11">
        <v>925</v>
      </c>
    </row>
    <row r="25" spans="1:32" s="2" customFormat="1" ht="22" customHeight="1">
      <c r="B25" s="8">
        <f t="shared" ref="B25:K25" si="14">+B24/B19</f>
        <v>0.18226526059622794</v>
      </c>
      <c r="C25" s="8">
        <f t="shared" si="14"/>
        <v>0.1829917702113926</v>
      </c>
      <c r="D25" s="8">
        <f t="shared" si="14"/>
        <v>0.18096912427205802</v>
      </c>
      <c r="E25" s="8">
        <f t="shared" si="14"/>
        <v>0.1767347609398105</v>
      </c>
      <c r="F25" s="8">
        <f t="shared" si="14"/>
        <v>0.16158173753110461</v>
      </c>
      <c r="G25" s="8">
        <f t="shared" si="14"/>
        <v>0.17100271002710027</v>
      </c>
      <c r="H25" s="8">
        <f t="shared" si="14"/>
        <v>0.18239289446185997</v>
      </c>
      <c r="I25" s="8">
        <f t="shared" si="14"/>
        <v>0.16913580246913582</v>
      </c>
      <c r="J25" s="8">
        <f t="shared" si="14"/>
        <v>0.17645600991325899</v>
      </c>
      <c r="K25" s="8">
        <f t="shared" si="14"/>
        <v>0.18127605934257732</v>
      </c>
      <c r="L25" s="8">
        <f t="shared" ref="L25" si="15">+L24/L19</f>
        <v>0.17604796117428748</v>
      </c>
      <c r="M25" s="8"/>
      <c r="N25" s="8">
        <f>+N24/N19</f>
        <v>0.16969454981034138</v>
      </c>
      <c r="O25" s="8">
        <f>+O24/O19</f>
        <v>0.17714657415437987</v>
      </c>
      <c r="P25" s="8">
        <f>+P24/P19</f>
        <v>0.18898142216527866</v>
      </c>
      <c r="Q25" s="8">
        <f>+Q24/Q19</f>
        <v>0.19416873449131514</v>
      </c>
      <c r="S25" s="8">
        <f>+S24/S19</f>
        <v>0.16993464052287582</v>
      </c>
      <c r="T25" s="8">
        <f>+T24/T19</f>
        <v>0.17450232952138925</v>
      </c>
      <c r="U25" s="8">
        <f>+U24/U19</f>
        <v>0.15568862275449102</v>
      </c>
      <c r="V25" s="8">
        <f>+V24/V19</f>
        <v>0.17683786505538771</v>
      </c>
      <c r="X25" s="8">
        <f>+X24/X19</f>
        <v>0.16977428851815504</v>
      </c>
      <c r="Y25" s="8">
        <f>+Y24/Y19</f>
        <v>0.17894528935413787</v>
      </c>
      <c r="Z25" s="8">
        <f>+Z24/Z19</f>
        <v>0.17276865228577082</v>
      </c>
      <c r="AA25" s="8">
        <f>+AA24/AA19</f>
        <v>0.18452860596293311</v>
      </c>
      <c r="AC25" s="8">
        <f t="shared" ref="AC25:AE25" si="16">+AC24/AC19</f>
        <v>0.17786333012512032</v>
      </c>
      <c r="AD25" s="8">
        <f t="shared" si="16"/>
        <v>0.19477989871445267</v>
      </c>
      <c r="AE25" s="8">
        <f t="shared" si="16"/>
        <v>0.17178150936112718</v>
      </c>
      <c r="AF25" s="8">
        <f>+AF24/AF19</f>
        <v>0.18080531665363564</v>
      </c>
    </row>
    <row r="26" spans="1:32" s="2" customFormat="1" ht="22" customHeight="1">
      <c r="A26" s="2" t="s">
        <v>55</v>
      </c>
      <c r="B26" s="12">
        <v>-4</v>
      </c>
      <c r="C26" s="12">
        <v>62</v>
      </c>
      <c r="D26" s="12">
        <v>22</v>
      </c>
      <c r="E26" s="12">
        <v>3</v>
      </c>
      <c r="F26" s="12">
        <v>42</v>
      </c>
      <c r="G26" s="31">
        <v>61</v>
      </c>
      <c r="H26" s="12">
        <v>66</v>
      </c>
      <c r="I26" s="12">
        <v>21</v>
      </c>
      <c r="J26" s="12">
        <v>63</v>
      </c>
      <c r="K26" s="12">
        <f>SUM(AC26:AF26)</f>
        <v>73</v>
      </c>
      <c r="L26" s="12">
        <v>15</v>
      </c>
      <c r="M26" s="12"/>
      <c r="N26" s="11">
        <v>25</v>
      </c>
      <c r="O26" s="11">
        <v>14</v>
      </c>
      <c r="P26" s="11">
        <v>20</v>
      </c>
      <c r="Q26" s="11">
        <v>7</v>
      </c>
      <c r="S26" s="11">
        <v>10</v>
      </c>
      <c r="T26" s="11">
        <v>5</v>
      </c>
      <c r="U26" s="11">
        <v>3</v>
      </c>
      <c r="V26" s="11">
        <v>4</v>
      </c>
      <c r="X26" s="11">
        <v>30</v>
      </c>
      <c r="Y26" s="11">
        <v>5</v>
      </c>
      <c r="Z26" s="11">
        <v>23</v>
      </c>
      <c r="AA26" s="11">
        <v>5</v>
      </c>
      <c r="AC26" s="11">
        <v>31</v>
      </c>
      <c r="AD26" s="11">
        <f>19+15</f>
        <v>34</v>
      </c>
      <c r="AE26" s="11">
        <v>4</v>
      </c>
      <c r="AF26" s="11">
        <v>4</v>
      </c>
    </row>
    <row r="27" spans="1:32" s="2" customFormat="1" ht="22" customHeight="1">
      <c r="A27" s="2" t="s">
        <v>32</v>
      </c>
      <c r="B27" s="11">
        <f t="shared" ref="B27:K27" si="17">+B24+B26</f>
        <v>3591</v>
      </c>
      <c r="C27" s="11">
        <f t="shared" si="17"/>
        <v>3464</v>
      </c>
      <c r="D27" s="11">
        <f t="shared" si="17"/>
        <v>3316</v>
      </c>
      <c r="E27" s="11">
        <f t="shared" si="17"/>
        <v>3230</v>
      </c>
      <c r="F27" s="11">
        <f t="shared" si="17"/>
        <v>3029</v>
      </c>
      <c r="G27" s="11">
        <f t="shared" si="17"/>
        <v>3216</v>
      </c>
      <c r="H27" s="11">
        <f t="shared" si="17"/>
        <v>3557</v>
      </c>
      <c r="I27" s="11">
        <f t="shared" si="17"/>
        <v>3309</v>
      </c>
      <c r="J27" s="11">
        <f t="shared" si="17"/>
        <v>3623</v>
      </c>
      <c r="K27" s="11">
        <f t="shared" si="17"/>
        <v>3812</v>
      </c>
      <c r="L27" s="11">
        <f t="shared" ref="L27" si="18">+L24+L26</f>
        <v>3715</v>
      </c>
      <c r="M27" s="11"/>
      <c r="N27" s="11">
        <f>+N24+N26</f>
        <v>875</v>
      </c>
      <c r="O27" s="11">
        <f>+O24+O26</f>
        <v>831</v>
      </c>
      <c r="P27" s="11">
        <f>+P24+P26</f>
        <v>905</v>
      </c>
      <c r="Q27" s="11">
        <f>+Q24+Q26</f>
        <v>946</v>
      </c>
      <c r="S27" s="11">
        <f>+S24+S26</f>
        <v>816</v>
      </c>
      <c r="T27" s="11">
        <f>+T24+T26</f>
        <v>829</v>
      </c>
      <c r="U27" s="11">
        <f>+U24+U26</f>
        <v>783</v>
      </c>
      <c r="V27" s="11">
        <f>+V24+V26</f>
        <v>882</v>
      </c>
      <c r="X27" s="11">
        <f>+X24+X26</f>
        <v>895</v>
      </c>
      <c r="Y27" s="11">
        <f>+Y24+Y26</f>
        <v>911</v>
      </c>
      <c r="Z27" s="11">
        <f>+Z24+Z26</f>
        <v>896</v>
      </c>
      <c r="AA27" s="11">
        <f>+AA24+AA26</f>
        <v>921</v>
      </c>
      <c r="AC27" s="11">
        <f t="shared" ref="AC27:AE27" si="19">+AC24+AC26</f>
        <v>955</v>
      </c>
      <c r="AD27" s="11">
        <f t="shared" si="19"/>
        <v>1034</v>
      </c>
      <c r="AE27" s="11">
        <f t="shared" si="19"/>
        <v>894</v>
      </c>
      <c r="AF27" s="11">
        <f>+AF24+AF26</f>
        <v>929</v>
      </c>
    </row>
    <row r="28" spans="1:32" s="2" customFormat="1" ht="22" customHeight="1">
      <c r="B28" s="8">
        <f t="shared" ref="B28:K28" si="20">+B27/B19</f>
        <v>0.18206246197525858</v>
      </c>
      <c r="C28" s="8">
        <f t="shared" si="20"/>
        <v>0.18632671722876662</v>
      </c>
      <c r="D28" s="8">
        <f t="shared" si="20"/>
        <v>0.18217778266124601</v>
      </c>
      <c r="E28" s="8">
        <f t="shared" si="20"/>
        <v>0.17689906347554629</v>
      </c>
      <c r="F28" s="8">
        <f t="shared" si="20"/>
        <v>0.16385372714486637</v>
      </c>
      <c r="G28" s="8">
        <f t="shared" si="20"/>
        <v>0.1743089430894309</v>
      </c>
      <c r="H28" s="8">
        <f t="shared" si="20"/>
        <v>0.18584117032392894</v>
      </c>
      <c r="I28" s="8">
        <f t="shared" si="20"/>
        <v>0.17021604938271606</v>
      </c>
      <c r="J28" s="8">
        <f t="shared" si="20"/>
        <v>0.17957868649318465</v>
      </c>
      <c r="K28" s="8">
        <f t="shared" si="20"/>
        <v>0.18481528168331232</v>
      </c>
      <c r="L28" s="8">
        <f t="shared" ref="L28" si="21">+L27/L19</f>
        <v>0.17676166912499405</v>
      </c>
      <c r="M28" s="8"/>
      <c r="N28" s="8">
        <f>+N27/N19</f>
        <v>0.17468556598123378</v>
      </c>
      <c r="O28" s="8">
        <f>+O27/O19</f>
        <v>0.18018213356461404</v>
      </c>
      <c r="P28" s="8">
        <f>+P27/P19</f>
        <v>0.19325218876788383</v>
      </c>
      <c r="Q28" s="8">
        <f>+Q27/Q19</f>
        <v>0.19561621174524399</v>
      </c>
      <c r="S28" s="8">
        <f>+S27/S19</f>
        <v>0.17204301075268819</v>
      </c>
      <c r="T28" s="8">
        <f>+T27/T19</f>
        <v>0.17556120288013555</v>
      </c>
      <c r="U28" s="8">
        <f>+U27/U19</f>
        <v>0.15628742514970059</v>
      </c>
      <c r="V28" s="8">
        <f>+V27/V19</f>
        <v>0.17764350453172206</v>
      </c>
      <c r="X28" s="8">
        <f>+X27/X19</f>
        <v>0.17566241413150147</v>
      </c>
      <c r="Y28" s="8">
        <f>+Y27/Y19</f>
        <v>0.17993284613865299</v>
      </c>
      <c r="Z28" s="8">
        <f>+Z27/Z19</f>
        <v>0.17732040372056204</v>
      </c>
      <c r="AA28" s="8">
        <f>+AA27/AA19</f>
        <v>0.18553585817888799</v>
      </c>
      <c r="AC28" s="8">
        <f t="shared" ref="AC28:AE28" si="22">+AC27/AC19</f>
        <v>0.18383060635226178</v>
      </c>
      <c r="AD28" s="8">
        <f t="shared" si="22"/>
        <v>0.20140241527074407</v>
      </c>
      <c r="AE28" s="8">
        <f t="shared" si="22"/>
        <v>0.17255356108859293</v>
      </c>
      <c r="AF28" s="8">
        <f>+AF27/AF19</f>
        <v>0.18158717748240813</v>
      </c>
    </row>
    <row r="29" spans="1:32" s="2" customFormat="1" ht="22" customHeight="1">
      <c r="A29" s="2" t="s">
        <v>33</v>
      </c>
      <c r="B29" s="10">
        <f t="shared" ref="B29:K29" si="23">+B22-B27</f>
        <v>3184</v>
      </c>
      <c r="C29" s="10">
        <f t="shared" si="23"/>
        <v>3210</v>
      </c>
      <c r="D29" s="10">
        <f t="shared" si="23"/>
        <v>3341</v>
      </c>
      <c r="E29" s="10">
        <f t="shared" si="23"/>
        <v>3323</v>
      </c>
      <c r="F29" s="10">
        <f t="shared" si="23"/>
        <v>3109</v>
      </c>
      <c r="G29" s="10">
        <f t="shared" si="23"/>
        <v>3235</v>
      </c>
      <c r="H29" s="10">
        <f t="shared" si="23"/>
        <v>3548</v>
      </c>
      <c r="I29" s="10">
        <f t="shared" si="23"/>
        <v>2833</v>
      </c>
      <c r="J29" s="10">
        <f t="shared" si="23"/>
        <v>2596</v>
      </c>
      <c r="K29" s="10">
        <f t="shared" si="23"/>
        <v>3005.875</v>
      </c>
      <c r="L29" s="10">
        <f t="shared" ref="L29" si="24">+L22-L27</f>
        <v>3010.4400000000005</v>
      </c>
      <c r="M29" s="10"/>
      <c r="N29" s="10">
        <f>+N22-N27</f>
        <v>986</v>
      </c>
      <c r="O29" s="10">
        <f>+O22-O27</f>
        <v>1006</v>
      </c>
      <c r="P29" s="10">
        <f>+P22-P27</f>
        <v>792</v>
      </c>
      <c r="Q29" s="10">
        <f>+Q22-Q27</f>
        <v>764</v>
      </c>
      <c r="S29" s="10">
        <f>+S22-S27</f>
        <v>798</v>
      </c>
      <c r="T29" s="10">
        <f>+T22-T27</f>
        <v>676</v>
      </c>
      <c r="U29" s="10">
        <f>+U22-U27</f>
        <v>748</v>
      </c>
      <c r="V29" s="10">
        <f>+V22-V27</f>
        <v>610</v>
      </c>
      <c r="X29" s="10">
        <f>+X22-X27</f>
        <v>625</v>
      </c>
      <c r="Y29" s="10">
        <f>+Y22-Y27</f>
        <v>618</v>
      </c>
      <c r="Z29" s="10">
        <f>+Z22-Z27</f>
        <v>647</v>
      </c>
      <c r="AA29" s="10">
        <f>+AA22-AA27</f>
        <v>706</v>
      </c>
      <c r="AC29" s="10">
        <f t="shared" ref="AC29:AE29" si="25">+AC22-AC27</f>
        <v>771</v>
      </c>
      <c r="AD29" s="10">
        <f t="shared" si="25"/>
        <v>712</v>
      </c>
      <c r="AE29" s="10">
        <f t="shared" si="25"/>
        <v>738.0150000000001</v>
      </c>
      <c r="AF29" s="10">
        <f>+AF22-AF27</f>
        <v>784.86000000000013</v>
      </c>
    </row>
    <row r="30" spans="1:32" s="2" customFormat="1" ht="22" customHeight="1">
      <c r="B30" s="14">
        <f t="shared" ref="B30:K30" si="26">+B29/B19</f>
        <v>0.16142770229162443</v>
      </c>
      <c r="C30" s="14">
        <f t="shared" si="26"/>
        <v>0.17266419235113764</v>
      </c>
      <c r="D30" s="14">
        <f t="shared" si="26"/>
        <v>0.18355125810350512</v>
      </c>
      <c r="E30" s="14">
        <f t="shared" si="26"/>
        <v>0.18199244208335616</v>
      </c>
      <c r="F30" s="14">
        <f t="shared" si="26"/>
        <v>0.16818132640917452</v>
      </c>
      <c r="G30" s="14">
        <f t="shared" si="26"/>
        <v>0.17533875338753388</v>
      </c>
      <c r="H30" s="14">
        <f t="shared" si="26"/>
        <v>0.18537095088819228</v>
      </c>
      <c r="I30" s="14">
        <f t="shared" si="26"/>
        <v>0.14573045267489712</v>
      </c>
      <c r="J30" s="14">
        <f t="shared" si="26"/>
        <v>0.12867410161090459</v>
      </c>
      <c r="K30" s="14">
        <f t="shared" si="26"/>
        <v>0.14573232812954523</v>
      </c>
      <c r="L30" s="14">
        <f t="shared" ref="L30" si="27">+L29/L19</f>
        <v>0.14323833087500598</v>
      </c>
      <c r="M30" s="14"/>
      <c r="N30" s="14">
        <f>+N29/N19</f>
        <v>0.19684567777999601</v>
      </c>
      <c r="O30" s="14">
        <f>+O29/O19</f>
        <v>0.2181266261925412</v>
      </c>
      <c r="P30" s="14">
        <f>+P29/P19</f>
        <v>0.16912235746316465</v>
      </c>
      <c r="Q30" s="14">
        <f>+Q29/Q19</f>
        <v>0.15798180314309346</v>
      </c>
      <c r="S30" s="14">
        <f>+S29/S19</f>
        <v>0.16824794433902593</v>
      </c>
      <c r="T30" s="14">
        <f>+T29/T19</f>
        <v>0.14315967810249894</v>
      </c>
      <c r="U30" s="14">
        <f>+U29/U19</f>
        <v>0.14930139720558883</v>
      </c>
      <c r="V30" s="14">
        <f>+V29/V19</f>
        <v>0.1228600201409869</v>
      </c>
      <c r="X30" s="14">
        <f>+X29/X19</f>
        <v>0.12266928361138371</v>
      </c>
      <c r="Y30" s="14">
        <f>+Y29/Y19</f>
        <v>0.12206201856606755</v>
      </c>
      <c r="Z30" s="14">
        <f>+Z29/Z19</f>
        <v>0.12804274688303977</v>
      </c>
      <c r="AA30" s="14">
        <f>+AA29/AA19</f>
        <v>0.14222401289282838</v>
      </c>
      <c r="AC30" s="14">
        <f t="shared" ref="AC30:AE30" si="28">+AC29/AC19</f>
        <v>0.14841193455245427</v>
      </c>
      <c r="AD30" s="14">
        <f t="shared" si="28"/>
        <v>0.13868328788469031</v>
      </c>
      <c r="AE30" s="14">
        <f t="shared" si="28"/>
        <v>0.1424464389114071</v>
      </c>
      <c r="AF30" s="14">
        <f>+AF29/AF19</f>
        <v>0.15341282251759189</v>
      </c>
    </row>
    <row r="31" spans="1:32" s="2" customFormat="1" ht="22" customHeight="1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S31" s="14"/>
      <c r="T31" s="14"/>
      <c r="U31" s="14"/>
      <c r="V31" s="14"/>
      <c r="X31" s="14"/>
      <c r="Y31" s="14"/>
      <c r="Z31" s="14"/>
      <c r="AA31" s="14"/>
      <c r="AC31" s="14"/>
      <c r="AD31" s="14"/>
      <c r="AE31" s="14"/>
      <c r="AF31" s="14"/>
    </row>
    <row r="32" spans="1:32" s="10" customFormat="1" ht="22" customHeight="1">
      <c r="A32" s="10" t="s">
        <v>34</v>
      </c>
      <c r="B32" s="10">
        <v>1803</v>
      </c>
      <c r="C32" s="10">
        <v>1885</v>
      </c>
      <c r="D32" s="10">
        <v>1857</v>
      </c>
      <c r="E32" s="10">
        <v>1907</v>
      </c>
      <c r="F32" s="10">
        <v>1833</v>
      </c>
      <c r="G32" s="10">
        <v>1904</v>
      </c>
      <c r="H32" s="10">
        <v>1933</v>
      </c>
      <c r="I32" s="10">
        <v>1856</v>
      </c>
      <c r="J32" s="10">
        <v>1787</v>
      </c>
      <c r="K32" s="10">
        <f>SUM(AC32:AF32)</f>
        <v>1914</v>
      </c>
      <c r="L32" s="10">
        <v>1935</v>
      </c>
      <c r="N32" s="10">
        <v>527</v>
      </c>
      <c r="O32" s="10">
        <v>519</v>
      </c>
      <c r="P32" s="10">
        <v>486</v>
      </c>
      <c r="Q32" s="10">
        <v>401</v>
      </c>
      <c r="S32" s="10">
        <v>481</v>
      </c>
      <c r="T32" s="10">
        <v>454</v>
      </c>
      <c r="U32" s="10">
        <v>496</v>
      </c>
      <c r="V32" s="10">
        <v>425</v>
      </c>
      <c r="X32" s="10">
        <v>475</v>
      </c>
      <c r="Y32" s="10">
        <v>466</v>
      </c>
      <c r="Z32" s="10">
        <v>423</v>
      </c>
      <c r="AA32" s="10">
        <v>423</v>
      </c>
      <c r="AC32" s="10">
        <v>487</v>
      </c>
      <c r="AD32" s="10">
        <v>472</v>
      </c>
      <c r="AE32" s="10">
        <v>475</v>
      </c>
      <c r="AF32" s="10">
        <v>480</v>
      </c>
    </row>
    <row r="33" spans="1:32" s="2" customFormat="1" ht="22" customHeight="1">
      <c r="B33" s="7">
        <f>+B32/B15</f>
        <v>0.18713025428126623</v>
      </c>
      <c r="C33" s="7">
        <f t="shared" ref="C33:K33" si="29">+C32/C15</f>
        <v>0.20480225988700565</v>
      </c>
      <c r="D33" s="7">
        <f t="shared" si="29"/>
        <v>0.20528410347114748</v>
      </c>
      <c r="E33" s="7">
        <f t="shared" si="29"/>
        <v>0.21006829698171403</v>
      </c>
      <c r="F33" s="7">
        <f t="shared" si="29"/>
        <v>0.20283279849507579</v>
      </c>
      <c r="G33" s="7">
        <f t="shared" si="29"/>
        <v>0.2090469916556873</v>
      </c>
      <c r="H33" s="7">
        <f t="shared" si="29"/>
        <v>0.20698147553271229</v>
      </c>
      <c r="I33" s="7">
        <f t="shared" si="29"/>
        <v>0.18077335151456123</v>
      </c>
      <c r="J33" s="7">
        <f t="shared" si="29"/>
        <v>0.16823573714931275</v>
      </c>
      <c r="K33" s="7">
        <f t="shared" si="29"/>
        <v>0.17699278712779731</v>
      </c>
      <c r="L33" s="7">
        <f t="shared" ref="L33" si="30">+L32/L15</f>
        <v>0.17276785714285714</v>
      </c>
      <c r="M33" s="7"/>
      <c r="N33" s="7">
        <f>+N32/N15</f>
        <v>0.217588769611891</v>
      </c>
      <c r="O33" s="7">
        <f>+O32/O15</f>
        <v>0.23283983849259757</v>
      </c>
      <c r="P33" s="7">
        <f>+P32/P15</f>
        <v>0.20778110303548525</v>
      </c>
      <c r="Q33" s="7">
        <f>+Q32/Q15</f>
        <v>0.17071094082588337</v>
      </c>
      <c r="S33" s="7">
        <f>+S32/S15</f>
        <v>0.19536961819658813</v>
      </c>
      <c r="T33" s="7">
        <f>+T32/T15</f>
        <v>0.18037346046881209</v>
      </c>
      <c r="U33" s="7">
        <f>+U32/U15</f>
        <v>0.18674698795180722</v>
      </c>
      <c r="V33" s="7">
        <f>+V32/V15</f>
        <v>0.16147416413373861</v>
      </c>
      <c r="X33" s="7">
        <f>+X32/X15</f>
        <v>0.17405643092707951</v>
      </c>
      <c r="Y33" s="7">
        <v>1.78</v>
      </c>
      <c r="Z33" s="7">
        <f>+Z32/Z15</f>
        <v>0.16095890410958905</v>
      </c>
      <c r="AA33" s="7">
        <f>+AA32/AA15</f>
        <v>0.16555772994129159</v>
      </c>
      <c r="AC33" s="7">
        <f t="shared" ref="AC33:AE33" si="31">+AC32/AC15</f>
        <v>0.18010355029585798</v>
      </c>
      <c r="AD33" s="7">
        <f t="shared" si="31"/>
        <v>0.17579143389199256</v>
      </c>
      <c r="AE33" s="7">
        <f t="shared" si="31"/>
        <v>0.1743119266055046</v>
      </c>
      <c r="AF33" s="7">
        <f>+AF32/AF15</f>
        <v>0.17777777777777778</v>
      </c>
    </row>
    <row r="34" spans="1:32" s="2" customFormat="1" ht="22" customHeight="1">
      <c r="A34" s="2" t="s">
        <v>0</v>
      </c>
      <c r="B34" s="12">
        <v>1062</v>
      </c>
      <c r="C34" s="12">
        <v>1073</v>
      </c>
      <c r="D34" s="12">
        <v>1117</v>
      </c>
      <c r="E34" s="12">
        <v>1034</v>
      </c>
      <c r="F34" s="31">
        <v>875</v>
      </c>
      <c r="G34" s="31">
        <v>1007</v>
      </c>
      <c r="H34" s="12">
        <v>1448</v>
      </c>
      <c r="I34" s="12">
        <v>888</v>
      </c>
      <c r="J34" s="12">
        <v>806</v>
      </c>
      <c r="K34" s="12">
        <f>SUM(AC34:AF34)</f>
        <v>935</v>
      </c>
      <c r="L34" s="12">
        <v>1025</v>
      </c>
      <c r="M34" s="12"/>
      <c r="N34" s="2">
        <v>365</v>
      </c>
      <c r="O34" s="2">
        <v>428</v>
      </c>
      <c r="P34" s="2">
        <v>318</v>
      </c>
      <c r="Q34" s="2">
        <v>337</v>
      </c>
      <c r="S34" s="2">
        <v>269</v>
      </c>
      <c r="T34" s="2">
        <v>196</v>
      </c>
      <c r="U34" s="2">
        <v>222</v>
      </c>
      <c r="V34" s="2">
        <v>201</v>
      </c>
      <c r="X34" s="2">
        <v>171</v>
      </c>
      <c r="Y34" s="2">
        <v>178</v>
      </c>
      <c r="Z34" s="2">
        <v>218</v>
      </c>
      <c r="AA34" s="2">
        <v>239</v>
      </c>
      <c r="AC34" s="2">
        <v>240</v>
      </c>
      <c r="AD34" s="2">
        <v>200</v>
      </c>
      <c r="AE34" s="2">
        <v>245</v>
      </c>
      <c r="AF34" s="2">
        <v>250</v>
      </c>
    </row>
    <row r="35" spans="1:32" s="2" customFormat="1" ht="22" customHeight="1">
      <c r="B35" s="7">
        <f>+B34/B16</f>
        <v>0.15981941309255079</v>
      </c>
      <c r="C35" s="7">
        <f t="shared" ref="C35:K35" si="32">+C34/C16</f>
        <v>0.17529815389642214</v>
      </c>
      <c r="D35" s="7">
        <f t="shared" si="32"/>
        <v>0.18719624601977544</v>
      </c>
      <c r="E35" s="7">
        <f t="shared" si="32"/>
        <v>0.17430883344571813</v>
      </c>
      <c r="F35" s="7">
        <f t="shared" si="32"/>
        <v>0.14546965918536992</v>
      </c>
      <c r="G35" s="7">
        <f t="shared" si="32"/>
        <v>0.16802936759552811</v>
      </c>
      <c r="H35" s="7">
        <f t="shared" si="32"/>
        <v>0.21554033938672224</v>
      </c>
      <c r="I35" s="7">
        <f t="shared" si="32"/>
        <v>0.14716605899900564</v>
      </c>
      <c r="J35" s="7">
        <f t="shared" si="32"/>
        <v>0.12910459714880668</v>
      </c>
      <c r="K35" s="7">
        <f t="shared" si="32"/>
        <v>0.14705882352941177</v>
      </c>
      <c r="L35" s="7">
        <f t="shared" ref="L35" si="33">+L34/L16</f>
        <v>0.15632148848558791</v>
      </c>
      <c r="M35" s="7"/>
      <c r="N35" s="7">
        <f>+N34/N16</f>
        <v>0.2118398142774231</v>
      </c>
      <c r="O35" s="7">
        <f>+O34/O16</f>
        <v>0.2601823708206687</v>
      </c>
      <c r="P35" s="7">
        <f>+P34/P16</f>
        <v>0.19593345656192238</v>
      </c>
      <c r="Q35" s="7">
        <f>+Q34/Q16</f>
        <v>0.19513607411696585</v>
      </c>
      <c r="S35" s="7">
        <f>+S34/S16</f>
        <v>0.17814569536423841</v>
      </c>
      <c r="T35" s="7">
        <f>+T34/T16</f>
        <v>0.13764044943820225</v>
      </c>
      <c r="U35" s="7">
        <f>+U34/U16</f>
        <v>0.14406229720960415</v>
      </c>
      <c r="V35" s="7">
        <f>+V34/V16</f>
        <v>0.12892880051314945</v>
      </c>
      <c r="X35" s="7">
        <f>+X34/X16</f>
        <v>0.10905612244897959</v>
      </c>
      <c r="Y35" s="7">
        <f>+Y34/Y16</f>
        <v>0.11581001951854261</v>
      </c>
      <c r="Z35" s="7">
        <f>+Z34/Z16</f>
        <v>0.13814955640050697</v>
      </c>
      <c r="AA35" s="7">
        <f>+AA34/AA16</f>
        <v>0.15320512820512822</v>
      </c>
      <c r="AC35" s="7">
        <f t="shared" ref="AC35:AE35" si="34">+AC34/AC16</f>
        <v>0.14687882496940025</v>
      </c>
      <c r="AD35" s="7">
        <f t="shared" si="34"/>
        <v>0.12911555842479019</v>
      </c>
      <c r="AE35" s="7">
        <f t="shared" si="34"/>
        <v>0.15312500000000001</v>
      </c>
      <c r="AF35" s="7">
        <f>+AF34/AF16</f>
        <v>0.15873015873015872</v>
      </c>
    </row>
    <row r="36" spans="1:32" s="2" customFormat="1" ht="22" customHeight="1">
      <c r="A36" s="2" t="s">
        <v>112</v>
      </c>
      <c r="B36" s="12">
        <v>604</v>
      </c>
      <c r="C36" s="12">
        <v>590</v>
      </c>
      <c r="D36" s="12">
        <v>603</v>
      </c>
      <c r="E36" s="12">
        <v>633</v>
      </c>
      <c r="F36" s="31">
        <v>624</v>
      </c>
      <c r="G36" s="31">
        <v>657</v>
      </c>
      <c r="H36" s="12">
        <v>528</v>
      </c>
      <c r="I36" s="12">
        <v>404</v>
      </c>
      <c r="J36" s="12">
        <v>457</v>
      </c>
      <c r="K36" s="12">
        <f>SUM(AC36:AF36)</f>
        <v>669</v>
      </c>
      <c r="L36" s="12">
        <v>550</v>
      </c>
      <c r="M36" s="12"/>
      <c r="N36" s="2">
        <v>181</v>
      </c>
      <c r="O36" s="2">
        <v>155</v>
      </c>
      <c r="P36" s="2">
        <v>87</v>
      </c>
      <c r="Q36" s="2">
        <v>105</v>
      </c>
      <c r="S36" s="2">
        <v>126</v>
      </c>
      <c r="T36" s="2">
        <v>110</v>
      </c>
      <c r="U36" s="2">
        <v>96</v>
      </c>
      <c r="V36" s="2">
        <v>72</v>
      </c>
      <c r="X36" s="2">
        <v>90</v>
      </c>
      <c r="Y36" s="2">
        <v>85</v>
      </c>
      <c r="Z36" s="2">
        <v>119</v>
      </c>
      <c r="AA36" s="2">
        <v>163</v>
      </c>
      <c r="AC36" s="2">
        <v>159</v>
      </c>
      <c r="AD36" s="2">
        <v>187</v>
      </c>
      <c r="AE36" s="2">
        <v>143</v>
      </c>
      <c r="AF36" s="2">
        <v>180</v>
      </c>
    </row>
    <row r="37" spans="1:32" s="2" customFormat="1" ht="22" customHeight="1">
      <c r="B37" s="7">
        <f t="shared" ref="B37:K37" si="35">+B36/B17</f>
        <v>0.1782762691853601</v>
      </c>
      <c r="C37" s="7">
        <f t="shared" si="35"/>
        <v>0.18328673501087295</v>
      </c>
      <c r="D37" s="7">
        <f t="shared" si="35"/>
        <v>0.19142857142857142</v>
      </c>
      <c r="E37" s="7">
        <f t="shared" si="35"/>
        <v>0.19731920199501246</v>
      </c>
      <c r="F37" s="7">
        <f t="shared" si="35"/>
        <v>0.18450620934358367</v>
      </c>
      <c r="G37" s="7">
        <f t="shared" si="35"/>
        <v>0.19957472660996356</v>
      </c>
      <c r="H37" s="7">
        <f t="shared" si="35"/>
        <v>0.17489234845975488</v>
      </c>
      <c r="I37" s="7">
        <f t="shared" si="35"/>
        <v>0.13151041666666666</v>
      </c>
      <c r="J37" s="7">
        <f t="shared" si="35"/>
        <v>0.14035626535626536</v>
      </c>
      <c r="K37" s="7">
        <f t="shared" si="35"/>
        <v>0.1968225948808473</v>
      </c>
      <c r="L37" s="7">
        <f t="shared" ref="L37" si="36">+L36/L17</f>
        <v>0.171875</v>
      </c>
      <c r="M37" s="7"/>
      <c r="N37" s="7">
        <f>+N36/N17</f>
        <v>0.21344339622641509</v>
      </c>
      <c r="O37" s="7">
        <f>+O36/O17</f>
        <v>0.21408839779005526</v>
      </c>
      <c r="P37" s="7">
        <f>+P36/P17</f>
        <v>0.12340425531914893</v>
      </c>
      <c r="Q37" s="7">
        <f>+Q36/Q17</f>
        <v>0.14150943396226415</v>
      </c>
      <c r="S37" s="7">
        <f>+S36/S17</f>
        <v>0.16755319148936171</v>
      </c>
      <c r="T37" s="7">
        <f>+T36/T17</f>
        <v>0.1437908496732026</v>
      </c>
      <c r="U37" s="7">
        <f>+U36/U17</f>
        <v>0.12045169385194479</v>
      </c>
      <c r="V37" s="7">
        <f>+V36/V17</f>
        <v>9.498680738786279E-2</v>
      </c>
      <c r="X37" s="7">
        <f>+X36/X17</f>
        <v>0.11538461538461539</v>
      </c>
      <c r="Y37" s="7">
        <f>+Y36/Y17</f>
        <v>0.1059850374064838</v>
      </c>
      <c r="Z37" s="7">
        <f>+Z36/Z17</f>
        <v>0.1423444976076555</v>
      </c>
      <c r="AA37" s="7">
        <f>+AA36/AA17</f>
        <v>0.19451073985680192</v>
      </c>
      <c r="AC37" s="7">
        <f t="shared" ref="AC37:AE37" si="37">+AC36/AC17</f>
        <v>0.18772136953955135</v>
      </c>
      <c r="AD37" s="7">
        <f t="shared" si="37"/>
        <v>0.21082299887260428</v>
      </c>
      <c r="AE37" s="7">
        <f t="shared" si="37"/>
        <v>0.17023809523809524</v>
      </c>
      <c r="AF37" s="7">
        <f>+AF36/AF17</f>
        <v>0.21818181818181817</v>
      </c>
    </row>
    <row r="38" spans="1:32" s="13" customFormat="1" ht="22" customHeight="1">
      <c r="A38" s="13" t="s">
        <v>26</v>
      </c>
      <c r="B38" s="12">
        <v>-285</v>
      </c>
      <c r="C38" s="12">
        <f>-128-210</f>
        <v>-338</v>
      </c>
      <c r="D38" s="12">
        <v>-236</v>
      </c>
      <c r="E38" s="12">
        <v>-251</v>
      </c>
      <c r="F38" s="12">
        <v>-223</v>
      </c>
      <c r="G38" s="12">
        <v>-333</v>
      </c>
      <c r="H38" s="12">
        <v>-361</v>
      </c>
      <c r="I38" s="12">
        <v>-316</v>
      </c>
      <c r="J38" s="12">
        <v>-455</v>
      </c>
      <c r="K38" s="12">
        <f>SUM(AC38:AF38)</f>
        <v>-512</v>
      </c>
      <c r="L38" s="12">
        <v>-500</v>
      </c>
      <c r="M38" s="12"/>
      <c r="N38" s="34">
        <v>-87</v>
      </c>
      <c r="O38" s="11">
        <v>-96</v>
      </c>
      <c r="P38" s="11">
        <v>-99</v>
      </c>
      <c r="Q38" s="11">
        <v>-79</v>
      </c>
      <c r="S38" s="34">
        <v>-78</v>
      </c>
      <c r="T38" s="11">
        <v>-84</v>
      </c>
      <c r="U38" s="11">
        <v>-66</v>
      </c>
      <c r="V38" s="11">
        <v>-88</v>
      </c>
      <c r="X38" s="11">
        <v>-111</v>
      </c>
      <c r="Y38" s="11">
        <v>-111</v>
      </c>
      <c r="Z38" s="11">
        <v>-113</v>
      </c>
      <c r="AA38" s="11">
        <v>-119</v>
      </c>
      <c r="AC38" s="11">
        <f>-84-15-16</f>
        <v>-115</v>
      </c>
      <c r="AD38" s="11">
        <f>-132-15</f>
        <v>-147</v>
      </c>
      <c r="AE38" s="11">
        <v>-125</v>
      </c>
      <c r="AF38" s="11">
        <v>-125</v>
      </c>
    </row>
    <row r="39" spans="1:32" s="2" customFormat="1" ht="22" customHeight="1">
      <c r="A39" s="2" t="s">
        <v>35</v>
      </c>
      <c r="B39" s="10">
        <f>+B32+B34+B36+B38</f>
        <v>3184</v>
      </c>
      <c r="C39" s="10">
        <f t="shared" ref="C39:K39" si="38">+C32+C34+C36+C38</f>
        <v>3210</v>
      </c>
      <c r="D39" s="10">
        <f t="shared" si="38"/>
        <v>3341</v>
      </c>
      <c r="E39" s="10">
        <f t="shared" si="38"/>
        <v>3323</v>
      </c>
      <c r="F39" s="10">
        <f t="shared" si="38"/>
        <v>3109</v>
      </c>
      <c r="G39" s="10">
        <f t="shared" si="38"/>
        <v>3235</v>
      </c>
      <c r="H39" s="10">
        <f t="shared" si="38"/>
        <v>3548</v>
      </c>
      <c r="I39" s="10">
        <f t="shared" si="38"/>
        <v>2832</v>
      </c>
      <c r="J39" s="10">
        <f t="shared" si="38"/>
        <v>2595</v>
      </c>
      <c r="K39" s="10">
        <f t="shared" si="38"/>
        <v>3006</v>
      </c>
      <c r="L39" s="10">
        <f t="shared" ref="L39" si="39">+L32+L34+L36+L38</f>
        <v>3010</v>
      </c>
      <c r="M39" s="10"/>
      <c r="N39" s="10">
        <f>+N32+N34+N36+N38</f>
        <v>986</v>
      </c>
      <c r="O39" s="10">
        <f>+O32+O34+O36+O38</f>
        <v>1006</v>
      </c>
      <c r="P39" s="10">
        <f>+P32+P34+P36+P38</f>
        <v>792</v>
      </c>
      <c r="Q39" s="35">
        <f>+Q32+Q34+Q36+Q38</f>
        <v>764</v>
      </c>
      <c r="S39" s="10">
        <f>+S32+S34+S36+S38</f>
        <v>798</v>
      </c>
      <c r="T39" s="10">
        <f>+T32+T34+T36+T38</f>
        <v>676</v>
      </c>
      <c r="U39" s="10">
        <f>+U32+U34+U36+U38</f>
        <v>748</v>
      </c>
      <c r="V39" s="35">
        <f>+V32+V34+V36+V38</f>
        <v>610</v>
      </c>
      <c r="X39" s="35">
        <f>+X32+X34+X36+X38</f>
        <v>625</v>
      </c>
      <c r="Y39" s="35">
        <f>+Y32+Y34+Y36+Y38</f>
        <v>618</v>
      </c>
      <c r="Z39" s="35">
        <f>+Z32+Z34+Z36+Z38</f>
        <v>647</v>
      </c>
      <c r="AA39" s="35">
        <f>+AA32+AA34+AA36+AA38</f>
        <v>706</v>
      </c>
      <c r="AC39" s="35">
        <f t="shared" ref="AC39:AE39" si="40">+AC32+AC34+AC36+AC38</f>
        <v>771</v>
      </c>
      <c r="AD39" s="35">
        <f t="shared" si="40"/>
        <v>712</v>
      </c>
      <c r="AE39" s="35">
        <f t="shared" si="40"/>
        <v>738</v>
      </c>
      <c r="AF39" s="35">
        <f>+AF32+AF34+AF36+AF38</f>
        <v>785</v>
      </c>
    </row>
    <row r="40" spans="1:32" s="2" customFormat="1" ht="22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S40" s="10"/>
      <c r="T40" s="10"/>
      <c r="U40" s="10"/>
      <c r="V40" s="10"/>
      <c r="X40" s="10"/>
      <c r="Y40" s="10"/>
      <c r="Z40" s="10"/>
      <c r="AA40" s="10"/>
      <c r="AC40" s="10"/>
      <c r="AD40" s="10"/>
      <c r="AE40" s="10"/>
      <c r="AF40" s="10"/>
    </row>
    <row r="41" spans="1:32" s="13" customFormat="1" ht="22" customHeight="1">
      <c r="A41" s="13" t="s">
        <v>36</v>
      </c>
      <c r="B41" s="12">
        <f>284-18</f>
        <v>266</v>
      </c>
      <c r="C41" s="12">
        <f>295-17</f>
        <v>278</v>
      </c>
      <c r="D41" s="12">
        <v>308</v>
      </c>
      <c r="E41" s="12">
        <v>308</v>
      </c>
      <c r="F41" s="31">
        <v>253</v>
      </c>
      <c r="G41" s="31">
        <v>250</v>
      </c>
      <c r="H41" s="12">
        <v>244</v>
      </c>
      <c r="I41" s="12">
        <v>254</v>
      </c>
      <c r="J41" s="12">
        <v>268</v>
      </c>
      <c r="K41" s="12">
        <f>SUM(AC41:AF41)</f>
        <v>271</v>
      </c>
      <c r="L41" s="12">
        <v>275</v>
      </c>
      <c r="M41" s="12"/>
      <c r="N41" s="11">
        <v>59</v>
      </c>
      <c r="O41" s="11">
        <v>63</v>
      </c>
      <c r="P41" s="11">
        <v>60</v>
      </c>
      <c r="Q41" s="11">
        <v>62</v>
      </c>
      <c r="S41" s="11">
        <v>62</v>
      </c>
      <c r="T41" s="11">
        <v>63</v>
      </c>
      <c r="U41" s="12">
        <v>67</v>
      </c>
      <c r="V41" s="11">
        <v>62</v>
      </c>
      <c r="X41" s="11">
        <v>63</v>
      </c>
      <c r="Y41" s="11">
        <v>67</v>
      </c>
      <c r="Z41" s="11">
        <v>69</v>
      </c>
      <c r="AA41" s="11">
        <v>69</v>
      </c>
      <c r="AC41" s="11">
        <f>73-7</f>
        <v>66</v>
      </c>
      <c r="AD41" s="11">
        <f>76-9</f>
        <v>67</v>
      </c>
      <c r="AE41" s="11">
        <v>69</v>
      </c>
      <c r="AF41" s="11">
        <v>69</v>
      </c>
    </row>
    <row r="42" spans="1:32" s="2" customFormat="1" ht="22" customHeight="1">
      <c r="A42" s="2" t="s">
        <v>37</v>
      </c>
      <c r="B42" s="10">
        <f>+B29-B41</f>
        <v>2918</v>
      </c>
      <c r="C42" s="10">
        <f t="shared" ref="C42:K42" si="41">+C29-C41</f>
        <v>2932</v>
      </c>
      <c r="D42" s="10">
        <f t="shared" si="41"/>
        <v>3033</v>
      </c>
      <c r="E42" s="10">
        <f t="shared" si="41"/>
        <v>3015</v>
      </c>
      <c r="F42" s="10">
        <f t="shared" si="41"/>
        <v>2856</v>
      </c>
      <c r="G42" s="10">
        <f t="shared" si="41"/>
        <v>2985</v>
      </c>
      <c r="H42" s="10">
        <f t="shared" si="41"/>
        <v>3304</v>
      </c>
      <c r="I42" s="10">
        <f t="shared" si="41"/>
        <v>2579</v>
      </c>
      <c r="J42" s="10">
        <f t="shared" si="41"/>
        <v>2328</v>
      </c>
      <c r="K42" s="10">
        <f t="shared" si="41"/>
        <v>2734.875</v>
      </c>
      <c r="L42" s="10">
        <f t="shared" ref="L42" si="42">+L29-L41</f>
        <v>2735.4400000000005</v>
      </c>
      <c r="M42" s="10"/>
      <c r="N42" s="10">
        <f t="shared" ref="N42:AA42" si="43">+N29-N41</f>
        <v>927</v>
      </c>
      <c r="O42" s="10">
        <f t="shared" si="43"/>
        <v>943</v>
      </c>
      <c r="P42" s="10">
        <f t="shared" si="43"/>
        <v>732</v>
      </c>
      <c r="Q42" s="10">
        <f t="shared" si="43"/>
        <v>702</v>
      </c>
      <c r="S42" s="10">
        <f t="shared" si="43"/>
        <v>736</v>
      </c>
      <c r="T42" s="10">
        <f t="shared" si="43"/>
        <v>613</v>
      </c>
      <c r="U42" s="10">
        <f t="shared" si="43"/>
        <v>681</v>
      </c>
      <c r="V42" s="10">
        <f t="shared" si="43"/>
        <v>548</v>
      </c>
      <c r="X42" s="10">
        <f t="shared" si="43"/>
        <v>562</v>
      </c>
      <c r="Y42" s="10">
        <f t="shared" si="43"/>
        <v>551</v>
      </c>
      <c r="Z42" s="10">
        <f t="shared" si="43"/>
        <v>578</v>
      </c>
      <c r="AA42" s="10">
        <f t="shared" si="43"/>
        <v>637</v>
      </c>
      <c r="AC42" s="10">
        <f t="shared" ref="AC42:AE42" si="44">+AC29-AC41</f>
        <v>705</v>
      </c>
      <c r="AD42" s="10">
        <f t="shared" si="44"/>
        <v>645</v>
      </c>
      <c r="AE42" s="10">
        <f t="shared" si="44"/>
        <v>669.0150000000001</v>
      </c>
      <c r="AF42" s="10">
        <f t="shared" ref="AF42" si="45">+AF29-AF41</f>
        <v>715.86000000000013</v>
      </c>
    </row>
    <row r="43" spans="1:32" s="2" customFormat="1" ht="22" customHeight="1">
      <c r="A43" s="2" t="s">
        <v>38</v>
      </c>
      <c r="B43" s="12">
        <v>897</v>
      </c>
      <c r="C43" s="12">
        <v>919</v>
      </c>
      <c r="D43" s="12">
        <v>930</v>
      </c>
      <c r="E43" s="12">
        <v>861</v>
      </c>
      <c r="F43" s="31">
        <v>597</v>
      </c>
      <c r="G43" s="31">
        <v>687</v>
      </c>
      <c r="H43" s="12">
        <v>749</v>
      </c>
      <c r="I43" s="12">
        <v>554</v>
      </c>
      <c r="J43" s="12">
        <v>512</v>
      </c>
      <c r="K43" s="12">
        <f>SUM(AC43:AF43)</f>
        <v>630.44562500000006</v>
      </c>
      <c r="L43" s="12">
        <f>+L42*L44</f>
        <v>629.15120000000013</v>
      </c>
      <c r="M43" s="12"/>
      <c r="N43" s="2">
        <v>215</v>
      </c>
      <c r="O43" s="2">
        <v>214</v>
      </c>
      <c r="P43" s="2">
        <v>164</v>
      </c>
      <c r="Q43" s="2">
        <v>156</v>
      </c>
      <c r="S43" s="2">
        <v>154</v>
      </c>
      <c r="T43" s="2">
        <v>138</v>
      </c>
      <c r="U43" s="2">
        <v>142</v>
      </c>
      <c r="V43" s="2">
        <v>120</v>
      </c>
      <c r="X43" s="2">
        <v>118</v>
      </c>
      <c r="Y43" s="2">
        <v>121</v>
      </c>
      <c r="Z43" s="2">
        <v>129</v>
      </c>
      <c r="AA43" s="2">
        <v>144</v>
      </c>
      <c r="AC43" s="2">
        <v>173</v>
      </c>
      <c r="AD43" s="2">
        <v>132</v>
      </c>
      <c r="AE43" s="2">
        <f t="shared" ref="AE43" si="46">+AE42*AE44</f>
        <v>157.21852500000003</v>
      </c>
      <c r="AF43" s="2">
        <f>+AF42*AF44</f>
        <v>168.22710000000001</v>
      </c>
    </row>
    <row r="44" spans="1:32" s="7" customFormat="1" ht="22" customHeight="1">
      <c r="B44" s="7">
        <f>+B43/B42</f>
        <v>0.30740233036326253</v>
      </c>
      <c r="C44" s="7">
        <f t="shared" ref="C44:K44" si="47">+C43/C42</f>
        <v>0.31343792633015005</v>
      </c>
      <c r="D44" s="7">
        <f t="shared" si="47"/>
        <v>0.3066271018793274</v>
      </c>
      <c r="E44" s="7">
        <f>+E43/E42</f>
        <v>0.28557213930348258</v>
      </c>
      <c r="F44" s="7">
        <f t="shared" si="47"/>
        <v>0.20903361344537816</v>
      </c>
      <c r="G44" s="7">
        <f t="shared" si="47"/>
        <v>0.23015075376884422</v>
      </c>
      <c r="H44" s="7">
        <f t="shared" si="47"/>
        <v>0.22669491525423729</v>
      </c>
      <c r="I44" s="7">
        <f>+I43/I42</f>
        <v>0.21481194261341605</v>
      </c>
      <c r="J44" s="7">
        <f t="shared" si="47"/>
        <v>0.21993127147766323</v>
      </c>
      <c r="K44" s="7">
        <f t="shared" si="47"/>
        <v>0.23052081905023084</v>
      </c>
      <c r="L44" s="7">
        <v>0.23</v>
      </c>
      <c r="N44" s="7">
        <f>+N43/N42</f>
        <v>0.2319309600862999</v>
      </c>
      <c r="O44" s="7">
        <f>+O43/O42</f>
        <v>0.22693531283138918</v>
      </c>
      <c r="P44" s="7">
        <f>+P43/P42</f>
        <v>0.22404371584699453</v>
      </c>
      <c r="Q44" s="7">
        <f>+Q43/Q42</f>
        <v>0.22222222222222221</v>
      </c>
      <c r="S44" s="7">
        <f>+S43/S42</f>
        <v>0.20923913043478262</v>
      </c>
      <c r="T44" s="7">
        <f>+T43/T42</f>
        <v>0.22512234910277323</v>
      </c>
      <c r="U44" s="7">
        <f>+U43/U42</f>
        <v>0.20851688693098386</v>
      </c>
      <c r="V44" s="7">
        <f>+V43/V42</f>
        <v>0.21897810218978103</v>
      </c>
      <c r="X44" s="7">
        <f>+X43/X42</f>
        <v>0.20996441281138789</v>
      </c>
      <c r="Y44" s="7">
        <f>+Y43/Y42</f>
        <v>0.21960072595281308</v>
      </c>
      <c r="Z44" s="7">
        <f>+Z43/Z42</f>
        <v>0.22318339100346021</v>
      </c>
      <c r="AA44" s="7">
        <f>+AA43/AA42</f>
        <v>0.22605965463108321</v>
      </c>
      <c r="AC44" s="7">
        <f>+AC43/AC42</f>
        <v>0.24539007092198581</v>
      </c>
      <c r="AD44" s="7">
        <f>+AD43/AD42</f>
        <v>0.20465116279069767</v>
      </c>
      <c r="AE44" s="7">
        <v>0.23499999999999999</v>
      </c>
      <c r="AF44" s="7">
        <v>0.23499999999999999</v>
      </c>
    </row>
    <row r="45" spans="1:32" s="2" customFormat="1" ht="22" customHeight="1">
      <c r="A45" s="2" t="s">
        <v>39</v>
      </c>
      <c r="B45" s="10">
        <f>+B42-B43</f>
        <v>2021</v>
      </c>
      <c r="C45" s="10">
        <f>+C42-C43</f>
        <v>2013</v>
      </c>
      <c r="D45" s="10">
        <f>+D42-D43</f>
        <v>2103</v>
      </c>
      <c r="E45" s="10">
        <f t="shared" ref="E45:J45" si="48">+E42-E43</f>
        <v>2154</v>
      </c>
      <c r="F45" s="10">
        <f t="shared" si="48"/>
        <v>2259</v>
      </c>
      <c r="G45" s="10">
        <f t="shared" si="48"/>
        <v>2298</v>
      </c>
      <c r="H45" s="10">
        <f t="shared" si="48"/>
        <v>2555</v>
      </c>
      <c r="I45" s="10">
        <f t="shared" si="48"/>
        <v>2025</v>
      </c>
      <c r="J45" s="10">
        <f t="shared" si="48"/>
        <v>1816</v>
      </c>
      <c r="K45" s="10">
        <f>+K42-K43</f>
        <v>2104.4293749999997</v>
      </c>
      <c r="L45" s="10">
        <f>+L42-L43</f>
        <v>2106.2888000000003</v>
      </c>
      <c r="M45" s="10"/>
      <c r="N45" s="10">
        <f>+N42-N43</f>
        <v>712</v>
      </c>
      <c r="O45" s="10">
        <f>+O42-O43</f>
        <v>729</v>
      </c>
      <c r="P45" s="10">
        <f>+P42-P43</f>
        <v>568</v>
      </c>
      <c r="Q45" s="10">
        <f>+Q42-Q43</f>
        <v>546</v>
      </c>
      <c r="S45" s="10">
        <f>+S42-S43</f>
        <v>582</v>
      </c>
      <c r="T45" s="10">
        <f>+T42-T43</f>
        <v>475</v>
      </c>
      <c r="U45" s="10">
        <f>+U42-U43</f>
        <v>539</v>
      </c>
      <c r="V45" s="10">
        <f>+V42-V43</f>
        <v>428</v>
      </c>
      <c r="X45" s="10">
        <f>+X42-X43</f>
        <v>444</v>
      </c>
      <c r="Y45" s="10">
        <f>+Y42-Y43</f>
        <v>430</v>
      </c>
      <c r="Z45" s="10">
        <f>+Z42-Z43</f>
        <v>449</v>
      </c>
      <c r="AA45" s="10">
        <f>+AA42-AA43</f>
        <v>493</v>
      </c>
      <c r="AC45" s="10">
        <f>+AC42-AC43</f>
        <v>532</v>
      </c>
      <c r="AD45" s="10">
        <f t="shared" ref="AD45:AE45" si="49">+AD42-AD43</f>
        <v>513</v>
      </c>
      <c r="AE45" s="10">
        <f t="shared" si="49"/>
        <v>511.7964750000001</v>
      </c>
      <c r="AF45" s="10">
        <f>+AF42-AF43</f>
        <v>547.63290000000006</v>
      </c>
    </row>
    <row r="46" spans="1:32" s="2" customFormat="1" ht="22" customHeight="1">
      <c r="A46" s="2" t="s">
        <v>8</v>
      </c>
      <c r="B46" s="12">
        <v>146</v>
      </c>
      <c r="C46" s="12">
        <v>149</v>
      </c>
      <c r="D46" s="12">
        <v>132</v>
      </c>
      <c r="E46" s="12">
        <v>104</v>
      </c>
      <c r="F46" s="31">
        <v>104</v>
      </c>
      <c r="G46" s="31">
        <v>125</v>
      </c>
      <c r="H46" s="12">
        <v>142</v>
      </c>
      <c r="I46" s="12">
        <v>105</v>
      </c>
      <c r="J46" s="12">
        <v>116</v>
      </c>
      <c r="K46" s="12">
        <f>SUM(AC46:AF46)</f>
        <v>157</v>
      </c>
      <c r="L46" s="12">
        <v>116</v>
      </c>
      <c r="M46" s="12"/>
      <c r="N46" s="2">
        <v>38</v>
      </c>
      <c r="O46" s="2">
        <v>35</v>
      </c>
      <c r="P46" s="2">
        <v>31</v>
      </c>
      <c r="Q46" s="2">
        <v>38</v>
      </c>
      <c r="S46" s="2">
        <v>39</v>
      </c>
      <c r="T46" s="2">
        <v>28</v>
      </c>
      <c r="U46" s="2">
        <v>21</v>
      </c>
      <c r="V46" s="2">
        <v>17</v>
      </c>
      <c r="X46" s="2">
        <v>23</v>
      </c>
      <c r="Y46" s="2">
        <v>29</v>
      </c>
      <c r="Z46" s="2">
        <v>29</v>
      </c>
      <c r="AA46" s="2">
        <v>35</v>
      </c>
      <c r="AC46" s="2">
        <v>43</v>
      </c>
      <c r="AD46" s="2">
        <v>50</v>
      </c>
      <c r="AE46" s="2">
        <v>29</v>
      </c>
      <c r="AF46" s="2">
        <v>35</v>
      </c>
    </row>
    <row r="47" spans="1:32" s="13" customFormat="1" ht="22" customHeight="1">
      <c r="A47" s="13" t="s">
        <v>9</v>
      </c>
      <c r="B47" s="12">
        <f>-69</f>
        <v>-69</v>
      </c>
      <c r="C47" s="12">
        <v>-53</v>
      </c>
      <c r="D47" s="12">
        <v>-53</v>
      </c>
      <c r="E47" s="12">
        <v>-41</v>
      </c>
      <c r="F47" s="12">
        <v>-46</v>
      </c>
      <c r="G47" s="12">
        <v>-42</v>
      </c>
      <c r="H47" s="12">
        <v>-45</v>
      </c>
      <c r="I47" s="12">
        <v>-35</v>
      </c>
      <c r="J47" s="12">
        <v>-27</v>
      </c>
      <c r="K47" s="12">
        <f>SUM(AC47:AF47)</f>
        <v>-24</v>
      </c>
      <c r="L47" s="12">
        <v>-27</v>
      </c>
      <c r="M47" s="12"/>
      <c r="N47" s="11">
        <v>-16</v>
      </c>
      <c r="O47" s="11">
        <v>-11</v>
      </c>
      <c r="P47" s="11">
        <v>-11</v>
      </c>
      <c r="Q47" s="11">
        <v>-7</v>
      </c>
      <c r="S47" s="11">
        <v>-11</v>
      </c>
      <c r="T47" s="11">
        <v>-6</v>
      </c>
      <c r="U47" s="11">
        <v>-12</v>
      </c>
      <c r="V47" s="11">
        <v>-6</v>
      </c>
      <c r="X47" s="11">
        <v>-12</v>
      </c>
      <c r="Y47" s="11">
        <v>-4</v>
      </c>
      <c r="Z47" s="11">
        <v>-3</v>
      </c>
      <c r="AA47" s="11">
        <v>-8</v>
      </c>
      <c r="AC47" s="11">
        <v>-9</v>
      </c>
      <c r="AD47" s="11">
        <v>-4</v>
      </c>
      <c r="AE47" s="11">
        <v>-3</v>
      </c>
      <c r="AF47" s="11">
        <v>-8</v>
      </c>
    </row>
    <row r="48" spans="1:32" s="2" customFormat="1" ht="22" customHeight="1">
      <c r="A48" s="2" t="s">
        <v>40</v>
      </c>
      <c r="B48" s="10">
        <f t="shared" ref="B48:G48" si="50">+B45+B46+B47</f>
        <v>2098</v>
      </c>
      <c r="C48" s="10">
        <f t="shared" si="50"/>
        <v>2109</v>
      </c>
      <c r="D48" s="10">
        <f t="shared" si="50"/>
        <v>2182</v>
      </c>
      <c r="E48" s="10">
        <f t="shared" si="50"/>
        <v>2217</v>
      </c>
      <c r="F48" s="10">
        <f t="shared" si="50"/>
        <v>2317</v>
      </c>
      <c r="G48" s="10">
        <f t="shared" si="50"/>
        <v>2381</v>
      </c>
      <c r="H48" s="10">
        <f>+H45+H46+H47</f>
        <v>2652</v>
      </c>
      <c r="I48" s="10">
        <f>+I45+I46+I47</f>
        <v>2095</v>
      </c>
      <c r="J48" s="10">
        <f>+J45+J46+J47</f>
        <v>1905</v>
      </c>
      <c r="K48" s="10">
        <f>+K45+K46+K47</f>
        <v>2237.4293749999997</v>
      </c>
      <c r="L48" s="10">
        <f>+L45+L46+L47</f>
        <v>2195.2888000000003</v>
      </c>
      <c r="M48" s="10"/>
      <c r="N48" s="10">
        <f>SUM(N45:N47)</f>
        <v>734</v>
      </c>
      <c r="O48" s="10">
        <f>SUM(O45:O47)</f>
        <v>753</v>
      </c>
      <c r="P48" s="10">
        <f>SUM(P45:P47)</f>
        <v>588</v>
      </c>
      <c r="Q48" s="10">
        <f>SUM(Q45:Q47)</f>
        <v>577</v>
      </c>
      <c r="S48" s="10">
        <f>SUM(S45:S47)</f>
        <v>610</v>
      </c>
      <c r="T48" s="10">
        <f>SUM(T45:T47)</f>
        <v>497</v>
      </c>
      <c r="U48" s="10">
        <f>SUM(U45:U47)</f>
        <v>548</v>
      </c>
      <c r="V48" s="10">
        <f>SUM(V45:V47)</f>
        <v>439</v>
      </c>
      <c r="X48" s="10">
        <f>SUM(X45:X47)</f>
        <v>455</v>
      </c>
      <c r="Y48" s="10">
        <f>SUM(Y45:Y47)</f>
        <v>455</v>
      </c>
      <c r="Z48" s="10">
        <f>SUM(Z45:Z47)</f>
        <v>475</v>
      </c>
      <c r="AA48" s="10">
        <f>SUM(AA45:AA47)</f>
        <v>520</v>
      </c>
      <c r="AC48" s="10">
        <f t="shared" ref="AC48:AE48" si="51">SUM(AC45:AC47)</f>
        <v>566</v>
      </c>
      <c r="AD48" s="10">
        <f t="shared" si="51"/>
        <v>559</v>
      </c>
      <c r="AE48" s="10">
        <f t="shared" si="51"/>
        <v>537.7964750000001</v>
      </c>
      <c r="AF48" s="10">
        <f>SUM(AF45:AF47)</f>
        <v>574.63290000000006</v>
      </c>
    </row>
    <row r="49" spans="1:32" s="15" customFormat="1" ht="22" customHeight="1">
      <c r="A49" s="15" t="s">
        <v>41</v>
      </c>
      <c r="B49" s="15">
        <f>+(B48-18)/B50</f>
        <v>5.5113937466878644</v>
      </c>
      <c r="C49" s="15">
        <f>+C48/C50</f>
        <v>5.7575757575757578</v>
      </c>
      <c r="D49" s="15">
        <f>+D48/D50</f>
        <v>6.027624309392265</v>
      </c>
      <c r="E49" s="15">
        <f t="shared" ref="E49:J49" si="52">+E48/E50</f>
        <v>6.2292778870469236</v>
      </c>
      <c r="F49" s="15">
        <f t="shared" si="52"/>
        <v>6.6124429223744299</v>
      </c>
      <c r="G49" s="15">
        <f t="shared" si="52"/>
        <v>6.8894675925925926</v>
      </c>
      <c r="H49" s="15">
        <f t="shared" si="52"/>
        <v>7.7430656934306565</v>
      </c>
      <c r="I49" s="15">
        <f t="shared" si="52"/>
        <v>6.1835891381345922</v>
      </c>
      <c r="J49" s="15">
        <f t="shared" si="52"/>
        <v>5.6294326241134751</v>
      </c>
      <c r="K49" s="15">
        <f>+K48/K50</f>
        <v>6.6132546368137142</v>
      </c>
      <c r="L49" s="15">
        <f>+L48/L50</f>
        <v>6.5335976190476197</v>
      </c>
      <c r="N49" s="15">
        <f>+N48/N50</f>
        <v>2.1331008427782621</v>
      </c>
      <c r="O49" s="15">
        <f>+O48/O50</f>
        <v>2.2023983620941796</v>
      </c>
      <c r="P49" s="15">
        <f>+P48/P50</f>
        <v>1.7177914110429446</v>
      </c>
      <c r="Q49" s="15">
        <f>+Q48/Q50</f>
        <v>1.6915860451480502</v>
      </c>
      <c r="S49" s="15">
        <f>+S48/S50</f>
        <v>1.7972893341190337</v>
      </c>
      <c r="T49" s="15">
        <f>+T48/T50</f>
        <v>1.4691102571681938</v>
      </c>
      <c r="U49" s="15">
        <f>+U48/U50</f>
        <v>1.6237037037037036</v>
      </c>
      <c r="V49" s="15">
        <f>+V48/V50</f>
        <v>1.2980484920165583</v>
      </c>
      <c r="X49" s="15">
        <f>+X48/X50</f>
        <v>1.3453577764636311</v>
      </c>
      <c r="Y49" s="15">
        <f>+Y48/Y50</f>
        <v>1.3449600945906</v>
      </c>
      <c r="Z49" s="15">
        <f>+Z48/Z50</f>
        <v>1.4036643026004729</v>
      </c>
      <c r="AA49" s="15">
        <f>+(AA48)/AA50</f>
        <v>1.5366430260047281</v>
      </c>
      <c r="AC49" s="15">
        <f t="shared" ref="AC49:AE49" si="53">+AC48/AC50</f>
        <v>1.6715888954518605</v>
      </c>
      <c r="AD49" s="15">
        <f t="shared" si="53"/>
        <v>1.6504281074697373</v>
      </c>
      <c r="AE49" s="15">
        <f t="shared" si="53"/>
        <v>1.591113831360947</v>
      </c>
      <c r="AF49" s="15">
        <f>+AF48/AF50</f>
        <v>1.7000973372781067</v>
      </c>
    </row>
    <row r="50" spans="1:32" s="16" customFormat="1" ht="22" customHeight="1">
      <c r="A50" s="16" t="s">
        <v>7</v>
      </c>
      <c r="B50" s="11">
        <v>377.4</v>
      </c>
      <c r="C50" s="11">
        <v>366.3</v>
      </c>
      <c r="D50" s="11">
        <v>362</v>
      </c>
      <c r="E50" s="11">
        <v>355.9</v>
      </c>
      <c r="F50" s="11">
        <v>350.4</v>
      </c>
      <c r="G50" s="11">
        <v>345.6</v>
      </c>
      <c r="H50" s="11">
        <v>342.5</v>
      </c>
      <c r="I50" s="11">
        <v>338.8</v>
      </c>
      <c r="J50" s="11">
        <v>338.4</v>
      </c>
      <c r="K50" s="11">
        <f>AVERAGE(AC50:AF50)</f>
        <v>338.32499999999999</v>
      </c>
      <c r="L50" s="11">
        <v>336</v>
      </c>
      <c r="M50" s="11"/>
      <c r="N50" s="11">
        <v>344.1</v>
      </c>
      <c r="O50" s="11">
        <v>341.9</v>
      </c>
      <c r="P50" s="11">
        <v>342.3</v>
      </c>
      <c r="Q50" s="11">
        <v>341.1</v>
      </c>
      <c r="S50" s="11">
        <v>339.4</v>
      </c>
      <c r="T50" s="11">
        <v>338.3</v>
      </c>
      <c r="U50" s="11">
        <v>337.5</v>
      </c>
      <c r="V50" s="11">
        <v>338.2</v>
      </c>
      <c r="X50" s="11">
        <v>338.2</v>
      </c>
      <c r="Y50" s="11">
        <v>338.3</v>
      </c>
      <c r="Z50" s="11">
        <v>338.4</v>
      </c>
      <c r="AA50" s="11">
        <v>338.4</v>
      </c>
      <c r="AC50" s="11">
        <v>338.6</v>
      </c>
      <c r="AD50" s="11">
        <v>338.7</v>
      </c>
      <c r="AE50" s="11">
        <v>338</v>
      </c>
      <c r="AF50" s="11">
        <v>338</v>
      </c>
    </row>
    <row r="51" spans="1:32" ht="22" customHeight="1"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</row>
    <row r="52" spans="1:32" s="2" customFormat="1" ht="22" customHeight="1">
      <c r="A52" s="2" t="s">
        <v>42</v>
      </c>
    </row>
    <row r="53" spans="1:32" s="2" customFormat="1" ht="22" customHeight="1"/>
    <row r="54" spans="1:32" s="2" customFormat="1" ht="22" customHeight="1">
      <c r="A54" s="2" t="s">
        <v>43</v>
      </c>
      <c r="B54" s="8"/>
      <c r="C54" s="8">
        <f t="shared" ref="C54:K54" si="54">+C19/B19-1</f>
        <v>-5.7442709389576185E-2</v>
      </c>
      <c r="D54" s="8">
        <f t="shared" si="54"/>
        <v>-2.0924103060620758E-2</v>
      </c>
      <c r="E54" s="8">
        <f t="shared" si="54"/>
        <v>3.1315240083507057E-3</v>
      </c>
      <c r="F54" s="8">
        <f t="shared" si="54"/>
        <v>1.2432225204008995E-2</v>
      </c>
      <c r="G54" s="8">
        <f t="shared" si="54"/>
        <v>-1.9474196689386325E-3</v>
      </c>
      <c r="H54" s="8">
        <f t="shared" si="54"/>
        <v>3.7398373983739797E-2</v>
      </c>
      <c r="I54" s="8">
        <f>+I19/H19-1</f>
        <v>1.5673981191222541E-2</v>
      </c>
      <c r="J54" s="8">
        <f t="shared" si="54"/>
        <v>3.7808641975308532E-2</v>
      </c>
      <c r="K54" s="8">
        <f t="shared" si="54"/>
        <v>2.2354399008674086E-2</v>
      </c>
      <c r="L54" s="8">
        <f>+L19/K19-1</f>
        <v>1.8956656646950343E-2</v>
      </c>
      <c r="M54" s="8"/>
      <c r="N54" s="8"/>
      <c r="O54" s="8"/>
      <c r="P54" s="8"/>
      <c r="Q54" s="8"/>
      <c r="S54" s="8">
        <f>+S19/N19-1</f>
        <v>-5.3104412058295081E-2</v>
      </c>
      <c r="T54" s="8">
        <f>+T19/O19-1</f>
        <v>2.3850823937554111E-2</v>
      </c>
      <c r="U54" s="8">
        <f>+U19/P19-1</f>
        <v>6.9827033952594597E-2</v>
      </c>
      <c r="V54" s="8">
        <f>+V19/Q19-1</f>
        <v>2.6674937965260437E-2</v>
      </c>
      <c r="X54" s="8">
        <f>+X19/S19-1</f>
        <v>7.4214632089394827E-2</v>
      </c>
      <c r="Y54" s="8">
        <f>+Y19/T19-1</f>
        <v>7.2215163066497334E-2</v>
      </c>
      <c r="Z54" s="8">
        <f>+Z19/U19-1</f>
        <v>8.5828343313372191E-3</v>
      </c>
      <c r="AA54" s="8">
        <f>+AA19/V19-1</f>
        <v>-2.0140986908356862E-4</v>
      </c>
      <c r="AC54" s="8">
        <f>+AC19/X19-1</f>
        <v>1.9627085377821318E-2</v>
      </c>
      <c r="AD54" s="8">
        <f>+AD19/Y19-1</f>
        <v>1.4023306340114505E-2</v>
      </c>
      <c r="AE54" s="8">
        <f>+AE19/Z19-1</f>
        <v>2.533148624579451E-2</v>
      </c>
      <c r="AF54" s="8">
        <f>+AF19/AA19-1</f>
        <v>3.0620467365028103E-2</v>
      </c>
    </row>
    <row r="55" spans="1:32" s="2" customFormat="1" ht="22" customHeight="1">
      <c r="A55" s="2" t="s">
        <v>44</v>
      </c>
      <c r="B55" s="8"/>
      <c r="C55" s="8">
        <f>+C15/B15-1</f>
        <v>-4.4732745199792423E-2</v>
      </c>
      <c r="D55" s="8">
        <f t="shared" ref="D55:K55" si="55">+D15/C15-1</f>
        <v>-1.7166449369839243E-2</v>
      </c>
      <c r="E55" s="8">
        <f t="shared" si="55"/>
        <v>3.537475127127987E-3</v>
      </c>
      <c r="F55" s="8">
        <f t="shared" si="55"/>
        <v>-4.5164133068957835E-3</v>
      </c>
      <c r="G55" s="8">
        <f t="shared" si="55"/>
        <v>7.8565895761868454E-3</v>
      </c>
      <c r="H55" s="8">
        <f t="shared" si="55"/>
        <v>2.5362318840579601E-2</v>
      </c>
      <c r="I55" s="8">
        <f t="shared" si="55"/>
        <v>9.9368240710996814E-2</v>
      </c>
      <c r="J55" s="8">
        <f t="shared" si="55"/>
        <v>3.4576799454563156E-2</v>
      </c>
      <c r="K55" s="8">
        <f t="shared" si="55"/>
        <v>1.8075691960082851E-2</v>
      </c>
      <c r="L55" s="8">
        <f>+L15/K15-1</f>
        <v>3.5694470131311329E-2</v>
      </c>
      <c r="M55" s="8"/>
      <c r="N55" s="8"/>
      <c r="O55" s="8"/>
      <c r="P55" s="8"/>
      <c r="Q55" s="8"/>
      <c r="S55" s="8">
        <f t="shared" ref="S55:V57" si="56">+S15/N15-1</f>
        <v>1.6515276630883591E-2</v>
      </c>
      <c r="T55" s="8">
        <f t="shared" si="56"/>
        <v>0.12920592193808877</v>
      </c>
      <c r="U55" s="8">
        <f t="shared" si="56"/>
        <v>0.13552800342026505</v>
      </c>
      <c r="V55" s="8">
        <f t="shared" si="56"/>
        <v>0.12047679863771821</v>
      </c>
      <c r="X55" s="8">
        <f t="shared" ref="X55:AA57" si="57">+X15/S15-1</f>
        <v>0.10844841592201471</v>
      </c>
      <c r="Y55" s="8">
        <f t="shared" si="57"/>
        <v>7.6678585617798944E-2</v>
      </c>
      <c r="Z55" s="8">
        <f t="shared" si="57"/>
        <v>-1.0542168674698815E-2</v>
      </c>
      <c r="AA55" s="8">
        <f t="shared" si="57"/>
        <v>-2.9255319148936199E-2</v>
      </c>
      <c r="AC55" s="8">
        <f t="shared" ref="AC55:AC57" si="58">+AC15/X15-1</f>
        <v>-9.1608647856357139E-3</v>
      </c>
      <c r="AD55" s="8">
        <f t="shared" ref="AD55:AD57" si="59">+AD15/Y15-1</f>
        <v>-9.2250922509224953E-3</v>
      </c>
      <c r="AE55" s="8">
        <f t="shared" ref="AE55:AE57" si="60">+AE15/Z15-1</f>
        <v>3.6910197869101991E-2</v>
      </c>
      <c r="AF55" s="8">
        <f t="shared" ref="AF55:AF57" si="61">+AF15/AA15-1</f>
        <v>5.6751467710371761E-2</v>
      </c>
    </row>
    <row r="56" spans="1:32" s="2" customFormat="1" ht="22" customHeight="1">
      <c r="A56" s="2" t="s">
        <v>5</v>
      </c>
      <c r="B56" s="8"/>
      <c r="C56" s="8">
        <f>+C16/B16-1</f>
        <v>-7.8856282919488319E-2</v>
      </c>
      <c r="D56" s="8">
        <f t="shared" ref="D56:K56" si="62">+D16/C16-1</f>
        <v>-2.5159287698088506E-2</v>
      </c>
      <c r="E56" s="8">
        <f t="shared" si="62"/>
        <v>-5.8655941008882717E-3</v>
      </c>
      <c r="F56" s="8">
        <f t="shared" si="62"/>
        <v>1.3991908293998545E-2</v>
      </c>
      <c r="G56" s="8">
        <f t="shared" si="62"/>
        <v>-3.6575228595179254E-3</v>
      </c>
      <c r="H56" s="8">
        <f t="shared" si="62"/>
        <v>0.1209744702152511</v>
      </c>
      <c r="I56" s="8">
        <f t="shared" si="62"/>
        <v>-0.10181601667162843</v>
      </c>
      <c r="J56" s="8">
        <f t="shared" si="62"/>
        <v>3.4637056678820111E-2</v>
      </c>
      <c r="K56" s="8">
        <f t="shared" si="62"/>
        <v>1.8420631106839558E-2</v>
      </c>
      <c r="L56" s="8">
        <f>+L16/K16-1</f>
        <v>3.1299150676313392E-2</v>
      </c>
      <c r="M56" s="8"/>
      <c r="N56" s="8"/>
      <c r="O56" s="8"/>
      <c r="P56" s="8"/>
      <c r="Q56" s="8"/>
      <c r="S56" s="8">
        <f t="shared" si="56"/>
        <v>-0.12362159024956476</v>
      </c>
      <c r="T56" s="8">
        <f t="shared" si="56"/>
        <v>-0.13434650455927055</v>
      </c>
      <c r="U56" s="8">
        <f t="shared" si="56"/>
        <v>-5.0523721503388797E-2</v>
      </c>
      <c r="V56" s="8">
        <f t="shared" si="56"/>
        <v>-9.7278517660683295E-2</v>
      </c>
      <c r="X56" s="8">
        <f t="shared" si="57"/>
        <v>3.8410596026489996E-2</v>
      </c>
      <c r="Y56" s="8">
        <f t="shared" si="57"/>
        <v>7.9353932584269593E-2</v>
      </c>
      <c r="Z56" s="8">
        <f t="shared" si="57"/>
        <v>2.4010382868267399E-2</v>
      </c>
      <c r="AA56" s="8">
        <f t="shared" si="57"/>
        <v>6.4143681847328438E-4</v>
      </c>
      <c r="AC56" s="8">
        <f t="shared" si="58"/>
        <v>4.2091836734693855E-2</v>
      </c>
      <c r="AD56" s="8">
        <f t="shared" si="59"/>
        <v>7.8074170461939207E-3</v>
      </c>
      <c r="AE56" s="8">
        <f t="shared" si="60"/>
        <v>1.3941698352344822E-2</v>
      </c>
      <c r="AF56" s="8">
        <f t="shared" si="61"/>
        <v>9.6153846153845812E-3</v>
      </c>
    </row>
    <row r="57" spans="1:32" s="2" customFormat="1" ht="22" customHeight="1">
      <c r="A57" s="2" t="s">
        <v>6</v>
      </c>
      <c r="B57" s="8"/>
      <c r="C57" s="8">
        <f t="shared" ref="C57:K57" si="63">+C17/B17-1</f>
        <v>-4.9881936245572578E-2</v>
      </c>
      <c r="D57" s="8">
        <f t="shared" si="63"/>
        <v>-2.1435228331780021E-2</v>
      </c>
      <c r="E57" s="8">
        <f t="shared" si="63"/>
        <v>1.8412698412698436E-2</v>
      </c>
      <c r="F57" s="8">
        <f t="shared" si="63"/>
        <v>5.4239401496259276E-2</v>
      </c>
      <c r="G57" s="8">
        <f t="shared" si="63"/>
        <v>-2.6611472501478439E-2</v>
      </c>
      <c r="H57" s="8">
        <f t="shared" si="63"/>
        <v>-8.2928311057108184E-2</v>
      </c>
      <c r="I57" s="8">
        <f t="shared" si="63"/>
        <v>1.7555481947664875E-2</v>
      </c>
      <c r="J57" s="8">
        <f t="shared" si="63"/>
        <v>5.9895833333333259E-2</v>
      </c>
      <c r="K57" s="8">
        <f t="shared" si="63"/>
        <v>4.3918918918918859E-2</v>
      </c>
      <c r="L57" s="8">
        <f>+L17/K17-1</f>
        <v>-5.8546631362165313E-2</v>
      </c>
      <c r="M57" s="8"/>
      <c r="N57" s="8"/>
      <c r="O57" s="8"/>
      <c r="P57" s="8"/>
      <c r="Q57" s="8"/>
      <c r="S57" s="8">
        <f t="shared" si="56"/>
        <v>-0.1132075471698113</v>
      </c>
      <c r="T57" s="8">
        <f t="shared" si="56"/>
        <v>5.6629834254143585E-2</v>
      </c>
      <c r="U57" s="8">
        <f t="shared" si="56"/>
        <v>0.13049645390070919</v>
      </c>
      <c r="V57" s="8">
        <f t="shared" si="56"/>
        <v>2.1563342318059231E-2</v>
      </c>
      <c r="X57" s="8">
        <f t="shared" si="57"/>
        <v>3.7234042553191404E-2</v>
      </c>
      <c r="Y57" s="8">
        <f t="shared" si="57"/>
        <v>4.8366013071895475E-2</v>
      </c>
      <c r="Z57" s="8">
        <f t="shared" si="57"/>
        <v>4.8933500627352577E-2</v>
      </c>
      <c r="AA57" s="8">
        <f t="shared" si="57"/>
        <v>0.10554089709762526</v>
      </c>
      <c r="AC57" s="8">
        <f t="shared" si="58"/>
        <v>8.5897435897435814E-2</v>
      </c>
      <c r="AD57" s="8">
        <f t="shared" si="59"/>
        <v>0.10598503740648368</v>
      </c>
      <c r="AE57" s="8">
        <f t="shared" si="60"/>
        <v>4.7846889952152249E-3</v>
      </c>
      <c r="AF57" s="8">
        <f t="shared" si="61"/>
        <v>-1.5513126491646823E-2</v>
      </c>
    </row>
    <row r="58" spans="1:32" s="2" customFormat="1" ht="22" customHeight="1">
      <c r="A58" s="2" t="s">
        <v>30</v>
      </c>
      <c r="B58" s="8"/>
      <c r="C58" s="8">
        <f>+C22/B22-1</f>
        <v>-1.4907749077490817E-2</v>
      </c>
      <c r="D58" s="8">
        <f t="shared" ref="D58:K58" si="64">+D22/C22-1</f>
        <v>-2.5471980821096807E-3</v>
      </c>
      <c r="E58" s="8">
        <f t="shared" si="64"/>
        <v>-1.562265284662756E-2</v>
      </c>
      <c r="F58" s="8">
        <f t="shared" si="64"/>
        <v>-6.3329772623226033E-2</v>
      </c>
      <c r="G58" s="8">
        <f t="shared" si="64"/>
        <v>5.099380905832529E-2</v>
      </c>
      <c r="H58" s="8">
        <f t="shared" si="64"/>
        <v>0.10137963106495107</v>
      </c>
      <c r="I58" s="8">
        <f t="shared" si="64"/>
        <v>-0.13553835327234343</v>
      </c>
      <c r="J58" s="8">
        <f t="shared" si="64"/>
        <v>1.2536633018560783E-2</v>
      </c>
      <c r="K58" s="8">
        <f t="shared" si="64"/>
        <v>9.6297636275928689E-2</v>
      </c>
      <c r="L58" s="8">
        <f>+L22/K22-1</f>
        <v>-1.3557743431787728E-2</v>
      </c>
      <c r="M58" s="8"/>
      <c r="N58" s="8"/>
      <c r="O58" s="8"/>
      <c r="P58" s="8"/>
      <c r="Q58" s="8"/>
      <c r="S58" s="8">
        <f>+S22/N22-1</f>
        <v>-0.13272434175174641</v>
      </c>
      <c r="T58" s="8">
        <f>+T22/O22-1</f>
        <v>-0.180729450190528</v>
      </c>
      <c r="U58" s="8">
        <f>+U22/P22-1</f>
        <v>-9.7819681791396551E-2</v>
      </c>
      <c r="V58" s="8">
        <f>+V22/Q22-1</f>
        <v>-0.12748538011695909</v>
      </c>
      <c r="X58" s="8">
        <f>+X22/S22-1</f>
        <v>-5.8240396530359395E-2</v>
      </c>
      <c r="Y58" s="8">
        <f>+Y22/T22-1</f>
        <v>1.5946843853820614E-2</v>
      </c>
      <c r="Z58" s="8">
        <f>+Z22/U22-1</f>
        <v>7.8380143696930027E-3</v>
      </c>
      <c r="AA58" s="8">
        <f>+AA22/V22-1</f>
        <v>9.048257372654156E-2</v>
      </c>
      <c r="AC58" s="8">
        <f>+AC22/X22-1</f>
        <v>0.13552631578947372</v>
      </c>
      <c r="AD58" s="8">
        <f>+AD22/Y22-1</f>
        <v>0.14192282537606271</v>
      </c>
      <c r="AE58" s="8">
        <f>+AE22/Z22-1</f>
        <v>5.7689565780946195E-2</v>
      </c>
      <c r="AF58" s="8">
        <f>+AF22/AA22-1</f>
        <v>5.3386601106330644E-2</v>
      </c>
    </row>
    <row r="59" spans="1:32" s="2" customFormat="1" ht="22" customHeight="1">
      <c r="A59" s="2" t="s">
        <v>45</v>
      </c>
      <c r="B59" s="8"/>
      <c r="C59" s="8">
        <f>+C29/B29-1</f>
        <v>8.1658291457287202E-3</v>
      </c>
      <c r="D59" s="8">
        <f t="shared" ref="D59:K59" si="65">+D29/C29-1</f>
        <v>4.0809968847351996E-2</v>
      </c>
      <c r="E59" s="8">
        <f t="shared" si="65"/>
        <v>-5.3876085004489482E-3</v>
      </c>
      <c r="F59" s="8">
        <f t="shared" si="65"/>
        <v>-6.4399638880529686E-2</v>
      </c>
      <c r="G59" s="8">
        <f t="shared" si="65"/>
        <v>4.0527500804117045E-2</v>
      </c>
      <c r="H59" s="8">
        <f t="shared" si="65"/>
        <v>9.6754250386398732E-2</v>
      </c>
      <c r="I59" s="8">
        <f t="shared" si="65"/>
        <v>-0.20152198421645995</v>
      </c>
      <c r="J59" s="8">
        <f t="shared" si="65"/>
        <v>-8.3656900811860169E-2</v>
      </c>
      <c r="K59" s="8">
        <f t="shared" si="65"/>
        <v>0.15788713405238819</v>
      </c>
      <c r="L59" s="8">
        <f>+L29/K29-1</f>
        <v>1.5186925604027124E-3</v>
      </c>
      <c r="M59" s="8"/>
      <c r="N59" s="8"/>
      <c r="O59" s="8"/>
      <c r="P59" s="8"/>
      <c r="Q59" s="8"/>
      <c r="S59" s="8">
        <f>+S29/N29-1</f>
        <v>-0.19066937119675453</v>
      </c>
      <c r="T59" s="8">
        <f>+T29/O29-1</f>
        <v>-0.32803180914512919</v>
      </c>
      <c r="U59" s="8">
        <f>+U29/P29-1</f>
        <v>-5.555555555555558E-2</v>
      </c>
      <c r="V59" s="8">
        <f>+V29/Q29-1</f>
        <v>-0.20157068062827221</v>
      </c>
      <c r="X59" s="8">
        <f>+X29/S29-1</f>
        <v>-0.21679197994987465</v>
      </c>
      <c r="Y59" s="8">
        <f>+Y29/T29-1</f>
        <v>-8.5798816568047331E-2</v>
      </c>
      <c r="Z59" s="8">
        <f>+Z29/U29-1</f>
        <v>-0.13502673796791442</v>
      </c>
      <c r="AA59" s="8">
        <f>+AA29/V29-1</f>
        <v>0.15737704918032791</v>
      </c>
      <c r="AC59" s="8">
        <f>+AC29/X29-1</f>
        <v>0.23360000000000003</v>
      </c>
      <c r="AD59" s="8">
        <f>+AD29/Y29-1</f>
        <v>0.15210355987055024</v>
      </c>
      <c r="AE59" s="8">
        <f>+AE29/Z29-1</f>
        <v>0.14067233384853184</v>
      </c>
      <c r="AF59" s="8">
        <f>+AF29/AA29-1</f>
        <v>0.11169971671388113</v>
      </c>
    </row>
    <row r="60" spans="1:32" s="2" customFormat="1" ht="22" customHeight="1">
      <c r="A60" s="2" t="s">
        <v>44</v>
      </c>
      <c r="B60" s="8"/>
      <c r="C60" s="8">
        <f>+C32/B32-1</f>
        <v>4.547975596228504E-2</v>
      </c>
      <c r="D60" s="8">
        <f t="shared" ref="D60:K60" si="66">+D32/C32-1</f>
        <v>-1.4854111405835591E-2</v>
      </c>
      <c r="E60" s="8">
        <f t="shared" si="66"/>
        <v>2.6925148088314588E-2</v>
      </c>
      <c r="F60" s="8">
        <f t="shared" si="66"/>
        <v>-3.8804404824331451E-2</v>
      </c>
      <c r="G60" s="8">
        <f t="shared" si="66"/>
        <v>3.873431533006011E-2</v>
      </c>
      <c r="H60" s="8">
        <f t="shared" si="66"/>
        <v>1.5231092436974736E-2</v>
      </c>
      <c r="I60" s="8">
        <f t="shared" si="66"/>
        <v>-3.9834454216244208E-2</v>
      </c>
      <c r="J60" s="8">
        <f t="shared" si="66"/>
        <v>-3.717672413793105E-2</v>
      </c>
      <c r="K60" s="8">
        <f t="shared" si="66"/>
        <v>7.1068830442081676E-2</v>
      </c>
      <c r="L60" s="8">
        <f>+L32/K32-1</f>
        <v>1.097178683385569E-2</v>
      </c>
      <c r="M60" s="8"/>
      <c r="N60" s="8"/>
      <c r="O60" s="8"/>
      <c r="P60" s="8"/>
      <c r="Q60" s="8"/>
      <c r="S60" s="8">
        <f>+S32/N32-1</f>
        <v>-8.7286527514231493E-2</v>
      </c>
      <c r="T60" s="8">
        <f>+T32/O32-1</f>
        <v>-0.12524084778420042</v>
      </c>
      <c r="U60" s="8">
        <f>+U32/P32-1</f>
        <v>2.0576131687242816E-2</v>
      </c>
      <c r="V60" s="8">
        <f>+V32/Q32-1</f>
        <v>5.9850374064837952E-2</v>
      </c>
      <c r="X60" s="8">
        <f>+X32/S32-1</f>
        <v>-1.2474012474012475E-2</v>
      </c>
      <c r="Y60" s="8">
        <f>+Y32/T32-1</f>
        <v>2.6431718061673992E-2</v>
      </c>
      <c r="Z60" s="8">
        <f>+Z32/U32-1</f>
        <v>-0.14717741935483875</v>
      </c>
      <c r="AA60" s="8">
        <f>+AA32/V32-1</f>
        <v>-4.7058823529412264E-3</v>
      </c>
      <c r="AC60" s="8">
        <f>+AC32/X32-1</f>
        <v>2.5263157894736876E-2</v>
      </c>
      <c r="AD60" s="8">
        <f>+AD32/Y32-1</f>
        <v>1.2875536480686733E-2</v>
      </c>
      <c r="AE60" s="8">
        <f>+AE32/Z32-1</f>
        <v>0.12293144208037821</v>
      </c>
      <c r="AF60" s="8">
        <f>+AF32/AA32-1</f>
        <v>0.13475177304964547</v>
      </c>
    </row>
    <row r="61" spans="1:32" s="2" customFormat="1" ht="22" customHeight="1">
      <c r="A61" s="2" t="s">
        <v>5</v>
      </c>
      <c r="B61" s="8"/>
      <c r="C61" s="8">
        <f t="shared" ref="C61:K61" si="67">+C34/B34-1</f>
        <v>1.0357815442561202E-2</v>
      </c>
      <c r="D61" s="8">
        <f t="shared" si="67"/>
        <v>4.1006523765144465E-2</v>
      </c>
      <c r="E61" s="8">
        <f t="shared" si="67"/>
        <v>-7.4306177260519246E-2</v>
      </c>
      <c r="F61" s="8">
        <f t="shared" si="67"/>
        <v>-0.15377176015473892</v>
      </c>
      <c r="G61" s="8">
        <f t="shared" si="67"/>
        <v>0.1508571428571428</v>
      </c>
      <c r="H61" s="8">
        <f t="shared" si="67"/>
        <v>0.43793445878848059</v>
      </c>
      <c r="I61" s="8">
        <f t="shared" si="67"/>
        <v>-0.38674033149171272</v>
      </c>
      <c r="J61" s="8">
        <f t="shared" si="67"/>
        <v>-9.2342342342342287E-2</v>
      </c>
      <c r="K61" s="8">
        <f t="shared" si="67"/>
        <v>0.16004962779156329</v>
      </c>
      <c r="L61" s="8">
        <f>+L34/K34-1</f>
        <v>9.625668449197855E-2</v>
      </c>
      <c r="M61" s="8"/>
      <c r="N61" s="8"/>
      <c r="O61" s="8"/>
      <c r="P61" s="8"/>
      <c r="Q61" s="8"/>
      <c r="S61" s="8">
        <f>+S34/N34-1</f>
        <v>-0.26301369863013702</v>
      </c>
      <c r="T61" s="8">
        <f>+T34/O34-1</f>
        <v>-0.5420560747663552</v>
      </c>
      <c r="U61" s="8">
        <f>+U34/P34-1</f>
        <v>-0.30188679245283023</v>
      </c>
      <c r="V61" s="8">
        <f>+V34/Q34-1</f>
        <v>-0.40356083086053407</v>
      </c>
      <c r="X61" s="8">
        <f>+X34/S34-1</f>
        <v>-0.36431226765799252</v>
      </c>
      <c r="Y61" s="8">
        <f>+Y34/T34-1</f>
        <v>-9.1836734693877542E-2</v>
      </c>
      <c r="Z61" s="8">
        <f>+Z34/U34-1</f>
        <v>-1.8018018018018056E-2</v>
      </c>
      <c r="AA61" s="8">
        <f>+AA34/V34-1</f>
        <v>0.18905472636815923</v>
      </c>
      <c r="AC61" s="8">
        <f>+AC34/X34-1</f>
        <v>0.40350877192982448</v>
      </c>
      <c r="AD61" s="8">
        <f>+AD34/Y34-1</f>
        <v>0.12359550561797761</v>
      </c>
      <c r="AE61" s="8">
        <f>+AE34/Z34-1</f>
        <v>0.12385321100917435</v>
      </c>
      <c r="AF61" s="8">
        <f>+AF34/AA34-1</f>
        <v>4.6025104602510414E-2</v>
      </c>
    </row>
    <row r="62" spans="1:32" s="2" customFormat="1" ht="22" customHeight="1">
      <c r="A62" s="2" t="s">
        <v>6</v>
      </c>
      <c r="B62" s="8"/>
      <c r="C62" s="8">
        <f>+C36/B36-1</f>
        <v>-2.3178807947019875E-2</v>
      </c>
      <c r="D62" s="8">
        <f t="shared" ref="D62:K62" si="68">+D36/C36-1</f>
        <v>2.2033898305084731E-2</v>
      </c>
      <c r="E62" s="8">
        <f t="shared" si="68"/>
        <v>4.9751243781094523E-2</v>
      </c>
      <c r="F62" s="8">
        <f t="shared" si="68"/>
        <v>-1.4218009478673022E-2</v>
      </c>
      <c r="G62" s="8">
        <f t="shared" si="68"/>
        <v>5.2884615384615419E-2</v>
      </c>
      <c r="H62" s="8">
        <f t="shared" si="68"/>
        <v>-0.19634703196347036</v>
      </c>
      <c r="I62" s="8">
        <f t="shared" si="68"/>
        <v>-0.23484848484848486</v>
      </c>
      <c r="J62" s="8">
        <f t="shared" si="68"/>
        <v>0.13118811881188108</v>
      </c>
      <c r="K62" s="8">
        <f t="shared" si="68"/>
        <v>0.46389496717724299</v>
      </c>
      <c r="L62" s="8">
        <f>+L36/K36-1</f>
        <v>-0.17787742899850523</v>
      </c>
      <c r="M62" s="8"/>
      <c r="N62" s="8"/>
      <c r="O62" s="8"/>
      <c r="P62" s="8"/>
      <c r="Q62" s="8"/>
      <c r="S62" s="8">
        <f>+S36/N36-1</f>
        <v>-0.30386740331491713</v>
      </c>
      <c r="T62" s="8">
        <f>+T36/O36-1</f>
        <v>-0.29032258064516125</v>
      </c>
      <c r="U62" s="8">
        <f>+U36/P36-1</f>
        <v>0.10344827586206895</v>
      </c>
      <c r="V62" s="8">
        <f>+V36/Q36-1</f>
        <v>-0.31428571428571428</v>
      </c>
      <c r="X62" s="8">
        <f>+X36/S36-1</f>
        <v>-0.2857142857142857</v>
      </c>
      <c r="Y62" s="8">
        <f>+Y36/T36-1</f>
        <v>-0.22727272727272729</v>
      </c>
      <c r="Z62" s="8">
        <f>+Z36/U36-1</f>
        <v>0.23958333333333326</v>
      </c>
      <c r="AA62" s="8">
        <f>+AA36/V36-1</f>
        <v>1.2638888888888888</v>
      </c>
      <c r="AC62" s="8">
        <f>+AC36/X36-1</f>
        <v>0.76666666666666661</v>
      </c>
      <c r="AD62" s="8">
        <f>+AD36/Y36-1</f>
        <v>1.2000000000000002</v>
      </c>
      <c r="AE62" s="8">
        <f>+AE36/Z36-1</f>
        <v>0.20168067226890751</v>
      </c>
      <c r="AF62" s="8">
        <f>+AF36/AA36-1</f>
        <v>0.10429447852760743</v>
      </c>
    </row>
    <row r="63" spans="1:32" s="2" customFormat="1" ht="22" customHeight="1">
      <c r="A63" s="2" t="s">
        <v>41</v>
      </c>
      <c r="B63" s="8"/>
      <c r="C63" s="8">
        <f>+C49/B49-1</f>
        <v>4.4667832167832211E-2</v>
      </c>
      <c r="D63" s="8">
        <f t="shared" ref="D63:K63" si="69">+D49/C49-1</f>
        <v>4.6903169526024913E-2</v>
      </c>
      <c r="E63" s="8">
        <f t="shared" si="69"/>
        <v>3.3454901517409041E-2</v>
      </c>
      <c r="F63" s="8">
        <f t="shared" si="69"/>
        <v>6.1510345544907308E-2</v>
      </c>
      <c r="G63" s="8">
        <f t="shared" si="69"/>
        <v>4.189445163765404E-2</v>
      </c>
      <c r="H63" s="8">
        <f>+H49/G49-1</f>
        <v>0.12389899355297551</v>
      </c>
      <c r="I63" s="8">
        <f t="shared" si="69"/>
        <v>-0.2014029864965694</v>
      </c>
      <c r="J63" s="8">
        <f t="shared" si="69"/>
        <v>-8.9617292100407919E-2</v>
      </c>
      <c r="K63" s="8">
        <f t="shared" si="69"/>
        <v>0.17476397327966442</v>
      </c>
      <c r="L63" s="8">
        <f>+L49/K49-1</f>
        <v>-1.2045055292846496E-2</v>
      </c>
      <c r="M63" s="8"/>
      <c r="N63" s="8"/>
      <c r="O63" s="8"/>
      <c r="P63" s="8"/>
      <c r="Q63" s="8"/>
      <c r="S63" s="8">
        <f>+S49/N49-1</f>
        <v>-0.15742880126654013</v>
      </c>
      <c r="T63" s="8">
        <f>+T49/O49-1</f>
        <v>-0.3329498048794084</v>
      </c>
      <c r="U63" s="8">
        <f>+U49/P49-1</f>
        <v>-5.4772486772486695E-2</v>
      </c>
      <c r="V63" s="8">
        <f>+V49/Q49-1</f>
        <v>-0.23264412369697041</v>
      </c>
      <c r="X63" s="8">
        <f>+X49/S49-1</f>
        <v>-0.251451755193842</v>
      </c>
      <c r="Y63" s="8">
        <f>+Y49/T49-1</f>
        <v>-8.4507042253521125E-2</v>
      </c>
      <c r="Z63" s="8">
        <f>+Z49/U49-1</f>
        <v>-0.13551696692032911</v>
      </c>
      <c r="AA63" s="8">
        <f>+AA49/V49-1</f>
        <v>0.18381018540956506</v>
      </c>
      <c r="AC63" s="8">
        <f>+AC49/X49-1</f>
        <v>0.24248651525674547</v>
      </c>
      <c r="AD63" s="8">
        <f>+AD49/Y49-1</f>
        <v>0.22712050276266416</v>
      </c>
      <c r="AE63" s="8">
        <f>+AE49/Z49-1</f>
        <v>0.13354299059483044</v>
      </c>
      <c r="AF63" s="8">
        <f>+AF49/AA49-1</f>
        <v>0.10637103641329104</v>
      </c>
    </row>
    <row r="64" spans="1:32" s="2" customFormat="1" ht="22" customHeight="1"/>
    <row r="65" spans="1:13" s="2" customFormat="1" ht="22" customHeight="1">
      <c r="A65" s="20" t="s">
        <v>51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3" s="2" customFormat="1" ht="22" customHeight="1">
      <c r="A66" s="20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</row>
    <row r="67" spans="1:13" s="2" customFormat="1" ht="22" customHeight="1">
      <c r="A67" s="20" t="s">
        <v>52</v>
      </c>
      <c r="B67" s="10">
        <v>1595</v>
      </c>
      <c r="C67" s="10">
        <v>1066</v>
      </c>
      <c r="D67" s="10">
        <v>2219</v>
      </c>
      <c r="E67" s="10">
        <v>2319</v>
      </c>
      <c r="F67" s="10">
        <v>1445</v>
      </c>
      <c r="G67" s="10">
        <v>2197</v>
      </c>
      <c r="H67" s="10">
        <v>2396</v>
      </c>
      <c r="I67" s="10">
        <v>1844</v>
      </c>
      <c r="J67" s="10">
        <v>1961</v>
      </c>
      <c r="K67" s="10">
        <f>+K48</f>
        <v>2237.4293749999997</v>
      </c>
      <c r="L67" s="10">
        <f>+L48</f>
        <v>2195.2888000000003</v>
      </c>
      <c r="M67" s="10"/>
    </row>
    <row r="68" spans="1:13" s="2" customFormat="1" ht="22" customHeight="1">
      <c r="A68" s="20" t="s">
        <v>53</v>
      </c>
      <c r="B68" s="22">
        <v>862</v>
      </c>
      <c r="C68" s="22">
        <v>746</v>
      </c>
      <c r="D68" s="22">
        <v>705</v>
      </c>
      <c r="E68" s="22">
        <v>724</v>
      </c>
      <c r="F68" s="22">
        <v>882</v>
      </c>
      <c r="G68" s="22">
        <v>917</v>
      </c>
      <c r="H68" s="22">
        <v>796</v>
      </c>
      <c r="I68" s="22">
        <v>766</v>
      </c>
      <c r="J68" s="22">
        <v>754</v>
      </c>
      <c r="K68" s="22">
        <v>800</v>
      </c>
      <c r="L68" s="22">
        <v>800</v>
      </c>
      <c r="M68" s="22"/>
    </row>
    <row r="69" spans="1:13" s="2" customFormat="1" ht="22" customHeight="1">
      <c r="A69" s="20" t="s">
        <v>54</v>
      </c>
      <c r="B69" s="22">
        <v>63</v>
      </c>
      <c r="C69" s="22">
        <v>-255</v>
      </c>
      <c r="D69" s="22">
        <v>-15</v>
      </c>
      <c r="E69" s="22">
        <v>-69</v>
      </c>
      <c r="F69" s="22">
        <v>2</v>
      </c>
      <c r="G69" s="22">
        <v>29</v>
      </c>
      <c r="H69" s="22">
        <v>45</v>
      </c>
      <c r="I69" s="22">
        <v>-70</v>
      </c>
      <c r="J69" s="22">
        <v>-57</v>
      </c>
      <c r="K69" s="22">
        <v>0</v>
      </c>
      <c r="L69" s="22">
        <v>0</v>
      </c>
      <c r="M69" s="22"/>
    </row>
    <row r="70" spans="1:13" s="2" customFormat="1" ht="22" customHeight="1">
      <c r="A70" s="20" t="s">
        <v>55</v>
      </c>
      <c r="B70" s="22">
        <f>42+52+21+28-102+462-2</f>
        <v>501</v>
      </c>
      <c r="C70" s="22">
        <f>22+75+17-10+930+153+7</f>
        <v>1194</v>
      </c>
      <c r="D70" s="22">
        <f>77-4-50-11-23</f>
        <v>-11</v>
      </c>
      <c r="E70" s="22">
        <f>76+26+2-1</f>
        <v>103</v>
      </c>
      <c r="F70" s="22">
        <f>74+41+52+18-25+92</f>
        <v>252</v>
      </c>
      <c r="G70" s="22">
        <f>96+-193-6+13-29</f>
        <v>-119</v>
      </c>
      <c r="H70" s="22">
        <f>17+147+68-30-28-45</f>
        <v>129</v>
      </c>
      <c r="I70" s="22">
        <f>3+26+39+25+47+4</f>
        <v>144</v>
      </c>
      <c r="J70" s="22">
        <f>-85+150+15+6-4+10</f>
        <v>92</v>
      </c>
      <c r="K70" s="22">
        <v>0</v>
      </c>
      <c r="L70" s="22">
        <v>0</v>
      </c>
      <c r="M70" s="22"/>
    </row>
    <row r="71" spans="1:13" s="2" customFormat="1" ht="22" customHeight="1">
      <c r="A71" s="20" t="s">
        <v>56</v>
      </c>
      <c r="B71" s="22">
        <v>-176</v>
      </c>
      <c r="C71" s="22">
        <v>-445</v>
      </c>
      <c r="D71" s="22">
        <v>334</v>
      </c>
      <c r="E71" s="22">
        <v>-148</v>
      </c>
      <c r="F71" s="22">
        <v>389</v>
      </c>
      <c r="G71" s="22">
        <v>-288</v>
      </c>
      <c r="H71" s="22">
        <v>363</v>
      </c>
      <c r="I71" s="34">
        <v>46</v>
      </c>
      <c r="J71" s="34">
        <v>-17</v>
      </c>
      <c r="K71" s="34">
        <f>+K115</f>
        <v>-138</v>
      </c>
      <c r="L71" s="34">
        <f>+L115</f>
        <v>-75</v>
      </c>
      <c r="M71" s="34"/>
    </row>
    <row r="72" spans="1:13" s="2" customFormat="1" ht="22" customHeight="1">
      <c r="A72" s="20" t="s">
        <v>35</v>
      </c>
      <c r="B72" s="23">
        <f>SUM(B67:B71)</f>
        <v>2845</v>
      </c>
      <c r="C72" s="23">
        <f t="shared" ref="C72:K72" si="70">SUM(C67:C71)</f>
        <v>2306</v>
      </c>
      <c r="D72" s="23">
        <f t="shared" si="70"/>
        <v>3232</v>
      </c>
      <c r="E72" s="23">
        <f t="shared" si="70"/>
        <v>2929</v>
      </c>
      <c r="F72" s="23">
        <f t="shared" si="70"/>
        <v>2970</v>
      </c>
      <c r="G72" s="23">
        <f t="shared" si="70"/>
        <v>2736</v>
      </c>
      <c r="H72" s="23">
        <f t="shared" si="70"/>
        <v>3729</v>
      </c>
      <c r="I72" s="23">
        <f t="shared" si="70"/>
        <v>2730</v>
      </c>
      <c r="J72" s="23">
        <f t="shared" si="70"/>
        <v>2733</v>
      </c>
      <c r="K72" s="23">
        <f t="shared" si="70"/>
        <v>2899.4293749999997</v>
      </c>
      <c r="L72" s="23">
        <f t="shared" ref="L72" si="71">SUM(L67:L71)</f>
        <v>2920.2888000000003</v>
      </c>
      <c r="M72" s="23"/>
    </row>
    <row r="73" spans="1:13" s="2" customFormat="1" ht="22" customHeight="1">
      <c r="A73" s="20" t="s">
        <v>57</v>
      </c>
      <c r="B73" s="22">
        <v>1039</v>
      </c>
      <c r="C73" s="22">
        <v>1056</v>
      </c>
      <c r="D73" s="22">
        <v>771</v>
      </c>
      <c r="E73" s="22">
        <v>785</v>
      </c>
      <c r="F73" s="22">
        <v>877</v>
      </c>
      <c r="G73" s="22">
        <v>1209</v>
      </c>
      <c r="H73" s="22">
        <v>1217</v>
      </c>
      <c r="I73" s="22">
        <v>1007</v>
      </c>
      <c r="J73" s="22">
        <v>876</v>
      </c>
      <c r="K73" s="22">
        <v>800</v>
      </c>
      <c r="L73" s="22">
        <v>800</v>
      </c>
      <c r="M73" s="22"/>
    </row>
    <row r="74" spans="1:13" s="2" customFormat="1" ht="22" customHeight="1">
      <c r="A74" s="20" t="s">
        <v>58</v>
      </c>
      <c r="B74" s="10">
        <f>+B72-B73</f>
        <v>1806</v>
      </c>
      <c r="C74" s="10">
        <f>+C72-C73</f>
        <v>1250</v>
      </c>
      <c r="D74" s="10">
        <f>+D72-D73</f>
        <v>2461</v>
      </c>
      <c r="E74" s="10">
        <f t="shared" ref="E74:J74" si="72">+E72-E73</f>
        <v>2144</v>
      </c>
      <c r="F74" s="10">
        <f t="shared" si="72"/>
        <v>2093</v>
      </c>
      <c r="G74" s="10">
        <f t="shared" si="72"/>
        <v>1527</v>
      </c>
      <c r="H74" s="10">
        <f t="shared" si="72"/>
        <v>2512</v>
      </c>
      <c r="I74" s="10">
        <f t="shared" si="72"/>
        <v>1723</v>
      </c>
      <c r="J74" s="10">
        <f t="shared" si="72"/>
        <v>1857</v>
      </c>
      <c r="K74" s="10">
        <f>+K72-K73</f>
        <v>2099.4293749999997</v>
      </c>
      <c r="L74" s="10">
        <f>+L72-L73</f>
        <v>2120.2888000000003</v>
      </c>
      <c r="M74" s="10"/>
    </row>
    <row r="75" spans="1:13" s="2" customFormat="1" ht="22" customHeight="1">
      <c r="A75" s="20" t="s">
        <v>50</v>
      </c>
      <c r="B75" s="24">
        <f>+B74/B50</f>
        <v>4.7853736089030212</v>
      </c>
      <c r="C75" s="24">
        <f>+C74/C50</f>
        <v>3.4125034125034124</v>
      </c>
      <c r="D75" s="24">
        <f>+D74/D50</f>
        <v>6.7983425414364644</v>
      </c>
      <c r="E75" s="24">
        <f t="shared" ref="E75:J75" si="73">+E74/E50</f>
        <v>6.0241640910368082</v>
      </c>
      <c r="F75" s="24">
        <f t="shared" si="73"/>
        <v>5.9731735159817356</v>
      </c>
      <c r="G75" s="24">
        <f t="shared" si="73"/>
        <v>4.4184027777777777</v>
      </c>
      <c r="H75" s="24">
        <f t="shared" si="73"/>
        <v>7.3343065693430658</v>
      </c>
      <c r="I75" s="24">
        <f t="shared" si="73"/>
        <v>5.0855962219598583</v>
      </c>
      <c r="J75" s="24">
        <f t="shared" si="73"/>
        <v>5.4875886524822697</v>
      </c>
      <c r="K75" s="24">
        <f>+K74/K50</f>
        <v>6.2053628168181474</v>
      </c>
      <c r="L75" s="24">
        <f>+L74/L50</f>
        <v>6.3103833333333341</v>
      </c>
      <c r="M75" s="24"/>
    </row>
    <row r="76" spans="1:13" s="2" customFormat="1" ht="22" customHeight="1">
      <c r="A76" s="2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</row>
    <row r="77" spans="1:13" s="2" customFormat="1" ht="22" customHeight="1">
      <c r="A77" s="20" t="s">
        <v>59</v>
      </c>
      <c r="B77" s="25">
        <v>38</v>
      </c>
      <c r="C77" s="25">
        <v>27</v>
      </c>
      <c r="D77" s="25">
        <v>0</v>
      </c>
      <c r="E77" s="25">
        <v>0</v>
      </c>
      <c r="F77" s="25">
        <v>51</v>
      </c>
      <c r="G77" s="25">
        <v>242</v>
      </c>
      <c r="H77" s="25">
        <f>-1083+31</f>
        <v>-1052</v>
      </c>
      <c r="I77" s="25">
        <v>43</v>
      </c>
      <c r="J77" s="25">
        <f>-46+12</f>
        <v>-34</v>
      </c>
      <c r="K77" s="25">
        <v>0</v>
      </c>
      <c r="L77" s="25">
        <v>0</v>
      </c>
      <c r="M77" s="25"/>
    </row>
    <row r="78" spans="1:13" s="2" customFormat="1" ht="22" customHeight="1">
      <c r="A78" s="20" t="s">
        <v>60</v>
      </c>
      <c r="B78" s="22">
        <v>-1256</v>
      </c>
      <c r="C78" s="22">
        <v>-1272</v>
      </c>
      <c r="D78" s="22">
        <v>-1311</v>
      </c>
      <c r="E78" s="22">
        <v>-1359</v>
      </c>
      <c r="F78" s="22">
        <v>-1386</v>
      </c>
      <c r="G78" s="22">
        <v>-1408</v>
      </c>
      <c r="H78" s="22">
        <v>-1451</v>
      </c>
      <c r="I78" s="22">
        <v>-1516</v>
      </c>
      <c r="J78" s="22">
        <v>-1558</v>
      </c>
      <c r="K78" s="22">
        <v>-1500</v>
      </c>
      <c r="L78" s="22">
        <v>-1500</v>
      </c>
      <c r="M78" s="22"/>
    </row>
    <row r="79" spans="1:13" s="2" customFormat="1" ht="22" customHeight="1">
      <c r="A79" s="20" t="s">
        <v>61</v>
      </c>
      <c r="B79" s="22">
        <f>127-1939</f>
        <v>-1812</v>
      </c>
      <c r="C79" s="22">
        <f>140-861</f>
        <v>-721</v>
      </c>
      <c r="D79" s="22">
        <f>107-739</f>
        <v>-632</v>
      </c>
      <c r="E79" s="22">
        <f>121-911</f>
        <v>-790</v>
      </c>
      <c r="F79" s="22">
        <f>62-800</f>
        <v>-738</v>
      </c>
      <c r="G79" s="22">
        <f>-800+228</f>
        <v>-572</v>
      </c>
      <c r="H79" s="22">
        <f>217-700</f>
        <v>-483</v>
      </c>
      <c r="I79" s="22">
        <f>65-400</f>
        <v>-335</v>
      </c>
      <c r="J79" s="22">
        <f>94-100</f>
        <v>-6</v>
      </c>
      <c r="K79" s="22">
        <v>-400</v>
      </c>
      <c r="L79" s="22">
        <v>-400</v>
      </c>
      <c r="M79" s="22"/>
    </row>
    <row r="80" spans="1:13" s="2" customFormat="1" ht="22" customHeight="1">
      <c r="A80" s="20" t="s">
        <v>62</v>
      </c>
      <c r="B80" s="22">
        <f>721+1257-123-500-34</f>
        <v>1321</v>
      </c>
      <c r="C80" s="22">
        <f>303+1100-553</f>
        <v>850</v>
      </c>
      <c r="D80" s="22">
        <f>-908+1293-598</f>
        <v>-213</v>
      </c>
      <c r="E80" s="22">
        <f>360+937-1481</f>
        <v>-184</v>
      </c>
      <c r="F80" s="22">
        <f>507-407-34</f>
        <v>66</v>
      </c>
      <c r="G80" s="22">
        <f>706-707+303</f>
        <v>302</v>
      </c>
      <c r="H80" s="22">
        <f>-561+1845-854</f>
        <v>430</v>
      </c>
      <c r="I80" s="22">
        <f>605-269-97</f>
        <v>239</v>
      </c>
      <c r="J80" s="22">
        <f>261-312</f>
        <v>-51</v>
      </c>
      <c r="K80" s="22">
        <v>0</v>
      </c>
      <c r="L80" s="22">
        <v>0</v>
      </c>
      <c r="M80" s="22"/>
    </row>
    <row r="81" spans="1:13" s="2" customFormat="1" ht="22" customHeight="1">
      <c r="A81" s="20" t="s">
        <v>113</v>
      </c>
      <c r="B81" s="22">
        <f>127-151+239</f>
        <v>215</v>
      </c>
      <c r="C81" s="22">
        <f>-146+164</f>
        <v>18</v>
      </c>
      <c r="D81" s="22">
        <f>-221+188</f>
        <v>-33</v>
      </c>
      <c r="E81" s="22">
        <f>-214+183</f>
        <v>-31</v>
      </c>
      <c r="F81" s="22">
        <f>-353+272</f>
        <v>-81</v>
      </c>
      <c r="G81" s="22">
        <f>-568+542</f>
        <v>-26</v>
      </c>
      <c r="H81" s="22">
        <f>-753+690</f>
        <v>-63</v>
      </c>
      <c r="I81" s="22">
        <f>-918+836</f>
        <v>-82</v>
      </c>
      <c r="J81" s="22">
        <f>-658+797</f>
        <v>139</v>
      </c>
      <c r="K81" s="22"/>
      <c r="L81" s="22"/>
      <c r="M81" s="22"/>
    </row>
    <row r="82" spans="1:13" s="2" customFormat="1" ht="22" customHeight="1">
      <c r="A82" s="20" t="s">
        <v>55</v>
      </c>
      <c r="B82" s="22">
        <f>16-120-26-447</f>
        <v>-577</v>
      </c>
      <c r="C82" s="22">
        <f>-39-3-151-1-128</f>
        <v>-322</v>
      </c>
      <c r="D82" s="22">
        <f>72-29-11</f>
        <v>32</v>
      </c>
      <c r="E82" s="22">
        <f>-35-88+36</f>
        <v>-87</v>
      </c>
      <c r="F82" s="22">
        <f>5-57-30</f>
        <v>-82</v>
      </c>
      <c r="G82" s="22">
        <f>-49-114+1</f>
        <v>-162</v>
      </c>
      <c r="H82" s="22">
        <f>27+4-63</f>
        <v>-32</v>
      </c>
      <c r="I82" s="22">
        <f>-10-84-11</f>
        <v>-105</v>
      </c>
      <c r="J82" s="22">
        <f>-14-98-47-31</f>
        <v>-190</v>
      </c>
      <c r="K82" s="22">
        <v>0</v>
      </c>
      <c r="L82" s="22">
        <v>0</v>
      </c>
      <c r="M82" s="22"/>
    </row>
    <row r="83" spans="1:13" s="2" customFormat="1" ht="22" customHeight="1">
      <c r="A83" s="20" t="s">
        <v>35</v>
      </c>
      <c r="B83" s="22">
        <f>SUM(B77:B82)</f>
        <v>-2071</v>
      </c>
      <c r="C83" s="22">
        <f t="shared" ref="C83:K83" si="74">SUM(C77:C82)</f>
        <v>-1420</v>
      </c>
      <c r="D83" s="22">
        <f t="shared" si="74"/>
        <v>-2157</v>
      </c>
      <c r="E83" s="22">
        <f t="shared" si="74"/>
        <v>-2451</v>
      </c>
      <c r="F83" s="22">
        <f t="shared" si="74"/>
        <v>-2170</v>
      </c>
      <c r="G83" s="22">
        <f t="shared" si="74"/>
        <v>-1624</v>
      </c>
      <c r="H83" s="22">
        <f t="shared" si="74"/>
        <v>-2651</v>
      </c>
      <c r="I83" s="22">
        <f t="shared" si="74"/>
        <v>-1756</v>
      </c>
      <c r="J83" s="22">
        <f>SUM(J77:J82)</f>
        <v>-1700</v>
      </c>
      <c r="K83" s="22">
        <f t="shared" si="74"/>
        <v>-1900</v>
      </c>
      <c r="L83" s="22">
        <f t="shared" ref="L83" si="75">SUM(L77:L82)</f>
        <v>-1900</v>
      </c>
      <c r="M83" s="22"/>
    </row>
    <row r="84" spans="1:13" s="2" customFormat="1" ht="22" customHeight="1">
      <c r="A84" s="20" t="s">
        <v>63</v>
      </c>
      <c r="B84" s="10">
        <f>+B74+B83</f>
        <v>-265</v>
      </c>
      <c r="C84" s="10">
        <f t="shared" ref="C84:K84" si="76">+C74+C83</f>
        <v>-170</v>
      </c>
      <c r="D84" s="10">
        <f t="shared" si="76"/>
        <v>304</v>
      </c>
      <c r="E84" s="10">
        <f t="shared" si="76"/>
        <v>-307</v>
      </c>
      <c r="F84" s="10">
        <f t="shared" si="76"/>
        <v>-77</v>
      </c>
      <c r="G84" s="10">
        <f t="shared" si="76"/>
        <v>-97</v>
      </c>
      <c r="H84" s="10">
        <f t="shared" si="76"/>
        <v>-139</v>
      </c>
      <c r="I84" s="10">
        <f t="shared" si="76"/>
        <v>-33</v>
      </c>
      <c r="J84" s="10">
        <f t="shared" si="76"/>
        <v>157</v>
      </c>
      <c r="K84" s="10">
        <f t="shared" si="76"/>
        <v>199.42937499999971</v>
      </c>
      <c r="L84" s="10">
        <f t="shared" ref="L84" si="77">+L74+L83</f>
        <v>220.28880000000026</v>
      </c>
      <c r="M84" s="10"/>
    </row>
    <row r="85" spans="1:13" s="2" customFormat="1" ht="22" customHeight="1">
      <c r="A85" s="20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</row>
    <row r="86" spans="1:13" s="2" customFormat="1" ht="22" customHeight="1">
      <c r="A86" s="20" t="s">
        <v>64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</row>
    <row r="87" spans="1:13" s="2" customFormat="1" ht="22" customHeight="1">
      <c r="A87" s="20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</row>
    <row r="88" spans="1:13" s="2" customFormat="1" ht="22" customHeight="1">
      <c r="A88" s="20" t="s">
        <v>65</v>
      </c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</row>
    <row r="89" spans="1:13" s="2" customFormat="1" ht="22" customHeight="1">
      <c r="A89" s="20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</row>
    <row r="90" spans="1:13" s="2" customFormat="1" ht="22" customHeight="1">
      <c r="A90" s="20" t="s">
        <v>66</v>
      </c>
      <c r="B90" s="10">
        <v>789</v>
      </c>
      <c r="C90" s="10">
        <v>619</v>
      </c>
      <c r="D90" s="10">
        <v>923</v>
      </c>
      <c r="E90" s="10">
        <v>616</v>
      </c>
      <c r="F90" s="10">
        <v>539</v>
      </c>
      <c r="G90" s="10">
        <v>442</v>
      </c>
      <c r="H90" s="10">
        <v>303</v>
      </c>
      <c r="I90" s="10">
        <v>270</v>
      </c>
      <c r="J90" s="10">
        <v>427</v>
      </c>
      <c r="K90" s="10">
        <f>+J90+K84</f>
        <v>626.42937499999971</v>
      </c>
      <c r="L90" s="10">
        <f>+K90+L84</f>
        <v>846.71817499999997</v>
      </c>
      <c r="M90" s="10"/>
    </row>
    <row r="91" spans="1:13" s="2" customFormat="1" ht="22" customHeight="1">
      <c r="A91" s="20" t="s">
        <v>67</v>
      </c>
      <c r="B91" s="25">
        <v>2223</v>
      </c>
      <c r="C91" s="25">
        <v>2281</v>
      </c>
      <c r="D91" s="25">
        <v>2176</v>
      </c>
      <c r="E91" s="25">
        <v>2315</v>
      </c>
      <c r="F91" s="25">
        <v>2164</v>
      </c>
      <c r="G91" s="25">
        <v>2263</v>
      </c>
      <c r="H91" s="25">
        <v>2235</v>
      </c>
      <c r="I91" s="25">
        <v>2207</v>
      </c>
      <c r="J91" s="25">
        <v>2280</v>
      </c>
      <c r="K91" s="25">
        <v>2400</v>
      </c>
      <c r="L91" s="25">
        <v>2500</v>
      </c>
      <c r="M91" s="25"/>
    </row>
    <row r="92" spans="1:13" s="2" customFormat="1" ht="22" customHeight="1">
      <c r="A92" s="20" t="s">
        <v>68</v>
      </c>
      <c r="B92" s="25">
        <v>1892</v>
      </c>
      <c r="C92" s="25">
        <v>1909</v>
      </c>
      <c r="D92" s="25">
        <v>1679</v>
      </c>
      <c r="E92" s="25">
        <v>1790</v>
      </c>
      <c r="F92" s="25">
        <v>1813</v>
      </c>
      <c r="G92" s="25">
        <v>1790</v>
      </c>
      <c r="H92" s="25">
        <v>1903</v>
      </c>
      <c r="I92" s="25">
        <v>2239</v>
      </c>
      <c r="J92" s="25">
        <v>2269</v>
      </c>
      <c r="K92" s="25">
        <v>2350</v>
      </c>
      <c r="L92" s="25">
        <v>2475</v>
      </c>
      <c r="M92" s="25"/>
    </row>
    <row r="93" spans="1:13" s="2" customFormat="1" ht="22" customHeight="1">
      <c r="A93" s="20" t="s">
        <v>55</v>
      </c>
      <c r="B93" s="25">
        <v>655</v>
      </c>
      <c r="C93" s="25">
        <v>617</v>
      </c>
      <c r="D93" s="25">
        <v>337</v>
      </c>
      <c r="E93" s="25">
        <v>490</v>
      </c>
      <c r="F93" s="25">
        <v>525</v>
      </c>
      <c r="G93" s="25">
        <v>562</v>
      </c>
      <c r="H93" s="25">
        <v>733</v>
      </c>
      <c r="I93" s="25">
        <v>849</v>
      </c>
      <c r="J93" s="25">
        <v>753</v>
      </c>
      <c r="K93" s="25">
        <v>800</v>
      </c>
      <c r="L93" s="25">
        <v>800</v>
      </c>
      <c r="M93" s="25"/>
    </row>
    <row r="94" spans="1:13" s="2" customFormat="1" ht="22" customHeight="1">
      <c r="A94" s="20" t="s">
        <v>69</v>
      </c>
      <c r="B94" s="23">
        <f t="shared" ref="B94:K94" si="78">SUM(B90:B93)</f>
        <v>5559</v>
      </c>
      <c r="C94" s="23">
        <f t="shared" si="78"/>
        <v>5426</v>
      </c>
      <c r="D94" s="23">
        <f t="shared" si="78"/>
        <v>5115</v>
      </c>
      <c r="E94" s="23">
        <f t="shared" si="78"/>
        <v>5211</v>
      </c>
      <c r="F94" s="23">
        <f t="shared" si="78"/>
        <v>5041</v>
      </c>
      <c r="G94" s="23">
        <f t="shared" si="78"/>
        <v>5057</v>
      </c>
      <c r="H94" s="23">
        <f t="shared" si="78"/>
        <v>5174</v>
      </c>
      <c r="I94" s="23">
        <f t="shared" si="78"/>
        <v>5565</v>
      </c>
      <c r="J94" s="23">
        <f t="shared" si="78"/>
        <v>5729</v>
      </c>
      <c r="K94" s="23">
        <f t="shared" si="78"/>
        <v>6176.4293749999997</v>
      </c>
      <c r="L94" s="23">
        <f t="shared" ref="L94" si="79">SUM(L90:L93)</f>
        <v>6621.718175</v>
      </c>
      <c r="M94" s="23"/>
    </row>
    <row r="95" spans="1:13" s="2" customFormat="1" ht="22" customHeight="1">
      <c r="A95" s="20" t="s">
        <v>70</v>
      </c>
      <c r="B95" s="25">
        <v>7359</v>
      </c>
      <c r="C95" s="25">
        <v>7104</v>
      </c>
      <c r="D95" s="25">
        <v>7169</v>
      </c>
      <c r="E95" s="25">
        <v>7436</v>
      </c>
      <c r="F95" s="25">
        <v>7159</v>
      </c>
      <c r="G95" s="25">
        <v>7450</v>
      </c>
      <c r="H95" s="25">
        <v>8042</v>
      </c>
      <c r="I95" s="25">
        <v>8097</v>
      </c>
      <c r="J95" s="25">
        <v>7885</v>
      </c>
      <c r="K95" s="25">
        <v>8300</v>
      </c>
      <c r="L95" s="25">
        <v>8300</v>
      </c>
      <c r="M95" s="25"/>
    </row>
    <row r="96" spans="1:13" s="2" customFormat="1" ht="22" customHeight="1">
      <c r="A96" s="20" t="s">
        <v>71</v>
      </c>
      <c r="B96" s="25">
        <f>257+1628+723</f>
        <v>2608</v>
      </c>
      <c r="C96" s="25">
        <f>247+1446+619</f>
        <v>2312</v>
      </c>
      <c r="D96" s="25">
        <f>257+1480+581</f>
        <v>2318</v>
      </c>
      <c r="E96" s="25">
        <f>233+1576+695</f>
        <v>2504</v>
      </c>
      <c r="F96" s="25">
        <f>224+1474+620</f>
        <v>2318</v>
      </c>
      <c r="G96" s="25">
        <f>268+1467+1041</f>
        <v>2776</v>
      </c>
      <c r="H96" s="25">
        <f>1895+832+1280+300</f>
        <v>4307</v>
      </c>
      <c r="I96" s="25">
        <f>290+1840+810+1235</f>
        <v>4175</v>
      </c>
      <c r="J96" s="25">
        <f>238+2074+851+1193</f>
        <v>4356</v>
      </c>
      <c r="K96" s="25">
        <v>4300</v>
      </c>
      <c r="L96" s="25">
        <v>4300</v>
      </c>
      <c r="M96" s="25"/>
    </row>
    <row r="97" spans="1:13" s="2" customFormat="1" ht="22" customHeight="1">
      <c r="A97" s="20" t="s">
        <v>72</v>
      </c>
      <c r="B97" s="23">
        <f t="shared" ref="B97:K97" si="80">SUM(B94:B96)</f>
        <v>15526</v>
      </c>
      <c r="C97" s="23">
        <f t="shared" si="80"/>
        <v>14842</v>
      </c>
      <c r="D97" s="23">
        <f t="shared" si="80"/>
        <v>14602</v>
      </c>
      <c r="E97" s="23">
        <f t="shared" si="80"/>
        <v>15151</v>
      </c>
      <c r="F97" s="23">
        <f t="shared" si="80"/>
        <v>14518</v>
      </c>
      <c r="G97" s="23">
        <f t="shared" si="80"/>
        <v>15283</v>
      </c>
      <c r="H97" s="23">
        <f t="shared" si="80"/>
        <v>17523</v>
      </c>
      <c r="I97" s="23">
        <f t="shared" si="80"/>
        <v>17837</v>
      </c>
      <c r="J97" s="23">
        <f t="shared" si="80"/>
        <v>17970</v>
      </c>
      <c r="K97" s="23">
        <f t="shared" si="80"/>
        <v>18776.429375</v>
      </c>
      <c r="L97" s="23">
        <f t="shared" ref="L97" si="81">SUM(L94:L96)</f>
        <v>19221.718175000002</v>
      </c>
      <c r="M97" s="23"/>
    </row>
    <row r="98" spans="1:13" s="2" customFormat="1" ht="22" customHeight="1">
      <c r="A98" s="20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</row>
    <row r="99" spans="1:13" s="2" customFormat="1" ht="22" customHeight="1">
      <c r="A99" s="20" t="s">
        <v>73</v>
      </c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</row>
    <row r="100" spans="1:13" s="2" customFormat="1" ht="22" customHeight="1">
      <c r="A100" s="20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</row>
    <row r="101" spans="1:13" s="2" customFormat="1" ht="22" customHeight="1">
      <c r="A101" s="20" t="s">
        <v>74</v>
      </c>
      <c r="B101" s="25">
        <v>2616</v>
      </c>
      <c r="C101" s="25">
        <v>2612</v>
      </c>
      <c r="D101" s="25">
        <v>2609</v>
      </c>
      <c r="E101" s="25">
        <v>2834</v>
      </c>
      <c r="F101" s="25">
        <v>3190</v>
      </c>
      <c r="G101" s="25">
        <v>3055</v>
      </c>
      <c r="H101" s="25">
        <v>3336</v>
      </c>
      <c r="I101" s="25">
        <v>3840</v>
      </c>
      <c r="J101" s="25">
        <v>3813</v>
      </c>
      <c r="K101" s="25">
        <v>3900</v>
      </c>
      <c r="L101" s="25">
        <v>4000</v>
      </c>
      <c r="M101" s="25"/>
    </row>
    <row r="102" spans="1:13" s="2" customFormat="1" ht="22" customHeight="1">
      <c r="A102" s="20" t="s">
        <v>75</v>
      </c>
      <c r="B102" s="25">
        <f>1974+310</f>
        <v>2284</v>
      </c>
      <c r="C102" s="25">
        <f>1750+318</f>
        <v>2068</v>
      </c>
      <c r="D102" s="25">
        <f>1775+329</f>
        <v>2104</v>
      </c>
      <c r="E102" s="25">
        <f>1730+341</f>
        <v>2071</v>
      </c>
      <c r="F102" s="25">
        <f>1793+345</f>
        <v>2138</v>
      </c>
      <c r="G102" s="25">
        <f>1978+352</f>
        <v>2330</v>
      </c>
      <c r="H102" s="25">
        <f>2262+359</f>
        <v>2621</v>
      </c>
      <c r="I102" s="25">
        <f>2096+380</f>
        <v>2476</v>
      </c>
      <c r="J102" s="25">
        <f>2289+388</f>
        <v>2677</v>
      </c>
      <c r="K102" s="25">
        <v>2700</v>
      </c>
      <c r="L102" s="25">
        <v>2750</v>
      </c>
      <c r="M102" s="25"/>
    </row>
    <row r="103" spans="1:13" s="2" customFormat="1" ht="22" customHeight="1">
      <c r="A103" s="20" t="s">
        <v>76</v>
      </c>
      <c r="B103" s="25">
        <v>1326</v>
      </c>
      <c r="C103" s="25">
        <v>1669</v>
      </c>
      <c r="D103" s="25">
        <v>1133</v>
      </c>
      <c r="E103" s="25">
        <v>953</v>
      </c>
      <c r="F103" s="25">
        <v>1208</v>
      </c>
      <c r="G103" s="25">
        <v>1534</v>
      </c>
      <c r="H103" s="25">
        <v>486</v>
      </c>
      <c r="I103" s="25">
        <v>433</v>
      </c>
      <c r="J103" s="25">
        <v>844</v>
      </c>
      <c r="K103" s="25">
        <v>433</v>
      </c>
      <c r="L103" s="25">
        <v>433</v>
      </c>
      <c r="M103" s="25"/>
    </row>
    <row r="104" spans="1:13" s="2" customFormat="1" ht="22" customHeight="1">
      <c r="A104" s="20"/>
      <c r="B104" s="25"/>
      <c r="C104" s="25">
        <f>C103-B103</f>
        <v>343</v>
      </c>
      <c r="D104" s="25">
        <f t="shared" ref="D104:L104" si="82">D103-C103</f>
        <v>-536</v>
      </c>
      <c r="E104" s="25">
        <f t="shared" si="82"/>
        <v>-180</v>
      </c>
      <c r="F104" s="25">
        <f>F103-E103</f>
        <v>255</v>
      </c>
      <c r="G104" s="25">
        <f t="shared" si="82"/>
        <v>326</v>
      </c>
      <c r="H104" s="25">
        <f t="shared" si="82"/>
        <v>-1048</v>
      </c>
      <c r="I104" s="25">
        <f t="shared" si="82"/>
        <v>-53</v>
      </c>
      <c r="J104" s="25">
        <f t="shared" si="82"/>
        <v>411</v>
      </c>
      <c r="K104" s="25">
        <f t="shared" si="82"/>
        <v>-411</v>
      </c>
      <c r="L104" s="25">
        <f t="shared" si="82"/>
        <v>0</v>
      </c>
      <c r="M104" s="25"/>
    </row>
    <row r="105" spans="1:13" s="2" customFormat="1" ht="22" customHeight="1">
      <c r="A105" s="20" t="s">
        <v>77</v>
      </c>
      <c r="B105" s="23">
        <f t="shared" ref="B105:K105" si="83">SUM(B101:B103)</f>
        <v>6226</v>
      </c>
      <c r="C105" s="23">
        <f t="shared" si="83"/>
        <v>6349</v>
      </c>
      <c r="D105" s="23">
        <f t="shared" si="83"/>
        <v>5846</v>
      </c>
      <c r="E105" s="23">
        <f t="shared" si="83"/>
        <v>5858</v>
      </c>
      <c r="F105" s="23">
        <f t="shared" si="83"/>
        <v>6536</v>
      </c>
      <c r="G105" s="23">
        <f t="shared" si="83"/>
        <v>6919</v>
      </c>
      <c r="H105" s="23">
        <f t="shared" si="83"/>
        <v>6443</v>
      </c>
      <c r="I105" s="23">
        <f t="shared" si="83"/>
        <v>6749</v>
      </c>
      <c r="J105" s="23">
        <f t="shared" si="83"/>
        <v>7334</v>
      </c>
      <c r="K105" s="23">
        <f t="shared" si="83"/>
        <v>7033</v>
      </c>
      <c r="L105" s="23">
        <f t="shared" ref="L105" si="84">SUM(L101:L103)</f>
        <v>7183</v>
      </c>
      <c r="M105" s="23"/>
    </row>
    <row r="106" spans="1:13" s="2" customFormat="1" ht="22" customHeight="1">
      <c r="A106" s="20" t="s">
        <v>78</v>
      </c>
      <c r="B106" s="25">
        <v>5630</v>
      </c>
      <c r="C106" s="25">
        <v>6106</v>
      </c>
      <c r="D106" s="25">
        <v>6439</v>
      </c>
      <c r="E106" s="25">
        <v>6472</v>
      </c>
      <c r="F106" s="25">
        <v>6247</v>
      </c>
      <c r="G106" s="25">
        <v>6213</v>
      </c>
      <c r="H106" s="25">
        <v>7878</v>
      </c>
      <c r="I106" s="25">
        <v>8141</v>
      </c>
      <c r="J106" s="25">
        <v>7578</v>
      </c>
      <c r="K106" s="25">
        <f t="shared" ref="K106" si="85">+J106+K80</f>
        <v>7578</v>
      </c>
      <c r="L106" s="25">
        <f>+K106+L80</f>
        <v>7578</v>
      </c>
      <c r="M106" s="25"/>
    </row>
    <row r="107" spans="1:13" s="2" customFormat="1" ht="22" customHeight="1">
      <c r="A107" s="20"/>
      <c r="B107" s="25"/>
      <c r="C107" s="25">
        <f t="shared" ref="C107" si="86">C106-B106</f>
        <v>476</v>
      </c>
      <c r="D107" s="25">
        <f t="shared" ref="D107" si="87">D106-C106</f>
        <v>333</v>
      </c>
      <c r="E107" s="25">
        <f t="shared" ref="E107" si="88">E106-D106</f>
        <v>33</v>
      </c>
      <c r="F107" s="25">
        <f>F106-E106</f>
        <v>-225</v>
      </c>
      <c r="G107" s="25">
        <f t="shared" ref="G107" si="89">G106-F106</f>
        <v>-34</v>
      </c>
      <c r="H107" s="25">
        <f t="shared" ref="H107" si="90">H106-G106</f>
        <v>1665</v>
      </c>
      <c r="I107" s="25">
        <f t="shared" ref="I107" si="91">I106-H106</f>
        <v>263</v>
      </c>
      <c r="J107" s="25">
        <f t="shared" ref="J107" si="92">J106-I106</f>
        <v>-563</v>
      </c>
      <c r="K107" s="25">
        <f t="shared" ref="K107" si="93">K106-J106</f>
        <v>0</v>
      </c>
      <c r="L107" s="25">
        <f t="shared" ref="L107" si="94">L106-K106</f>
        <v>0</v>
      </c>
      <c r="M107" s="25"/>
    </row>
    <row r="108" spans="1:13" s="2" customFormat="1" ht="22" customHeight="1">
      <c r="A108" s="20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</row>
    <row r="109" spans="1:13" s="2" customFormat="1" ht="22" customHeight="1">
      <c r="A109" s="20" t="s">
        <v>79</v>
      </c>
      <c r="B109" s="25">
        <f>1693+587+319+72</f>
        <v>2671</v>
      </c>
      <c r="C109" s="25">
        <f>1137+766+380+64</f>
        <v>2347</v>
      </c>
      <c r="D109" s="25">
        <f>1301+532+309+58</f>
        <v>2200</v>
      </c>
      <c r="E109" s="25">
        <f>1184+395+299+61</f>
        <v>1939</v>
      </c>
      <c r="F109" s="25">
        <f>931+458+328+64</f>
        <v>1781</v>
      </c>
      <c r="G109" s="25">
        <f>897+511+520+29</f>
        <v>1957</v>
      </c>
      <c r="H109" s="25">
        <f>864+723+718+28</f>
        <v>2333</v>
      </c>
      <c r="I109" s="25">
        <f>809+694+681+26</f>
        <v>2210</v>
      </c>
      <c r="J109" s="25">
        <f>654+647+799+258</f>
        <v>2358</v>
      </c>
      <c r="K109" s="25"/>
      <c r="L109" s="25"/>
      <c r="M109" s="25"/>
    </row>
    <row r="110" spans="1:13" s="2" customFormat="1" ht="22" customHeight="1">
      <c r="A110" s="20" t="s">
        <v>80</v>
      </c>
      <c r="B110" s="25">
        <v>999</v>
      </c>
      <c r="C110" s="25">
        <v>40</v>
      </c>
      <c r="D110" s="25">
        <f>-102+219</f>
        <v>117</v>
      </c>
      <c r="E110" s="25">
        <v>882</v>
      </c>
      <c r="F110" s="25">
        <v>-46</v>
      </c>
      <c r="G110" s="25">
        <f>-33+227</f>
        <v>194</v>
      </c>
      <c r="H110" s="25">
        <v>869</v>
      </c>
      <c r="I110" s="25">
        <v>737</v>
      </c>
      <c r="J110" s="25">
        <v>700</v>
      </c>
      <c r="K110" s="25"/>
      <c r="L110" s="25"/>
      <c r="M110" s="25"/>
    </row>
    <row r="111" spans="1:13" s="2" customFormat="1" ht="22" customHeight="1">
      <c r="A111" s="20" t="s">
        <v>35</v>
      </c>
      <c r="B111" s="23">
        <f t="shared" ref="B111:J111" si="95">SUM(B105:B110)</f>
        <v>15526</v>
      </c>
      <c r="C111" s="23">
        <f t="shared" si="95"/>
        <v>15318</v>
      </c>
      <c r="D111" s="23">
        <f t="shared" si="95"/>
        <v>14935</v>
      </c>
      <c r="E111" s="23">
        <f t="shared" si="95"/>
        <v>15184</v>
      </c>
      <c r="F111" s="23">
        <f t="shared" si="95"/>
        <v>14293</v>
      </c>
      <c r="G111" s="23">
        <f t="shared" si="95"/>
        <v>15249</v>
      </c>
      <c r="H111" s="23">
        <f t="shared" si="95"/>
        <v>19188</v>
      </c>
      <c r="I111" s="23">
        <f t="shared" si="95"/>
        <v>18100</v>
      </c>
      <c r="J111" s="23">
        <f t="shared" si="95"/>
        <v>17407</v>
      </c>
      <c r="K111" s="23"/>
      <c r="L111" s="23"/>
      <c r="M111" s="23"/>
    </row>
    <row r="112" spans="1:13" s="2" customFormat="1" ht="22" customHeight="1"/>
    <row r="113" spans="1:13" s="2" customFormat="1" ht="22" customHeight="1">
      <c r="A113" s="2" t="s">
        <v>85</v>
      </c>
      <c r="E113" s="12">
        <f t="shared" ref="E113:L113" si="96">E94-E105-E90+E103</f>
        <v>-310</v>
      </c>
      <c r="F113" s="12">
        <f t="shared" si="96"/>
        <v>-826</v>
      </c>
      <c r="G113" s="12">
        <f t="shared" si="96"/>
        <v>-770</v>
      </c>
      <c r="H113" s="12">
        <f t="shared" si="96"/>
        <v>-1086</v>
      </c>
      <c r="I113" s="12">
        <f t="shared" si="96"/>
        <v>-1021</v>
      </c>
      <c r="J113" s="12">
        <f t="shared" si="96"/>
        <v>-1188</v>
      </c>
      <c r="K113" s="12">
        <f t="shared" si="96"/>
        <v>-1050</v>
      </c>
      <c r="L113" s="12">
        <f t="shared" si="96"/>
        <v>-975</v>
      </c>
      <c r="M113" s="12"/>
    </row>
    <row r="114" spans="1:13" s="2" customFormat="1" ht="22" customHeight="1">
      <c r="A114" s="2" t="s">
        <v>98</v>
      </c>
      <c r="F114" s="12"/>
      <c r="G114" s="12"/>
      <c r="H114" s="12">
        <f t="shared" ref="H114" si="97">H113-G113</f>
        <v>-316</v>
      </c>
      <c r="I114" s="12">
        <f>I113-H113</f>
        <v>65</v>
      </c>
      <c r="J114" s="12">
        <f>J113-I113</f>
        <v>-167</v>
      </c>
      <c r="K114" s="12">
        <f>+J113-K113</f>
        <v>-138</v>
      </c>
      <c r="L114" s="12">
        <f>+K113-L113</f>
        <v>-75</v>
      </c>
      <c r="M114" s="12"/>
    </row>
    <row r="115" spans="1:13" s="2" customFormat="1" ht="22" customHeight="1">
      <c r="F115" s="12"/>
      <c r="G115" s="12"/>
      <c r="H115" s="12"/>
      <c r="I115" s="12"/>
      <c r="J115" s="12"/>
      <c r="K115" s="12">
        <v>-138</v>
      </c>
      <c r="L115" s="12">
        <v>-75</v>
      </c>
      <c r="M115" s="12"/>
    </row>
    <row r="116" spans="1:13" s="2" customFormat="1" ht="22" customHeight="1"/>
    <row r="117" spans="1:13" s="2" customFormat="1" ht="22" customHeight="1">
      <c r="A117" s="2" t="s">
        <v>87</v>
      </c>
      <c r="B117" s="3">
        <v>2014</v>
      </c>
      <c r="C117" s="3">
        <v>2015</v>
      </c>
      <c r="D117" s="3">
        <v>2016</v>
      </c>
      <c r="E117" s="3">
        <v>2017</v>
      </c>
      <c r="F117" s="3">
        <v>2018</v>
      </c>
      <c r="G117" s="3">
        <v>2019</v>
      </c>
      <c r="H117" s="3">
        <v>2020</v>
      </c>
      <c r="I117" s="3">
        <v>2021</v>
      </c>
      <c r="J117" s="3">
        <v>2022</v>
      </c>
      <c r="K117" s="3" t="s">
        <v>108</v>
      </c>
      <c r="L117" s="3" t="s">
        <v>123</v>
      </c>
      <c r="M117" s="3"/>
    </row>
    <row r="118" spans="1:13" s="2" customFormat="1" ht="22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</row>
    <row r="119" spans="1:13" s="2" customFormat="1" ht="22" customHeight="1">
      <c r="A119" s="20" t="s">
        <v>81</v>
      </c>
      <c r="B119" s="10">
        <f t="shared" ref="B119:L119" si="98">+B29</f>
        <v>3184</v>
      </c>
      <c r="C119" s="10">
        <f t="shared" si="98"/>
        <v>3210</v>
      </c>
      <c r="D119" s="10">
        <f t="shared" si="98"/>
        <v>3341</v>
      </c>
      <c r="E119" s="10">
        <f t="shared" si="98"/>
        <v>3323</v>
      </c>
      <c r="F119" s="10">
        <f t="shared" si="98"/>
        <v>3109</v>
      </c>
      <c r="G119" s="10">
        <f t="shared" si="98"/>
        <v>3235</v>
      </c>
      <c r="H119" s="10">
        <f t="shared" si="98"/>
        <v>3548</v>
      </c>
      <c r="I119" s="10">
        <f t="shared" si="98"/>
        <v>2833</v>
      </c>
      <c r="J119" s="10">
        <f t="shared" si="98"/>
        <v>2596</v>
      </c>
      <c r="K119" s="10">
        <f t="shared" si="98"/>
        <v>3005.875</v>
      </c>
      <c r="L119" s="10">
        <f t="shared" si="98"/>
        <v>3010.4400000000005</v>
      </c>
      <c r="M119" s="10"/>
    </row>
    <row r="120" spans="1:13" s="2" customFormat="1" ht="22" customHeight="1">
      <c r="A120" s="20" t="s">
        <v>97</v>
      </c>
      <c r="B120" s="8">
        <f>+B44</f>
        <v>0.30740233036326253</v>
      </c>
      <c r="C120" s="8">
        <f t="shared" ref="C120:L120" si="99">+C44</f>
        <v>0.31343792633015005</v>
      </c>
      <c r="D120" s="8">
        <f t="shared" si="99"/>
        <v>0.3066271018793274</v>
      </c>
      <c r="E120" s="8">
        <f t="shared" si="99"/>
        <v>0.28557213930348258</v>
      </c>
      <c r="F120" s="8">
        <f t="shared" si="99"/>
        <v>0.20903361344537816</v>
      </c>
      <c r="G120" s="8">
        <f t="shared" si="99"/>
        <v>0.23015075376884422</v>
      </c>
      <c r="H120" s="8">
        <f t="shared" si="99"/>
        <v>0.22669491525423729</v>
      </c>
      <c r="I120" s="8">
        <f t="shared" si="99"/>
        <v>0.21481194261341605</v>
      </c>
      <c r="J120" s="8">
        <f t="shared" si="99"/>
        <v>0.21993127147766323</v>
      </c>
      <c r="K120" s="8">
        <f>+K44</f>
        <v>0.23052081905023084</v>
      </c>
      <c r="L120" s="8">
        <f t="shared" si="99"/>
        <v>0.23</v>
      </c>
      <c r="M120" s="8"/>
    </row>
    <row r="121" spans="1:13" s="2" customFormat="1" ht="22" customHeight="1">
      <c r="A121" s="20" t="s">
        <v>82</v>
      </c>
      <c r="B121" s="32">
        <f>+B119*B120</f>
        <v>978.76901987662791</v>
      </c>
      <c r="C121" s="32">
        <f t="shared" ref="C121:G121" si="100">+C119*C120</f>
        <v>1006.1357435197816</v>
      </c>
      <c r="D121" s="32">
        <f t="shared" si="100"/>
        <v>1024.4411473788327</v>
      </c>
      <c r="E121" s="32">
        <f t="shared" si="100"/>
        <v>948.95621890547261</v>
      </c>
      <c r="F121" s="32">
        <f t="shared" si="100"/>
        <v>649.88550420168065</v>
      </c>
      <c r="G121" s="32">
        <f t="shared" si="100"/>
        <v>744.53768844221111</v>
      </c>
      <c r="H121" s="32">
        <f>+H119*H120</f>
        <v>804.31355932203394</v>
      </c>
      <c r="I121" s="32">
        <f>+I119*I120</f>
        <v>608.5622334238077</v>
      </c>
      <c r="J121" s="32">
        <f>+J119*J120</f>
        <v>570.94158075601376</v>
      </c>
      <c r="K121" s="32">
        <f>+K119*K120</f>
        <v>692.91676696261266</v>
      </c>
      <c r="L121" s="32">
        <f>+L119*L120</f>
        <v>692.40120000000013</v>
      </c>
      <c r="M121" s="32"/>
    </row>
    <row r="122" spans="1:13" s="2" customFormat="1" ht="22" customHeight="1">
      <c r="A122" s="20" t="s">
        <v>83</v>
      </c>
      <c r="B122" s="10">
        <f t="shared" ref="B122:G122" si="101">+B119-B121</f>
        <v>2205.2309801233723</v>
      </c>
      <c r="C122" s="10">
        <f t="shared" si="101"/>
        <v>2203.8642564802185</v>
      </c>
      <c r="D122" s="10">
        <f t="shared" si="101"/>
        <v>2316.5588526211673</v>
      </c>
      <c r="E122" s="10">
        <f t="shared" si="101"/>
        <v>2374.0437810945273</v>
      </c>
      <c r="F122" s="10">
        <f t="shared" si="101"/>
        <v>2459.1144957983192</v>
      </c>
      <c r="G122" s="10">
        <f t="shared" si="101"/>
        <v>2490.4623115577888</v>
      </c>
      <c r="H122" s="10">
        <f>+H119-H121</f>
        <v>2743.6864406779659</v>
      </c>
      <c r="I122" s="10">
        <f>+I119-I121</f>
        <v>2224.4377665761922</v>
      </c>
      <c r="J122" s="10">
        <f>+J119-J121</f>
        <v>2025.0584192439862</v>
      </c>
      <c r="K122" s="10">
        <f>+K119-K121</f>
        <v>2312.9582330373873</v>
      </c>
      <c r="L122" s="10">
        <f>+L119-L121</f>
        <v>2318.0388000000003</v>
      </c>
      <c r="M122" s="10"/>
    </row>
    <row r="123" spans="1:13" s="2" customFormat="1" ht="22" customHeight="1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</row>
    <row r="124" spans="1:13" s="2" customFormat="1" ht="22" customHeight="1">
      <c r="A124" s="41" t="s">
        <v>84</v>
      </c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</row>
    <row r="125" spans="1:13" s="2" customFormat="1" ht="22" customHeight="1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</row>
    <row r="126" spans="1:13" s="2" customFormat="1" ht="22" customHeight="1">
      <c r="A126" s="20" t="s">
        <v>85</v>
      </c>
      <c r="B126" s="10">
        <f>+B94-B105-B90+B103</f>
        <v>-130</v>
      </c>
      <c r="C126" s="10">
        <f t="shared" ref="C126:L126" si="102">+C94-C105-C90+C103</f>
        <v>127</v>
      </c>
      <c r="D126" s="10">
        <f t="shared" si="102"/>
        <v>-521</v>
      </c>
      <c r="E126" s="10">
        <f t="shared" si="102"/>
        <v>-310</v>
      </c>
      <c r="F126" s="10">
        <f t="shared" si="102"/>
        <v>-826</v>
      </c>
      <c r="G126" s="10">
        <f t="shared" si="102"/>
        <v>-770</v>
      </c>
      <c r="H126" s="10">
        <f t="shared" si="102"/>
        <v>-1086</v>
      </c>
      <c r="I126" s="10">
        <f>+I94-I105-I90+I103</f>
        <v>-1021</v>
      </c>
      <c r="J126" s="10">
        <f>+J94-J105-J90+J103</f>
        <v>-1188</v>
      </c>
      <c r="K126" s="10">
        <f>+K94-K105-K90+K103</f>
        <v>-1050</v>
      </c>
      <c r="L126" s="10">
        <f t="shared" si="102"/>
        <v>-975</v>
      </c>
      <c r="M126" s="10"/>
    </row>
    <row r="127" spans="1:13" s="2" customFormat="1" ht="22" customHeight="1">
      <c r="A127" s="20" t="s">
        <v>86</v>
      </c>
      <c r="B127" s="13">
        <f t="shared" ref="B127:L127" si="103">+B95</f>
        <v>7359</v>
      </c>
      <c r="C127" s="13">
        <f t="shared" si="103"/>
        <v>7104</v>
      </c>
      <c r="D127" s="13">
        <f t="shared" si="103"/>
        <v>7169</v>
      </c>
      <c r="E127" s="13">
        <f t="shared" si="103"/>
        <v>7436</v>
      </c>
      <c r="F127" s="13">
        <f t="shared" si="103"/>
        <v>7159</v>
      </c>
      <c r="G127" s="13">
        <f t="shared" si="103"/>
        <v>7450</v>
      </c>
      <c r="H127" s="13">
        <f t="shared" si="103"/>
        <v>8042</v>
      </c>
      <c r="I127" s="13">
        <f>+I95</f>
        <v>8097</v>
      </c>
      <c r="J127" s="13">
        <f t="shared" si="103"/>
        <v>7885</v>
      </c>
      <c r="K127" s="13">
        <f t="shared" si="103"/>
        <v>8300</v>
      </c>
      <c r="L127" s="13">
        <f t="shared" si="103"/>
        <v>8300</v>
      </c>
      <c r="M127" s="13"/>
    </row>
    <row r="128" spans="1:13" s="2" customFormat="1" ht="22" customHeight="1">
      <c r="A128" s="20" t="s">
        <v>71</v>
      </c>
      <c r="B128" s="13">
        <f t="shared" ref="B128:L128" si="104">+B96</f>
        <v>2608</v>
      </c>
      <c r="C128" s="13">
        <f t="shared" si="104"/>
        <v>2312</v>
      </c>
      <c r="D128" s="13">
        <f t="shared" si="104"/>
        <v>2318</v>
      </c>
      <c r="E128" s="13">
        <f t="shared" si="104"/>
        <v>2504</v>
      </c>
      <c r="F128" s="13">
        <f t="shared" si="104"/>
        <v>2318</v>
      </c>
      <c r="G128" s="13">
        <f t="shared" si="104"/>
        <v>2776</v>
      </c>
      <c r="H128" s="13">
        <f t="shared" si="104"/>
        <v>4307</v>
      </c>
      <c r="I128" s="13">
        <f>+I96</f>
        <v>4175</v>
      </c>
      <c r="J128" s="13">
        <f t="shared" si="104"/>
        <v>4356</v>
      </c>
      <c r="K128" s="13">
        <f t="shared" si="104"/>
        <v>4300</v>
      </c>
      <c r="L128" s="13">
        <f t="shared" si="104"/>
        <v>4300</v>
      </c>
      <c r="M128" s="13"/>
    </row>
    <row r="129" spans="1:13" s="2" customFormat="1" ht="22" customHeight="1">
      <c r="A129" s="20" t="s">
        <v>35</v>
      </c>
      <c r="B129" s="10">
        <f t="shared" ref="B129:K129" si="105">SUM(B126:B128)</f>
        <v>9837</v>
      </c>
      <c r="C129" s="10">
        <f t="shared" si="105"/>
        <v>9543</v>
      </c>
      <c r="D129" s="10">
        <f t="shared" si="105"/>
        <v>8966</v>
      </c>
      <c r="E129" s="10">
        <f t="shared" si="105"/>
        <v>9630</v>
      </c>
      <c r="F129" s="10">
        <f t="shared" si="105"/>
        <v>8651</v>
      </c>
      <c r="G129" s="10">
        <f t="shared" si="105"/>
        <v>9456</v>
      </c>
      <c r="H129" s="10">
        <f t="shared" si="105"/>
        <v>11263</v>
      </c>
      <c r="I129" s="10">
        <f t="shared" si="105"/>
        <v>11251</v>
      </c>
      <c r="J129" s="10">
        <f t="shared" si="105"/>
        <v>11053</v>
      </c>
      <c r="K129" s="10">
        <f t="shared" si="105"/>
        <v>11550</v>
      </c>
      <c r="L129" s="10">
        <f t="shared" ref="L129" si="106">SUM(L126:L128)</f>
        <v>11625</v>
      </c>
      <c r="M129" s="10"/>
    </row>
    <row r="130" spans="1:13" s="2" customFormat="1" ht="22" customHeight="1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</row>
    <row r="131" spans="1:13" s="2" customFormat="1" ht="22" customHeight="1">
      <c r="A131" s="41" t="s">
        <v>87</v>
      </c>
      <c r="B131" s="8">
        <f>+B122/(AVERAGE(B129:B129))</f>
        <v>0.2241771861465256</v>
      </c>
      <c r="C131" s="8">
        <f t="shared" ref="C131:K131" si="107">+C122/(AVERAGE(B129:C129))</f>
        <v>0.22743697177298436</v>
      </c>
      <c r="D131" s="8">
        <f t="shared" si="107"/>
        <v>0.25031701903086795</v>
      </c>
      <c r="E131" s="8">
        <f t="shared" si="107"/>
        <v>0.25532843418955981</v>
      </c>
      <c r="F131" s="8">
        <f t="shared" si="107"/>
        <v>0.26903500856608709</v>
      </c>
      <c r="G131" s="8">
        <f t="shared" si="107"/>
        <v>0.2750828200759694</v>
      </c>
      <c r="H131" s="8">
        <f t="shared" si="107"/>
        <v>0.26484738073053388</v>
      </c>
      <c r="I131" s="8">
        <f t="shared" si="107"/>
        <v>0.19760484734620168</v>
      </c>
      <c r="J131" s="8">
        <f t="shared" si="107"/>
        <v>0.18158701750753103</v>
      </c>
      <c r="K131" s="8">
        <f t="shared" si="107"/>
        <v>0.20465940211807171</v>
      </c>
      <c r="L131" s="8">
        <f>+L122/(AVERAGE(K129:L129))</f>
        <v>0.20004649838187705</v>
      </c>
      <c r="M131" s="8"/>
    </row>
    <row r="132" spans="1:13" s="2" customFormat="1" ht="22" customHeight="1">
      <c r="A132" s="20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</row>
    <row r="133" spans="1:13" s="2" customFormat="1" ht="22" hidden="1" customHeight="1">
      <c r="A133" s="41" t="s">
        <v>99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</row>
    <row r="134" spans="1:13" s="2" customFormat="1" ht="22" hidden="1" customHeight="1">
      <c r="A134" s="20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</row>
    <row r="135" spans="1:13" s="2" customFormat="1" ht="22" hidden="1" customHeight="1">
      <c r="A135" s="20" t="s">
        <v>115</v>
      </c>
      <c r="B135" s="8"/>
      <c r="C135" s="8"/>
      <c r="D135" s="8"/>
      <c r="E135" s="8"/>
      <c r="F135" s="8"/>
      <c r="G135" s="8"/>
      <c r="H135" s="8"/>
      <c r="I135" s="39"/>
      <c r="J135" s="39">
        <v>0.55000000000000004</v>
      </c>
      <c r="K135" s="8"/>
      <c r="L135" s="8"/>
      <c r="M135" s="8"/>
    </row>
    <row r="136" spans="1:13" s="2" customFormat="1" ht="22" hidden="1" customHeight="1">
      <c r="A136" s="20" t="s">
        <v>126</v>
      </c>
      <c r="B136" s="8"/>
      <c r="C136" s="8"/>
      <c r="D136" s="8"/>
      <c r="E136" s="8"/>
      <c r="F136" s="8"/>
      <c r="G136" s="8"/>
      <c r="H136" s="8"/>
      <c r="I136" s="39"/>
      <c r="J136" s="8">
        <v>0.04</v>
      </c>
      <c r="K136" s="8"/>
      <c r="L136" s="8"/>
      <c r="M136" s="8"/>
    </row>
    <row r="137" spans="1:13" s="2" customFormat="1" ht="22" hidden="1" customHeight="1">
      <c r="A137" s="20" t="s">
        <v>127</v>
      </c>
      <c r="B137" s="8"/>
      <c r="C137" s="8"/>
      <c r="D137" s="8"/>
      <c r="E137" s="8"/>
      <c r="F137" s="8"/>
      <c r="G137" s="8"/>
      <c r="H137" s="8"/>
      <c r="I137" s="39"/>
      <c r="J137" s="8">
        <v>0.09</v>
      </c>
      <c r="K137" s="8"/>
      <c r="L137" s="8"/>
      <c r="M137" s="8"/>
    </row>
    <row r="138" spans="1:13" s="2" customFormat="1" ht="22" hidden="1" customHeight="1">
      <c r="A138" s="20"/>
      <c r="B138" s="8"/>
      <c r="C138" s="8"/>
      <c r="D138" s="8"/>
      <c r="E138" s="8"/>
      <c r="F138" s="8"/>
      <c r="G138" s="8"/>
      <c r="H138" s="8"/>
      <c r="I138" s="39"/>
      <c r="J138" s="39"/>
      <c r="K138" s="8"/>
      <c r="L138" s="8"/>
      <c r="M138" s="8"/>
    </row>
    <row r="139" spans="1:13" s="2" customFormat="1" ht="22" hidden="1" customHeight="1">
      <c r="A139" s="20" t="s">
        <v>116</v>
      </c>
      <c r="B139" s="8"/>
      <c r="C139" s="8"/>
      <c r="D139" s="8"/>
      <c r="E139" s="8"/>
      <c r="F139" s="8"/>
      <c r="G139" s="8"/>
      <c r="H139" s="8"/>
      <c r="I139" s="8"/>
      <c r="J139" s="44">
        <f>+J136+J135*(J137-J136)</f>
        <v>6.7500000000000004E-2</v>
      </c>
      <c r="K139" s="8"/>
      <c r="L139" s="8"/>
      <c r="M139" s="8"/>
    </row>
    <row r="140" spans="1:13" s="2" customFormat="1" ht="22" hidden="1" customHeight="1">
      <c r="A140" s="20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</row>
    <row r="141" spans="1:13" s="2" customFormat="1" ht="22" hidden="1" customHeight="1">
      <c r="A141" s="20" t="s">
        <v>101</v>
      </c>
      <c r="B141" s="8"/>
      <c r="C141" s="8"/>
      <c r="D141" s="8"/>
      <c r="E141" s="8"/>
      <c r="F141" s="8"/>
      <c r="G141" s="8">
        <f>+J44</f>
        <v>0.21993127147766323</v>
      </c>
      <c r="H141" s="8">
        <v>5.5E-2</v>
      </c>
      <c r="I141" s="8"/>
      <c r="J141" s="8">
        <f>+H141*(1-G141)</f>
        <v>4.2903780068728525E-2</v>
      </c>
      <c r="K141" s="8"/>
      <c r="L141" s="8"/>
      <c r="M141" s="8"/>
    </row>
    <row r="142" spans="1:13" s="2" customFormat="1" ht="22" hidden="1" customHeight="1">
      <c r="A142" s="20" t="s">
        <v>100</v>
      </c>
      <c r="B142" s="8"/>
      <c r="C142" s="8"/>
      <c r="D142" s="8"/>
      <c r="E142" s="8"/>
      <c r="F142" s="8"/>
      <c r="G142" s="8"/>
      <c r="H142" s="8"/>
      <c r="I142" s="8"/>
      <c r="J142" s="8">
        <f>+J139</f>
        <v>6.7500000000000004E-2</v>
      </c>
      <c r="K142" s="8"/>
      <c r="L142" s="8"/>
      <c r="M142" s="8"/>
    </row>
    <row r="143" spans="1:13" s="2" customFormat="1" ht="22" hidden="1" customHeight="1">
      <c r="A143" s="20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</row>
    <row r="144" spans="1:13" s="2" customFormat="1" ht="22" hidden="1" customHeight="1">
      <c r="A144" s="20" t="s">
        <v>10</v>
      </c>
      <c r="B144" s="8"/>
      <c r="C144" s="8"/>
      <c r="D144" s="8"/>
      <c r="E144" s="8"/>
      <c r="F144" s="8"/>
      <c r="G144" s="8"/>
      <c r="H144" s="8"/>
      <c r="I144" s="28"/>
      <c r="J144" s="28">
        <f>+J106-J90+J103</f>
        <v>7995</v>
      </c>
      <c r="K144" s="8"/>
      <c r="L144" s="8"/>
      <c r="M144" s="8"/>
    </row>
    <row r="145" spans="1:13" s="2" customFormat="1" ht="22" hidden="1" customHeight="1">
      <c r="A145" s="20" t="s">
        <v>102</v>
      </c>
      <c r="B145" s="8"/>
      <c r="C145" s="8"/>
      <c r="D145" s="8"/>
      <c r="E145" s="8"/>
      <c r="F145" s="8"/>
      <c r="G145" s="37"/>
      <c r="H145" s="28">
        <v>132</v>
      </c>
      <c r="I145" s="37">
        <f>+J50</f>
        <v>338.4</v>
      </c>
      <c r="J145" s="37">
        <f>+H145*I145</f>
        <v>44668.799999999996</v>
      </c>
      <c r="K145" s="8"/>
      <c r="L145" s="8"/>
      <c r="M145" s="8"/>
    </row>
    <row r="146" spans="1:13" s="2" customFormat="1" ht="22" hidden="1" customHeight="1">
      <c r="A146" s="20" t="s">
        <v>103</v>
      </c>
      <c r="B146" s="8"/>
      <c r="C146" s="8"/>
      <c r="D146" s="8"/>
      <c r="E146" s="8"/>
      <c r="F146" s="8"/>
      <c r="G146" s="8"/>
      <c r="H146" s="8"/>
      <c r="I146" s="28"/>
      <c r="J146" s="28">
        <f>SUM(J144:J145)</f>
        <v>52663.799999999996</v>
      </c>
      <c r="K146" s="8"/>
      <c r="L146" s="8"/>
      <c r="M146" s="8"/>
    </row>
    <row r="147" spans="1:13" s="2" customFormat="1" ht="22" hidden="1" customHeight="1">
      <c r="A147" s="20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</row>
    <row r="148" spans="1:13" s="2" customFormat="1" ht="22" hidden="1" customHeight="1">
      <c r="A148" s="20" t="s">
        <v>118</v>
      </c>
      <c r="B148" s="8"/>
      <c r="C148" s="8"/>
      <c r="D148" s="8"/>
      <c r="E148" s="8"/>
      <c r="F148" s="8"/>
      <c r="G148" s="8"/>
      <c r="H148" s="8"/>
      <c r="I148" s="8"/>
      <c r="J148" s="8">
        <f>+J144/J146</f>
        <v>0.15181206065646613</v>
      </c>
      <c r="K148" s="8"/>
      <c r="L148" s="8"/>
      <c r="M148" s="8"/>
    </row>
    <row r="149" spans="1:13" s="2" customFormat="1" ht="22" hidden="1" customHeight="1">
      <c r="A149" s="20" t="s">
        <v>119</v>
      </c>
      <c r="B149" s="8"/>
      <c r="C149" s="8"/>
      <c r="D149" s="8"/>
      <c r="E149" s="8"/>
      <c r="F149" s="8"/>
      <c r="G149" s="8"/>
      <c r="H149" s="8"/>
      <c r="I149" s="8"/>
      <c r="J149" s="8">
        <f>+J145/J146</f>
        <v>0.84818793934353387</v>
      </c>
      <c r="K149" s="8"/>
      <c r="L149" s="8"/>
      <c r="M149" s="8"/>
    </row>
    <row r="150" spans="1:13" s="2" customFormat="1" ht="22" hidden="1" customHeight="1">
      <c r="A150" s="20" t="s">
        <v>105</v>
      </c>
      <c r="B150" s="8"/>
      <c r="C150" s="8"/>
      <c r="D150" s="8"/>
      <c r="E150" s="8"/>
      <c r="F150" s="8"/>
      <c r="G150" s="8"/>
      <c r="H150" s="8"/>
      <c r="I150" s="8"/>
      <c r="J150" s="8">
        <f>+SUM(J148:J149)</f>
        <v>1</v>
      </c>
      <c r="K150" s="8"/>
      <c r="L150" s="8"/>
      <c r="M150" s="8"/>
    </row>
    <row r="151" spans="1:13" s="2" customFormat="1" ht="22" hidden="1" customHeight="1">
      <c r="A151" s="20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</row>
    <row r="152" spans="1:13" s="2" customFormat="1" ht="22" hidden="1" customHeight="1">
      <c r="A152" s="20" t="s">
        <v>104</v>
      </c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</row>
    <row r="153" spans="1:13" s="2" customFormat="1" ht="22" hidden="1" customHeight="1">
      <c r="A153" s="20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</row>
    <row r="154" spans="1:13" s="2" customFormat="1" ht="22" hidden="1" customHeight="1">
      <c r="A154" s="20" t="s">
        <v>120</v>
      </c>
      <c r="B154" s="8"/>
      <c r="C154" s="8"/>
      <c r="D154" s="8"/>
      <c r="E154" s="8"/>
      <c r="F154" s="8"/>
      <c r="G154" s="8"/>
      <c r="H154" s="8"/>
      <c r="I154" s="8"/>
      <c r="J154" s="8">
        <f>+J141*J148</f>
        <v>6.5133112621854972E-3</v>
      </c>
      <c r="K154" s="8"/>
      <c r="L154" s="8"/>
      <c r="M154" s="8"/>
    </row>
    <row r="155" spans="1:13" s="2" customFormat="1" ht="22" hidden="1" customHeight="1">
      <c r="A155" s="20" t="s">
        <v>121</v>
      </c>
      <c r="B155" s="8"/>
      <c r="C155" s="8"/>
      <c r="D155" s="8"/>
      <c r="E155" s="8"/>
      <c r="F155" s="8"/>
      <c r="G155" s="8"/>
      <c r="H155" s="8"/>
      <c r="I155" s="8"/>
      <c r="J155" s="8">
        <f>+J142*J149</f>
        <v>5.7252685905688543E-2</v>
      </c>
      <c r="K155" s="8"/>
      <c r="L155" s="8"/>
      <c r="M155" s="8"/>
    </row>
    <row r="156" spans="1:13" s="2" customFormat="1" ht="22" hidden="1" customHeight="1">
      <c r="A156" s="20" t="s">
        <v>105</v>
      </c>
      <c r="B156" s="8"/>
      <c r="C156" s="8"/>
      <c r="D156" s="8"/>
      <c r="E156" s="8"/>
      <c r="F156" s="8"/>
      <c r="G156" s="8"/>
      <c r="H156" s="8"/>
      <c r="I156" s="8"/>
      <c r="J156" s="8">
        <f>SUM(J154:J155)</f>
        <v>6.3765997167874039E-2</v>
      </c>
      <c r="K156" s="8"/>
      <c r="L156" s="8"/>
      <c r="M156" s="8"/>
    </row>
    <row r="157" spans="1:13" s="2" customFormat="1" ht="22" hidden="1" customHeight="1">
      <c r="A157" s="20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</row>
    <row r="158" spans="1:13" s="2" customFormat="1" ht="22" hidden="1" customHeight="1">
      <c r="A158" s="41" t="s">
        <v>128</v>
      </c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</row>
    <row r="159" spans="1:13" s="2" customFormat="1" ht="22" hidden="1" customHeight="1">
      <c r="A159" s="41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</row>
    <row r="160" spans="1:13" s="2" customFormat="1" ht="22" hidden="1" customHeight="1">
      <c r="A160" s="20" t="s">
        <v>129</v>
      </c>
      <c r="B160" s="20"/>
      <c r="C160" s="44"/>
      <c r="D160" s="8">
        <f>+J148</f>
        <v>0.15181206065646613</v>
      </c>
      <c r="E160" s="44">
        <f>+H141</f>
        <v>5.5E-2</v>
      </c>
      <c r="F160" s="44">
        <f>+D160*E160</f>
        <v>8.3496633361056366E-3</v>
      </c>
      <c r="G160" s="20"/>
      <c r="H160" s="44"/>
      <c r="I160" s="44"/>
      <c r="J160" s="44"/>
      <c r="K160" s="8"/>
      <c r="L160" s="8"/>
      <c r="M160" s="8"/>
    </row>
    <row r="161" spans="1:13" s="2" customFormat="1" ht="22" hidden="1" customHeight="1">
      <c r="A161" s="20" t="s">
        <v>130</v>
      </c>
      <c r="B161" s="20"/>
      <c r="C161" s="44"/>
      <c r="D161" s="8">
        <f>+J149</f>
        <v>0.84818793934353387</v>
      </c>
      <c r="E161" s="44">
        <f>+E166</f>
        <v>6.9737299860305191E-2</v>
      </c>
      <c r="F161" s="44">
        <f>+D161*E161</f>
        <v>5.9150336663894375E-2</v>
      </c>
      <c r="G161" s="20"/>
      <c r="H161" s="44"/>
      <c r="I161" s="44"/>
      <c r="J161" s="44"/>
      <c r="K161" s="8"/>
      <c r="L161" s="8"/>
      <c r="M161" s="8"/>
    </row>
    <row r="162" spans="1:13" s="2" customFormat="1" ht="22" hidden="1" customHeight="1">
      <c r="A162" s="20"/>
      <c r="B162" s="20"/>
      <c r="C162" s="20"/>
      <c r="D162" s="20"/>
      <c r="E162" s="20"/>
      <c r="F162" s="43">
        <f>SUM(F160:F161)</f>
        <v>6.7500000000000004E-2</v>
      </c>
      <c r="G162" s="20"/>
      <c r="H162" s="20"/>
      <c r="I162" s="20"/>
      <c r="J162" s="43"/>
      <c r="K162" s="8"/>
      <c r="L162" s="8"/>
      <c r="M162" s="8"/>
    </row>
    <row r="163" spans="1:13" s="2" customFormat="1" ht="22" hidden="1" customHeight="1">
      <c r="A163" s="20"/>
      <c r="B163" s="20"/>
      <c r="C163" s="20"/>
      <c r="D163" s="20"/>
      <c r="E163" s="20"/>
      <c r="F163" s="20"/>
      <c r="G163" s="20"/>
      <c r="H163" s="20"/>
      <c r="I163" s="20"/>
      <c r="J163" s="8"/>
      <c r="K163" s="8"/>
      <c r="L163" s="8"/>
      <c r="M163" s="8"/>
    </row>
    <row r="164" spans="1:13" s="2" customFormat="1" ht="22" hidden="1" customHeight="1">
      <c r="A164" s="20" t="s">
        <v>131</v>
      </c>
      <c r="B164" s="20"/>
      <c r="C164" s="20"/>
      <c r="D164" s="20"/>
      <c r="E164" s="8">
        <f>+J144/J145</f>
        <v>0.17898398882441438</v>
      </c>
      <c r="F164" s="20"/>
      <c r="G164" s="20"/>
      <c r="H164" s="20"/>
      <c r="I164" s="20"/>
      <c r="J164" s="8"/>
      <c r="K164" s="8"/>
      <c r="L164" s="8"/>
      <c r="M164" s="8"/>
    </row>
    <row r="165" spans="1:13" s="2" customFormat="1" ht="22" hidden="1" customHeight="1">
      <c r="A165" s="20"/>
      <c r="B165" s="20"/>
      <c r="C165" s="20"/>
      <c r="D165" s="20"/>
      <c r="E165" s="20"/>
      <c r="F165" s="20"/>
      <c r="G165" s="20"/>
      <c r="H165" s="20"/>
      <c r="I165" s="20"/>
      <c r="J165" s="8"/>
      <c r="K165" s="8"/>
      <c r="L165" s="8"/>
      <c r="M165" s="8"/>
    </row>
    <row r="166" spans="1:13" s="2" customFormat="1" ht="22" hidden="1" customHeight="1">
      <c r="A166" s="20" t="s">
        <v>132</v>
      </c>
      <c r="B166" s="20"/>
      <c r="C166" s="20"/>
      <c r="D166" s="20"/>
      <c r="E166" s="45">
        <f>+J142+E164*(J142-H141)</f>
        <v>6.9737299860305191E-2</v>
      </c>
      <c r="F166" s="20"/>
      <c r="G166" s="20"/>
      <c r="H166" s="20"/>
      <c r="I166" s="20"/>
      <c r="J166" s="8"/>
      <c r="K166" s="8"/>
      <c r="L166" s="8"/>
      <c r="M166" s="8"/>
    </row>
    <row r="167" spans="1:13" s="2" customFormat="1" ht="22" hidden="1" customHeight="1">
      <c r="A167" s="20"/>
      <c r="B167" s="20"/>
      <c r="C167" s="20"/>
      <c r="D167" s="20"/>
      <c r="E167" s="20"/>
      <c r="F167" s="20"/>
      <c r="G167" s="20"/>
      <c r="H167" s="20"/>
      <c r="I167" s="20"/>
      <c r="J167" s="8"/>
      <c r="K167" s="8"/>
      <c r="L167" s="8"/>
      <c r="M167" s="8"/>
    </row>
    <row r="168" spans="1:13" s="2" customFormat="1" ht="22" hidden="1" customHeight="1">
      <c r="A168" s="20"/>
      <c r="B168" s="20"/>
      <c r="C168" s="20"/>
      <c r="D168" s="20"/>
      <c r="E168" s="20"/>
      <c r="F168" s="20"/>
      <c r="G168" s="20"/>
      <c r="H168" s="20"/>
      <c r="I168" s="20"/>
      <c r="J168" s="8"/>
      <c r="K168" s="8"/>
      <c r="L168" s="8"/>
      <c r="M168" s="8"/>
    </row>
    <row r="169" spans="1:13" s="2" customFormat="1" ht="22" hidden="1" customHeight="1">
      <c r="A169" s="42" t="s">
        <v>133</v>
      </c>
      <c r="B169" s="20"/>
      <c r="C169" s="20"/>
      <c r="D169" s="20"/>
      <c r="E169" s="20"/>
      <c r="F169" s="20"/>
      <c r="G169" s="20"/>
      <c r="H169" s="20"/>
      <c r="I169" s="20"/>
      <c r="J169" s="8"/>
      <c r="K169" s="8"/>
      <c r="L169" s="8"/>
      <c r="M169" s="8"/>
    </row>
    <row r="170" spans="1:13" s="2" customFormat="1" ht="22" hidden="1" customHeight="1">
      <c r="A170" s="20"/>
      <c r="B170" s="20"/>
      <c r="C170" s="20"/>
      <c r="D170" s="20"/>
      <c r="E170" s="20"/>
      <c r="F170" s="20"/>
      <c r="G170" s="20"/>
      <c r="H170" s="20"/>
      <c r="I170" s="20"/>
      <c r="J170" s="8"/>
      <c r="K170" s="8"/>
      <c r="L170" s="8"/>
      <c r="M170" s="8"/>
    </row>
    <row r="171" spans="1:13" s="2" customFormat="1" ht="22" hidden="1" customHeight="1">
      <c r="A171" s="20" t="s">
        <v>134</v>
      </c>
      <c r="B171" s="20"/>
      <c r="C171" s="20"/>
      <c r="D171" s="20"/>
      <c r="E171" s="20"/>
      <c r="F171" s="20"/>
      <c r="G171" s="20"/>
      <c r="H171" s="20"/>
      <c r="I171" s="20"/>
      <c r="J171" s="8"/>
      <c r="K171" s="8"/>
      <c r="L171" s="8"/>
      <c r="M171" s="8"/>
    </row>
    <row r="172" spans="1:13" s="2" customFormat="1" ht="22" hidden="1" customHeight="1">
      <c r="A172" s="20"/>
      <c r="B172" s="20"/>
      <c r="C172" s="20"/>
      <c r="D172" s="20"/>
      <c r="E172" s="20"/>
      <c r="F172" s="20"/>
      <c r="G172" s="20"/>
      <c r="H172" s="20"/>
      <c r="I172" s="20"/>
      <c r="J172" s="8"/>
      <c r="K172" s="8"/>
      <c r="L172" s="8"/>
      <c r="M172" s="8"/>
    </row>
    <row r="173" spans="1:13" s="2" customFormat="1" ht="22" hidden="1" customHeight="1">
      <c r="A173" s="20" t="s">
        <v>135</v>
      </c>
      <c r="B173" s="20"/>
      <c r="C173" s="20"/>
      <c r="D173" s="20"/>
      <c r="E173" s="10">
        <v>7995</v>
      </c>
      <c r="F173" s="20"/>
      <c r="G173" s="20"/>
      <c r="H173" s="20"/>
      <c r="I173" s="20"/>
      <c r="J173" s="8"/>
      <c r="K173" s="8"/>
      <c r="L173" s="8"/>
      <c r="M173" s="8"/>
    </row>
    <row r="174" spans="1:13" s="2" customFormat="1" ht="22" hidden="1" customHeight="1">
      <c r="A174" s="20" t="s">
        <v>136</v>
      </c>
      <c r="B174" s="20"/>
      <c r="C174" s="20"/>
      <c r="D174" s="20"/>
      <c r="E174" s="12">
        <v>8000</v>
      </c>
      <c r="F174" s="20"/>
      <c r="G174" s="20"/>
      <c r="H174" s="20"/>
      <c r="I174" s="20"/>
      <c r="J174" s="8"/>
      <c r="K174" s="8"/>
      <c r="L174" s="8"/>
      <c r="M174" s="8"/>
    </row>
    <row r="175" spans="1:13" s="2" customFormat="1" ht="22" hidden="1" customHeight="1">
      <c r="A175" s="20" t="s">
        <v>137</v>
      </c>
      <c r="B175" s="20"/>
      <c r="C175" s="20"/>
      <c r="D175" s="20"/>
      <c r="E175" s="10">
        <f>SUM(E173:E174)</f>
        <v>15995</v>
      </c>
      <c r="F175" s="20"/>
      <c r="G175" s="20"/>
      <c r="H175" s="20"/>
      <c r="I175" s="20"/>
      <c r="J175" s="8"/>
      <c r="K175" s="8"/>
      <c r="L175" s="8"/>
      <c r="M175" s="8"/>
    </row>
    <row r="176" spans="1:13" s="2" customFormat="1" ht="22" hidden="1" customHeight="1">
      <c r="A176" s="20"/>
      <c r="B176" s="20"/>
      <c r="C176" s="20"/>
      <c r="D176" s="20"/>
      <c r="E176" s="20"/>
      <c r="F176" s="20"/>
      <c r="G176" s="20"/>
      <c r="H176" s="20"/>
      <c r="I176" s="20"/>
      <c r="J176" s="8"/>
      <c r="K176" s="8"/>
      <c r="L176" s="8"/>
      <c r="M176" s="8"/>
    </row>
    <row r="177" spans="1:13" s="2" customFormat="1" ht="22" hidden="1" customHeight="1">
      <c r="A177" s="20" t="s">
        <v>138</v>
      </c>
      <c r="B177" s="20"/>
      <c r="C177" s="20"/>
      <c r="D177" s="20"/>
      <c r="E177" s="10">
        <v>44669</v>
      </c>
      <c r="F177" s="20"/>
      <c r="G177" s="20"/>
      <c r="H177" s="20"/>
      <c r="I177" s="20"/>
      <c r="J177" s="8"/>
      <c r="K177" s="8"/>
      <c r="L177" s="8"/>
      <c r="M177" s="8"/>
    </row>
    <row r="178" spans="1:13" s="2" customFormat="1" ht="22" hidden="1" customHeight="1">
      <c r="A178" s="20" t="s">
        <v>139</v>
      </c>
      <c r="B178" s="20"/>
      <c r="C178" s="20"/>
      <c r="D178" s="20"/>
      <c r="E178" s="12">
        <v>8000</v>
      </c>
      <c r="F178" s="20"/>
      <c r="G178" s="20"/>
      <c r="H178" s="20"/>
      <c r="I178" s="20"/>
      <c r="J178" s="8"/>
      <c r="K178" s="8"/>
      <c r="L178" s="8"/>
      <c r="M178" s="8"/>
    </row>
    <row r="179" spans="1:13" s="2" customFormat="1" ht="22" hidden="1" customHeight="1">
      <c r="A179" s="20" t="s">
        <v>140</v>
      </c>
      <c r="B179" s="20"/>
      <c r="C179" s="20"/>
      <c r="D179" s="20"/>
      <c r="E179" s="10">
        <f>+E177-E178</f>
        <v>36669</v>
      </c>
      <c r="F179" s="20"/>
      <c r="G179" s="20"/>
      <c r="H179" s="20"/>
      <c r="I179" s="20"/>
      <c r="J179" s="8"/>
      <c r="K179" s="8"/>
      <c r="L179" s="8"/>
      <c r="M179" s="8"/>
    </row>
    <row r="180" spans="1:13" s="2" customFormat="1" ht="22" hidden="1" customHeight="1">
      <c r="A180" s="20"/>
      <c r="B180" s="20"/>
      <c r="C180" s="20"/>
      <c r="D180" s="20"/>
      <c r="E180" s="20"/>
      <c r="F180" s="20"/>
      <c r="G180" s="20"/>
      <c r="H180" s="20"/>
      <c r="I180" s="20"/>
      <c r="J180" s="8"/>
      <c r="K180" s="8"/>
      <c r="L180" s="8"/>
      <c r="M180" s="8"/>
    </row>
    <row r="181" spans="1:13" s="2" customFormat="1" ht="22" hidden="1" customHeight="1">
      <c r="A181" s="20" t="s">
        <v>141</v>
      </c>
      <c r="B181" s="20"/>
      <c r="C181" s="20"/>
      <c r="D181" s="20"/>
      <c r="E181" s="10">
        <f>+E175</f>
        <v>15995</v>
      </c>
      <c r="F181" s="20"/>
      <c r="G181" s="20"/>
      <c r="H181" s="20"/>
      <c r="I181" s="20"/>
      <c r="J181" s="8"/>
      <c r="K181" s="8"/>
      <c r="L181" s="8"/>
      <c r="M181" s="8"/>
    </row>
    <row r="182" spans="1:13" s="2" customFormat="1" ht="22" hidden="1" customHeight="1">
      <c r="A182" s="20" t="s">
        <v>142</v>
      </c>
      <c r="B182" s="20"/>
      <c r="C182" s="20"/>
      <c r="D182" s="20"/>
      <c r="E182" s="10">
        <f>+E179</f>
        <v>36669</v>
      </c>
      <c r="F182" s="20"/>
      <c r="G182" s="20"/>
      <c r="H182" s="20"/>
      <c r="I182" s="20"/>
      <c r="J182" s="8"/>
      <c r="K182" s="8"/>
      <c r="L182" s="8"/>
      <c r="M182" s="8"/>
    </row>
    <row r="183" spans="1:13" s="2" customFormat="1" ht="22" hidden="1" customHeight="1">
      <c r="A183" s="20"/>
      <c r="B183" s="20"/>
      <c r="C183" s="20"/>
      <c r="D183" s="20"/>
      <c r="E183" s="10">
        <f>SUM(E181:E182)</f>
        <v>52664</v>
      </c>
      <c r="F183" s="20"/>
      <c r="G183" s="20"/>
      <c r="H183" s="20"/>
      <c r="I183" s="20"/>
      <c r="J183" s="8"/>
      <c r="K183" s="8"/>
      <c r="L183" s="8"/>
      <c r="M183" s="8"/>
    </row>
    <row r="184" spans="1:13" s="2" customFormat="1" ht="22" hidden="1" customHeight="1">
      <c r="A184" s="20"/>
      <c r="B184" s="20"/>
      <c r="C184" s="20"/>
      <c r="D184" s="20"/>
      <c r="E184" s="20"/>
      <c r="F184" s="20"/>
      <c r="G184" s="20"/>
      <c r="H184" s="20"/>
      <c r="I184" s="20"/>
      <c r="J184" s="8"/>
      <c r="K184" s="8"/>
      <c r="L184" s="8"/>
      <c r="M184" s="8"/>
    </row>
    <row r="185" spans="1:13" s="2" customFormat="1" ht="22" hidden="1" customHeight="1">
      <c r="A185" s="20" t="s">
        <v>129</v>
      </c>
      <c r="B185" s="20"/>
      <c r="C185" s="8">
        <f>+E181/E183</f>
        <v>0.30371790976758317</v>
      </c>
      <c r="D185" s="8">
        <v>5.5E-2</v>
      </c>
      <c r="E185" s="44">
        <f>+C185*D185</f>
        <v>1.6704485037217075E-2</v>
      </c>
      <c r="F185" s="20"/>
      <c r="G185" s="20"/>
      <c r="H185" s="20"/>
      <c r="I185" s="20"/>
      <c r="J185" s="8"/>
      <c r="K185" s="8"/>
      <c r="L185" s="8"/>
      <c r="M185" s="8"/>
    </row>
    <row r="186" spans="1:13" s="2" customFormat="1" ht="22" hidden="1" customHeight="1">
      <c r="A186" s="20" t="s">
        <v>130</v>
      </c>
      <c r="B186" s="20"/>
      <c r="C186" s="8">
        <f>+E182/E183</f>
        <v>0.69628209023241683</v>
      </c>
      <c r="D186" s="45">
        <f>+C191</f>
        <v>7.2952493932204321E-2</v>
      </c>
      <c r="E186" s="44">
        <f>+C186*D186</f>
        <v>5.079551496278293E-2</v>
      </c>
      <c r="F186" s="20"/>
      <c r="G186" s="20"/>
      <c r="H186" s="20"/>
      <c r="I186" s="20"/>
      <c r="J186" s="8"/>
      <c r="K186" s="8"/>
      <c r="L186" s="8"/>
      <c r="M186" s="8"/>
    </row>
    <row r="187" spans="1:13" s="2" customFormat="1" ht="22" hidden="1" customHeight="1">
      <c r="A187" s="20"/>
      <c r="B187" s="20"/>
      <c r="C187" s="20"/>
      <c r="D187" s="20"/>
      <c r="E187" s="45">
        <f>SUM(E185:E186)</f>
        <v>6.7500000000000004E-2</v>
      </c>
      <c r="F187" s="20"/>
      <c r="G187" s="20"/>
      <c r="H187" s="20"/>
      <c r="I187" s="20"/>
      <c r="J187" s="8"/>
      <c r="K187" s="8"/>
      <c r="L187" s="8"/>
      <c r="M187" s="8"/>
    </row>
    <row r="188" spans="1:13" s="2" customFormat="1" ht="22" hidden="1" customHeight="1">
      <c r="A188" s="20"/>
      <c r="B188" s="20"/>
      <c r="C188" s="20"/>
      <c r="D188" s="20"/>
      <c r="E188" s="20"/>
      <c r="F188" s="20"/>
      <c r="G188" s="20"/>
      <c r="H188" s="20"/>
      <c r="I188" s="20"/>
      <c r="J188" s="8"/>
      <c r="K188" s="8"/>
      <c r="L188" s="8"/>
      <c r="M188" s="8"/>
    </row>
    <row r="189" spans="1:13" s="2" customFormat="1" ht="22" hidden="1" customHeight="1">
      <c r="A189" s="20" t="s">
        <v>131</v>
      </c>
      <c r="B189" s="20"/>
      <c r="C189" s="8">
        <f>+E181/E182</f>
        <v>0.43619951457634515</v>
      </c>
      <c r="D189" s="20"/>
      <c r="E189" s="20"/>
      <c r="F189" s="20"/>
      <c r="G189" s="20"/>
      <c r="H189" s="44"/>
      <c r="I189" s="20"/>
      <c r="J189" s="8"/>
      <c r="K189" s="8"/>
      <c r="L189" s="8"/>
      <c r="M189" s="8"/>
    </row>
    <row r="190" spans="1:13" s="2" customFormat="1" ht="22" hidden="1" customHeight="1">
      <c r="A190" s="20"/>
      <c r="B190" s="20"/>
      <c r="C190" s="20"/>
      <c r="D190" s="20"/>
      <c r="E190" s="20"/>
      <c r="F190" s="20"/>
      <c r="G190" s="20"/>
      <c r="H190" s="20"/>
      <c r="I190" s="20"/>
      <c r="J190" s="8"/>
      <c r="K190" s="8"/>
      <c r="L190" s="8"/>
      <c r="M190" s="8"/>
    </row>
    <row r="191" spans="1:13" s="2" customFormat="1" ht="22" hidden="1" customHeight="1">
      <c r="A191" s="20" t="s">
        <v>132</v>
      </c>
      <c r="B191" s="20"/>
      <c r="C191" s="46">
        <f>+J139+C189*(+J139-H141)</f>
        <v>7.2952493932204321E-2</v>
      </c>
      <c r="D191" s="20"/>
      <c r="E191" s="20"/>
      <c r="F191" s="45"/>
      <c r="G191" s="20"/>
      <c r="H191" s="44"/>
      <c r="I191" s="20"/>
      <c r="J191" s="8"/>
      <c r="K191" s="8"/>
      <c r="L191" s="8"/>
      <c r="M191" s="8"/>
    </row>
    <row r="192" spans="1:13" s="2" customFormat="1" ht="22" hidden="1" customHeight="1">
      <c r="A192" s="20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</row>
    <row r="193" spans="1:13" s="2" customFormat="1" ht="22" hidden="1" customHeight="1">
      <c r="A193" s="41" t="s">
        <v>117</v>
      </c>
      <c r="B193" s="8"/>
      <c r="C193" s="8"/>
      <c r="D193" s="8"/>
      <c r="E193" s="8"/>
      <c r="F193" s="3">
        <v>2018</v>
      </c>
      <c r="G193" s="3">
        <v>2019</v>
      </c>
      <c r="H193" s="3">
        <v>2020</v>
      </c>
      <c r="I193" s="3">
        <v>2021</v>
      </c>
      <c r="J193" s="3">
        <v>2022</v>
      </c>
      <c r="K193" s="3" t="s">
        <v>108</v>
      </c>
      <c r="L193" s="3" t="s">
        <v>123</v>
      </c>
      <c r="M193" s="3"/>
    </row>
    <row r="194" spans="1:13" s="2" customFormat="1" ht="22" hidden="1" customHeight="1">
      <c r="A194" s="20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</row>
    <row r="195" spans="1:13" s="2" customFormat="1" ht="22" hidden="1" customHeight="1">
      <c r="A195" s="10" t="s">
        <v>45</v>
      </c>
      <c r="B195" s="8"/>
      <c r="C195" s="8"/>
      <c r="D195" s="8"/>
      <c r="E195" s="8"/>
      <c r="F195" s="28">
        <f t="shared" ref="F195:L195" si="108">+F29</f>
        <v>3109</v>
      </c>
      <c r="G195" s="28">
        <f t="shared" si="108"/>
        <v>3235</v>
      </c>
      <c r="H195" s="28">
        <f t="shared" si="108"/>
        <v>3548</v>
      </c>
      <c r="I195" s="28">
        <f t="shared" si="108"/>
        <v>2833</v>
      </c>
      <c r="J195" s="28">
        <f t="shared" si="108"/>
        <v>2596</v>
      </c>
      <c r="K195" s="28">
        <f t="shared" si="108"/>
        <v>3005.875</v>
      </c>
      <c r="L195" s="28">
        <f t="shared" si="108"/>
        <v>3010.4400000000005</v>
      </c>
      <c r="M195" s="28"/>
    </row>
    <row r="196" spans="1:13" s="2" customFormat="1" ht="22" hidden="1" customHeight="1">
      <c r="A196" s="2" t="s">
        <v>97</v>
      </c>
      <c r="B196" s="8"/>
      <c r="C196" s="8"/>
      <c r="D196" s="8"/>
      <c r="E196" s="8"/>
      <c r="F196" s="8">
        <f t="shared" ref="F196:L196" si="109">+F44</f>
        <v>0.20903361344537816</v>
      </c>
      <c r="G196" s="8">
        <f t="shared" si="109"/>
        <v>0.23015075376884422</v>
      </c>
      <c r="H196" s="8">
        <f t="shared" si="109"/>
        <v>0.22669491525423729</v>
      </c>
      <c r="I196" s="8">
        <f t="shared" si="109"/>
        <v>0.21481194261341605</v>
      </c>
      <c r="J196" s="8">
        <f t="shared" si="109"/>
        <v>0.21993127147766323</v>
      </c>
      <c r="K196" s="8">
        <f t="shared" si="109"/>
        <v>0.23052081905023084</v>
      </c>
      <c r="L196" s="8">
        <f t="shared" si="109"/>
        <v>0.23</v>
      </c>
      <c r="M196" s="8"/>
    </row>
    <row r="197" spans="1:13" s="2" customFormat="1" ht="22" hidden="1" customHeight="1">
      <c r="A197" s="2" t="s">
        <v>82</v>
      </c>
      <c r="B197" s="8"/>
      <c r="C197" s="8"/>
      <c r="D197" s="8"/>
      <c r="E197" s="8"/>
      <c r="F197" s="37">
        <f t="shared" ref="F197:K197" si="110">+F195*F196</f>
        <v>649.88550420168065</v>
      </c>
      <c r="G197" s="37">
        <f t="shared" si="110"/>
        <v>744.53768844221111</v>
      </c>
      <c r="H197" s="37">
        <f t="shared" si="110"/>
        <v>804.31355932203394</v>
      </c>
      <c r="I197" s="37">
        <f t="shared" si="110"/>
        <v>608.5622334238077</v>
      </c>
      <c r="J197" s="37">
        <f t="shared" si="110"/>
        <v>570.94158075601376</v>
      </c>
      <c r="K197" s="37">
        <f t="shared" si="110"/>
        <v>692.91676696261266</v>
      </c>
      <c r="L197" s="37">
        <f t="shared" ref="L197" si="111">+L195*L196</f>
        <v>692.40120000000013</v>
      </c>
      <c r="M197" s="37"/>
    </row>
    <row r="198" spans="1:13" s="2" customFormat="1" ht="22" hidden="1" customHeight="1">
      <c r="A198" s="10" t="s">
        <v>83</v>
      </c>
      <c r="B198" s="8"/>
      <c r="C198" s="8"/>
      <c r="D198" s="8"/>
      <c r="E198" s="8"/>
      <c r="F198" s="28">
        <f t="shared" ref="F198:K198" si="112">+F195-F197</f>
        <v>2459.1144957983192</v>
      </c>
      <c r="G198" s="28">
        <f t="shared" si="112"/>
        <v>2490.4623115577888</v>
      </c>
      <c r="H198" s="28">
        <f t="shared" si="112"/>
        <v>2743.6864406779659</v>
      </c>
      <c r="I198" s="28">
        <f t="shared" si="112"/>
        <v>2224.4377665761922</v>
      </c>
      <c r="J198" s="28">
        <f t="shared" si="112"/>
        <v>2025.0584192439862</v>
      </c>
      <c r="K198" s="28">
        <f t="shared" si="112"/>
        <v>2312.9582330373873</v>
      </c>
      <c r="L198" s="28">
        <f t="shared" ref="L198" si="113">+L195-L197</f>
        <v>2318.0388000000003</v>
      </c>
      <c r="M198" s="28"/>
    </row>
    <row r="199" spans="1:13" s="2" customFormat="1" ht="22" hidden="1" customHeight="1">
      <c r="A199" s="10" t="s">
        <v>106</v>
      </c>
      <c r="B199" s="8"/>
      <c r="C199" s="8"/>
      <c r="D199" s="8"/>
      <c r="E199" s="8"/>
      <c r="F199" s="37">
        <f t="shared" ref="F199:L199" si="114">+F68</f>
        <v>882</v>
      </c>
      <c r="G199" s="37">
        <f t="shared" si="114"/>
        <v>917</v>
      </c>
      <c r="H199" s="37">
        <f t="shared" si="114"/>
        <v>796</v>
      </c>
      <c r="I199" s="37">
        <f t="shared" si="114"/>
        <v>766</v>
      </c>
      <c r="J199" s="37">
        <f t="shared" si="114"/>
        <v>754</v>
      </c>
      <c r="K199" s="37">
        <f t="shared" si="114"/>
        <v>800</v>
      </c>
      <c r="L199" s="37">
        <f t="shared" si="114"/>
        <v>800</v>
      </c>
      <c r="M199" s="37"/>
    </row>
    <row r="200" spans="1:13" s="2" customFormat="1" ht="22" hidden="1" customHeight="1">
      <c r="A200" s="10" t="s">
        <v>57</v>
      </c>
      <c r="B200" s="8"/>
      <c r="C200" s="8"/>
      <c r="D200" s="8"/>
      <c r="E200" s="8"/>
      <c r="F200" s="37">
        <f>+F73</f>
        <v>877</v>
      </c>
      <c r="G200" s="37">
        <f>+G73</f>
        <v>1209</v>
      </c>
      <c r="H200" s="37">
        <f>+H73</f>
        <v>1217</v>
      </c>
      <c r="I200" s="37">
        <f>+I73</f>
        <v>1007</v>
      </c>
      <c r="J200" s="37">
        <v>1200</v>
      </c>
      <c r="K200" s="37">
        <v>1200</v>
      </c>
      <c r="L200" s="37">
        <v>1200</v>
      </c>
      <c r="M200" s="37"/>
    </row>
    <row r="201" spans="1:13" s="2" customFormat="1" ht="22" hidden="1" customHeight="1">
      <c r="A201" s="2" t="s">
        <v>98</v>
      </c>
      <c r="B201" s="8"/>
      <c r="C201" s="8"/>
      <c r="D201" s="8"/>
      <c r="E201" s="8"/>
      <c r="F201" s="37">
        <f t="shared" ref="F201:L201" si="115">+F114</f>
        <v>0</v>
      </c>
      <c r="G201" s="37">
        <f t="shared" si="115"/>
        <v>0</v>
      </c>
      <c r="H201" s="37">
        <f t="shared" si="115"/>
        <v>-316</v>
      </c>
      <c r="I201" s="37">
        <f t="shared" si="115"/>
        <v>65</v>
      </c>
      <c r="J201" s="37">
        <f t="shared" si="115"/>
        <v>-167</v>
      </c>
      <c r="K201" s="37">
        <f t="shared" si="115"/>
        <v>-138</v>
      </c>
      <c r="L201" s="37">
        <f t="shared" si="115"/>
        <v>-75</v>
      </c>
      <c r="M201" s="37"/>
    </row>
    <row r="202" spans="1:13" s="2" customFormat="1" ht="22" hidden="1" customHeight="1">
      <c r="A202" s="10" t="s">
        <v>107</v>
      </c>
      <c r="B202" s="8"/>
      <c r="C202" s="8"/>
      <c r="D202" s="8"/>
      <c r="E202" s="8"/>
      <c r="F202" s="28">
        <f t="shared" ref="F202:K202" si="116">+F198+F199-F200+F201</f>
        <v>2464.1144957983192</v>
      </c>
      <c r="G202" s="28">
        <f t="shared" si="116"/>
        <v>2198.4623115577888</v>
      </c>
      <c r="H202" s="28">
        <f t="shared" si="116"/>
        <v>2006.6864406779659</v>
      </c>
      <c r="I202" s="28">
        <f t="shared" si="116"/>
        <v>2048.4377665761922</v>
      </c>
      <c r="J202" s="28">
        <f t="shared" si="116"/>
        <v>1412.0584192439865</v>
      </c>
      <c r="K202" s="28">
        <f t="shared" si="116"/>
        <v>1774.9582330373873</v>
      </c>
      <c r="L202" s="28">
        <f t="shared" ref="L202" si="117">+L198+L199-L200+L201</f>
        <v>1843.0388000000003</v>
      </c>
      <c r="M202" s="28">
        <f>+(L202*(1+C206))/(+J156-C206)</f>
        <v>48731.231182298536</v>
      </c>
    </row>
    <row r="203" spans="1:13" s="2" customFormat="1" ht="22" hidden="1" customHeight="1">
      <c r="A203" s="10" t="s">
        <v>99</v>
      </c>
      <c r="B203" s="8"/>
      <c r="C203" s="8"/>
      <c r="D203" s="8"/>
      <c r="E203" s="8"/>
      <c r="F203" s="28"/>
      <c r="G203" s="28"/>
      <c r="H203" s="28"/>
      <c r="I203" s="28"/>
      <c r="J203" s="8"/>
      <c r="K203" s="8">
        <f>+J156</f>
        <v>6.3765997167874039E-2</v>
      </c>
      <c r="L203" s="8">
        <f>+J156</f>
        <v>6.3765997167874039E-2</v>
      </c>
      <c r="M203" s="8">
        <f>+J156</f>
        <v>6.3765997167874039E-2</v>
      </c>
    </row>
    <row r="204" spans="1:13" s="2" customFormat="1" ht="22" hidden="1" customHeight="1">
      <c r="A204" s="10" t="s">
        <v>109</v>
      </c>
      <c r="B204" s="8"/>
      <c r="C204" s="8"/>
      <c r="D204" s="8"/>
      <c r="E204" s="8"/>
      <c r="F204" s="28"/>
      <c r="G204" s="28"/>
      <c r="H204" s="28"/>
      <c r="I204" s="28">
        <f>SUM(J204:M204)</f>
        <v>46361.345382757747</v>
      </c>
      <c r="J204" s="28"/>
      <c r="K204" s="28">
        <f>+K202/(1+K203)^1</f>
        <v>1668.5607904021763</v>
      </c>
      <c r="L204" s="28">
        <f>+L202/(1+L203)^2</f>
        <v>1628.7044007275629</v>
      </c>
      <c r="M204" s="28">
        <f>+M202/(1+M203)^2</f>
        <v>43064.080191628011</v>
      </c>
    </row>
    <row r="205" spans="1:13" s="2" customFormat="1" ht="22" hidden="1" customHeight="1">
      <c r="A205" s="10"/>
      <c r="B205" s="8"/>
      <c r="C205" s="8"/>
      <c r="D205" s="8"/>
      <c r="E205" s="8"/>
      <c r="F205" s="28"/>
      <c r="G205" s="28"/>
      <c r="H205" s="28"/>
      <c r="I205" s="28"/>
      <c r="J205" s="28"/>
      <c r="K205" s="28"/>
      <c r="L205" s="28"/>
      <c r="M205" s="28"/>
    </row>
    <row r="206" spans="1:13" s="2" customFormat="1" ht="22" hidden="1" customHeight="1">
      <c r="A206" s="10" t="s">
        <v>114</v>
      </c>
      <c r="B206" s="8"/>
      <c r="C206" s="8">
        <v>2.5000000000000001E-2</v>
      </c>
      <c r="D206" s="8"/>
      <c r="E206" s="8"/>
      <c r="F206" s="28"/>
      <c r="G206" s="28"/>
      <c r="H206" s="28"/>
      <c r="I206" s="28"/>
      <c r="J206" s="28"/>
      <c r="K206" s="28"/>
      <c r="L206" s="28"/>
      <c r="M206" s="28"/>
    </row>
    <row r="207" spans="1:13" s="2" customFormat="1" ht="22" hidden="1" customHeight="1">
      <c r="A207" s="10"/>
      <c r="B207" s="8"/>
      <c r="C207" s="8"/>
      <c r="D207" s="8"/>
      <c r="E207" s="8"/>
      <c r="F207" s="28"/>
      <c r="G207" s="28"/>
      <c r="H207" s="28"/>
      <c r="I207" s="28"/>
      <c r="J207" s="28"/>
      <c r="K207" s="28"/>
      <c r="L207" s="28"/>
      <c r="M207" s="28"/>
    </row>
    <row r="208" spans="1:13" s="2" customFormat="1" ht="22" hidden="1" customHeight="1">
      <c r="A208" s="10" t="s">
        <v>109</v>
      </c>
      <c r="B208" s="28">
        <f>+I204</f>
        <v>46361.345382757747</v>
      </c>
      <c r="C208" s="8"/>
      <c r="D208" s="8"/>
      <c r="E208" s="8"/>
      <c r="F208" s="28"/>
      <c r="G208" s="28"/>
      <c r="H208" s="28"/>
      <c r="I208" s="28"/>
      <c r="J208" s="28"/>
      <c r="K208" s="28"/>
      <c r="L208" s="28"/>
      <c r="M208" s="28"/>
    </row>
    <row r="209" spans="1:13" s="2" customFormat="1" ht="22" hidden="1" customHeight="1">
      <c r="A209" s="10" t="s">
        <v>10</v>
      </c>
      <c r="B209" s="37">
        <f>L103+L106-L90</f>
        <v>7164.281825</v>
      </c>
      <c r="C209" s="8"/>
      <c r="D209" s="8"/>
      <c r="E209" s="8"/>
      <c r="F209" s="28"/>
      <c r="G209" s="28"/>
      <c r="H209" s="28"/>
      <c r="I209" s="28"/>
      <c r="J209" s="28"/>
      <c r="K209" s="28"/>
      <c r="L209" s="28"/>
      <c r="M209" s="28"/>
    </row>
    <row r="210" spans="1:13" s="2" customFormat="1" ht="22" hidden="1" customHeight="1">
      <c r="A210" s="10" t="s">
        <v>102</v>
      </c>
      <c r="B210" s="28">
        <f>+B208-B209</f>
        <v>39197.063557757749</v>
      </c>
      <c r="C210" s="8"/>
      <c r="D210" s="8"/>
      <c r="E210" s="8"/>
      <c r="F210" s="28"/>
      <c r="G210" s="28"/>
      <c r="H210" s="28"/>
      <c r="I210" s="28"/>
      <c r="J210" s="28"/>
      <c r="K210" s="28"/>
      <c r="L210" s="28"/>
      <c r="M210" s="28"/>
    </row>
    <row r="211" spans="1:13" s="2" customFormat="1" ht="22" hidden="1" customHeight="1">
      <c r="A211" s="10" t="s">
        <v>93</v>
      </c>
      <c r="B211" s="37">
        <f>+L50</f>
        <v>336</v>
      </c>
      <c r="C211" s="8"/>
      <c r="D211" s="8"/>
      <c r="E211" s="8"/>
      <c r="F211" s="28"/>
      <c r="G211" s="28"/>
      <c r="H211" s="28"/>
      <c r="I211" s="28"/>
      <c r="J211" s="28"/>
      <c r="K211" s="28"/>
      <c r="L211" s="28"/>
      <c r="M211" s="28"/>
    </row>
    <row r="212" spans="1:13" s="2" customFormat="1" ht="22" hidden="1" customHeight="1">
      <c r="A212" s="10" t="s">
        <v>110</v>
      </c>
      <c r="B212" s="28">
        <f>+B210/B211</f>
        <v>116.6579272552314</v>
      </c>
      <c r="C212" s="8"/>
      <c r="D212" s="8"/>
      <c r="E212" s="8"/>
      <c r="F212" s="28"/>
      <c r="G212" s="28"/>
      <c r="H212" s="28"/>
      <c r="I212" s="28"/>
      <c r="J212" s="28"/>
      <c r="K212" s="28"/>
      <c r="L212" s="28"/>
      <c r="M212" s="28"/>
    </row>
    <row r="213" spans="1:13" s="2" customFormat="1" ht="22" hidden="1" customHeight="1">
      <c r="A213" s="10" t="s">
        <v>94</v>
      </c>
      <c r="B213" s="28">
        <v>121</v>
      </c>
      <c r="C213" s="8"/>
      <c r="D213" s="8"/>
      <c r="E213" s="8"/>
      <c r="F213" s="28"/>
      <c r="G213" s="28"/>
      <c r="H213" s="28"/>
      <c r="I213" s="28"/>
      <c r="J213" s="28"/>
      <c r="K213" s="28"/>
      <c r="L213" s="28"/>
      <c r="M213" s="28"/>
    </row>
    <row r="214" spans="1:13" s="2" customFormat="1" ht="22" hidden="1" customHeight="1">
      <c r="A214" s="10" t="s">
        <v>95</v>
      </c>
      <c r="B214" s="8">
        <f>+B212/B213-1</f>
        <v>-3.5884898717095881E-2</v>
      </c>
      <c r="C214" s="8"/>
      <c r="D214" s="8"/>
      <c r="E214" s="8"/>
      <c r="F214" s="28"/>
      <c r="G214" s="28"/>
      <c r="H214" s="28"/>
      <c r="I214" s="28"/>
      <c r="J214" s="28"/>
      <c r="K214" s="28"/>
      <c r="L214" s="28"/>
      <c r="M214" s="28"/>
    </row>
    <row r="215" spans="1:13" s="2" customFormat="1" ht="22" hidden="1" customHeight="1">
      <c r="A215" s="10"/>
      <c r="B215" s="8"/>
      <c r="C215" s="8"/>
      <c r="D215" s="8"/>
      <c r="E215" s="8"/>
      <c r="F215" s="28"/>
      <c r="G215" s="28"/>
      <c r="H215" s="28"/>
      <c r="I215" s="28"/>
      <c r="J215" s="28"/>
      <c r="K215" s="28"/>
      <c r="L215" s="28"/>
      <c r="M215" s="28"/>
    </row>
    <row r="216" spans="1:13" s="2" customFormat="1" ht="22" hidden="1" customHeight="1">
      <c r="A216" s="20" t="s">
        <v>46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</row>
    <row r="217" spans="1:13" s="2" customFormat="1" ht="22" hidden="1" customHeight="1">
      <c r="A217" s="20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</row>
    <row r="218" spans="1:13" s="2" customFormat="1" ht="22" hidden="1" customHeight="1">
      <c r="A218" s="20" t="s">
        <v>47</v>
      </c>
      <c r="B218" s="28">
        <v>106</v>
      </c>
      <c r="C218" s="28">
        <v>110</v>
      </c>
      <c r="D218" s="28">
        <v>112</v>
      </c>
      <c r="E218" s="28">
        <v>115</v>
      </c>
      <c r="F218" s="28">
        <v>108</v>
      </c>
      <c r="G218" s="28">
        <v>130</v>
      </c>
      <c r="H218" s="28">
        <v>140</v>
      </c>
      <c r="I218" s="28">
        <v>132</v>
      </c>
      <c r="J218" s="28">
        <v>132</v>
      </c>
      <c r="K218" s="28">
        <v>132</v>
      </c>
      <c r="L218" s="28">
        <v>132</v>
      </c>
      <c r="M218" s="28"/>
    </row>
    <row r="219" spans="1:13" s="2" customFormat="1" ht="22" hidden="1" customHeight="1">
      <c r="A219" s="20" t="s">
        <v>10</v>
      </c>
      <c r="B219" s="28">
        <f t="shared" ref="B219:L219" si="118">+(B103+B106-B90)</f>
        <v>6167</v>
      </c>
      <c r="C219" s="28">
        <f t="shared" si="118"/>
        <v>7156</v>
      </c>
      <c r="D219" s="28">
        <f t="shared" si="118"/>
        <v>6649</v>
      </c>
      <c r="E219" s="28">
        <f t="shared" si="118"/>
        <v>6809</v>
      </c>
      <c r="F219" s="28">
        <f t="shared" si="118"/>
        <v>6916</v>
      </c>
      <c r="G219" s="28">
        <f t="shared" si="118"/>
        <v>7305</v>
      </c>
      <c r="H219" s="28">
        <f t="shared" si="118"/>
        <v>8061</v>
      </c>
      <c r="I219" s="28">
        <f t="shared" si="118"/>
        <v>8304</v>
      </c>
      <c r="J219" s="28">
        <f t="shared" si="118"/>
        <v>7995</v>
      </c>
      <c r="K219" s="28">
        <f t="shared" si="118"/>
        <v>7384.5706250000003</v>
      </c>
      <c r="L219" s="28">
        <f t="shared" si="118"/>
        <v>7164.281825</v>
      </c>
      <c r="M219" s="28"/>
    </row>
    <row r="220" spans="1:13" s="2" customFormat="1" ht="22" hidden="1" customHeight="1">
      <c r="A220" s="20" t="s">
        <v>3</v>
      </c>
      <c r="B220" s="28">
        <f t="shared" ref="B220:L220" si="119">+B218*B50</f>
        <v>40004.399999999994</v>
      </c>
      <c r="C220" s="28">
        <f t="shared" si="119"/>
        <v>40293</v>
      </c>
      <c r="D220" s="28">
        <f t="shared" si="119"/>
        <v>40544</v>
      </c>
      <c r="E220" s="28">
        <f t="shared" si="119"/>
        <v>40928.5</v>
      </c>
      <c r="F220" s="28">
        <f t="shared" si="119"/>
        <v>37843.199999999997</v>
      </c>
      <c r="G220" s="28">
        <f t="shared" si="119"/>
        <v>44928</v>
      </c>
      <c r="H220" s="28">
        <f t="shared" si="119"/>
        <v>47950</v>
      </c>
      <c r="I220" s="28">
        <f t="shared" si="119"/>
        <v>44721.599999999999</v>
      </c>
      <c r="J220" s="28">
        <f t="shared" si="119"/>
        <v>44668.799999999996</v>
      </c>
      <c r="K220" s="28">
        <f t="shared" si="119"/>
        <v>44658.9</v>
      </c>
      <c r="L220" s="28">
        <f t="shared" si="119"/>
        <v>44352</v>
      </c>
      <c r="M220" s="28"/>
    </row>
    <row r="221" spans="1:13" s="2" customFormat="1" ht="22" hidden="1" customHeight="1">
      <c r="A221" s="20" t="s">
        <v>122</v>
      </c>
      <c r="B221" s="28">
        <f>+B219+B220</f>
        <v>46171.399999999994</v>
      </c>
      <c r="C221" s="28">
        <f t="shared" ref="C221:H221" si="120">+C219+C220</f>
        <v>47449</v>
      </c>
      <c r="D221" s="28">
        <f t="shared" si="120"/>
        <v>47193</v>
      </c>
      <c r="E221" s="28">
        <f t="shared" si="120"/>
        <v>47737.5</v>
      </c>
      <c r="F221" s="28">
        <f t="shared" si="120"/>
        <v>44759.199999999997</v>
      </c>
      <c r="G221" s="28">
        <f t="shared" si="120"/>
        <v>52233</v>
      </c>
      <c r="H221" s="28">
        <f t="shared" si="120"/>
        <v>56011</v>
      </c>
      <c r="I221" s="28">
        <f>+I219+I220</f>
        <v>53025.599999999999</v>
      </c>
      <c r="J221" s="28">
        <f>+J219+J220</f>
        <v>52663.799999999996</v>
      </c>
      <c r="K221" s="28">
        <f>+K219+K220</f>
        <v>52043.470625000002</v>
      </c>
      <c r="L221" s="28">
        <f>+L219+L220</f>
        <v>51516.281824999998</v>
      </c>
      <c r="M221" s="28"/>
    </row>
    <row r="222" spans="1:13" s="2" customFormat="1" ht="22" hidden="1" customHeight="1">
      <c r="A222" s="20" t="s">
        <v>84</v>
      </c>
      <c r="B222" s="28">
        <f t="shared" ref="B222:L222" si="121">+B129</f>
        <v>9837</v>
      </c>
      <c r="C222" s="28">
        <f t="shared" si="121"/>
        <v>9543</v>
      </c>
      <c r="D222" s="28">
        <f t="shared" si="121"/>
        <v>8966</v>
      </c>
      <c r="E222" s="28">
        <f t="shared" si="121"/>
        <v>9630</v>
      </c>
      <c r="F222" s="28">
        <f t="shared" si="121"/>
        <v>8651</v>
      </c>
      <c r="G222" s="28">
        <f t="shared" si="121"/>
        <v>9456</v>
      </c>
      <c r="H222" s="28">
        <f t="shared" si="121"/>
        <v>11263</v>
      </c>
      <c r="I222" s="28">
        <f t="shared" si="121"/>
        <v>11251</v>
      </c>
      <c r="J222" s="28">
        <f t="shared" si="121"/>
        <v>11053</v>
      </c>
      <c r="K222" s="28">
        <f t="shared" si="121"/>
        <v>11550</v>
      </c>
      <c r="L222" s="28">
        <f t="shared" si="121"/>
        <v>11625</v>
      </c>
      <c r="M222" s="28"/>
    </row>
    <row r="223" spans="1:13" s="2" customFormat="1" ht="22" hidden="1" customHeight="1">
      <c r="A223" s="20" t="s">
        <v>2</v>
      </c>
      <c r="B223" s="28">
        <f t="shared" ref="B223:L223" si="122">+B29+B68</f>
        <v>4046</v>
      </c>
      <c r="C223" s="28">
        <f t="shared" si="122"/>
        <v>3956</v>
      </c>
      <c r="D223" s="28">
        <f t="shared" si="122"/>
        <v>4046</v>
      </c>
      <c r="E223" s="28">
        <f t="shared" si="122"/>
        <v>4047</v>
      </c>
      <c r="F223" s="28">
        <f t="shared" si="122"/>
        <v>3991</v>
      </c>
      <c r="G223" s="28">
        <f t="shared" si="122"/>
        <v>4152</v>
      </c>
      <c r="H223" s="28">
        <f t="shared" si="122"/>
        <v>4344</v>
      </c>
      <c r="I223" s="28">
        <f t="shared" si="122"/>
        <v>3599</v>
      </c>
      <c r="J223" s="28">
        <f t="shared" si="122"/>
        <v>3350</v>
      </c>
      <c r="K223" s="28">
        <f t="shared" si="122"/>
        <v>3805.875</v>
      </c>
      <c r="L223" s="28">
        <f t="shared" si="122"/>
        <v>3810.4400000000005</v>
      </c>
      <c r="M223" s="28"/>
    </row>
    <row r="224" spans="1:13" s="2" customFormat="1" ht="22" hidden="1" customHeight="1">
      <c r="A224" s="20" t="s">
        <v>48</v>
      </c>
      <c r="B224" s="8">
        <f t="shared" ref="B224:L224" si="123">+B223/B19</f>
        <v>0.20513080511052526</v>
      </c>
      <c r="C224" s="8">
        <f t="shared" si="123"/>
        <v>0.21279113549566994</v>
      </c>
      <c r="D224" s="8">
        <f t="shared" si="123"/>
        <v>0.22228326557521152</v>
      </c>
      <c r="E224" s="8">
        <f t="shared" si="123"/>
        <v>0.22164412070759626</v>
      </c>
      <c r="F224" s="8">
        <f t="shared" si="123"/>
        <v>0.2158931082981716</v>
      </c>
      <c r="G224" s="8">
        <f t="shared" si="123"/>
        <v>0.22504065040650406</v>
      </c>
      <c r="H224" s="8">
        <f t="shared" si="123"/>
        <v>0.22695924764890282</v>
      </c>
      <c r="I224" s="8">
        <f t="shared" si="123"/>
        <v>0.18513374485596709</v>
      </c>
      <c r="J224" s="8">
        <f t="shared" si="123"/>
        <v>0.16604708798017348</v>
      </c>
      <c r="K224" s="8">
        <f t="shared" si="123"/>
        <v>0.18451832638417531</v>
      </c>
      <c r="L224" s="8">
        <f t="shared" si="123"/>
        <v>0.18130275491268974</v>
      </c>
      <c r="M224" s="8"/>
    </row>
    <row r="225" spans="1:13" s="2" customFormat="1" ht="22" hidden="1" customHeight="1">
      <c r="A225" s="20" t="s">
        <v>96</v>
      </c>
      <c r="B225" s="8"/>
      <c r="C225" s="8">
        <f t="shared" ref="C225:K225" si="124">+C223/B223-1</f>
        <v>-2.2244191794364765E-2</v>
      </c>
      <c r="D225" s="8">
        <f t="shared" si="124"/>
        <v>2.2750252780586511E-2</v>
      </c>
      <c r="E225" s="8">
        <f t="shared" si="124"/>
        <v>2.4715768660410475E-4</v>
      </c>
      <c r="F225" s="8">
        <f t="shared" si="124"/>
        <v>-1.3837410427477104E-2</v>
      </c>
      <c r="G225" s="8">
        <f t="shared" si="124"/>
        <v>4.0340766725131649E-2</v>
      </c>
      <c r="H225" s="8">
        <f t="shared" si="124"/>
        <v>4.6242774566473965E-2</v>
      </c>
      <c r="I225" s="8">
        <f t="shared" si="124"/>
        <v>-0.1715009208103131</v>
      </c>
      <c r="J225" s="8">
        <f t="shared" si="124"/>
        <v>-6.9185884968046674E-2</v>
      </c>
      <c r="K225" s="8">
        <f t="shared" si="124"/>
        <v>0.13608208955223877</v>
      </c>
      <c r="L225" s="8">
        <f>+L223/K223-1</f>
        <v>1.1994613590831094E-3</v>
      </c>
      <c r="M225" s="8"/>
    </row>
    <row r="226" spans="1:13" s="2" customFormat="1" ht="22" hidden="1" customHeight="1">
      <c r="A226" s="20" t="s">
        <v>50</v>
      </c>
      <c r="B226" s="30">
        <f t="shared" ref="B226:L226" si="125">+B75</f>
        <v>4.7853736089030212</v>
      </c>
      <c r="C226" s="30">
        <f t="shared" si="125"/>
        <v>3.4125034125034124</v>
      </c>
      <c r="D226" s="30">
        <f t="shared" si="125"/>
        <v>6.7983425414364644</v>
      </c>
      <c r="E226" s="30">
        <f t="shared" si="125"/>
        <v>6.0241640910368082</v>
      </c>
      <c r="F226" s="30">
        <f t="shared" si="125"/>
        <v>5.9731735159817356</v>
      </c>
      <c r="G226" s="30">
        <f t="shared" si="125"/>
        <v>4.4184027777777777</v>
      </c>
      <c r="H226" s="30">
        <f t="shared" si="125"/>
        <v>7.3343065693430658</v>
      </c>
      <c r="I226" s="30">
        <f t="shared" si="125"/>
        <v>5.0855962219598583</v>
      </c>
      <c r="J226" s="30">
        <f t="shared" si="125"/>
        <v>5.4875886524822697</v>
      </c>
      <c r="K226" s="30">
        <f t="shared" si="125"/>
        <v>6.2053628168181474</v>
      </c>
      <c r="L226" s="30">
        <f t="shared" si="125"/>
        <v>6.3103833333333341</v>
      </c>
      <c r="M226" s="30"/>
    </row>
    <row r="227" spans="1:13" s="2" customFormat="1" ht="22" hidden="1" customHeight="1">
      <c r="A227" s="20" t="s">
        <v>87</v>
      </c>
      <c r="B227" s="8">
        <f t="shared" ref="B227:L227" si="126">+B131</f>
        <v>0.2241771861465256</v>
      </c>
      <c r="C227" s="8">
        <f t="shared" si="126"/>
        <v>0.22743697177298436</v>
      </c>
      <c r="D227" s="8">
        <f t="shared" si="126"/>
        <v>0.25031701903086795</v>
      </c>
      <c r="E227" s="8">
        <f t="shared" si="126"/>
        <v>0.25532843418955981</v>
      </c>
      <c r="F227" s="8">
        <f t="shared" si="126"/>
        <v>0.26903500856608709</v>
      </c>
      <c r="G227" s="8">
        <f t="shared" si="126"/>
        <v>0.2750828200759694</v>
      </c>
      <c r="H227" s="8">
        <f t="shared" si="126"/>
        <v>0.26484738073053388</v>
      </c>
      <c r="I227" s="8">
        <f t="shared" si="126"/>
        <v>0.19760484734620168</v>
      </c>
      <c r="J227" s="8">
        <f t="shared" si="126"/>
        <v>0.18158701750753103</v>
      </c>
      <c r="K227" s="8">
        <f t="shared" si="126"/>
        <v>0.20465940211807171</v>
      </c>
      <c r="L227" s="8">
        <f t="shared" si="126"/>
        <v>0.20004649838187705</v>
      </c>
      <c r="M227" s="8"/>
    </row>
    <row r="228" spans="1:13" s="2" customFormat="1" ht="22" hidden="1" customHeight="1">
      <c r="A228" s="20" t="s">
        <v>49</v>
      </c>
      <c r="B228" s="29">
        <f>+B221/C223</f>
        <v>11.671233569261879</v>
      </c>
      <c r="C228" s="29">
        <f t="shared" ref="C228:J228" si="127">+C221/D223</f>
        <v>11.727385071675728</v>
      </c>
      <c r="D228" s="29">
        <f t="shared" si="127"/>
        <v>11.661230541141586</v>
      </c>
      <c r="E228" s="29">
        <f t="shared" si="127"/>
        <v>11.961287897769983</v>
      </c>
      <c r="F228" s="29">
        <f t="shared" si="127"/>
        <v>10.780154142581887</v>
      </c>
      <c r="G228" s="29">
        <f t="shared" si="127"/>
        <v>12.024171270718233</v>
      </c>
      <c r="H228" s="29">
        <f t="shared" si="127"/>
        <v>15.562934148374548</v>
      </c>
      <c r="I228" s="29">
        <f t="shared" si="127"/>
        <v>15.828537313432836</v>
      </c>
      <c r="J228" s="29">
        <f t="shared" si="127"/>
        <v>13.837501231648437</v>
      </c>
      <c r="K228" s="29">
        <f t="shared" ref="K228" si="128">+K221/L223</f>
        <v>13.658126259697042</v>
      </c>
      <c r="L228" s="29"/>
      <c r="M228" s="29"/>
    </row>
    <row r="229" spans="1:13" s="2" customFormat="1" ht="22" hidden="1" customHeight="1">
      <c r="A229" s="20" t="s">
        <v>4</v>
      </c>
      <c r="B229" s="29">
        <f>+B221/B222</f>
        <v>4.6936464369218251</v>
      </c>
      <c r="C229" s="29">
        <f>+C221/C222</f>
        <v>4.9721261657759612</v>
      </c>
      <c r="D229" s="29">
        <f t="shared" ref="D229:I229" si="129">+D221/D222</f>
        <v>5.2635511933972783</v>
      </c>
      <c r="E229" s="29">
        <f t="shared" si="129"/>
        <v>4.9571651090342677</v>
      </c>
      <c r="F229" s="29">
        <f t="shared" si="129"/>
        <v>5.1738758525026007</v>
      </c>
      <c r="G229" s="29">
        <f t="shared" si="129"/>
        <v>5.5237944162436552</v>
      </c>
      <c r="H229" s="29">
        <f t="shared" si="129"/>
        <v>4.9730089674154314</v>
      </c>
      <c r="I229" s="29">
        <f t="shared" si="129"/>
        <v>4.7129677362012261</v>
      </c>
      <c r="J229" s="29">
        <f t="shared" ref="J229:K229" si="130">+J221/J222</f>
        <v>4.7646611779607344</v>
      </c>
      <c r="K229" s="29">
        <f t="shared" si="130"/>
        <v>4.5059281926406927</v>
      </c>
      <c r="L229" s="29"/>
      <c r="M229" s="29"/>
    </row>
    <row r="230" spans="1:13" s="2" customFormat="1" ht="22" hidden="1" customHeight="1">
      <c r="A230" s="20" t="s">
        <v>88</v>
      </c>
      <c r="B230" s="29">
        <f>+B218/C226</f>
        <v>31.062240000000003</v>
      </c>
      <c r="C230" s="29">
        <f t="shared" ref="C230:J230" si="131">+C218/D226</f>
        <v>16.180414465664363</v>
      </c>
      <c r="D230" s="29">
        <f t="shared" si="131"/>
        <v>18.591791044776119</v>
      </c>
      <c r="E230" s="29">
        <f t="shared" si="131"/>
        <v>19.252747252747252</v>
      </c>
      <c r="F230" s="29">
        <f t="shared" si="131"/>
        <v>24.443222003929275</v>
      </c>
      <c r="G230" s="29">
        <f t="shared" si="131"/>
        <v>17.724920382165603</v>
      </c>
      <c r="H230" s="29">
        <f t="shared" si="131"/>
        <v>27.528728961114336</v>
      </c>
      <c r="I230" s="29">
        <f t="shared" si="131"/>
        <v>24.054281098546042</v>
      </c>
      <c r="J230" s="29">
        <f t="shared" si="131"/>
        <v>21.271922995742596</v>
      </c>
      <c r="K230" s="29">
        <f t="shared" ref="K230" si="132">+K218/L226</f>
        <v>20.917905145751842</v>
      </c>
      <c r="L230" s="8"/>
      <c r="M230" s="8"/>
    </row>
    <row r="231" spans="1:13" s="2" customFormat="1" ht="22" hidden="1" customHeight="1"/>
    <row r="232" spans="1:13" s="2" customFormat="1" ht="22" hidden="1" customHeight="1">
      <c r="A232" s="2" t="s">
        <v>89</v>
      </c>
    </row>
    <row r="233" spans="1:13" s="2" customFormat="1" ht="22" hidden="1" customHeight="1"/>
    <row r="234" spans="1:13" s="2" customFormat="1" ht="22" hidden="1" customHeight="1">
      <c r="A234" s="2" t="s">
        <v>124</v>
      </c>
      <c r="B234" s="10">
        <f>+L223</f>
        <v>3810.4400000000005</v>
      </c>
    </row>
    <row r="235" spans="1:13" s="2" customFormat="1" ht="22" hidden="1" customHeight="1">
      <c r="A235" s="2" t="s">
        <v>90</v>
      </c>
      <c r="B235" s="2">
        <v>12</v>
      </c>
    </row>
    <row r="236" spans="1:13" s="2" customFormat="1" ht="22" hidden="1" customHeight="1">
      <c r="A236" s="2" t="s">
        <v>91</v>
      </c>
      <c r="B236" s="10">
        <f>+B234*B235</f>
        <v>45725.280000000006</v>
      </c>
    </row>
    <row r="237" spans="1:13" s="2" customFormat="1" ht="22" hidden="1" customHeight="1">
      <c r="A237" s="2" t="s">
        <v>10</v>
      </c>
      <c r="B237" s="2">
        <f>+L219</f>
        <v>7164.281825</v>
      </c>
    </row>
    <row r="238" spans="1:13" s="2" customFormat="1" ht="22" hidden="1" customHeight="1">
      <c r="A238" s="2" t="s">
        <v>92</v>
      </c>
      <c r="B238" s="10">
        <f>+B236-B237</f>
        <v>38560.998175000008</v>
      </c>
      <c r="F238" s="2" t="s">
        <v>125</v>
      </c>
    </row>
    <row r="239" spans="1:13" s="2" customFormat="1" ht="22" hidden="1" customHeight="1">
      <c r="A239" s="2" t="s">
        <v>93</v>
      </c>
      <c r="B239" s="2">
        <f>+L50</f>
        <v>336</v>
      </c>
    </row>
    <row r="240" spans="1:13" s="2" customFormat="1" ht="22" hidden="1" customHeight="1">
      <c r="A240" s="2" t="s">
        <v>47</v>
      </c>
      <c r="B240" s="38">
        <f>+B238/B239</f>
        <v>114.76487552083336</v>
      </c>
    </row>
    <row r="241" spans="1:2" s="2" customFormat="1" ht="22" hidden="1" customHeight="1">
      <c r="A241" s="2" t="s">
        <v>94</v>
      </c>
      <c r="B241" s="38">
        <v>121</v>
      </c>
    </row>
    <row r="242" spans="1:2" s="2" customFormat="1" ht="22" hidden="1" customHeight="1">
      <c r="A242" s="2" t="s">
        <v>95</v>
      </c>
      <c r="B242" s="8">
        <f>+B240/B241-1</f>
        <v>-5.1529954373278009E-2</v>
      </c>
    </row>
    <row r="243" spans="1:2" s="2" customFormat="1" ht="22" hidden="1" customHeight="1"/>
    <row r="244" spans="1:2" s="2" customFormat="1" ht="22" hidden="1" customHeight="1"/>
    <row r="245" spans="1:2" s="2" customFormat="1" ht="22" hidden="1" customHeight="1"/>
    <row r="246" spans="1:2" s="2" customFormat="1" ht="22" hidden="1" customHeight="1"/>
    <row r="247" spans="1:2" s="2" customFormat="1" ht="22" customHeight="1"/>
    <row r="248" spans="1:2" s="2" customFormat="1" ht="22" customHeight="1"/>
    <row r="249" spans="1:2" s="2" customFormat="1" ht="22" customHeight="1"/>
  </sheetData>
  <phoneticPr fontId="0" type="noConversion"/>
  <pageMargins left="0.75" right="0.75" top="1" bottom="1" header="0.5" footer="0.5"/>
  <pageSetup scale="40" orientation="landscape" horizontalDpi="4294967292" verticalDpi="4294967292"/>
  <headerFooter alignWithMargins="0"/>
  <ignoredErrors>
    <ignoredError sqref="C35:K35 B37:K37 D58:G58 C33:K33 B49 P22 T22 I25:K25 I42:K42 L22" formula="1"/>
    <ignoredError sqref="N12:Q12 S12:V12" formulaRange="1"/>
  </ignoredErrors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6A5CD-C4FF-5245-862E-D0C1F92F847B}">
  <dimension ref="A1"/>
  <sheetViews>
    <sheetView workbookViewId="0"/>
  </sheetViews>
  <sheetFormatPr baseColWidth="10" defaultRowHeight="13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KMB</vt:lpstr>
      <vt:lpstr>Sheet1</vt:lpstr>
      <vt:lpstr>KMB!Print_Area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Fidelity Investments</dc:creator>
  <cp:lastModifiedBy>Kong, Nam</cp:lastModifiedBy>
  <cp:lastPrinted>2007-10-22T14:51:34Z</cp:lastPrinted>
  <dcterms:created xsi:type="dcterms:W3CDTF">2005-06-23T13:16:59Z</dcterms:created>
  <dcterms:modified xsi:type="dcterms:W3CDTF">2023-11-20T17:52:31Z</dcterms:modified>
</cp:coreProperties>
</file>