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/Desktop/Stock Valuation/Retail/"/>
    </mc:Choice>
  </mc:AlternateContent>
  <xr:revisionPtr revIDLastSave="0" documentId="13_ncr:1_{BEFE79EB-0A7E-4F43-9DDC-2F2D513BE5D3}" xr6:coauthVersionLast="47" xr6:coauthVersionMax="47" xr10:uidLastSave="{00000000-0000-0000-0000-000000000000}"/>
  <bookViews>
    <workbookView xWindow="1160" yWindow="980" windowWidth="27640" windowHeight="15900" activeTab="1" xr2:uid="{7482EEAE-708A-FB47-8E7E-47D336183883}"/>
  </bookViews>
  <sheets>
    <sheet name="Overview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2" i="2"/>
  <c r="N2" i="2"/>
  <c r="B23" i="2"/>
  <c r="B9" i="2"/>
  <c r="O5" i="2" s="1"/>
  <c r="AN5" i="2" s="1"/>
  <c r="AF5" i="2"/>
  <c r="AG5" i="2" s="1"/>
  <c r="AB5" i="2"/>
  <c r="AA5" i="2"/>
  <c r="Z5" i="2"/>
  <c r="W5" i="2"/>
  <c r="U5" i="2"/>
  <c r="N5" i="2"/>
  <c r="X5" i="2" s="1"/>
  <c r="K5" i="2"/>
  <c r="F5" i="2"/>
  <c r="AF4" i="2"/>
  <c r="AG4" i="2" s="1"/>
  <c r="AB4" i="2"/>
  <c r="AA4" i="2"/>
  <c r="Z4" i="2"/>
  <c r="W4" i="2"/>
  <c r="U4" i="2"/>
  <c r="AD4" i="2" s="1"/>
  <c r="I4" i="2"/>
  <c r="K4" i="2" s="1"/>
  <c r="F4" i="2"/>
  <c r="AK3" i="2"/>
  <c r="AJ3" i="2"/>
  <c r="AI3" i="2"/>
  <c r="AF3" i="2"/>
  <c r="AE3" i="2"/>
  <c r="AG3" i="2" s="1"/>
  <c r="V3" i="2"/>
  <c r="T3" i="2"/>
  <c r="S3" i="2"/>
  <c r="P3" i="2"/>
  <c r="I3" i="2"/>
  <c r="H3" i="2"/>
  <c r="F3" i="2"/>
  <c r="AF2" i="2"/>
  <c r="AG2" i="2" s="1"/>
  <c r="AB2" i="2"/>
  <c r="AA2" i="2"/>
  <c r="Z2" i="2"/>
  <c r="W2" i="2"/>
  <c r="U2" i="2"/>
  <c r="I2" i="2"/>
  <c r="H2" i="2"/>
  <c r="F2" i="2"/>
  <c r="B27" i="1"/>
  <c r="O3" i="2" l="1"/>
  <c r="AL3" i="2" s="1"/>
  <c r="O4" i="2"/>
  <c r="AL4" i="2" s="1"/>
  <c r="AD2" i="2"/>
  <c r="AC3" i="2"/>
  <c r="AO3" i="2" s="1"/>
  <c r="AA3" i="2"/>
  <c r="AN3" i="2" s="1"/>
  <c r="O2" i="2"/>
  <c r="AL2" i="2" s="1"/>
  <c r="N3" i="2"/>
  <c r="X3" i="2" s="1"/>
  <c r="AC5" i="2"/>
  <c r="AO5" i="2" s="1"/>
  <c r="AH5" i="2"/>
  <c r="Z3" i="2"/>
  <c r="AM3" i="2" s="1"/>
  <c r="AN4" i="2"/>
  <c r="AP2" i="2"/>
  <c r="AD5" i="2"/>
  <c r="AP5" i="2" s="1"/>
  <c r="AM5" i="2"/>
  <c r="AS5" i="2"/>
  <c r="K3" i="2"/>
  <c r="AS4" i="2"/>
  <c r="K2" i="2"/>
  <c r="AB3" i="2"/>
  <c r="N4" i="2"/>
  <c r="AH4" i="2" s="1"/>
  <c r="AM4" i="2"/>
  <c r="Y5" i="2"/>
  <c r="AQ5" i="2" s="1"/>
  <c r="AL5" i="2"/>
  <c r="Y2" i="2"/>
  <c r="D2" i="2"/>
  <c r="X2" i="2"/>
  <c r="AH2" i="2"/>
  <c r="AC2" i="2"/>
  <c r="AC4" i="2"/>
  <c r="AO4" i="2" s="1"/>
  <c r="B11" i="2"/>
  <c r="Q3" i="2" s="1"/>
  <c r="R3" i="2" s="1"/>
  <c r="W3" i="2"/>
  <c r="AS3" i="2" s="1"/>
  <c r="D5" i="2"/>
  <c r="AR5" i="2" s="1"/>
  <c r="B28" i="2"/>
  <c r="B12" i="2"/>
  <c r="U3" i="2"/>
  <c r="AD3" i="2" s="1"/>
  <c r="AP3" i="2" s="1"/>
  <c r="AO2" i="2" l="1"/>
  <c r="AQ2" i="2"/>
  <c r="AP4" i="2"/>
  <c r="B10" i="2"/>
  <c r="X4" i="2"/>
  <c r="AR2" i="2"/>
  <c r="Y3" i="2"/>
  <c r="AQ3" i="2" s="1"/>
  <c r="B15" i="2"/>
  <c r="AN2" i="2"/>
  <c r="B21" i="2" s="1"/>
  <c r="AH3" i="2"/>
  <c r="AM2" i="2"/>
  <c r="AS2" i="2"/>
  <c r="B24" i="2"/>
  <c r="B29" i="2"/>
  <c r="B20" i="2"/>
  <c r="Y4" i="2"/>
  <c r="AQ4" i="2" s="1"/>
  <c r="D4" i="2"/>
  <c r="AR4" i="2" s="1"/>
  <c r="B19" i="2"/>
  <c r="B27" i="2"/>
  <c r="Q5" i="2"/>
  <c r="R5" i="2" s="1"/>
  <c r="Q4" i="2"/>
  <c r="R4" i="2" s="1"/>
  <c r="Q2" i="2"/>
  <c r="R2" i="2" s="1"/>
  <c r="D3" i="2"/>
  <c r="AR3" i="2" s="1"/>
  <c r="B18" i="2"/>
  <c r="B26" i="2"/>
  <c r="B16" i="2" l="1"/>
  <c r="B25" i="2"/>
  <c r="B17" i="2"/>
  <c r="B24" i="1" l="1"/>
  <c r="AH12" i="1"/>
  <c r="AH4" i="1"/>
  <c r="AH2" i="1"/>
  <c r="V3" i="1"/>
  <c r="V5" i="1"/>
  <c r="V6" i="1"/>
  <c r="V7" i="1"/>
  <c r="V8" i="1"/>
  <c r="V9" i="1"/>
  <c r="V10" i="1"/>
  <c r="V11" i="1"/>
  <c r="AR11" i="1" s="1"/>
  <c r="B30" i="1"/>
  <c r="B16" i="1"/>
  <c r="N11" i="1" s="1"/>
  <c r="AK11" i="1" s="1"/>
  <c r="N9" i="1" l="1"/>
  <c r="AK9" i="1" s="1"/>
  <c r="N8" i="1"/>
  <c r="AK8" i="1" s="1"/>
  <c r="N7" i="1"/>
  <c r="AK7" i="1" s="1"/>
  <c r="N12" i="1"/>
  <c r="AK12" i="1" s="1"/>
  <c r="N6" i="1"/>
  <c r="AK6" i="1" s="1"/>
  <c r="N5" i="1"/>
  <c r="AK5" i="1" s="1"/>
  <c r="N10" i="1"/>
  <c r="AK10" i="1" s="1"/>
  <c r="N4" i="1"/>
  <c r="AK4" i="1" s="1"/>
  <c r="N3" i="1"/>
  <c r="AK3" i="1" s="1"/>
  <c r="N2" i="1"/>
  <c r="AK2" i="1" s="1"/>
  <c r="AR10" i="1" l="1"/>
  <c r="AR5" i="1"/>
  <c r="AR7" i="1"/>
  <c r="AR9" i="1"/>
  <c r="AR3" i="1"/>
  <c r="AR6" i="1"/>
  <c r="AR8" i="1"/>
  <c r="B22" i="1"/>
  <c r="O12" i="1" l="1"/>
  <c r="R12" i="1"/>
  <c r="S12" i="1"/>
  <c r="U12" i="1"/>
  <c r="V12" i="1" s="1"/>
  <c r="AR12" i="1" s="1"/>
  <c r="AI12" i="1"/>
  <c r="AJ12" i="1"/>
  <c r="AE12" i="1"/>
  <c r="AD12" i="1"/>
  <c r="H12" i="1"/>
  <c r="I12" i="1"/>
  <c r="AE6" i="1"/>
  <c r="AF6" i="1" s="1"/>
  <c r="AB6" i="1" s="1"/>
  <c r="AN6" i="1" s="1"/>
  <c r="AJ2" i="1"/>
  <c r="AI2" i="1"/>
  <c r="AE2" i="1"/>
  <c r="AD2" i="1"/>
  <c r="AF2" i="1" s="1"/>
  <c r="AB2" i="1" s="1"/>
  <c r="U2" i="1"/>
  <c r="AJ4" i="1"/>
  <c r="AI4" i="1"/>
  <c r="AE4" i="1"/>
  <c r="AD4" i="1"/>
  <c r="U4" i="1"/>
  <c r="V4" i="1" s="1"/>
  <c r="AR4" i="1" s="1"/>
  <c r="S4" i="1"/>
  <c r="R4" i="1"/>
  <c r="O4" i="1"/>
  <c r="I2" i="1"/>
  <c r="H2" i="1"/>
  <c r="H6" i="1"/>
  <c r="I6" i="1"/>
  <c r="AE10" i="1"/>
  <c r="AF10" i="1" s="1"/>
  <c r="AB10" i="1" s="1"/>
  <c r="AN10" i="1" s="1"/>
  <c r="I10" i="1"/>
  <c r="J10" i="1" s="1"/>
  <c r="AE9" i="1"/>
  <c r="AF9" i="1" s="1"/>
  <c r="AB9" i="1" s="1"/>
  <c r="AN9" i="1" s="1"/>
  <c r="H9" i="1"/>
  <c r="I9" i="1"/>
  <c r="AE7" i="1"/>
  <c r="AF7" i="1" s="1"/>
  <c r="AB7" i="1" s="1"/>
  <c r="AN7" i="1" s="1"/>
  <c r="I7" i="1"/>
  <c r="J7" i="1" s="1"/>
  <c r="AE11" i="1"/>
  <c r="AF11" i="1" s="1"/>
  <c r="AB11" i="1" s="1"/>
  <c r="AN11" i="1" s="1"/>
  <c r="AE5" i="1"/>
  <c r="I5" i="1"/>
  <c r="M5" i="1" s="1"/>
  <c r="H4" i="1"/>
  <c r="I4" i="1"/>
  <c r="T3" i="1"/>
  <c r="T5" i="1"/>
  <c r="T11" i="1"/>
  <c r="T7" i="1"/>
  <c r="T9" i="1"/>
  <c r="T10" i="1"/>
  <c r="T6" i="1"/>
  <c r="T8" i="1"/>
  <c r="AA5" i="1"/>
  <c r="AA11" i="1"/>
  <c r="AA7" i="1"/>
  <c r="AA9" i="1"/>
  <c r="AA10" i="1"/>
  <c r="AA6" i="1"/>
  <c r="AA8" i="1"/>
  <c r="AA3" i="1"/>
  <c r="AE3" i="1"/>
  <c r="AF3" i="1" s="1"/>
  <c r="AB3" i="1" s="1"/>
  <c r="AN3" i="1" s="1"/>
  <c r="AE8" i="1"/>
  <c r="AF5" i="1"/>
  <c r="AB5" i="1" s="1"/>
  <c r="AN5" i="1" s="1"/>
  <c r="Z3" i="1"/>
  <c r="AM3" i="1" s="1"/>
  <c r="Z5" i="1"/>
  <c r="AM5" i="1" s="1"/>
  <c r="Z11" i="1"/>
  <c r="AM11" i="1" s="1"/>
  <c r="Z7" i="1"/>
  <c r="AM7" i="1" s="1"/>
  <c r="Z9" i="1"/>
  <c r="AM9" i="1" s="1"/>
  <c r="Z10" i="1"/>
  <c r="AM10" i="1" s="1"/>
  <c r="Z2" i="1"/>
  <c r="Z6" i="1"/>
  <c r="AM6" i="1" s="1"/>
  <c r="Y3" i="1"/>
  <c r="AL3" i="1" s="1"/>
  <c r="Y5" i="1"/>
  <c r="AL5" i="1" s="1"/>
  <c r="Y11" i="1"/>
  <c r="AL11" i="1" s="1"/>
  <c r="Y7" i="1"/>
  <c r="AL7" i="1" s="1"/>
  <c r="Y9" i="1"/>
  <c r="AL9" i="1" s="1"/>
  <c r="Y10" i="1"/>
  <c r="AL10" i="1" s="1"/>
  <c r="Y2" i="1"/>
  <c r="Y6" i="1"/>
  <c r="AL6" i="1" s="1"/>
  <c r="H3" i="1"/>
  <c r="I3" i="1"/>
  <c r="AF8" i="1"/>
  <c r="AB8" i="1" s="1"/>
  <c r="AN8" i="1" s="1"/>
  <c r="Z8" i="1"/>
  <c r="AM8" i="1" s="1"/>
  <c r="Y8" i="1"/>
  <c r="AL8" i="1" s="1"/>
  <c r="M11" i="1"/>
  <c r="M7" i="1"/>
  <c r="I8" i="1"/>
  <c r="J8" i="1" s="1"/>
  <c r="J11" i="1"/>
  <c r="F4" i="1"/>
  <c r="F5" i="1"/>
  <c r="F12" i="1"/>
  <c r="F9" i="1"/>
  <c r="F10" i="1"/>
  <c r="F2" i="1"/>
  <c r="F6" i="1"/>
  <c r="F8" i="1"/>
  <c r="F3" i="1"/>
  <c r="F11" i="1"/>
  <c r="F7" i="1"/>
  <c r="J2" i="1" l="1"/>
  <c r="AA2" i="1"/>
  <c r="V2" i="1"/>
  <c r="AR2" i="1" s="1"/>
  <c r="AN2" i="1"/>
  <c r="T12" i="1"/>
  <c r="X7" i="1"/>
  <c r="AP7" i="1" s="1"/>
  <c r="W7" i="1"/>
  <c r="AM2" i="1"/>
  <c r="B28" i="1" s="1"/>
  <c r="X5" i="1"/>
  <c r="AP5" i="1" s="1"/>
  <c r="W5" i="1"/>
  <c r="AL2" i="1"/>
  <c r="X11" i="1"/>
  <c r="AP11" i="1" s="1"/>
  <c r="W11" i="1"/>
  <c r="J3" i="1"/>
  <c r="AA12" i="1"/>
  <c r="J6" i="1"/>
  <c r="B19" i="1"/>
  <c r="AF12" i="1"/>
  <c r="AB12" i="1" s="1"/>
  <c r="AN12" i="1" s="1"/>
  <c r="D7" i="1"/>
  <c r="AQ7" i="1" s="1"/>
  <c r="D5" i="1"/>
  <c r="AQ5" i="1" s="1"/>
  <c r="D11" i="1"/>
  <c r="AQ11" i="1" s="1"/>
  <c r="Y12" i="1"/>
  <c r="AL12" i="1" s="1"/>
  <c r="M6" i="1"/>
  <c r="T2" i="1"/>
  <c r="AC2" i="1" s="1"/>
  <c r="B18" i="1"/>
  <c r="P4" i="1" s="1"/>
  <c r="Q4" i="1" s="1"/>
  <c r="T4" i="1"/>
  <c r="M2" i="1"/>
  <c r="AG2" i="1" s="1"/>
  <c r="AC3" i="1"/>
  <c r="AO3" i="1" s="1"/>
  <c r="Z12" i="1"/>
  <c r="AM12" i="1" s="1"/>
  <c r="J12" i="1"/>
  <c r="M12" i="1"/>
  <c r="AF4" i="1"/>
  <c r="AB4" i="1" s="1"/>
  <c r="Z4" i="1"/>
  <c r="AM4" i="1" s="1"/>
  <c r="AC8" i="1"/>
  <c r="AO8" i="1" s="1"/>
  <c r="M9" i="1"/>
  <c r="AC6" i="1"/>
  <c r="AO6" i="1" s="1"/>
  <c r="J4" i="1"/>
  <c r="M4" i="1"/>
  <c r="AC11" i="1"/>
  <c r="AO11" i="1" s="1"/>
  <c r="M3" i="1"/>
  <c r="J5" i="1"/>
  <c r="M10" i="1"/>
  <c r="M8" i="1"/>
  <c r="AA4" i="1"/>
  <c r="Y4" i="1"/>
  <c r="AL4" i="1" s="1"/>
  <c r="AC10" i="1"/>
  <c r="AO10" i="1" s="1"/>
  <c r="AC9" i="1"/>
  <c r="AO9" i="1" s="1"/>
  <c r="J9" i="1"/>
  <c r="AC7" i="1"/>
  <c r="AO7" i="1" s="1"/>
  <c r="AG7" i="1"/>
  <c r="AG11" i="1"/>
  <c r="AC5" i="1"/>
  <c r="AO5" i="1" s="1"/>
  <c r="AG5" i="1"/>
  <c r="AN4" i="1" l="1"/>
  <c r="B25" i="1" s="1"/>
  <c r="B33" i="1"/>
  <c r="X3" i="1"/>
  <c r="AP3" i="1" s="1"/>
  <c r="W3" i="1"/>
  <c r="AO2" i="1"/>
  <c r="W10" i="1"/>
  <c r="X10" i="1"/>
  <c r="AP10" i="1" s="1"/>
  <c r="W8" i="1"/>
  <c r="X8" i="1"/>
  <c r="AP8" i="1" s="1"/>
  <c r="D9" i="1"/>
  <c r="AQ9" i="1" s="1"/>
  <c r="X9" i="1"/>
  <c r="AP9" i="1" s="1"/>
  <c r="W9" i="1"/>
  <c r="W12" i="1"/>
  <c r="X12" i="1"/>
  <c r="AP12" i="1" s="1"/>
  <c r="X2" i="1"/>
  <c r="W2" i="1"/>
  <c r="AG6" i="1"/>
  <c r="W6" i="1"/>
  <c r="X6" i="1"/>
  <c r="AP6" i="1" s="1"/>
  <c r="W4" i="1"/>
  <c r="X4" i="1"/>
  <c r="AP4" i="1" s="1"/>
  <c r="B35" i="1"/>
  <c r="AC12" i="1"/>
  <c r="AO12" i="1" s="1"/>
  <c r="AG9" i="1"/>
  <c r="B36" i="1"/>
  <c r="D3" i="1"/>
  <c r="AQ3" i="1" s="1"/>
  <c r="D8" i="1"/>
  <c r="AQ8" i="1" s="1"/>
  <c r="AC4" i="1"/>
  <c r="AO4" i="1" s="1"/>
  <c r="D6" i="1"/>
  <c r="AQ6" i="1" s="1"/>
  <c r="D10" i="1"/>
  <c r="AQ10" i="1" s="1"/>
  <c r="D4" i="1"/>
  <c r="AQ4" i="1" s="1"/>
  <c r="D12" i="1"/>
  <c r="AQ12" i="1" s="1"/>
  <c r="D2" i="1"/>
  <c r="AQ2" i="1" s="1"/>
  <c r="P5" i="1"/>
  <c r="Q5" i="1" s="1"/>
  <c r="P10" i="1"/>
  <c r="Q10" i="1" s="1"/>
  <c r="P11" i="1"/>
  <c r="Q11" i="1" s="1"/>
  <c r="P2" i="1"/>
  <c r="Q2" i="1" s="1"/>
  <c r="P3" i="1"/>
  <c r="Q3" i="1" s="1"/>
  <c r="P9" i="1"/>
  <c r="Q9" i="1" s="1"/>
  <c r="P7" i="1"/>
  <c r="Q7" i="1" s="1"/>
  <c r="P6" i="1"/>
  <c r="Q6" i="1" s="1"/>
  <c r="P8" i="1"/>
  <c r="Q8" i="1" s="1"/>
  <c r="P12" i="1"/>
  <c r="Q12" i="1" s="1"/>
  <c r="AG12" i="1"/>
  <c r="B17" i="1"/>
  <c r="AG4" i="1"/>
  <c r="AG8" i="1"/>
  <c r="AG3" i="1"/>
  <c r="AG10" i="1"/>
  <c r="B26" i="1" l="1"/>
  <c r="B31" i="1"/>
  <c r="B32" i="1"/>
  <c r="AP2" i="1"/>
  <c r="B23" i="1" s="1"/>
  <c r="B34" i="1"/>
</calcChain>
</file>

<file path=xl/sharedStrings.xml><?xml version="1.0" encoding="utf-8"?>
<sst xmlns="http://schemas.openxmlformats.org/spreadsheetml/2006/main" count="182" uniqueCount="94">
  <si>
    <t xml:space="preserve">Company </t>
  </si>
  <si>
    <t>Ticker</t>
  </si>
  <si>
    <t>Market Cap ($ Billions)</t>
  </si>
  <si>
    <t>EV/Adj. OI</t>
  </si>
  <si>
    <t>P/E (TTM)</t>
  </si>
  <si>
    <t xml:space="preserve">Share Price </t>
  </si>
  <si>
    <t>Shares Outstanding (Billions)</t>
  </si>
  <si>
    <t>Debt</t>
  </si>
  <si>
    <t xml:space="preserve">Cash </t>
  </si>
  <si>
    <t>Cash/Debt Ratio</t>
  </si>
  <si>
    <t>Enterprise Value (USD)</t>
  </si>
  <si>
    <t>Size</t>
  </si>
  <si>
    <t>Revenue</t>
  </si>
  <si>
    <t>Revenue Share</t>
  </si>
  <si>
    <t>Revenue Share/Size</t>
  </si>
  <si>
    <t>Gross Profit</t>
  </si>
  <si>
    <t>Operating Income</t>
  </si>
  <si>
    <t>Adj. OI</t>
  </si>
  <si>
    <t>OFCF</t>
  </si>
  <si>
    <t>EV/OFCF</t>
  </si>
  <si>
    <t>EV/Revenue</t>
  </si>
  <si>
    <t>EV/OI</t>
  </si>
  <si>
    <t>Gross Margin</t>
  </si>
  <si>
    <t>Operating Margin</t>
  </si>
  <si>
    <t>OFCF/Revenue</t>
  </si>
  <si>
    <t>OI/IC</t>
  </si>
  <si>
    <t>Adj. OI/IC</t>
  </si>
  <si>
    <t>Non current Assets</t>
  </si>
  <si>
    <t>Net Working Capital ($ Billions)</t>
  </si>
  <si>
    <t>Invested Capital</t>
  </si>
  <si>
    <t>IC/EV</t>
  </si>
  <si>
    <t>D&amp;A ($ Billions)</t>
  </si>
  <si>
    <t>Capex ($ Billions)</t>
  </si>
  <si>
    <t>Change in Working Capital ($ Billions)</t>
  </si>
  <si>
    <t>P/E (Adj. Size)</t>
  </si>
  <si>
    <t>Gross Margin (Adj. Size)</t>
  </si>
  <si>
    <t>Operating Margin (Adj. Size)</t>
  </si>
  <si>
    <t>Adj. OI/IC (Adj. Size)</t>
  </si>
  <si>
    <t>EV/OI (Adj. Size)</t>
  </si>
  <si>
    <t>EV/OFCF (Adj. Size)</t>
  </si>
  <si>
    <t>Target Multiple</t>
  </si>
  <si>
    <t xml:space="preserve"> Est. EV</t>
  </si>
  <si>
    <t>Est. Market Cap</t>
  </si>
  <si>
    <t>Est. Share Price</t>
  </si>
  <si>
    <t>Potential Return</t>
  </si>
  <si>
    <t xml:space="preserve">Nike </t>
  </si>
  <si>
    <t>Adidas</t>
  </si>
  <si>
    <t>Lululemon Athletica</t>
  </si>
  <si>
    <t xml:space="preserve">Under Armour </t>
  </si>
  <si>
    <t>Gap</t>
  </si>
  <si>
    <t>American Eagle</t>
  </si>
  <si>
    <t>LVMH Moet Hennessy Louis Vuitton</t>
  </si>
  <si>
    <t>Ralph Lauren</t>
  </si>
  <si>
    <t>Currency</t>
  </si>
  <si>
    <t>FX Rate</t>
  </si>
  <si>
    <t>Crocs</t>
  </si>
  <si>
    <t>NKE</t>
  </si>
  <si>
    <t>ADDYY</t>
  </si>
  <si>
    <t>UAA</t>
  </si>
  <si>
    <t>LULU</t>
  </si>
  <si>
    <t>LEVI</t>
  </si>
  <si>
    <t>GPS</t>
  </si>
  <si>
    <t>AEO</t>
  </si>
  <si>
    <t>BURBY</t>
  </si>
  <si>
    <t>CROX</t>
  </si>
  <si>
    <t>Burberry Group</t>
  </si>
  <si>
    <t>Levi Strauss &amp; Co.</t>
  </si>
  <si>
    <t>EUR</t>
  </si>
  <si>
    <t>USD</t>
  </si>
  <si>
    <t>LVMUY</t>
  </si>
  <si>
    <t>RL</t>
  </si>
  <si>
    <t>GBP</t>
  </si>
  <si>
    <t xml:space="preserve">S&amp;P P/E </t>
  </si>
  <si>
    <t>Weighted P/E</t>
  </si>
  <si>
    <t>Weighted EV/OI</t>
  </si>
  <si>
    <t>Weighted OI/IC</t>
  </si>
  <si>
    <t>Weighted Adj. OI/IC</t>
  </si>
  <si>
    <t>Weighted Gross Margin</t>
  </si>
  <si>
    <t>Weighted Operating Margin</t>
  </si>
  <si>
    <t>Average P/E (TTM)</t>
  </si>
  <si>
    <t>Avg EV/Revenue</t>
  </si>
  <si>
    <t>Avg EV/OI</t>
  </si>
  <si>
    <t>Avg OI/IC</t>
  </si>
  <si>
    <t>Avg Adj. OI/IC</t>
  </si>
  <si>
    <t>Avg Gross Margin</t>
  </si>
  <si>
    <t>Avg Operating Margin</t>
  </si>
  <si>
    <t>Total Market Cap ($ Billions)</t>
  </si>
  <si>
    <t>Total Enterprise Value ($ Billions)</t>
  </si>
  <si>
    <t>Total Revenue  ($ Billions)</t>
  </si>
  <si>
    <t>Total Operating Income  ($ Billions)</t>
  </si>
  <si>
    <t>OI/IC (Adj. Size)</t>
  </si>
  <si>
    <t>EV/Adj. OI (Adj. Size)</t>
  </si>
  <si>
    <t>Weighted EV/Adj. OI</t>
  </si>
  <si>
    <t>Free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</si>
</sst>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_([$$-409]* #,##0.00_);_([$$-409]* \(#,##0.00\);_([$$-409]* &quot;-&quot;??_);_(@_)"/>
    <numFmt numFmtId="172" formatCode="_([$$-409]* #,##0.000_);_([$$-409]* \(#,##0.000\);_([$$-409]* &quot;-&quot;??_);_(@_)"/>
    <numFmt numFmtId="173" formatCode="0.0%"/>
    <numFmt numFmtId="174" formatCode="_([$$-409]* #,##0_);_([$$-409]* \(#,##0\);_([$$-409]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/>
    <xf numFmtId="168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1" applyFont="1"/>
    <xf numFmtId="172" fontId="0" fillId="0" borderId="0" xfId="0" applyNumberFormat="1"/>
    <xf numFmtId="0" fontId="2" fillId="2" borderId="0" xfId="0" applyFont="1" applyFill="1" applyAlignment="1">
      <alignment wrapText="1"/>
    </xf>
    <xf numFmtId="0" fontId="0" fillId="2" borderId="0" xfId="0" applyFill="1"/>
    <xf numFmtId="2" fontId="0" fillId="2" borderId="0" xfId="0" applyNumberFormat="1" applyFill="1"/>
    <xf numFmtId="173" fontId="0" fillId="2" borderId="0" xfId="0" applyNumberFormat="1" applyFill="1"/>
    <xf numFmtId="173" fontId="0" fillId="2" borderId="0" xfId="1" applyNumberFormat="1" applyFont="1" applyFill="1"/>
    <xf numFmtId="173" fontId="0" fillId="0" borderId="0" xfId="1" applyNumberFormat="1" applyFont="1" applyFill="1"/>
    <xf numFmtId="173" fontId="0" fillId="0" borderId="0" xfId="1" applyNumberFormat="1" applyFont="1"/>
    <xf numFmtId="174" fontId="0" fillId="0" borderId="0" xfId="0" applyNumberFormat="1"/>
    <xf numFmtId="9" fontId="0" fillId="3" borderId="0" xfId="1" applyFont="1" applyFill="1"/>
    <xf numFmtId="9" fontId="0" fillId="4" borderId="0" xfId="1" applyFont="1" applyFill="1"/>
    <xf numFmtId="168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C924-9C04-B045-B16E-781264CB879F}">
  <dimension ref="A1:AW36"/>
  <sheetViews>
    <sheetView workbookViewId="0">
      <pane xSplit="5" ySplit="1" topLeftCell="AM2" activePane="bottomRight" state="frozen"/>
      <selection pane="topRight" activeCell="F1" sqref="F1"/>
      <selection pane="bottomLeft" activeCell="A2" sqref="A2"/>
      <selection pane="bottomRight" activeCell="A36" sqref="A1:AW36"/>
    </sheetView>
  </sheetViews>
  <sheetFormatPr baseColWidth="10" defaultRowHeight="16" x14ac:dyDescent="0.2"/>
  <cols>
    <col min="1" max="1" width="29.5" customWidth="1"/>
    <col min="6" max="6" width="8.83203125" customWidth="1"/>
    <col min="7" max="7" width="11.6640625" customWidth="1"/>
    <col min="17" max="17" width="17.1640625" customWidth="1"/>
    <col min="38" max="38" width="20.33203125" bestFit="1" customWidth="1"/>
    <col min="40" max="40" width="14.33203125" customWidth="1"/>
  </cols>
  <sheetData>
    <row r="1" spans="1:49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90</v>
      </c>
      <c r="AO1" s="1" t="s">
        <v>37</v>
      </c>
      <c r="AP1" s="1" t="s">
        <v>38</v>
      </c>
      <c r="AQ1" s="1" t="s">
        <v>91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x14ac:dyDescent="0.2">
      <c r="A2" s="2" t="s">
        <v>51</v>
      </c>
      <c r="B2" t="s">
        <v>69</v>
      </c>
      <c r="C2">
        <v>348.41</v>
      </c>
      <c r="D2" s="10">
        <f>M2/T2</f>
        <v>24.945674805981447</v>
      </c>
      <c r="E2">
        <v>21.04</v>
      </c>
      <c r="F2" s="3">
        <f>C2/G2</f>
        <v>139.364</v>
      </c>
      <c r="G2" s="5">
        <v>2.5</v>
      </c>
      <c r="H2" s="3">
        <f>(11.77+11.54)/L2</f>
        <v>21.190909090909088</v>
      </c>
      <c r="I2" s="3">
        <f>(7.16+3.93+0.107)/L2</f>
        <v>10.179090909090908</v>
      </c>
      <c r="J2" s="5">
        <f>I2/H2</f>
        <v>0.48035178035178039</v>
      </c>
      <c r="K2" t="s">
        <v>67</v>
      </c>
      <c r="L2">
        <v>1.1000000000000001</v>
      </c>
      <c r="M2" s="7">
        <f>H2-I2+C2</f>
        <v>359.4218181818182</v>
      </c>
      <c r="N2" s="16">
        <f>C2/B$16</f>
        <v>0.59726745980045948</v>
      </c>
      <c r="O2" s="18">
        <v>86.15</v>
      </c>
      <c r="P2" s="16">
        <f>O2/B$18</f>
        <v>0.41870359655620532</v>
      </c>
      <c r="Q2" s="5">
        <f>P2/N2</f>
        <v>0.70103199108836367</v>
      </c>
      <c r="R2" s="18">
        <v>59.28</v>
      </c>
      <c r="S2" s="18">
        <v>22.78</v>
      </c>
      <c r="T2" s="18">
        <f>S2+SUM(AH2:AJ2)</f>
        <v>14.40818181818182</v>
      </c>
      <c r="U2" s="3">
        <f>18.4/L2</f>
        <v>16.727272727272723</v>
      </c>
      <c r="V2" s="5">
        <f>U2</f>
        <v>16.727272727272723</v>
      </c>
      <c r="W2" s="5">
        <f>M2/O2</f>
        <v>4.1720466416926083</v>
      </c>
      <c r="X2" s="5">
        <f>M2/S2</f>
        <v>15.777955144065768</v>
      </c>
      <c r="Y2" s="17">
        <f>R2/O2</f>
        <v>0.68810214741729536</v>
      </c>
      <c r="Z2" s="17">
        <f>S2/O2</f>
        <v>0.26442251886244922</v>
      </c>
      <c r="AA2" s="6">
        <f>U2/O2</f>
        <v>0.1941645122144251</v>
      </c>
      <c r="AB2" s="6">
        <f>S2/AF2</f>
        <v>0.18789742051589686</v>
      </c>
      <c r="AC2" s="6">
        <f>T2/AF2</f>
        <v>0.11884373125374928</v>
      </c>
      <c r="AD2" s="5">
        <f>99.53/L2</f>
        <v>90.48181818181817</v>
      </c>
      <c r="AE2" s="5">
        <f>(44.92-7.16-3.93)/L2</f>
        <v>30.754545454545458</v>
      </c>
      <c r="AF2" s="5">
        <f>SUM(AD2:AE2)</f>
        <v>121.23636363636362</v>
      </c>
      <c r="AG2" s="6">
        <f>AF2/M2</f>
        <v>0.33730941613298121</v>
      </c>
      <c r="AH2" s="5">
        <f>3.031/L2</f>
        <v>2.7554545454545454</v>
      </c>
      <c r="AI2" s="5">
        <f>(-6.67-1)/L2</f>
        <v>-6.9727272727272718</v>
      </c>
      <c r="AJ2" s="5">
        <f>-4.57/L2</f>
        <v>-4.1545454545454543</v>
      </c>
      <c r="AK2" s="4">
        <f>E2*N2</f>
        <v>12.566507354201667</v>
      </c>
      <c r="AL2" s="6">
        <f>Y2*$N2</f>
        <v>0.41098102167116929</v>
      </c>
      <c r="AM2" s="6">
        <f>Z2*$N2</f>
        <v>0.15793096615501412</v>
      </c>
      <c r="AN2" s="6">
        <f>AB2*$N2</f>
        <v>0.11222501505458846</v>
      </c>
      <c r="AO2" s="6">
        <f>AC2*$N2</f>
        <v>7.0981493479135307E-2</v>
      </c>
      <c r="AP2" s="5">
        <f>X2*N2</f>
        <v>9.4236591897417537</v>
      </c>
      <c r="AQ2" s="5">
        <f>D2*N2</f>
        <v>14.899239824376858</v>
      </c>
      <c r="AR2" s="5">
        <f>V2*N2</f>
        <v>9.9906556912076834</v>
      </c>
    </row>
    <row r="3" spans="1:49" x14ac:dyDescent="0.2">
      <c r="A3" t="s">
        <v>45</v>
      </c>
      <c r="B3" t="s">
        <v>56</v>
      </c>
      <c r="C3">
        <v>117.83</v>
      </c>
      <c r="D3" s="10">
        <f>M3/T3</f>
        <v>16.327571550014166</v>
      </c>
      <c r="E3">
        <v>21.07</v>
      </c>
      <c r="F3" s="3">
        <f>C3/G3</f>
        <v>78.553333333333327</v>
      </c>
      <c r="G3" s="5">
        <v>1.5</v>
      </c>
      <c r="H3" s="3">
        <f>1.01+7.9</f>
        <v>8.91</v>
      </c>
      <c r="I3" s="3">
        <f>11.5</f>
        <v>11.5</v>
      </c>
      <c r="J3" s="5">
        <f>I3/H3</f>
        <v>1.2906846240179572</v>
      </c>
      <c r="K3" t="s">
        <v>68</v>
      </c>
      <c r="L3">
        <v>1</v>
      </c>
      <c r="M3" s="7">
        <f>H3-I3+C3</f>
        <v>115.24</v>
      </c>
      <c r="N3" s="16">
        <f>C3/B$16</f>
        <v>0.20199197723454587</v>
      </c>
      <c r="O3" s="18">
        <v>51.36</v>
      </c>
      <c r="P3" s="16">
        <f>O3/B$18</f>
        <v>0.24961830202120375</v>
      </c>
      <c r="Q3" s="5">
        <f>P3/N3</f>
        <v>1.2357832496057797</v>
      </c>
      <c r="R3" s="18">
        <v>22.89</v>
      </c>
      <c r="S3" s="18">
        <v>6.31</v>
      </c>
      <c r="T3" s="18">
        <f>S3+SUM(AH3:AJ3)</f>
        <v>7.0579999999999998</v>
      </c>
      <c r="U3" s="3">
        <v>7.43</v>
      </c>
      <c r="V3" s="5">
        <f t="shared" ref="V3:V12" si="0">U3</f>
        <v>7.43</v>
      </c>
      <c r="W3" s="5">
        <f t="shared" ref="W3:W12" si="1">M3/O3</f>
        <v>2.2437694704049842</v>
      </c>
      <c r="X3" s="5">
        <f t="shared" ref="X3:X12" si="2">M3/S3</f>
        <v>18.263074484944532</v>
      </c>
      <c r="Y3" s="17">
        <f>R3/O3</f>
        <v>0.44567757009345799</v>
      </c>
      <c r="Z3" s="17">
        <f>S3/O3</f>
        <v>0.12285825545171339</v>
      </c>
      <c r="AA3" s="6">
        <f>U3/O3</f>
        <v>0.14466510903426791</v>
      </c>
      <c r="AB3" s="6">
        <f t="shared" ref="AB3:AB12" si="3">S3/AF3</f>
        <v>0.39585947302383939</v>
      </c>
      <c r="AC3" s="6">
        <f>T3/AF3</f>
        <v>0.44278544542032622</v>
      </c>
      <c r="AD3" s="5">
        <v>12.73</v>
      </c>
      <c r="AE3" s="5">
        <f>25.38-11.58-10.59</f>
        <v>3.2099999999999991</v>
      </c>
      <c r="AF3" s="5">
        <f>SUM(AD3:AE3)</f>
        <v>15.94</v>
      </c>
      <c r="AG3" s="6">
        <f>AF3/M3</f>
        <v>0.13832002776813607</v>
      </c>
      <c r="AH3" s="5">
        <v>0.84399999999999997</v>
      </c>
      <c r="AI3" s="5">
        <v>-0.81200000000000006</v>
      </c>
      <c r="AJ3" s="5">
        <v>0.71599999999999997</v>
      </c>
      <c r="AK3" s="4">
        <f>E3*N3</f>
        <v>4.2559709603318812</v>
      </c>
      <c r="AL3" s="6">
        <f t="shared" ref="AL3:AL12" si="4">Y3*$N3</f>
        <v>9.0023293592265491E-2</v>
      </c>
      <c r="AM3" s="6">
        <f t="shared" ref="AM3:AM12" si="5">Z3*$N3</f>
        <v>2.4816381938278512E-2</v>
      </c>
      <c r="AN3" s="6">
        <f t="shared" ref="AN3:AN12" si="6">AB3*$N3</f>
        <v>7.9960437663110687E-2</v>
      </c>
      <c r="AO3" s="6">
        <f t="shared" ref="AO3:AO12" si="7">AC3*$N3</f>
        <v>8.9439107611130789E-2</v>
      </c>
      <c r="AP3" s="5">
        <f t="shared" ref="AP3:AP12" si="8">X3*N3</f>
        <v>3.6889945255957315</v>
      </c>
      <c r="AQ3" s="5">
        <f t="shared" ref="AQ3:AQ12" si="9">D3*N3</f>
        <v>3.2980384608258806</v>
      </c>
      <c r="AR3" s="5">
        <f t="shared" ref="AR3:AR12" si="10">V3*N3</f>
        <v>1.5008003908526757</v>
      </c>
    </row>
    <row r="4" spans="1:49" x14ac:dyDescent="0.2">
      <c r="A4" t="s">
        <v>46</v>
      </c>
      <c r="B4" t="s">
        <v>57</v>
      </c>
      <c r="C4">
        <v>41.81</v>
      </c>
      <c r="D4" s="10">
        <f>M4/T4</f>
        <v>19.20430107526882</v>
      </c>
      <c r="E4">
        <v>158.63</v>
      </c>
      <c r="F4" s="3">
        <f>C4/G4</f>
        <v>117.08204984598153</v>
      </c>
      <c r="G4" s="5">
        <v>0.35709999999999997</v>
      </c>
      <c r="H4" s="3">
        <f>(0.615+2.42)/L4</f>
        <v>2.7590909090909088</v>
      </c>
      <c r="I4" s="3">
        <f>(1.66+0.925+0.005)/L4</f>
        <v>2.3545454545454541</v>
      </c>
      <c r="J4" s="5">
        <f>I4/H4</f>
        <v>0.85337726523887969</v>
      </c>
      <c r="K4" t="s">
        <v>67</v>
      </c>
      <c r="L4">
        <v>1.1000000000000001</v>
      </c>
      <c r="M4" s="7">
        <f>H4-I4+C4</f>
        <v>42.214545454545458</v>
      </c>
      <c r="N4" s="16">
        <f>C4/B$16</f>
        <v>7.1673466588953266E-2</v>
      </c>
      <c r="O4" s="18">
        <f>21.43/L4</f>
        <v>19.481818181818181</v>
      </c>
      <c r="P4" s="16">
        <f>O4/B$18</f>
        <v>9.4684937204658676E-2</v>
      </c>
      <c r="Q4" s="5">
        <f>P4/N4</f>
        <v>1.3210598246583496</v>
      </c>
      <c r="R4" s="18">
        <f>10.18/$L4</f>
        <v>9.254545454545454</v>
      </c>
      <c r="S4" s="18">
        <f>0.279/L4</f>
        <v>0.25363636363636366</v>
      </c>
      <c r="T4" s="18">
        <f>S4+SUM(AH4:AJ4)</f>
        <v>2.1981818181818182</v>
      </c>
      <c r="U4" s="3">
        <f>2.63/L4</f>
        <v>2.3909090909090907</v>
      </c>
      <c r="V4" s="5">
        <f t="shared" si="0"/>
        <v>2.3909090909090907</v>
      </c>
      <c r="W4" s="5">
        <f t="shared" si="1"/>
        <v>2.1668688754083063</v>
      </c>
      <c r="X4" s="5">
        <f t="shared" si="2"/>
        <v>166.43727598566309</v>
      </c>
      <c r="Y4" s="17">
        <f>R4/O4</f>
        <v>0.47503499766682222</v>
      </c>
      <c r="Z4" s="17">
        <f>S4/O4</f>
        <v>1.3019132057862811E-2</v>
      </c>
      <c r="AA4" s="6">
        <f>U4/O4</f>
        <v>0.12272515165655623</v>
      </c>
      <c r="AB4" s="6">
        <f t="shared" si="3"/>
        <v>3.3756805807622518E-2</v>
      </c>
      <c r="AC4" s="6">
        <f>T4/AF4</f>
        <v>0.29255898366606176</v>
      </c>
      <c r="AD4" s="5">
        <f>8.52/L4</f>
        <v>7.7454545454545443</v>
      </c>
      <c r="AE4" s="5">
        <f>(11.1-1.66-0.925-8.77)/L4</f>
        <v>-0.23181818181818251</v>
      </c>
      <c r="AF4" s="5">
        <f>SUM(AD4:AE4)</f>
        <v>7.5136363636363619</v>
      </c>
      <c r="AG4" s="6">
        <f>AF4/M4</f>
        <v>0.17798690671031092</v>
      </c>
      <c r="AH4" s="5">
        <f>1.212/L4</f>
        <v>1.1018181818181818</v>
      </c>
      <c r="AI4" s="5">
        <f>(-0.353-0.14)/L4</f>
        <v>-0.44818181818181813</v>
      </c>
      <c r="AJ4" s="5">
        <f>1.42/L4</f>
        <v>1.2909090909090908</v>
      </c>
      <c r="AK4" s="4">
        <f>E4*N4</f>
        <v>11.369562005005657</v>
      </c>
      <c r="AL4" s="6">
        <f t="shared" si="4"/>
        <v>3.4047405033856476E-2</v>
      </c>
      <c r="AM4" s="6">
        <f t="shared" si="5"/>
        <v>9.331263265664006E-4</v>
      </c>
      <c r="AN4" s="6">
        <f t="shared" si="6"/>
        <v>2.4194672932024161E-3</v>
      </c>
      <c r="AO4" s="6">
        <f t="shared" si="7"/>
        <v>2.09687165410876E-2</v>
      </c>
      <c r="AP4" s="5">
        <f t="shared" si="8"/>
        <v>11.929136539514817</v>
      </c>
      <c r="AQ4" s="5">
        <f t="shared" si="9"/>
        <v>1.3764388314824791</v>
      </c>
      <c r="AR4" s="5">
        <f t="shared" si="10"/>
        <v>0.17136474284449735</v>
      </c>
    </row>
    <row r="5" spans="1:49" x14ac:dyDescent="0.2">
      <c r="A5" t="s">
        <v>47</v>
      </c>
      <c r="B5" t="s">
        <v>59</v>
      </c>
      <c r="C5">
        <v>30.53</v>
      </c>
      <c r="D5" s="10">
        <f>M5/T5</f>
        <v>13.398978813420507</v>
      </c>
      <c r="E5">
        <v>19.600000000000001</v>
      </c>
      <c r="F5" s="3">
        <f>C5/G5</f>
        <v>244.24</v>
      </c>
      <c r="G5" s="5">
        <v>0.125</v>
      </c>
      <c r="H5" s="3"/>
      <c r="I5" s="3">
        <f>1.9</f>
        <v>1.9</v>
      </c>
      <c r="J5" s="5" t="e">
        <f>I5/H5</f>
        <v>#DIV/0!</v>
      </c>
      <c r="K5" t="s">
        <v>68</v>
      </c>
      <c r="L5">
        <v>1</v>
      </c>
      <c r="M5" s="7">
        <f>H5-I5+C5</f>
        <v>28.630000000000003</v>
      </c>
      <c r="N5" s="16">
        <f>C5/B$16</f>
        <v>5.2336544725203139E-2</v>
      </c>
      <c r="O5" s="18">
        <v>9.6199999999999992</v>
      </c>
      <c r="P5" s="16">
        <f>O5/B$18</f>
        <v>4.6754829934656933E-2</v>
      </c>
      <c r="Q5" s="5">
        <f>P5/N5</f>
        <v>0.8933495739955053</v>
      </c>
      <c r="R5" s="18">
        <v>5.61</v>
      </c>
      <c r="S5" s="18">
        <v>2.21</v>
      </c>
      <c r="T5" s="18">
        <f>S5+SUM(AH5:AJ5)</f>
        <v>2.13673</v>
      </c>
      <c r="U5" s="3">
        <v>2.2999999999999998</v>
      </c>
      <c r="V5" s="5">
        <f t="shared" si="0"/>
        <v>2.2999999999999998</v>
      </c>
      <c r="W5" s="5">
        <f t="shared" si="1"/>
        <v>2.9760914760914767</v>
      </c>
      <c r="X5" s="5">
        <f t="shared" si="2"/>
        <v>12.954751131221721</v>
      </c>
      <c r="Y5" s="17">
        <f>R5/O5</f>
        <v>0.58316008316008328</v>
      </c>
      <c r="Z5" s="17">
        <f>S5/O5</f>
        <v>0.22972972972972974</v>
      </c>
      <c r="AA5" s="6">
        <f>U5/O5</f>
        <v>0.2390852390852391</v>
      </c>
      <c r="AB5" s="6">
        <f t="shared" si="3"/>
        <v>0.62253521126760558</v>
      </c>
      <c r="AC5" s="6">
        <f>T5/AF5</f>
        <v>0.60189577464788724</v>
      </c>
      <c r="AD5" s="5">
        <v>3.06</v>
      </c>
      <c r="AE5" s="5">
        <f>3.77-1.9-1.38</f>
        <v>0.49000000000000021</v>
      </c>
      <c r="AF5" s="5">
        <f>SUM(AD5:AE5)</f>
        <v>3.5500000000000003</v>
      </c>
      <c r="AG5" s="6">
        <f>AF5/M5</f>
        <v>0.12399580859238561</v>
      </c>
      <c r="AH5" s="5">
        <v>0.37938</v>
      </c>
      <c r="AI5" s="5">
        <v>-0.65186999999999995</v>
      </c>
      <c r="AJ5" s="5">
        <v>0.19922000000000001</v>
      </c>
      <c r="AK5" s="4">
        <f>E5*N5</f>
        <v>1.0257962766139817</v>
      </c>
      <c r="AL5" s="6">
        <f t="shared" si="4"/>
        <v>3.0520583774260882E-2</v>
      </c>
      <c r="AM5" s="6">
        <f t="shared" si="5"/>
        <v>1.2023260274708829E-2</v>
      </c>
      <c r="AN5" s="6">
        <f t="shared" si="6"/>
        <v>3.2581341927520824E-2</v>
      </c>
      <c r="AO5" s="6">
        <f t="shared" si="7"/>
        <v>3.1501145129769939E-2</v>
      </c>
      <c r="AP5" s="5">
        <f t="shared" si="8"/>
        <v>0.67800691198306162</v>
      </c>
      <c r="AQ5" s="5">
        <f t="shared" si="9"/>
        <v>0.70125625394063162</v>
      </c>
      <c r="AR5" s="5">
        <f t="shared" si="10"/>
        <v>0.12037405286796721</v>
      </c>
    </row>
    <row r="6" spans="1:49" x14ac:dyDescent="0.2">
      <c r="A6" s="2" t="s">
        <v>52</v>
      </c>
      <c r="B6" t="s">
        <v>70</v>
      </c>
      <c r="C6">
        <v>10.07</v>
      </c>
      <c r="D6" s="10">
        <f>M6/T6</f>
        <v>9.4993947952390556</v>
      </c>
      <c r="E6">
        <v>15.69</v>
      </c>
      <c r="F6" s="3">
        <f>C6/G6</f>
        <v>162.57668711656441</v>
      </c>
      <c r="G6" s="5">
        <v>6.1940000000000002E-2</v>
      </c>
      <c r="H6" s="3">
        <f>1.14</f>
        <v>1.1399999999999999</v>
      </c>
      <c r="I6" s="3">
        <f>1.76+0.0323</f>
        <v>1.7923</v>
      </c>
      <c r="J6" s="5">
        <f>I6/H6</f>
        <v>1.5721929824561405</v>
      </c>
      <c r="K6" t="s">
        <v>68</v>
      </c>
      <c r="L6">
        <v>1</v>
      </c>
      <c r="M6" s="7">
        <f>H6-I6+C6</f>
        <v>9.4177</v>
      </c>
      <c r="N6" s="16">
        <f>C6/B$16</f>
        <v>1.7262659855315939E-2</v>
      </c>
      <c r="O6" s="18">
        <v>6.63</v>
      </c>
      <c r="P6" s="16">
        <f>O6/B$18</f>
        <v>3.2222923333344644E-2</v>
      </c>
      <c r="Q6" s="5">
        <f>P6/N6</f>
        <v>1.8666256303151205</v>
      </c>
      <c r="R6" s="18">
        <v>4.43</v>
      </c>
      <c r="S6" s="18">
        <v>0.81220000000000003</v>
      </c>
      <c r="T6" s="18">
        <f>S6+SUM(AH6:AJ6)</f>
        <v>0.99140000000000006</v>
      </c>
      <c r="U6" s="3">
        <v>1.07</v>
      </c>
      <c r="V6" s="5">
        <f t="shared" si="0"/>
        <v>1.07</v>
      </c>
      <c r="W6" s="5">
        <f t="shared" si="1"/>
        <v>1.4204675716440422</v>
      </c>
      <c r="X6" s="5">
        <f t="shared" si="2"/>
        <v>11.595296724944594</v>
      </c>
      <c r="Y6" s="17">
        <f>R6/O6</f>
        <v>0.66817496229260931</v>
      </c>
      <c r="Z6" s="17">
        <f>S6/O6</f>
        <v>0.12250377073906486</v>
      </c>
      <c r="AA6" s="6">
        <f>U6/O6</f>
        <v>0.16138763197586728</v>
      </c>
      <c r="AB6" s="6">
        <f t="shared" si="3"/>
        <v>0.24527390227698256</v>
      </c>
      <c r="AC6" s="6">
        <f>T6/AF6</f>
        <v>0.29938998610859457</v>
      </c>
      <c r="AD6" s="5">
        <v>3.19</v>
      </c>
      <c r="AE6" s="5">
        <f>3.45-1.76+0.0014-1.57</f>
        <v>0.12140000000000017</v>
      </c>
      <c r="AF6" s="5">
        <f>SUM(AD6:AE6)</f>
        <v>3.3113999999999999</v>
      </c>
      <c r="AG6" s="6">
        <f>AF6/M6</f>
        <v>0.35161451309767777</v>
      </c>
      <c r="AH6" s="5">
        <v>0.22900000000000001</v>
      </c>
      <c r="AI6" s="5">
        <v>-0.1648</v>
      </c>
      <c r="AJ6" s="5">
        <v>0.115</v>
      </c>
      <c r="AK6" s="4">
        <f>E6*N6</f>
        <v>0.27085113312990705</v>
      </c>
      <c r="AL6" s="6">
        <f t="shared" si="4"/>
        <v>1.1534477097895868E-2</v>
      </c>
      <c r="AM6" s="6">
        <f t="shared" si="5"/>
        <v>2.1147409252620826E-3</v>
      </c>
      <c r="AN6" s="6">
        <f t="shared" si="6"/>
        <v>4.234079946393552E-3</v>
      </c>
      <c r="AO6" s="6">
        <f t="shared" si="7"/>
        <v>5.1682674942804324E-3</v>
      </c>
      <c r="AP6" s="5">
        <f t="shared" si="8"/>
        <v>0.20016566328417743</v>
      </c>
      <c r="AQ6" s="5">
        <f t="shared" si="9"/>
        <v>0.16398482118157043</v>
      </c>
      <c r="AR6" s="5">
        <f t="shared" si="10"/>
        <v>1.8471046045188056E-2</v>
      </c>
    </row>
    <row r="7" spans="1:49" x14ac:dyDescent="0.2">
      <c r="A7" t="s">
        <v>49</v>
      </c>
      <c r="B7" t="s">
        <v>61</v>
      </c>
      <c r="C7">
        <v>8.58</v>
      </c>
      <c r="D7" s="10">
        <f>M7/T7</f>
        <v>6.7366720516962841</v>
      </c>
      <c r="E7">
        <v>12.7</v>
      </c>
      <c r="F7" s="3">
        <f>C7/G7</f>
        <v>22.875729863758764</v>
      </c>
      <c r="G7" s="5">
        <v>0.37507000000000001</v>
      </c>
      <c r="H7" s="3">
        <v>1.49</v>
      </c>
      <c r="I7" s="3">
        <f>1.73</f>
        <v>1.73</v>
      </c>
      <c r="J7" s="5">
        <f>I7/H7</f>
        <v>1.1610738255033557</v>
      </c>
      <c r="K7" t="s">
        <v>68</v>
      </c>
      <c r="L7">
        <v>1</v>
      </c>
      <c r="M7" s="7">
        <f>H7-I7+C7</f>
        <v>8.34</v>
      </c>
      <c r="N7" s="16">
        <f>C7/B$16</f>
        <v>1.4708403332533341E-2</v>
      </c>
      <c r="O7" s="18">
        <v>9.11</v>
      </c>
      <c r="P7" s="16">
        <f>O7/B$18</f>
        <v>4.4276143524399653E-2</v>
      </c>
      <c r="Q7" s="5">
        <f>P7/N7</f>
        <v>3.0102617206903606</v>
      </c>
      <c r="R7" s="18">
        <v>5.78</v>
      </c>
      <c r="S7" s="18">
        <v>0.56000000000000005</v>
      </c>
      <c r="T7" s="18">
        <f>S7+SUM(AH7:AJ7)</f>
        <v>1.238</v>
      </c>
      <c r="U7" s="3">
        <v>1.53</v>
      </c>
      <c r="V7" s="5">
        <f t="shared" si="0"/>
        <v>1.53</v>
      </c>
      <c r="W7" s="5">
        <f t="shared" si="1"/>
        <v>0.91547749725576288</v>
      </c>
      <c r="X7" s="5">
        <f t="shared" si="2"/>
        <v>14.892857142857141</v>
      </c>
      <c r="Y7" s="17">
        <f>R7/O7</f>
        <v>0.63446761800219542</v>
      </c>
      <c r="Z7" s="17">
        <f>S7/O7</f>
        <v>6.14709110867179E-2</v>
      </c>
      <c r="AA7" s="6">
        <f>U7/O7</f>
        <v>0.16794731064763996</v>
      </c>
      <c r="AB7" s="6">
        <f t="shared" si="3"/>
        <v>8.7912087912087919E-2</v>
      </c>
      <c r="AC7" s="6">
        <f>T7/AF7</f>
        <v>0.19434850863422293</v>
      </c>
      <c r="AD7" s="5">
        <v>6.71</v>
      </c>
      <c r="AE7" s="5">
        <f>4.2-1.73-2.81</f>
        <v>-0.33999999999999986</v>
      </c>
      <c r="AF7" s="5">
        <f>SUM(AD7:AE7)</f>
        <v>6.37</v>
      </c>
      <c r="AG7" s="6">
        <f>AF7/M7</f>
        <v>0.76378896882494007</v>
      </c>
      <c r="AH7" s="5">
        <v>0.52200000000000002</v>
      </c>
      <c r="AI7" s="5">
        <v>-0.34399999999999997</v>
      </c>
      <c r="AJ7" s="5">
        <v>0.5</v>
      </c>
      <c r="AK7" s="4">
        <f>E7*N7</f>
        <v>0.18679672232317343</v>
      </c>
      <c r="AL7" s="6">
        <f t="shared" si="4"/>
        <v>9.3320056270079828E-3</v>
      </c>
      <c r="AM7" s="6">
        <f t="shared" si="5"/>
        <v>9.0413895348174231E-4</v>
      </c>
      <c r="AN7" s="6">
        <f t="shared" si="6"/>
        <v>1.2930464468161179E-3</v>
      </c>
      <c r="AO7" s="6">
        <f t="shared" si="7"/>
        <v>2.8585562520684893E-3</v>
      </c>
      <c r="AP7" s="5">
        <f t="shared" si="8"/>
        <v>0.21905014963094294</v>
      </c>
      <c r="AQ7" s="5">
        <f t="shared" si="9"/>
        <v>9.9085689655353845E-2</v>
      </c>
      <c r="AR7" s="5">
        <f t="shared" si="10"/>
        <v>2.2503857098776014E-2</v>
      </c>
    </row>
    <row r="8" spans="1:49" x14ac:dyDescent="0.2">
      <c r="A8" s="2" t="s">
        <v>55</v>
      </c>
      <c r="B8" t="s">
        <v>64</v>
      </c>
      <c r="C8">
        <v>8</v>
      </c>
      <c r="D8" s="10">
        <f>M8/T8</f>
        <v>6.9084046635183007</v>
      </c>
      <c r="E8">
        <v>10.16</v>
      </c>
      <c r="F8" s="3">
        <f>C8/G8</f>
        <v>134.70281192119887</v>
      </c>
      <c r="G8" s="5">
        <v>5.9389999999999998E-2</v>
      </c>
      <c r="H8" s="3">
        <v>1.53</v>
      </c>
      <c r="I8" s="3">
        <f>0.16773</f>
        <v>0.16772999999999999</v>
      </c>
      <c r="J8" s="5">
        <f>I8/H8</f>
        <v>0.10962745098039214</v>
      </c>
      <c r="K8" t="s">
        <v>68</v>
      </c>
      <c r="L8">
        <v>1</v>
      </c>
      <c r="M8" s="7">
        <f>H8-I8+C8</f>
        <v>9.3622700000000005</v>
      </c>
      <c r="N8" s="16">
        <f>C8/B$16</f>
        <v>1.3714128981383069E-2</v>
      </c>
      <c r="O8" s="18">
        <v>3.96</v>
      </c>
      <c r="P8" s="16">
        <f>O8/B$18</f>
        <v>1.9246270950232999E-2</v>
      </c>
      <c r="Q8" s="5">
        <f>P8/N8</f>
        <v>1.4033899620136148</v>
      </c>
      <c r="R8" s="18">
        <v>2.21</v>
      </c>
      <c r="S8" s="18">
        <v>1.05</v>
      </c>
      <c r="T8" s="18">
        <f>S8+SUM(AH8:AJ8)</f>
        <v>1.3552</v>
      </c>
      <c r="U8" s="3">
        <v>0.93044000000000004</v>
      </c>
      <c r="V8" s="5">
        <f t="shared" si="0"/>
        <v>0.93044000000000004</v>
      </c>
      <c r="W8" s="5">
        <f t="shared" si="1"/>
        <v>2.3642095959595961</v>
      </c>
      <c r="X8" s="5">
        <f t="shared" si="2"/>
        <v>8.9164476190476201</v>
      </c>
      <c r="Y8" s="17">
        <f>R8/O8</f>
        <v>0.55808080808080807</v>
      </c>
      <c r="Z8" s="17">
        <f>S8/O8</f>
        <v>0.26515151515151514</v>
      </c>
      <c r="AA8" s="6">
        <f>U8/O8</f>
        <v>0.23495959595959598</v>
      </c>
      <c r="AB8" s="6">
        <f t="shared" si="3"/>
        <v>0.23063607011951562</v>
      </c>
      <c r="AC8" s="6">
        <f>T8/AF8</f>
        <v>0.29767428783425481</v>
      </c>
      <c r="AD8" s="5">
        <v>3.69</v>
      </c>
      <c r="AE8" s="5">
        <f>1.03-0.167373</f>
        <v>0.86262700000000003</v>
      </c>
      <c r="AF8" s="5">
        <f>SUM(AD8:AE8)</f>
        <v>4.5526270000000002</v>
      </c>
      <c r="AG8" s="6">
        <f>AF8/M8</f>
        <v>0.48627384170719279</v>
      </c>
      <c r="AH8" s="5">
        <v>5.4300000000000001E-2</v>
      </c>
      <c r="AI8" s="5">
        <v>-0.11563</v>
      </c>
      <c r="AJ8" s="5">
        <v>0.36653000000000002</v>
      </c>
      <c r="AK8" s="4">
        <f>E8*N8</f>
        <v>0.139335550450852</v>
      </c>
      <c r="AL8" s="6">
        <f t="shared" si="4"/>
        <v>7.6535921840546924E-3</v>
      </c>
      <c r="AM8" s="6">
        <f t="shared" si="5"/>
        <v>3.6363220783970258E-3</v>
      </c>
      <c r="AN8" s="6">
        <f t="shared" si="6"/>
        <v>3.1629728133783469E-3</v>
      </c>
      <c r="AO8" s="6">
        <f t="shared" si="7"/>
        <v>4.0823435778003193E-3</v>
      </c>
      <c r="AP8" s="5">
        <f t="shared" si="8"/>
        <v>0.12228131270336504</v>
      </c>
      <c r="AQ8" s="5">
        <f t="shared" si="9"/>
        <v>9.4742752611078285E-2</v>
      </c>
      <c r="AR8" s="5">
        <f t="shared" si="10"/>
        <v>1.2760174169438063E-2</v>
      </c>
    </row>
    <row r="9" spans="1:49" x14ac:dyDescent="0.2">
      <c r="A9" t="s">
        <v>66</v>
      </c>
      <c r="B9" t="s">
        <v>60</v>
      </c>
      <c r="C9">
        <v>7.26</v>
      </c>
      <c r="D9" s="10">
        <f>M9/T9</f>
        <v>41.004836109618488</v>
      </c>
      <c r="E9">
        <v>50.72</v>
      </c>
      <c r="F9" s="3">
        <f>C9/G9</f>
        <v>18.264150943396224</v>
      </c>
      <c r="G9" s="5">
        <v>0.39750000000000002</v>
      </c>
      <c r="H9" s="3">
        <f>0.0024+1.01</f>
        <v>1.0124</v>
      </c>
      <c r="I9" s="3">
        <f>0.6414</f>
        <v>0.64139999999999997</v>
      </c>
      <c r="J9" s="5">
        <f>I9/H9</f>
        <v>0.63354405373370204</v>
      </c>
      <c r="K9" t="s">
        <v>68</v>
      </c>
      <c r="L9">
        <v>1</v>
      </c>
      <c r="M9" s="7">
        <f>H9-I9+C9</f>
        <v>7.6310000000000002</v>
      </c>
      <c r="N9" s="16">
        <f>C9/B$16</f>
        <v>1.2445572050605135E-2</v>
      </c>
      <c r="O9" s="18">
        <v>6.18</v>
      </c>
      <c r="P9" s="16">
        <f>O9/B$18</f>
        <v>3.0035847088999985E-2</v>
      </c>
      <c r="Q9" s="5">
        <f>P9/N9</f>
        <v>2.4133761764321284</v>
      </c>
      <c r="R9" s="18">
        <v>3.52</v>
      </c>
      <c r="S9" s="18">
        <v>0.44479999999999997</v>
      </c>
      <c r="T9" s="18">
        <f>S9+SUM(AH9:AJ9)</f>
        <v>0.18609999999999999</v>
      </c>
      <c r="U9" s="3">
        <v>0.4355</v>
      </c>
      <c r="V9" s="5">
        <f t="shared" si="0"/>
        <v>0.4355</v>
      </c>
      <c r="W9" s="5">
        <f t="shared" si="1"/>
        <v>1.2347896440129451</v>
      </c>
      <c r="X9" s="5">
        <f t="shared" si="2"/>
        <v>17.156025179856115</v>
      </c>
      <c r="Y9" s="17">
        <f>R9/O9</f>
        <v>0.56957928802588997</v>
      </c>
      <c r="Z9" s="17">
        <f>S9/O9</f>
        <v>7.1974110032362454E-2</v>
      </c>
      <c r="AA9" s="6">
        <f>U9/O9</f>
        <v>7.046925566343043E-2</v>
      </c>
      <c r="AB9" s="6">
        <f t="shared" si="3"/>
        <v>0.12091556570434404</v>
      </c>
      <c r="AC9" s="6">
        <f>T9/AF9</f>
        <v>5.058989833088675E-2</v>
      </c>
      <c r="AD9" s="5">
        <v>3.54</v>
      </c>
      <c r="AE9" s="5">
        <f>2.65-0.6414-1.87</f>
        <v>0.13859999999999983</v>
      </c>
      <c r="AF9" s="5">
        <f>SUM(AD9:AE9)</f>
        <v>3.6785999999999999</v>
      </c>
      <c r="AG9" s="6">
        <f>AF9/M9</f>
        <v>0.48206001834621931</v>
      </c>
      <c r="AH9" s="5">
        <v>0.1653</v>
      </c>
      <c r="AI9" s="5">
        <v>-0.3155</v>
      </c>
      <c r="AJ9" s="5">
        <v>-0.1085</v>
      </c>
      <c r="AK9" s="4">
        <f>E9*N9</f>
        <v>0.6312394144066924</v>
      </c>
      <c r="AL9" s="6">
        <f t="shared" si="4"/>
        <v>7.0887400676585884E-3</v>
      </c>
      <c r="AM9" s="6">
        <f t="shared" si="5"/>
        <v>8.9575897218594879E-4</v>
      </c>
      <c r="AN9" s="6">
        <f t="shared" si="6"/>
        <v>1.504863385013093E-3</v>
      </c>
      <c r="AO9" s="6">
        <f t="shared" si="7"/>
        <v>6.296202247098395E-4</v>
      </c>
      <c r="AP9" s="5">
        <f t="shared" si="8"/>
        <v>0.2135165474778952</v>
      </c>
      <c r="AQ9" s="5">
        <f t="shared" si="9"/>
        <v>0.510328642225512</v>
      </c>
      <c r="AR9" s="5">
        <f t="shared" si="10"/>
        <v>5.4200466280385365E-3</v>
      </c>
    </row>
    <row r="10" spans="1:49" x14ac:dyDescent="0.2">
      <c r="A10" t="s">
        <v>50</v>
      </c>
      <c r="B10" t="s">
        <v>62</v>
      </c>
      <c r="C10">
        <v>4.18</v>
      </c>
      <c r="D10" s="10">
        <f>M10/T10</f>
        <v>8.1388830613015557</v>
      </c>
      <c r="E10">
        <v>19.190000000000001</v>
      </c>
      <c r="F10" s="3">
        <f>C10/G10</f>
        <v>21.289274382076265</v>
      </c>
      <c r="G10" s="5">
        <v>0.19634299999999999</v>
      </c>
      <c r="H10" s="3"/>
      <c r="I10" s="3">
        <f>0.30052</f>
        <v>0.30052000000000001</v>
      </c>
      <c r="J10" s="5" t="e">
        <f>I10/H10</f>
        <v>#DIV/0!</v>
      </c>
      <c r="K10" t="s">
        <v>68</v>
      </c>
      <c r="L10">
        <v>1</v>
      </c>
      <c r="M10" s="7">
        <f>H10-I10+C10</f>
        <v>3.8794799999999996</v>
      </c>
      <c r="N10" s="16">
        <f>C10/B$16</f>
        <v>7.1656323927726528E-3</v>
      </c>
      <c r="O10" s="18">
        <v>5.26</v>
      </c>
      <c r="P10" s="16">
        <f>O10/B$18</f>
        <v>2.5564491211673125E-2</v>
      </c>
      <c r="Q10" s="5">
        <f>P10/N10</f>
        <v>3.5676531826357425</v>
      </c>
      <c r="R10" s="18">
        <v>2.02</v>
      </c>
      <c r="S10" s="18">
        <v>0.36441000000000001</v>
      </c>
      <c r="T10" s="18">
        <f>S10+SUM(AH10:AJ10)</f>
        <v>0.47665999999999997</v>
      </c>
      <c r="U10" s="3">
        <v>0.58016999999999996</v>
      </c>
      <c r="V10" s="5">
        <f t="shared" si="0"/>
        <v>0.58016999999999996</v>
      </c>
      <c r="W10" s="5">
        <f t="shared" si="1"/>
        <v>0.73754372623574138</v>
      </c>
      <c r="X10" s="5">
        <f t="shared" si="2"/>
        <v>10.645920803490572</v>
      </c>
      <c r="Y10" s="17">
        <f>R10/O10</f>
        <v>0.38403041825095058</v>
      </c>
      <c r="Z10" s="17">
        <f>S10/O10</f>
        <v>6.9279467680608373E-2</v>
      </c>
      <c r="AA10" s="6">
        <f>U10/O10</f>
        <v>0.11029847908745247</v>
      </c>
      <c r="AB10" s="6">
        <f t="shared" si="3"/>
        <v>0.14657603121291959</v>
      </c>
      <c r="AC10" s="6">
        <f>T10/AF10</f>
        <v>0.19172616294270256</v>
      </c>
      <c r="AD10" s="5">
        <v>2.25</v>
      </c>
      <c r="AE10" s="5">
        <f>1.31-0.30052-0.77333</f>
        <v>0.23614999999999997</v>
      </c>
      <c r="AF10" s="5">
        <f>SUM(AD10:AE10)</f>
        <v>2.4861499999999999</v>
      </c>
      <c r="AG10" s="6">
        <f>AF10/M10</f>
        <v>0.64084619588192238</v>
      </c>
      <c r="AH10" s="5">
        <v>0.23521</v>
      </c>
      <c r="AI10" s="5">
        <v>-0.17444000000000001</v>
      </c>
      <c r="AJ10" s="5">
        <v>5.1479999999999998E-2</v>
      </c>
      <c r="AK10" s="4">
        <f>E10*N10</f>
        <v>0.13750848561730722</v>
      </c>
      <c r="AL10" s="6">
        <f t="shared" si="4"/>
        <v>2.7518208048290418E-3</v>
      </c>
      <c r="AM10" s="6">
        <f t="shared" si="5"/>
        <v>4.9643119776621343E-4</v>
      </c>
      <c r="AN10" s="6">
        <f t="shared" si="6"/>
        <v>1.0503099572633521E-3</v>
      </c>
      <c r="AO10" s="6">
        <f t="shared" si="7"/>
        <v>1.3738392037242373E-3</v>
      </c>
      <c r="AP10" s="5">
        <f t="shared" si="8"/>
        <v>7.628475496038431E-2</v>
      </c>
      <c r="AQ10" s="5">
        <f t="shared" si="9"/>
        <v>5.8320244105051079E-2</v>
      </c>
      <c r="AR10" s="5">
        <f t="shared" si="10"/>
        <v>4.1572849453149095E-3</v>
      </c>
    </row>
    <row r="11" spans="1:49" x14ac:dyDescent="0.2">
      <c r="A11" t="s">
        <v>48</v>
      </c>
      <c r="B11" t="s">
        <v>58</v>
      </c>
      <c r="C11">
        <v>3.52</v>
      </c>
      <c r="D11" s="10">
        <f>M11/T11</f>
        <v>22.670900287699105</v>
      </c>
      <c r="E11">
        <v>15.66</v>
      </c>
      <c r="F11" s="3">
        <f>C11/G11</f>
        <v>8.145696896767177</v>
      </c>
      <c r="G11" s="5">
        <v>0.43213000000000001</v>
      </c>
      <c r="H11" s="3">
        <v>0.59538000000000002</v>
      </c>
      <c r="I11" s="3">
        <v>0.88454999999999995</v>
      </c>
      <c r="J11" s="5">
        <f>I11/H11</f>
        <v>1.4856898115489265</v>
      </c>
      <c r="K11" t="s">
        <v>68</v>
      </c>
      <c r="L11">
        <v>1</v>
      </c>
      <c r="M11" s="7">
        <f>H11-I11+C11</f>
        <v>3.2308300000000001</v>
      </c>
      <c r="N11" s="16">
        <f>C11/B$16</f>
        <v>6.0342167518085505E-3</v>
      </c>
      <c r="O11" s="18">
        <v>5.7</v>
      </c>
      <c r="P11" s="16">
        <f>O11/B$18</f>
        <v>2.7702965761699016E-2</v>
      </c>
      <c r="Q11" s="5">
        <f>P11/N11</f>
        <v>4.5909795589288365</v>
      </c>
      <c r="R11" s="18">
        <v>2.63</v>
      </c>
      <c r="S11" s="18">
        <v>0.22975000000000001</v>
      </c>
      <c r="T11" s="18">
        <f>S11+SUM(AH11:AJ11)</f>
        <v>0.14251000000000003</v>
      </c>
      <c r="U11" s="3">
        <v>0.35397000000000001</v>
      </c>
      <c r="V11" s="5">
        <f t="shared" si="0"/>
        <v>0.35397000000000001</v>
      </c>
      <c r="W11" s="5">
        <f t="shared" si="1"/>
        <v>0.56681228070175438</v>
      </c>
      <c r="X11" s="5">
        <f t="shared" si="2"/>
        <v>14.062372143634384</v>
      </c>
      <c r="Y11" s="17">
        <f>R11/O11</f>
        <v>0.46140350877192982</v>
      </c>
      <c r="Z11" s="17">
        <f>S11/O11</f>
        <v>4.0307017543859652E-2</v>
      </c>
      <c r="AA11" s="6">
        <f>U11/O11</f>
        <v>6.2100000000000002E-2</v>
      </c>
      <c r="AB11" s="6">
        <f t="shared" si="3"/>
        <v>0.10186437296326675</v>
      </c>
      <c r="AC11" s="6">
        <f>T11/AF11</f>
        <v>6.318473031989183E-2</v>
      </c>
      <c r="AD11" s="5">
        <v>1.89</v>
      </c>
      <c r="AE11" s="5">
        <f>2.97-0.88455-1.72</f>
        <v>0.36545000000000027</v>
      </c>
      <c r="AF11" s="5">
        <f>SUM(AD11:AE11)</f>
        <v>2.2554500000000002</v>
      </c>
      <c r="AG11" s="6">
        <f>AF11/M11</f>
        <v>0.69810234521779235</v>
      </c>
      <c r="AH11" s="5">
        <v>0.14258999999999999</v>
      </c>
      <c r="AI11" s="5">
        <v>-0.15032999999999999</v>
      </c>
      <c r="AJ11" s="5">
        <v>-7.9500000000000001E-2</v>
      </c>
      <c r="AK11" s="4">
        <f>E11*N11</f>
        <v>9.4495834333321899E-2</v>
      </c>
      <c r="AL11" s="6">
        <f t="shared" si="4"/>
        <v>2.7842087819748224E-3</v>
      </c>
      <c r="AM11" s="6">
        <f t="shared" si="5"/>
        <v>2.4322128047859904E-4</v>
      </c>
      <c r="AN11" s="6">
        <f t="shared" si="6"/>
        <v>6.146717057474182E-4</v>
      </c>
      <c r="AO11" s="6">
        <f t="shared" si="7"/>
        <v>3.812703581547969E-4</v>
      </c>
      <c r="AP11" s="5">
        <f t="shared" si="8"/>
        <v>8.4855401559284518E-2</v>
      </c>
      <c r="AQ11" s="5">
        <f t="shared" si="9"/>
        <v>0.13680112629461522</v>
      </c>
      <c r="AR11" s="5">
        <f t="shared" si="10"/>
        <v>2.1359317036376726E-3</v>
      </c>
    </row>
    <row r="12" spans="1:49" x14ac:dyDescent="0.2">
      <c r="A12" s="2" t="s">
        <v>65</v>
      </c>
      <c r="B12" t="s">
        <v>63</v>
      </c>
      <c r="C12">
        <v>3.15</v>
      </c>
      <c r="D12" s="10">
        <f>M12/T12</f>
        <v>-4.4787664307381183</v>
      </c>
      <c r="E12">
        <v>9.31</v>
      </c>
      <c r="F12" s="3">
        <f>C12/G12</f>
        <v>8.7846505661219254</v>
      </c>
      <c r="G12" s="5">
        <v>0.35858000000000001</v>
      </c>
      <c r="H12" s="3">
        <f>(0.079+0.299)/L12</f>
        <v>0.2930232558139535</v>
      </c>
      <c r="I12" s="3">
        <f>(0.441-0.179-0.122-0.128)/L12</f>
        <v>9.3023255813953574E-3</v>
      </c>
      <c r="J12" s="5">
        <f>I12/H12</f>
        <v>3.1746031746031772E-2</v>
      </c>
      <c r="K12" t="s">
        <v>71</v>
      </c>
      <c r="L12">
        <v>1.29</v>
      </c>
      <c r="M12" s="7">
        <f>H12-I12+C12</f>
        <v>3.4337209302325582</v>
      </c>
      <c r="N12" s="16">
        <f>C12/B$16</f>
        <v>5.3999382864195833E-3</v>
      </c>
      <c r="O12" s="18">
        <f>2.97/L12</f>
        <v>2.3023255813953489</v>
      </c>
      <c r="P12" s="16">
        <f>O12/B$18</f>
        <v>1.1189692412926163E-2</v>
      </c>
      <c r="Q12" s="5">
        <f>P12/N12</f>
        <v>2.0721889435416978</v>
      </c>
      <c r="R12" s="18">
        <f>2.01/L12</f>
        <v>1.5581395348837208</v>
      </c>
      <c r="S12" s="18">
        <f>0.418/L12</f>
        <v>0.32403100775193794</v>
      </c>
      <c r="T12" s="18">
        <f>S12+SUM(AH12:AJ12)</f>
        <v>-0.76666666666666683</v>
      </c>
      <c r="U12" s="3">
        <f>0.506/L12</f>
        <v>0.39224806201550388</v>
      </c>
      <c r="V12" s="5">
        <f t="shared" si="0"/>
        <v>0.39224806201550388</v>
      </c>
      <c r="W12" s="5">
        <f t="shared" si="1"/>
        <v>1.4914141414141413</v>
      </c>
      <c r="X12" s="5">
        <f t="shared" si="2"/>
        <v>10.596889952153111</v>
      </c>
      <c r="Y12" s="17">
        <f>R12/O12</f>
        <v>0.67676767676767668</v>
      </c>
      <c r="Z12" s="17">
        <f>S12/O12</f>
        <v>0.14074074074074072</v>
      </c>
      <c r="AA12" s="6">
        <f>U12/O12</f>
        <v>0.17037037037037037</v>
      </c>
      <c r="AB12" s="6">
        <f t="shared" si="3"/>
        <v>0.20173745173745172</v>
      </c>
      <c r="AC12" s="6">
        <f>T12/AF12</f>
        <v>-0.47731660231660245</v>
      </c>
      <c r="AD12" s="5">
        <f>1.95/L12</f>
        <v>1.5116279069767442</v>
      </c>
      <c r="AE12" s="5">
        <f>(1.42-0.441-0.857)/L12</f>
        <v>9.4573643410852629E-2</v>
      </c>
      <c r="AF12" s="5">
        <f>SUM(AD12:AE12)</f>
        <v>1.6062015503875968</v>
      </c>
      <c r="AG12" s="6">
        <f>AF12/M12</f>
        <v>0.46777288633028558</v>
      </c>
      <c r="AH12" s="5">
        <f>(0.042+0.103+0.234)/L12</f>
        <v>0.29379844961240309</v>
      </c>
      <c r="AI12" s="5">
        <f>-1.62/L12</f>
        <v>-1.2558139534883721</v>
      </c>
      <c r="AJ12" s="5">
        <f>-0.166/L12</f>
        <v>-0.12868217054263567</v>
      </c>
      <c r="AK12" s="4">
        <f>E12*N12</f>
        <v>5.0273425446566322E-2</v>
      </c>
      <c r="AL12" s="6">
        <f t="shared" si="4"/>
        <v>3.6545036887890106E-3</v>
      </c>
      <c r="AM12" s="6">
        <f t="shared" si="5"/>
        <v>7.5999131438497835E-4</v>
      </c>
      <c r="AN12" s="6">
        <f t="shared" si="6"/>
        <v>1.0893697894417884E-3</v>
      </c>
      <c r="AO12" s="6">
        <f t="shared" si="7"/>
        <v>-2.577480195593132E-3</v>
      </c>
      <c r="AP12" s="5">
        <f t="shared" si="8"/>
        <v>5.7222551769606569E-2</v>
      </c>
      <c r="AQ12" s="5">
        <f t="shared" si="9"/>
        <v>-2.4185062325273548E-2</v>
      </c>
      <c r="AR12" s="5">
        <f t="shared" si="10"/>
        <v>2.1181153278514026E-3</v>
      </c>
    </row>
    <row r="16" spans="1:49" ht="17" x14ac:dyDescent="0.2">
      <c r="A16" s="1" t="s">
        <v>86</v>
      </c>
      <c r="B16" s="15">
        <f>SUM(C2:C12)</f>
        <v>583.34</v>
      </c>
    </row>
    <row r="17" spans="1:2" ht="17" x14ac:dyDescent="0.2">
      <c r="A17" s="1" t="s">
        <v>87</v>
      </c>
      <c r="B17" s="15">
        <f>SUM(M2:M12)</f>
        <v>590.80136456659602</v>
      </c>
    </row>
    <row r="18" spans="1:2" ht="17" x14ac:dyDescent="0.2">
      <c r="A18" s="1" t="s">
        <v>88</v>
      </c>
      <c r="B18" s="15">
        <f>SUM(O2:O12)</f>
        <v>205.75414376321348</v>
      </c>
    </row>
    <row r="19" spans="1:2" ht="34" x14ac:dyDescent="0.2">
      <c r="A19" s="1" t="s">
        <v>89</v>
      </c>
      <c r="B19" s="15">
        <f>SUM(S2:S12)</f>
        <v>35.338827371388305</v>
      </c>
    </row>
    <row r="20" spans="1:2" x14ac:dyDescent="0.2">
      <c r="A20" s="1"/>
      <c r="B20" s="15"/>
    </row>
    <row r="21" spans="1:2" ht="17" x14ac:dyDescent="0.2">
      <c r="A21" s="8" t="s">
        <v>72</v>
      </c>
      <c r="B21" s="9">
        <v>26.26</v>
      </c>
    </row>
    <row r="22" spans="1:2" ht="17" x14ac:dyDescent="0.2">
      <c r="A22" s="8" t="s">
        <v>73</v>
      </c>
      <c r="B22" s="10">
        <f>SUM(AK2:AK12)</f>
        <v>30.728337161861003</v>
      </c>
    </row>
    <row r="23" spans="1:2" ht="17" x14ac:dyDescent="0.2">
      <c r="A23" s="8" t="s">
        <v>74</v>
      </c>
      <c r="B23" s="10">
        <f>SUM(AP2:AP12)</f>
        <v>26.693173548221015</v>
      </c>
    </row>
    <row r="24" spans="1:2" ht="17" x14ac:dyDescent="0.2">
      <c r="A24" s="8" t="s">
        <v>92</v>
      </c>
      <c r="B24" s="10">
        <f>SUM(AQ2:AQ12)</f>
        <v>21.314051584373757</v>
      </c>
    </row>
    <row r="25" spans="1:2" ht="17" x14ac:dyDescent="0.2">
      <c r="A25" s="8" t="s">
        <v>75</v>
      </c>
      <c r="B25" s="11">
        <f>SUM(AN2:AN12)</f>
        <v>0.24013557598247609</v>
      </c>
    </row>
    <row r="26" spans="1:2" ht="17" x14ac:dyDescent="0.2">
      <c r="A26" s="8" t="s">
        <v>76</v>
      </c>
      <c r="B26" s="12">
        <f>SUM(AO2:AO12)</f>
        <v>0.22480687967626861</v>
      </c>
    </row>
    <row r="27" spans="1:2" ht="17" x14ac:dyDescent="0.2">
      <c r="A27" s="8" t="s">
        <v>77</v>
      </c>
      <c r="B27" s="12">
        <f>SUM(AL2:AL12)</f>
        <v>0.61037165232376234</v>
      </c>
    </row>
    <row r="28" spans="1:2" ht="17" x14ac:dyDescent="0.2">
      <c r="A28" s="8" t="s">
        <v>78</v>
      </c>
      <c r="B28" s="12">
        <f>SUM(AM2:AM12)</f>
        <v>0.20475433941652443</v>
      </c>
    </row>
    <row r="29" spans="1:2" x14ac:dyDescent="0.2">
      <c r="A29" s="1"/>
      <c r="B29" s="13"/>
    </row>
    <row r="30" spans="1:2" ht="17" x14ac:dyDescent="0.2">
      <c r="A30" s="1" t="s">
        <v>79</v>
      </c>
      <c r="B30" s="5">
        <f>AVERAGE(E2:E12)</f>
        <v>32.160909090909094</v>
      </c>
    </row>
    <row r="31" spans="1:2" ht="17" x14ac:dyDescent="0.2">
      <c r="A31" s="1" t="s">
        <v>80</v>
      </c>
      <c r="B31" s="5">
        <f>AVERAGE(W2:W12)</f>
        <v>1.8444991746201234</v>
      </c>
    </row>
    <row r="32" spans="1:2" ht="17" x14ac:dyDescent="0.2">
      <c r="A32" s="1" t="s">
        <v>81</v>
      </c>
      <c r="B32" s="5">
        <f>AVERAGE(X2:X12)</f>
        <v>27.390806028352607</v>
      </c>
    </row>
    <row r="33" spans="1:2" ht="17" x14ac:dyDescent="0.2">
      <c r="A33" s="1" t="s">
        <v>82</v>
      </c>
      <c r="B33" s="14">
        <f>AVERAGE(AB2:AB12)</f>
        <v>0.2159058538674121</v>
      </c>
    </row>
    <row r="34" spans="1:2" ht="17" x14ac:dyDescent="0.2">
      <c r="A34" s="1" t="s">
        <v>83</v>
      </c>
      <c r="B34" s="14">
        <f>AVERAGE(AC2:AC12)</f>
        <v>0.18869826425836142</v>
      </c>
    </row>
    <row r="35" spans="1:2" ht="17" x14ac:dyDescent="0.2">
      <c r="A35" s="1" t="s">
        <v>84</v>
      </c>
      <c r="B35" s="14">
        <f>AVERAGE(Y2:Y12)</f>
        <v>0.55858900713906534</v>
      </c>
    </row>
    <row r="36" spans="1:2" ht="17" x14ac:dyDescent="0.2">
      <c r="A36" s="1" t="s">
        <v>85</v>
      </c>
      <c r="B36" s="14">
        <f>AVERAGE(Z2:Z12)</f>
        <v>0.12740519718878399</v>
      </c>
    </row>
  </sheetData>
  <sortState xmlns:xlrd2="http://schemas.microsoft.com/office/spreadsheetml/2017/richdata2" ref="A2:AW36">
    <sortCondition descending="1" ref="C1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9336-A88D-F24B-8BBE-56B621C6DC1A}">
  <dimension ref="A1:AX2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8" sqref="J8"/>
    </sheetView>
  </sheetViews>
  <sheetFormatPr baseColWidth="10" defaultRowHeight="16" x14ac:dyDescent="0.2"/>
  <cols>
    <col min="1" max="1" width="16.5" customWidth="1"/>
  </cols>
  <sheetData>
    <row r="1" spans="1:50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93</v>
      </c>
      <c r="K1" s="1" t="s">
        <v>9</v>
      </c>
      <c r="L1" s="1" t="s">
        <v>53</v>
      </c>
      <c r="M1" s="1" t="s">
        <v>54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90</v>
      </c>
      <c r="AP1" s="1" t="s">
        <v>37</v>
      </c>
      <c r="AQ1" s="1" t="s">
        <v>38</v>
      </c>
      <c r="AR1" s="1" t="s">
        <v>91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 x14ac:dyDescent="0.2">
      <c r="A2" t="s">
        <v>45</v>
      </c>
      <c r="B2" t="s">
        <v>56</v>
      </c>
      <c r="C2">
        <v>117.83</v>
      </c>
      <c r="D2" s="10">
        <f>N2/U2</f>
        <v>16.327571550014166</v>
      </c>
      <c r="E2">
        <v>21.07</v>
      </c>
      <c r="F2" s="3">
        <f>C2/G2</f>
        <v>78.553333333333327</v>
      </c>
      <c r="G2" s="5">
        <v>1.5</v>
      </c>
      <c r="H2" s="3">
        <f>1.01+7.9</f>
        <v>8.91</v>
      </c>
      <c r="I2" s="3">
        <f>11.5</f>
        <v>11.5</v>
      </c>
      <c r="J2" s="3">
        <f>I2-H2</f>
        <v>2.59</v>
      </c>
      <c r="K2" s="5">
        <f>I2/H2</f>
        <v>1.2906846240179572</v>
      </c>
      <c r="L2" t="s">
        <v>68</v>
      </c>
      <c r="M2">
        <v>1</v>
      </c>
      <c r="N2" s="7">
        <f>H2-I2+C2</f>
        <v>115.24</v>
      </c>
      <c r="O2" s="16">
        <f>C2/B$9</f>
        <v>0.60834322887087611</v>
      </c>
      <c r="P2" s="18">
        <v>51.36</v>
      </c>
      <c r="Q2" s="16">
        <f>P2/B$11</f>
        <v>0.59608769967714015</v>
      </c>
      <c r="R2" s="5">
        <f>Q2/O2</f>
        <v>0.97985425231660261</v>
      </c>
      <c r="S2" s="18">
        <v>22.89</v>
      </c>
      <c r="T2" s="18">
        <v>6.31</v>
      </c>
      <c r="U2" s="18">
        <f>T2+SUM(AI2:AK2)</f>
        <v>7.0579999999999998</v>
      </c>
      <c r="V2" s="3">
        <v>7.43</v>
      </c>
      <c r="W2" s="5">
        <f t="shared" ref="W2:W5" si="0">V2</f>
        <v>7.43</v>
      </c>
      <c r="X2" s="5">
        <f t="shared" ref="X2:X5" si="1">N2/P2</f>
        <v>2.2437694704049842</v>
      </c>
      <c r="Y2" s="5">
        <f t="shared" ref="Y2:Y5" si="2">N2/T2</f>
        <v>18.263074484944532</v>
      </c>
      <c r="Z2" s="17">
        <f>S2/P2</f>
        <v>0.44567757009345799</v>
      </c>
      <c r="AA2" s="17">
        <f>T2/P2</f>
        <v>0.12285825545171339</v>
      </c>
      <c r="AB2" s="6">
        <f>V2/P2</f>
        <v>0.14466510903426791</v>
      </c>
      <c r="AC2" s="6">
        <f t="shared" ref="AC2:AC5" si="3">T2/AG2</f>
        <v>0.39585947302383939</v>
      </c>
      <c r="AD2" s="6">
        <f>U2/AG2</f>
        <v>0.44278544542032622</v>
      </c>
      <c r="AE2" s="5">
        <v>12.73</v>
      </c>
      <c r="AF2" s="5">
        <f>25.38-11.58-10.59</f>
        <v>3.2099999999999991</v>
      </c>
      <c r="AG2" s="5">
        <f>SUM(AE2:AF2)</f>
        <v>15.94</v>
      </c>
      <c r="AH2" s="6">
        <f>AG2/N2</f>
        <v>0.13832002776813607</v>
      </c>
      <c r="AI2" s="5">
        <v>0.84399999999999997</v>
      </c>
      <c r="AJ2" s="5">
        <v>-0.81200000000000006</v>
      </c>
      <c r="AK2" s="5">
        <v>0.71599999999999997</v>
      </c>
      <c r="AL2" s="4">
        <f>E2*O2</f>
        <v>12.817791832309359</v>
      </c>
      <c r="AM2" s="6">
        <f>Z2*$O2</f>
        <v>0.27112493202598043</v>
      </c>
      <c r="AN2" s="6">
        <f>AA2*$O2</f>
        <v>7.4739987814938236E-2</v>
      </c>
      <c r="AO2" s="6">
        <f>AC2*$O2</f>
        <v>0.24081842999844594</v>
      </c>
      <c r="AP2" s="6">
        <f>AD2*$O2</f>
        <v>0.26936552756403032</v>
      </c>
      <c r="AQ2" s="5">
        <f t="shared" ref="AQ2:AQ5" si="4">Y2*O2</f>
        <v>11.110217701280469</v>
      </c>
      <c r="AR2" s="5">
        <f>D2*O2</f>
        <v>9.9327675963558733</v>
      </c>
      <c r="AS2" s="5">
        <f t="shared" ref="AS2:AS5" si="5">W2*O2</f>
        <v>4.519990190510609</v>
      </c>
    </row>
    <row r="3" spans="1:50" x14ac:dyDescent="0.2">
      <c r="A3" t="s">
        <v>46</v>
      </c>
      <c r="B3" t="s">
        <v>57</v>
      </c>
      <c r="C3">
        <v>41.81</v>
      </c>
      <c r="D3" s="10">
        <f>N3/U3</f>
        <v>19.20430107526882</v>
      </c>
      <c r="E3">
        <v>158.63</v>
      </c>
      <c r="F3" s="3">
        <f>C3/G3</f>
        <v>117.08204984598153</v>
      </c>
      <c r="G3" s="5">
        <v>0.35709999999999997</v>
      </c>
      <c r="H3" s="3">
        <f>(0.615+2.42)/M3</f>
        <v>2.7590909090909088</v>
      </c>
      <c r="I3" s="3">
        <f>(1.66+0.925+0.005)/M3</f>
        <v>2.3545454545454541</v>
      </c>
      <c r="J3" s="3">
        <f t="shared" ref="J3:J5" si="6">I3-H3</f>
        <v>-0.40454545454545476</v>
      </c>
      <c r="K3" s="5">
        <f>I3/H3</f>
        <v>0.85337726523887969</v>
      </c>
      <c r="L3" t="s">
        <v>67</v>
      </c>
      <c r="M3">
        <v>1.1000000000000001</v>
      </c>
      <c r="N3" s="7">
        <f>H3-I3+C3</f>
        <v>42.214545454545458</v>
      </c>
      <c r="O3" s="16">
        <f>C3/B$9</f>
        <v>0.21586039547730912</v>
      </c>
      <c r="P3" s="18">
        <f>21.43/M3</f>
        <v>19.481818181818181</v>
      </c>
      <c r="Q3" s="16">
        <f>P3/B$11</f>
        <v>0.22610732448458498</v>
      </c>
      <c r="R3" s="5">
        <f>Q3/O3</f>
        <v>1.0474701669318169</v>
      </c>
      <c r="S3" s="18">
        <f>10.18/$M3</f>
        <v>9.254545454545454</v>
      </c>
      <c r="T3" s="18">
        <f>0.279/M3</f>
        <v>0.25363636363636366</v>
      </c>
      <c r="U3" s="18">
        <f>T3+SUM(AI3:AK3)</f>
        <v>2.1981818181818182</v>
      </c>
      <c r="V3" s="3">
        <f>2.63/M3</f>
        <v>2.3909090909090907</v>
      </c>
      <c r="W3" s="5">
        <f t="shared" si="0"/>
        <v>2.3909090909090907</v>
      </c>
      <c r="X3" s="5">
        <f t="shared" si="1"/>
        <v>2.1668688754083063</v>
      </c>
      <c r="Y3" s="5">
        <f t="shared" si="2"/>
        <v>166.43727598566309</v>
      </c>
      <c r="Z3" s="17">
        <f>S3/P3</f>
        <v>0.47503499766682222</v>
      </c>
      <c r="AA3" s="17">
        <f>T3/P3</f>
        <v>1.3019132057862811E-2</v>
      </c>
      <c r="AB3" s="6">
        <f>V3/P3</f>
        <v>0.12272515165655623</v>
      </c>
      <c r="AC3" s="6">
        <f t="shared" si="3"/>
        <v>3.3756805807622518E-2</v>
      </c>
      <c r="AD3" s="6">
        <f>U3/AG3</f>
        <v>0.29255898366606176</v>
      </c>
      <c r="AE3" s="5">
        <f>8.52/M3</f>
        <v>7.7454545454545443</v>
      </c>
      <c r="AF3" s="5">
        <f>(11.1-1.66-0.925-8.77)/M3</f>
        <v>-0.23181818181818251</v>
      </c>
      <c r="AG3" s="5">
        <f>SUM(AE3:AF3)</f>
        <v>7.5136363636363619</v>
      </c>
      <c r="AH3" s="6">
        <f>AG3/N3</f>
        <v>0.17798690671031092</v>
      </c>
      <c r="AI3" s="5">
        <f>1.212/M3</f>
        <v>1.1018181818181818</v>
      </c>
      <c r="AJ3" s="5">
        <f>(-0.353-0.14)/M3</f>
        <v>-0.44818181818181813</v>
      </c>
      <c r="AK3" s="5">
        <f>1.42/M3</f>
        <v>1.2909090909090908</v>
      </c>
      <c r="AL3" s="4">
        <f>E3*O3</f>
        <v>34.241934534565544</v>
      </c>
      <c r="AM3" s="6">
        <f>Z3*$O3</f>
        <v>0.10254124246192287</v>
      </c>
      <c r="AN3" s="6">
        <f>AA3*$O3</f>
        <v>2.8103149947815795E-3</v>
      </c>
      <c r="AO3" s="6">
        <f>AC3*$O3</f>
        <v>7.286757451684122E-3</v>
      </c>
      <c r="AP3" s="6">
        <f>AD3*$O3</f>
        <v>6.3151897914595703E-2</v>
      </c>
      <c r="AQ3" s="5">
        <f t="shared" si="4"/>
        <v>35.927216216431276</v>
      </c>
      <c r="AR3" s="5">
        <f>D3*O3</f>
        <v>4.1454480249728398</v>
      </c>
      <c r="AS3" s="5">
        <f t="shared" si="5"/>
        <v>0.51610258191392988</v>
      </c>
    </row>
    <row r="4" spans="1:50" x14ac:dyDescent="0.2">
      <c r="A4" t="s">
        <v>47</v>
      </c>
      <c r="B4" t="s">
        <v>59</v>
      </c>
      <c r="C4">
        <v>30.53</v>
      </c>
      <c r="D4" s="10">
        <f>N4/U4</f>
        <v>13.398978813420507</v>
      </c>
      <c r="E4">
        <v>19.600000000000001</v>
      </c>
      <c r="F4" s="3">
        <f>C4/G4</f>
        <v>244.24</v>
      </c>
      <c r="G4" s="5">
        <v>0.125</v>
      </c>
      <c r="H4" s="3"/>
      <c r="I4" s="3">
        <f>1.9</f>
        <v>1.9</v>
      </c>
      <c r="J4" s="3">
        <f t="shared" si="6"/>
        <v>1.9</v>
      </c>
      <c r="K4" s="5" t="e">
        <f>I4/H4</f>
        <v>#DIV/0!</v>
      </c>
      <c r="L4" t="s">
        <v>68</v>
      </c>
      <c r="M4">
        <v>1</v>
      </c>
      <c r="N4" s="7">
        <f>H4-I4+C4</f>
        <v>28.630000000000003</v>
      </c>
      <c r="O4" s="16">
        <f>C4/B$9</f>
        <v>0.15762300583406474</v>
      </c>
      <c r="P4" s="18">
        <v>9.6199999999999992</v>
      </c>
      <c r="Q4" s="16">
        <f>P4/B$11</f>
        <v>0.1116503830002743</v>
      </c>
      <c r="R4" s="5">
        <f>Q4/O4</f>
        <v>0.70833811606037111</v>
      </c>
      <c r="S4" s="18">
        <v>5.61</v>
      </c>
      <c r="T4" s="18">
        <v>2.21</v>
      </c>
      <c r="U4" s="18">
        <f>T4+SUM(AI4:AK4)</f>
        <v>2.13673</v>
      </c>
      <c r="V4" s="3">
        <v>2.2999999999999998</v>
      </c>
      <c r="W4" s="5">
        <f t="shared" si="0"/>
        <v>2.2999999999999998</v>
      </c>
      <c r="X4" s="5">
        <f t="shared" si="1"/>
        <v>2.9760914760914767</v>
      </c>
      <c r="Y4" s="5">
        <f t="shared" si="2"/>
        <v>12.954751131221721</v>
      </c>
      <c r="Z4" s="17">
        <f>S4/P4</f>
        <v>0.58316008316008328</v>
      </c>
      <c r="AA4" s="17">
        <f>T4/P4</f>
        <v>0.22972972972972974</v>
      </c>
      <c r="AB4" s="6">
        <f>V4/P4</f>
        <v>0.2390852390852391</v>
      </c>
      <c r="AC4" s="6">
        <f t="shared" si="3"/>
        <v>0.62253521126760558</v>
      </c>
      <c r="AD4" s="6">
        <f>U4/AG4</f>
        <v>0.60189577464788724</v>
      </c>
      <c r="AE4" s="5">
        <v>3.06</v>
      </c>
      <c r="AF4" s="5">
        <f>3.77-1.9-1.38</f>
        <v>0.49000000000000021</v>
      </c>
      <c r="AG4" s="5">
        <f>SUM(AE4:AF4)</f>
        <v>3.5500000000000003</v>
      </c>
      <c r="AH4" s="6">
        <f>AG4/N4</f>
        <v>0.12399580859238561</v>
      </c>
      <c r="AI4" s="5">
        <v>0.37938</v>
      </c>
      <c r="AJ4" s="5">
        <v>-0.65186999999999995</v>
      </c>
      <c r="AK4" s="5">
        <v>0.19922000000000001</v>
      </c>
      <c r="AL4" s="4">
        <f>E4*O4</f>
        <v>3.0894109143476691</v>
      </c>
      <c r="AM4" s="6">
        <f>Z4*$O4</f>
        <v>9.1919445190135493E-2</v>
      </c>
      <c r="AN4" s="6">
        <f>AA4*$O4</f>
        <v>3.6210690529447309E-2</v>
      </c>
      <c r="AO4" s="6">
        <f>AC4*$O4</f>
        <v>9.8125871237544529E-2</v>
      </c>
      <c r="AP4" s="6">
        <f>AD4*$O4</f>
        <v>9.4872621198822851E-2</v>
      </c>
      <c r="AQ4" s="5">
        <f t="shared" si="4"/>
        <v>2.0419668131354181</v>
      </c>
      <c r="AR4" s="5">
        <f>D4*O4</f>
        <v>2.1119873156782907</v>
      </c>
      <c r="AS4" s="5">
        <f t="shared" si="5"/>
        <v>0.36253291341834887</v>
      </c>
    </row>
    <row r="5" spans="1:50" x14ac:dyDescent="0.2">
      <c r="A5" t="s">
        <v>48</v>
      </c>
      <c r="B5" t="s">
        <v>58</v>
      </c>
      <c r="C5">
        <v>3.52</v>
      </c>
      <c r="D5" s="10">
        <f>N5/U5</f>
        <v>22.670900287699105</v>
      </c>
      <c r="E5">
        <v>15.66</v>
      </c>
      <c r="F5" s="3">
        <f>C5/G5</f>
        <v>8.145696896767177</v>
      </c>
      <c r="G5" s="5">
        <v>0.43213000000000001</v>
      </c>
      <c r="H5" s="3">
        <v>0.59538000000000002</v>
      </c>
      <c r="I5" s="3">
        <v>0.88454999999999995</v>
      </c>
      <c r="J5" s="3">
        <f t="shared" si="6"/>
        <v>0.28916999999999993</v>
      </c>
      <c r="K5" s="5">
        <f>I5/H5</f>
        <v>1.4856898115489265</v>
      </c>
      <c r="L5" t="s">
        <v>68</v>
      </c>
      <c r="M5">
        <v>1</v>
      </c>
      <c r="N5" s="7">
        <f>H5-I5+C5</f>
        <v>3.2308300000000001</v>
      </c>
      <c r="O5" s="16">
        <f>C5/B$9</f>
        <v>1.8173369817750012E-2</v>
      </c>
      <c r="P5" s="18">
        <v>5.7</v>
      </c>
      <c r="Q5" s="16">
        <f>P5/B$11</f>
        <v>6.6154592838000376E-2</v>
      </c>
      <c r="R5" s="5">
        <f>Q5/O5</f>
        <v>3.6401940587478108</v>
      </c>
      <c r="S5" s="18">
        <v>2.63</v>
      </c>
      <c r="T5" s="18">
        <v>0.22975000000000001</v>
      </c>
      <c r="U5" s="18">
        <f>T5+SUM(AI5:AK5)</f>
        <v>0.14251000000000003</v>
      </c>
      <c r="V5" s="3">
        <v>0.35397000000000001</v>
      </c>
      <c r="W5" s="5">
        <f t="shared" si="0"/>
        <v>0.35397000000000001</v>
      </c>
      <c r="X5" s="5">
        <f t="shared" si="1"/>
        <v>0.56681228070175438</v>
      </c>
      <c r="Y5" s="5">
        <f t="shared" si="2"/>
        <v>14.062372143634384</v>
      </c>
      <c r="Z5" s="17">
        <f>S5/P5</f>
        <v>0.46140350877192982</v>
      </c>
      <c r="AA5" s="17">
        <f>T5/P5</f>
        <v>4.0307017543859652E-2</v>
      </c>
      <c r="AB5" s="6">
        <f>V5/P5</f>
        <v>6.2100000000000002E-2</v>
      </c>
      <c r="AC5" s="6">
        <f t="shared" si="3"/>
        <v>0.10186437296326675</v>
      </c>
      <c r="AD5" s="6">
        <f>U5/AG5</f>
        <v>6.318473031989183E-2</v>
      </c>
      <c r="AE5" s="5">
        <v>1.89</v>
      </c>
      <c r="AF5" s="5">
        <f>2.97-0.88455-1.72</f>
        <v>0.36545000000000027</v>
      </c>
      <c r="AG5" s="5">
        <f>SUM(AE5:AF5)</f>
        <v>2.2554500000000002</v>
      </c>
      <c r="AH5" s="6">
        <f>AG5/N5</f>
        <v>0.69810234521779235</v>
      </c>
      <c r="AI5" s="5">
        <v>0.14258999999999999</v>
      </c>
      <c r="AJ5" s="5">
        <v>-0.15032999999999999</v>
      </c>
      <c r="AK5" s="5">
        <v>-7.9500000000000001E-2</v>
      </c>
      <c r="AL5" s="4">
        <f>E5*O5</f>
        <v>0.28459497134596518</v>
      </c>
      <c r="AM5" s="6">
        <f>Z5*$O5</f>
        <v>8.3852566001197427E-3</v>
      </c>
      <c r="AN5" s="6">
        <f>AA5*$O5</f>
        <v>7.3251433607509926E-4</v>
      </c>
      <c r="AO5" s="6">
        <f>AC5*$O5</f>
        <v>1.8512189211146624E-3</v>
      </c>
      <c r="AP5" s="6">
        <f>AD5*$O5</f>
        <v>1.1482794709381963E-3</v>
      </c>
      <c r="AQ5" s="5">
        <f t="shared" si="4"/>
        <v>0.25556068948109367</v>
      </c>
      <c r="AR5" s="5">
        <f>D5*O5</f>
        <v>0.41200665502969097</v>
      </c>
      <c r="AS5" s="5">
        <f t="shared" si="5"/>
        <v>6.4328277143889719E-3</v>
      </c>
    </row>
    <row r="9" spans="1:50" ht="34" x14ac:dyDescent="0.2">
      <c r="A9" s="1" t="s">
        <v>86</v>
      </c>
      <c r="B9" s="15">
        <f>SUM(C2:C5)</f>
        <v>193.69</v>
      </c>
    </row>
    <row r="10" spans="1:50" ht="34" x14ac:dyDescent="0.2">
      <c r="A10" s="1" t="s">
        <v>87</v>
      </c>
      <c r="B10" s="15">
        <f>SUM(N2:N5)</f>
        <v>189.31537545454543</v>
      </c>
    </row>
    <row r="11" spans="1:50" ht="34" x14ac:dyDescent="0.2">
      <c r="A11" s="1" t="s">
        <v>88</v>
      </c>
      <c r="B11" s="15">
        <f>SUM(P2:P5)</f>
        <v>86.161818181818191</v>
      </c>
    </row>
    <row r="12" spans="1:50" ht="51" x14ac:dyDescent="0.2">
      <c r="A12" s="1" t="s">
        <v>89</v>
      </c>
      <c r="B12" s="15">
        <f>SUM(T2:T5)</f>
        <v>9.0033863636363627</v>
      </c>
    </row>
    <row r="13" spans="1:50" x14ac:dyDescent="0.2">
      <c r="A13" s="1"/>
      <c r="B13" s="15"/>
    </row>
    <row r="14" spans="1:50" ht="17" x14ac:dyDescent="0.2">
      <c r="A14" s="8" t="s">
        <v>72</v>
      </c>
      <c r="B14" s="9">
        <v>26.26</v>
      </c>
    </row>
    <row r="15" spans="1:50" ht="17" x14ac:dyDescent="0.2">
      <c r="A15" s="8" t="s">
        <v>73</v>
      </c>
      <c r="B15" s="10">
        <f>SUM(AL2:AL5)</f>
        <v>50.433732252568539</v>
      </c>
    </row>
    <row r="16" spans="1:50" ht="17" x14ac:dyDescent="0.2">
      <c r="A16" s="8" t="s">
        <v>74</v>
      </c>
      <c r="B16" s="10">
        <f>SUM(AQ2:AQ5)</f>
        <v>49.334961420328256</v>
      </c>
    </row>
    <row r="17" spans="1:2" ht="34" x14ac:dyDescent="0.2">
      <c r="A17" s="8" t="s">
        <v>92</v>
      </c>
      <c r="B17" s="10">
        <f>SUM(AR2:AR5)</f>
        <v>16.602209592036697</v>
      </c>
    </row>
    <row r="18" spans="1:2" ht="17" x14ac:dyDescent="0.2">
      <c r="A18" s="8" t="s">
        <v>75</v>
      </c>
      <c r="B18" s="11">
        <f>SUM(AO2:AO5)</f>
        <v>0.34808227760878924</v>
      </c>
    </row>
    <row r="19" spans="1:2" ht="34" x14ac:dyDescent="0.2">
      <c r="A19" s="8" t="s">
        <v>76</v>
      </c>
      <c r="B19" s="12">
        <f>SUM(AP2:AP5)</f>
        <v>0.42853832614838705</v>
      </c>
    </row>
    <row r="20" spans="1:2" ht="34" x14ac:dyDescent="0.2">
      <c r="A20" s="8" t="s">
        <v>77</v>
      </c>
      <c r="B20" s="12">
        <f>SUM(AM2:AM5)</f>
        <v>0.47397087627815854</v>
      </c>
    </row>
    <row r="21" spans="1:2" ht="34" x14ac:dyDescent="0.2">
      <c r="A21" s="8" t="s">
        <v>78</v>
      </c>
      <c r="B21" s="12">
        <f>SUM(AN2:AN5)</f>
        <v>0.11449350767524223</v>
      </c>
    </row>
    <row r="22" spans="1:2" x14ac:dyDescent="0.2">
      <c r="A22" s="1"/>
      <c r="B22" s="13"/>
    </row>
    <row r="23" spans="1:2" ht="17" x14ac:dyDescent="0.2">
      <c r="A23" s="1" t="s">
        <v>79</v>
      </c>
      <c r="B23" s="5">
        <f>AVERAGE(E2:E5)</f>
        <v>53.739999999999995</v>
      </c>
    </row>
    <row r="24" spans="1:2" ht="17" x14ac:dyDescent="0.2">
      <c r="A24" s="1" t="s">
        <v>80</v>
      </c>
      <c r="B24" s="5">
        <f>AVERAGE(X2:X5)</f>
        <v>1.9883855256516303</v>
      </c>
    </row>
    <row r="25" spans="1:2" ht="17" x14ac:dyDescent="0.2">
      <c r="A25" s="1" t="s">
        <v>81</v>
      </c>
      <c r="B25" s="5">
        <f>AVERAGE(Y2:Y5)</f>
        <v>52.929368436365927</v>
      </c>
    </row>
    <row r="26" spans="1:2" ht="17" x14ac:dyDescent="0.2">
      <c r="A26" s="1" t="s">
        <v>82</v>
      </c>
      <c r="B26" s="14">
        <f>AVERAGE(AC2:AC5)</f>
        <v>0.28850396576558351</v>
      </c>
    </row>
    <row r="27" spans="1:2" ht="17" x14ac:dyDescent="0.2">
      <c r="A27" s="1" t="s">
        <v>83</v>
      </c>
      <c r="B27" s="14">
        <f>AVERAGE(AD2:AD5)</f>
        <v>0.35010623351354175</v>
      </c>
    </row>
    <row r="28" spans="1:2" ht="17" x14ac:dyDescent="0.2">
      <c r="A28" s="1" t="s">
        <v>84</v>
      </c>
      <c r="B28" s="14">
        <f>AVERAGE(Z2:Z5)</f>
        <v>0.49131903992307335</v>
      </c>
    </row>
    <row r="29" spans="1:2" ht="34" x14ac:dyDescent="0.2">
      <c r="A29" s="1" t="s">
        <v>85</v>
      </c>
      <c r="B29" s="14">
        <f>AVERAGE(AA2:AA5)</f>
        <v>0.10147853369579141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Janc, Maja</dc:creator>
  <cp:lastModifiedBy>Janc, Maja</cp:lastModifiedBy>
  <dcterms:created xsi:type="dcterms:W3CDTF">2024-08-13T16:55:50Z</dcterms:created>
  <dcterms:modified xsi:type="dcterms:W3CDTF">2024-08-14T13:42:25Z</dcterms:modified>
</cp:coreProperties>
</file>