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 - Restaurants/"/>
    </mc:Choice>
  </mc:AlternateContent>
  <xr:revisionPtr revIDLastSave="0" documentId="13_ncr:1_{59E4C640-6DA1-EB43-93B1-36FE51748E70}" xr6:coauthVersionLast="47" xr6:coauthVersionMax="47" xr10:uidLastSave="{00000000-0000-0000-0000-000000000000}"/>
  <bookViews>
    <workbookView xWindow="0" yWindow="0" windowWidth="28800" windowHeight="18000" xr2:uid="{D2B28F17-A155-AD4B-B067-ECA25BF28199}"/>
  </bookViews>
  <sheets>
    <sheet name="Valuation" sheetId="7" r:id="rId1"/>
    <sheet name="Statement of Operations" sheetId="1" r:id="rId2"/>
    <sheet name="Statement of Cashflow" sheetId="5" r:id="rId3"/>
    <sheet name="Balance Sheet" sheetId="6" r:id="rId4"/>
    <sheet name="CAVA" sheetId="2" r:id="rId5"/>
    <sheet name="Zoes Kitchen" sheetId="3" r:id="rId6"/>
    <sheet name="Other Results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7" i="7" l="1"/>
  <c r="C175" i="7"/>
  <c r="C207" i="7"/>
  <c r="B54" i="5"/>
  <c r="G9" i="7"/>
  <c r="H9" i="7"/>
  <c r="I9" i="7"/>
  <c r="J9" i="7"/>
  <c r="F9" i="7"/>
  <c r="F205" i="7"/>
  <c r="G205" i="7" s="1"/>
  <c r="H205" i="7" s="1"/>
  <c r="I205" i="7" s="1"/>
  <c r="I208" i="7" s="1"/>
  <c r="E208" i="7"/>
  <c r="D127" i="7"/>
  <c r="D53" i="5"/>
  <c r="F121" i="7"/>
  <c r="G121" i="7"/>
  <c r="H121" i="7"/>
  <c r="I121" i="7" s="1"/>
  <c r="J121" i="7" s="1"/>
  <c r="D123" i="7"/>
  <c r="B122" i="7"/>
  <c r="C122" i="7"/>
  <c r="D122" i="7"/>
  <c r="D120" i="7"/>
  <c r="E119" i="7"/>
  <c r="F119" i="7" s="1"/>
  <c r="G119" i="7" s="1"/>
  <c r="H119" i="7" s="1"/>
  <c r="I119" i="7" s="1"/>
  <c r="J119" i="7" s="1"/>
  <c r="J2" i="5"/>
  <c r="F2" i="5"/>
  <c r="G2" i="5"/>
  <c r="H2" i="5" s="1"/>
  <c r="I2" i="5" s="1"/>
  <c r="B2" i="5"/>
  <c r="C2" i="5"/>
  <c r="E2" i="5"/>
  <c r="F46" i="5"/>
  <c r="G46" i="5"/>
  <c r="H46" i="5"/>
  <c r="I46" i="5"/>
  <c r="J46" i="5" s="1"/>
  <c r="E46" i="5"/>
  <c r="D46" i="5"/>
  <c r="E121" i="7"/>
  <c r="F223" i="7"/>
  <c r="G223" i="7" s="1"/>
  <c r="H223" i="7" s="1"/>
  <c r="I223" i="7" s="1"/>
  <c r="J223" i="7" s="1"/>
  <c r="E223" i="7"/>
  <c r="B208" i="7"/>
  <c r="B223" i="7" s="1"/>
  <c r="C223" i="7"/>
  <c r="D223" i="7"/>
  <c r="F210" i="7"/>
  <c r="G210" i="7" s="1"/>
  <c r="H210" i="7" s="1"/>
  <c r="I210" i="7" s="1"/>
  <c r="J210" i="7" s="1"/>
  <c r="E210" i="7"/>
  <c r="F117" i="7"/>
  <c r="G117" i="7" s="1"/>
  <c r="H117" i="7" s="1"/>
  <c r="I117" i="7" s="1"/>
  <c r="J117" i="7" s="1"/>
  <c r="E117" i="7"/>
  <c r="F116" i="7"/>
  <c r="G116" i="7"/>
  <c r="H116" i="7" s="1"/>
  <c r="I116" i="7" s="1"/>
  <c r="J116" i="7" s="1"/>
  <c r="E116" i="7"/>
  <c r="B44" i="7"/>
  <c r="B90" i="7"/>
  <c r="B91" i="7"/>
  <c r="B92" i="7"/>
  <c r="B93" i="7"/>
  <c r="B94" i="7"/>
  <c r="B95" i="7"/>
  <c r="B97" i="7"/>
  <c r="B98" i="7"/>
  <c r="B99" i="7"/>
  <c r="B100" i="7"/>
  <c r="B102" i="7"/>
  <c r="B103" i="7"/>
  <c r="B104" i="7"/>
  <c r="B105" i="7"/>
  <c r="B106" i="7"/>
  <c r="B107" i="7"/>
  <c r="B108" i="7"/>
  <c r="B109" i="7"/>
  <c r="B110" i="7"/>
  <c r="B111" i="7"/>
  <c r="B112" i="7"/>
  <c r="C48" i="7"/>
  <c r="C49" i="7"/>
  <c r="C50" i="7"/>
  <c r="C51" i="7"/>
  <c r="C53" i="7"/>
  <c r="C54" i="7"/>
  <c r="C55" i="7"/>
  <c r="C56" i="7"/>
  <c r="C58" i="7"/>
  <c r="C59" i="7"/>
  <c r="C60" i="7"/>
  <c r="C61" i="7"/>
  <c r="C63" i="7"/>
  <c r="C64" i="7"/>
  <c r="C65" i="7"/>
  <c r="C66" i="7"/>
  <c r="C67" i="7"/>
  <c r="C69" i="7"/>
  <c r="C70" i="7"/>
  <c r="C71" i="7"/>
  <c r="C72" i="7"/>
  <c r="C73" i="7"/>
  <c r="C74" i="7"/>
  <c r="C75" i="7"/>
  <c r="C76" i="7"/>
  <c r="C77" i="7"/>
  <c r="C78" i="7"/>
  <c r="C79" i="7"/>
  <c r="C80" i="7"/>
  <c r="C82" i="7"/>
  <c r="C83" i="7"/>
  <c r="C85" i="7"/>
  <c r="C86" i="7"/>
  <c r="C90" i="7"/>
  <c r="C91" i="7"/>
  <c r="C92" i="7"/>
  <c r="C93" i="7"/>
  <c r="C94" i="7"/>
  <c r="C95" i="7"/>
  <c r="C97" i="7"/>
  <c r="C98" i="7"/>
  <c r="C99" i="7"/>
  <c r="C100" i="7"/>
  <c r="C102" i="7"/>
  <c r="C103" i="7"/>
  <c r="C104" i="7"/>
  <c r="C105" i="7"/>
  <c r="C106" i="7"/>
  <c r="C107" i="7"/>
  <c r="C108" i="7"/>
  <c r="C109" i="7"/>
  <c r="C110" i="7"/>
  <c r="C111" i="7"/>
  <c r="C112" i="7"/>
  <c r="B25" i="7"/>
  <c r="B40" i="7"/>
  <c r="B14" i="7"/>
  <c r="B32" i="7" s="1"/>
  <c r="B33" i="7" s="1"/>
  <c r="B36" i="7" s="1"/>
  <c r="B38" i="7" s="1"/>
  <c r="B9" i="7"/>
  <c r="B19" i="7" s="1"/>
  <c r="B3" i="7"/>
  <c r="G83" i="7"/>
  <c r="H83" i="7"/>
  <c r="I83" i="7"/>
  <c r="J83" i="7"/>
  <c r="M44" i="7"/>
  <c r="E43" i="7"/>
  <c r="F43" i="7" s="1"/>
  <c r="G43" i="7" s="1"/>
  <c r="L43" i="7"/>
  <c r="L44" i="7" s="1"/>
  <c r="AB106" i="7"/>
  <c r="AA106" i="7"/>
  <c r="Z106" i="7"/>
  <c r="Y106" i="7"/>
  <c r="W106" i="7"/>
  <c r="V106" i="7"/>
  <c r="U106" i="7"/>
  <c r="T106" i="7"/>
  <c r="R106" i="7"/>
  <c r="Q106" i="7"/>
  <c r="P106" i="7"/>
  <c r="E9" i="7"/>
  <c r="F90" i="7"/>
  <c r="G90" i="7" s="1"/>
  <c r="H90" i="7" s="1"/>
  <c r="I90" i="7" s="1"/>
  <c r="J90" i="7" s="1"/>
  <c r="E19" i="7" l="1"/>
  <c r="E93" i="7" s="1"/>
  <c r="H51" i="7"/>
  <c r="G21" i="7"/>
  <c r="K9" i="7"/>
  <c r="K44" i="7" s="1"/>
  <c r="J51" i="7"/>
  <c r="H208" i="7"/>
  <c r="J205" i="7"/>
  <c r="J208" i="7" s="1"/>
  <c r="G208" i="7"/>
  <c r="F208" i="7"/>
  <c r="F44" i="7"/>
  <c r="G51" i="7"/>
  <c r="H43" i="7"/>
  <c r="G85" i="7"/>
  <c r="H44" i="7"/>
  <c r="I51" i="7"/>
  <c r="G44" i="7"/>
  <c r="E44" i="7"/>
  <c r="J19" i="7"/>
  <c r="J14" i="7" s="1"/>
  <c r="H19" i="7"/>
  <c r="G19" i="7"/>
  <c r="F19" i="7"/>
  <c r="F93" i="7" s="1"/>
  <c r="I19" i="7"/>
  <c r="E14" i="7"/>
  <c r="E100" i="7" s="1"/>
  <c r="G14" i="7"/>
  <c r="H86" i="7" l="1"/>
  <c r="I61" i="7"/>
  <c r="G86" i="7"/>
  <c r="G100" i="7"/>
  <c r="G93" i="7"/>
  <c r="G61" i="7"/>
  <c r="H61" i="7"/>
  <c r="I43" i="7"/>
  <c r="H85" i="7"/>
  <c r="J100" i="7"/>
  <c r="J93" i="7"/>
  <c r="J61" i="7"/>
  <c r="F14" i="7"/>
  <c r="F100" i="7" s="1"/>
  <c r="H14" i="7"/>
  <c r="H93" i="7"/>
  <c r="I14" i="7"/>
  <c r="I93" i="7"/>
  <c r="I100" i="7" l="1"/>
  <c r="I56" i="7"/>
  <c r="J43" i="7"/>
  <c r="I85" i="7"/>
  <c r="I44" i="7"/>
  <c r="G56" i="7"/>
  <c r="H100" i="7"/>
  <c r="H56" i="7"/>
  <c r="J56" i="7"/>
  <c r="I86" i="7" l="1"/>
  <c r="J85" i="7"/>
  <c r="J44" i="7"/>
  <c r="J86" i="7" l="1"/>
  <c r="AB83" i="7"/>
  <c r="AA83" i="7"/>
  <c r="Z83" i="7"/>
  <c r="Y83" i="7"/>
  <c r="AB79" i="7"/>
  <c r="AA79" i="7"/>
  <c r="Z79" i="7"/>
  <c r="Y79" i="7"/>
  <c r="AB77" i="7"/>
  <c r="AA77" i="7"/>
  <c r="Z77" i="7"/>
  <c r="Y77" i="7"/>
  <c r="AB76" i="7"/>
  <c r="AA76" i="7"/>
  <c r="Z76" i="7"/>
  <c r="Y76" i="7"/>
  <c r="AB73" i="7"/>
  <c r="AA73" i="7"/>
  <c r="Z73" i="7"/>
  <c r="Y73" i="7"/>
  <c r="AB72" i="7"/>
  <c r="AA72" i="7"/>
  <c r="Z72" i="7"/>
  <c r="Y72" i="7"/>
  <c r="AB71" i="7"/>
  <c r="AA71" i="7"/>
  <c r="Z71" i="7"/>
  <c r="Y71" i="7"/>
  <c r="AB70" i="7"/>
  <c r="AA70" i="7"/>
  <c r="Z70" i="7"/>
  <c r="Y70" i="7"/>
  <c r="AB69" i="7"/>
  <c r="AA69" i="7"/>
  <c r="Z69" i="7"/>
  <c r="Y69" i="7"/>
  <c r="AB66" i="7"/>
  <c r="AA66" i="7"/>
  <c r="Z66" i="7"/>
  <c r="Y66" i="7"/>
  <c r="AB65" i="7"/>
  <c r="AA65" i="7"/>
  <c r="Z65" i="7"/>
  <c r="Y65" i="7"/>
  <c r="AB64" i="7"/>
  <c r="AA64" i="7"/>
  <c r="Z64" i="7"/>
  <c r="Y64" i="7"/>
  <c r="AB63" i="7"/>
  <c r="AA63" i="7"/>
  <c r="Z63" i="7"/>
  <c r="Y63" i="7"/>
  <c r="AB60" i="7"/>
  <c r="AA60" i="7"/>
  <c r="Z60" i="7"/>
  <c r="Y60" i="7"/>
  <c r="AB59" i="7"/>
  <c r="AA59" i="7"/>
  <c r="Z59" i="7"/>
  <c r="Y59" i="7"/>
  <c r="AB58" i="7"/>
  <c r="AA58" i="7"/>
  <c r="Z58" i="7"/>
  <c r="Y58" i="7"/>
  <c r="AB55" i="7"/>
  <c r="AA55" i="7"/>
  <c r="Z55" i="7"/>
  <c r="Y55" i="7"/>
  <c r="AB54" i="7"/>
  <c r="AA54" i="7"/>
  <c r="Z54" i="7"/>
  <c r="Y54" i="7"/>
  <c r="AB53" i="7"/>
  <c r="AA53" i="7"/>
  <c r="Z53" i="7"/>
  <c r="Y53" i="7"/>
  <c r="AB50" i="7"/>
  <c r="AA50" i="7"/>
  <c r="Z50" i="7"/>
  <c r="Y50" i="7"/>
  <c r="AB49" i="7"/>
  <c r="AA49" i="7"/>
  <c r="Z49" i="7"/>
  <c r="Y49" i="7"/>
  <c r="AB48" i="7"/>
  <c r="AA48" i="7"/>
  <c r="Z48" i="7"/>
  <c r="Y48" i="7"/>
  <c r="U48" i="7"/>
  <c r="V48" i="7"/>
  <c r="W48" i="7"/>
  <c r="U49" i="7"/>
  <c r="V49" i="7"/>
  <c r="W49" i="7"/>
  <c r="U50" i="7"/>
  <c r="V50" i="7"/>
  <c r="W50" i="7"/>
  <c r="U53" i="7"/>
  <c r="V53" i="7"/>
  <c r="W53" i="7"/>
  <c r="U54" i="7"/>
  <c r="V54" i="7"/>
  <c r="W54" i="7"/>
  <c r="U55" i="7"/>
  <c r="V55" i="7"/>
  <c r="W55" i="7"/>
  <c r="U58" i="7"/>
  <c r="V58" i="7"/>
  <c r="W58" i="7"/>
  <c r="U59" i="7"/>
  <c r="V59" i="7"/>
  <c r="W59" i="7"/>
  <c r="U60" i="7"/>
  <c r="V60" i="7"/>
  <c r="W60" i="7"/>
  <c r="U63" i="7"/>
  <c r="V63" i="7"/>
  <c r="W63" i="7"/>
  <c r="U64" i="7"/>
  <c r="V64" i="7"/>
  <c r="W64" i="7"/>
  <c r="U65" i="7"/>
  <c r="V65" i="7"/>
  <c r="W65" i="7"/>
  <c r="U66" i="7"/>
  <c r="V66" i="7"/>
  <c r="W66" i="7"/>
  <c r="U69" i="7"/>
  <c r="V69" i="7"/>
  <c r="W69" i="7"/>
  <c r="U70" i="7"/>
  <c r="V70" i="7"/>
  <c r="W70" i="7"/>
  <c r="U71" i="7"/>
  <c r="V71" i="7"/>
  <c r="W71" i="7"/>
  <c r="U72" i="7"/>
  <c r="V72" i="7"/>
  <c r="W72" i="7"/>
  <c r="U73" i="7"/>
  <c r="V73" i="7"/>
  <c r="W73" i="7"/>
  <c r="U76" i="7"/>
  <c r="V76" i="7"/>
  <c r="W76" i="7"/>
  <c r="U77" i="7"/>
  <c r="V77" i="7"/>
  <c r="W77" i="7"/>
  <c r="U79" i="7"/>
  <c r="V79" i="7"/>
  <c r="W79" i="7"/>
  <c r="U83" i="7"/>
  <c r="V83" i="7"/>
  <c r="W83" i="7"/>
  <c r="E48" i="7"/>
  <c r="E49" i="7"/>
  <c r="E50" i="7"/>
  <c r="F51" i="7"/>
  <c r="E53" i="7"/>
  <c r="E54" i="7"/>
  <c r="E55" i="7"/>
  <c r="F56" i="7"/>
  <c r="F61" i="7"/>
  <c r="E76" i="7"/>
  <c r="E77" i="7"/>
  <c r="E83" i="7"/>
  <c r="F83" i="7"/>
  <c r="E85" i="7"/>
  <c r="F85" i="7"/>
  <c r="F86" i="7"/>
  <c r="O41" i="7"/>
  <c r="T83" i="7" s="1"/>
  <c r="O37" i="7"/>
  <c r="T79" i="7" s="1"/>
  <c r="O35" i="7"/>
  <c r="T77" i="7" s="1"/>
  <c r="O34" i="7"/>
  <c r="T76" i="7" s="1"/>
  <c r="O31" i="7"/>
  <c r="T73" i="7" s="1"/>
  <c r="O30" i="7"/>
  <c r="T72" i="7" s="1"/>
  <c r="O29" i="7"/>
  <c r="T71" i="7" s="1"/>
  <c r="O28" i="7"/>
  <c r="T70" i="7" s="1"/>
  <c r="O27" i="7"/>
  <c r="T69" i="7" s="1"/>
  <c r="O24" i="7"/>
  <c r="T66" i="7" s="1"/>
  <c r="O23" i="7"/>
  <c r="T65" i="7" s="1"/>
  <c r="O22" i="7"/>
  <c r="T64" i="7" s="1"/>
  <c r="O21" i="7"/>
  <c r="T63" i="7" s="1"/>
  <c r="O11" i="7"/>
  <c r="T53" i="7" s="1"/>
  <c r="O13" i="7"/>
  <c r="T55" i="7" s="1"/>
  <c r="O12" i="7"/>
  <c r="T54" i="7" s="1"/>
  <c r="O7" i="7"/>
  <c r="T49" i="7" s="1"/>
  <c r="O8" i="7"/>
  <c r="T50" i="7" s="1"/>
  <c r="O6" i="7"/>
  <c r="T48" i="7" s="1"/>
  <c r="C25" i="7"/>
  <c r="D22" i="7"/>
  <c r="D23" i="7"/>
  <c r="D24" i="7"/>
  <c r="D21" i="7"/>
  <c r="Q25" i="7"/>
  <c r="O3" i="7"/>
  <c r="R25" i="7"/>
  <c r="P25" i="7"/>
  <c r="R19" i="7"/>
  <c r="Q19" i="7"/>
  <c r="P19" i="7"/>
  <c r="R14" i="7"/>
  <c r="R32" i="7" s="1"/>
  <c r="Q14" i="7"/>
  <c r="Q32" i="7" s="1"/>
  <c r="P14" i="7"/>
  <c r="P32" i="7" s="1"/>
  <c r="R9" i="7"/>
  <c r="Q9" i="7"/>
  <c r="P9" i="7"/>
  <c r="W25" i="7"/>
  <c r="V25" i="7"/>
  <c r="V67" i="7" s="1"/>
  <c r="U25" i="7"/>
  <c r="U67" i="7" s="1"/>
  <c r="T25" i="7"/>
  <c r="U19" i="7"/>
  <c r="V19" i="7"/>
  <c r="W19" i="7"/>
  <c r="T19" i="7"/>
  <c r="U14" i="7"/>
  <c r="U32" i="7" s="1"/>
  <c r="U74" i="7" s="1"/>
  <c r="V14" i="7"/>
  <c r="V32" i="7" s="1"/>
  <c r="W14" i="7"/>
  <c r="W32" i="7" s="1"/>
  <c r="W74" i="7" s="1"/>
  <c r="T14" i="7"/>
  <c r="T32" i="7" s="1"/>
  <c r="W9" i="7"/>
  <c r="V9" i="7"/>
  <c r="U9" i="7"/>
  <c r="U51" i="7" s="1"/>
  <c r="T9" i="7"/>
  <c r="Z25" i="7"/>
  <c r="AA25" i="7"/>
  <c r="AA67" i="7" s="1"/>
  <c r="AB25" i="7"/>
  <c r="Y25" i="7"/>
  <c r="Y67" i="7" s="1"/>
  <c r="Z9" i="7"/>
  <c r="AA9" i="7"/>
  <c r="AA51" i="7" s="1"/>
  <c r="AB9" i="7"/>
  <c r="Z14" i="7"/>
  <c r="Z32" i="7" s="1"/>
  <c r="AA14" i="7"/>
  <c r="AA32" i="7" s="1"/>
  <c r="AB14" i="7"/>
  <c r="AB32" i="7" s="1"/>
  <c r="Z19" i="7"/>
  <c r="AA19" i="7"/>
  <c r="AB19" i="7"/>
  <c r="Y19" i="7"/>
  <c r="Y14" i="7"/>
  <c r="Y32" i="7" s="1"/>
  <c r="Y74" i="7" s="1"/>
  <c r="Y9" i="7"/>
  <c r="D221" i="7"/>
  <c r="D207" i="7"/>
  <c r="C176" i="7"/>
  <c r="Y61" i="7" l="1"/>
  <c r="Z61" i="7"/>
  <c r="D63" i="7"/>
  <c r="AB74" i="7"/>
  <c r="V51" i="7"/>
  <c r="V61" i="7"/>
  <c r="D64" i="7"/>
  <c r="AB56" i="7"/>
  <c r="W56" i="7"/>
  <c r="AB61" i="7"/>
  <c r="AA74" i="7"/>
  <c r="Z51" i="7"/>
  <c r="Z67" i="7"/>
  <c r="W51" i="7"/>
  <c r="U61" i="7"/>
  <c r="W67" i="7"/>
  <c r="AA61" i="7"/>
  <c r="Z74" i="7"/>
  <c r="Y51" i="7"/>
  <c r="V74" i="7"/>
  <c r="W61" i="7"/>
  <c r="Y56" i="7"/>
  <c r="D65" i="7"/>
  <c r="U56" i="7"/>
  <c r="AA56" i="7"/>
  <c r="AB51" i="7"/>
  <c r="AB67" i="7"/>
  <c r="D66" i="7"/>
  <c r="V56" i="7"/>
  <c r="Z56" i="7"/>
  <c r="D25" i="7"/>
  <c r="Z33" i="7"/>
  <c r="O14" i="7"/>
  <c r="O32" i="7" s="1"/>
  <c r="T74" i="7" s="1"/>
  <c r="O25" i="7"/>
  <c r="T67" i="7" s="1"/>
  <c r="O9" i="7"/>
  <c r="T51" i="7" s="1"/>
  <c r="P33" i="7"/>
  <c r="P36" i="7" s="1"/>
  <c r="P38" i="7" s="1"/>
  <c r="P40" i="7" s="1"/>
  <c r="Q33" i="7"/>
  <c r="Q36" i="7" s="1"/>
  <c r="Q38" i="7" s="1"/>
  <c r="Q40" i="7" s="1"/>
  <c r="V33" i="7"/>
  <c r="R33" i="7"/>
  <c r="R36" i="7" s="1"/>
  <c r="R38" i="7" s="1"/>
  <c r="R40" i="7" s="1"/>
  <c r="U33" i="7"/>
  <c r="Y33" i="7"/>
  <c r="T33" i="7"/>
  <c r="W33" i="7"/>
  <c r="AB33" i="7"/>
  <c r="AA33" i="7"/>
  <c r="T56" i="7" l="1"/>
  <c r="Z36" i="7"/>
  <c r="Z75" i="7"/>
  <c r="W36" i="7"/>
  <c r="W75" i="7"/>
  <c r="D67" i="7"/>
  <c r="AB36" i="7"/>
  <c r="AB75" i="7"/>
  <c r="Y36" i="7"/>
  <c r="Y75" i="7"/>
  <c r="U36" i="7"/>
  <c r="U75" i="7"/>
  <c r="AA36" i="7"/>
  <c r="AA75" i="7"/>
  <c r="T36" i="7"/>
  <c r="V36" i="7"/>
  <c r="V75" i="7"/>
  <c r="O33" i="7"/>
  <c r="O36" i="7" s="1"/>
  <c r="O38" i="7" s="1"/>
  <c r="O40" i="7" s="1"/>
  <c r="Y38" i="7"/>
  <c r="Y78" i="7" l="1"/>
  <c r="T75" i="7"/>
  <c r="T38" i="7"/>
  <c r="Y80" i="7" s="1"/>
  <c r="T78" i="7"/>
  <c r="U38" i="7"/>
  <c r="U78" i="7"/>
  <c r="AB38" i="7"/>
  <c r="AB78" i="7"/>
  <c r="W38" i="7"/>
  <c r="W78" i="7"/>
  <c r="Y40" i="7"/>
  <c r="V38" i="7"/>
  <c r="V78" i="7"/>
  <c r="AA38" i="7"/>
  <c r="AA78" i="7"/>
  <c r="Z38" i="7"/>
  <c r="Z78" i="7"/>
  <c r="V40" i="7" l="1"/>
  <c r="V82" i="7" s="1"/>
  <c r="V80" i="7"/>
  <c r="U40" i="7"/>
  <c r="U82" i="7" s="1"/>
  <c r="U80" i="7"/>
  <c r="AA40" i="7"/>
  <c r="AA82" i="7" s="1"/>
  <c r="AA80" i="7"/>
  <c r="AB40" i="7"/>
  <c r="AB80" i="7"/>
  <c r="T40" i="7"/>
  <c r="T82" i="7" s="1"/>
  <c r="T80" i="7"/>
  <c r="Z40" i="7"/>
  <c r="Z82" i="7" s="1"/>
  <c r="Z80" i="7"/>
  <c r="W40" i="7"/>
  <c r="W82" i="7" s="1"/>
  <c r="W80" i="7"/>
  <c r="AB82" i="7" l="1"/>
  <c r="Y82" i="7"/>
  <c r="D208" i="7" l="1"/>
  <c r="C208" i="7"/>
  <c r="D177" i="7"/>
  <c r="D176" i="7"/>
  <c r="D175" i="7"/>
  <c r="D169" i="7"/>
  <c r="D166" i="7" s="1"/>
  <c r="C169" i="7"/>
  <c r="D85" i="7"/>
  <c r="D83" i="7"/>
  <c r="D79" i="7"/>
  <c r="D77" i="7"/>
  <c r="D76" i="7"/>
  <c r="D73" i="7"/>
  <c r="D72" i="7"/>
  <c r="D71" i="7"/>
  <c r="D70" i="7"/>
  <c r="D69" i="7"/>
  <c r="D55" i="7"/>
  <c r="D54" i="7"/>
  <c r="D53" i="7"/>
  <c r="D50" i="7"/>
  <c r="D49" i="7"/>
  <c r="D48" i="7"/>
  <c r="D44" i="7"/>
  <c r="C44" i="7"/>
  <c r="D18" i="7"/>
  <c r="C18" i="7"/>
  <c r="O18" i="7" s="1"/>
  <c r="T60" i="7" s="1"/>
  <c r="D17" i="7"/>
  <c r="E59" i="7" s="1"/>
  <c r="C17" i="7"/>
  <c r="D16" i="7"/>
  <c r="C16" i="7"/>
  <c r="D14" i="7"/>
  <c r="C14" i="7"/>
  <c r="C32" i="7" s="1"/>
  <c r="D9" i="7"/>
  <c r="C9" i="7"/>
  <c r="D3" i="7"/>
  <c r="B45" i="5"/>
  <c r="B53" i="5"/>
  <c r="B52" i="5"/>
  <c r="B51" i="5"/>
  <c r="B46" i="5"/>
  <c r="B48" i="5"/>
  <c r="C54" i="5"/>
  <c r="C53" i="5"/>
  <c r="C52" i="5"/>
  <c r="D52" i="5"/>
  <c r="C51" i="5"/>
  <c r="D51" i="5"/>
  <c r="O102" i="7" l="1"/>
  <c r="O103" i="7"/>
  <c r="O104" i="7"/>
  <c r="O105" i="7"/>
  <c r="D103" i="7"/>
  <c r="E103" i="7" s="1"/>
  <c r="D104" i="7"/>
  <c r="E104" i="7" s="1"/>
  <c r="D102" i="7"/>
  <c r="E102" i="7" s="1"/>
  <c r="D105" i="7"/>
  <c r="E105" i="7" s="1"/>
  <c r="D106" i="7"/>
  <c r="O16" i="7"/>
  <c r="T58" i="7" s="1"/>
  <c r="D108" i="7"/>
  <c r="E108" i="7" s="1"/>
  <c r="E51" i="7"/>
  <c r="D90" i="7"/>
  <c r="E58" i="7"/>
  <c r="D92" i="7"/>
  <c r="E60" i="7"/>
  <c r="D32" i="7"/>
  <c r="E56" i="7"/>
  <c r="E86" i="7"/>
  <c r="O17" i="7"/>
  <c r="C178" i="7"/>
  <c r="C210" i="7" s="1"/>
  <c r="D178" i="7"/>
  <c r="D210" i="7" s="1"/>
  <c r="C209" i="7"/>
  <c r="D59" i="7"/>
  <c r="D209" i="7"/>
  <c r="C166" i="7"/>
  <c r="D86" i="7"/>
  <c r="D19" i="7"/>
  <c r="D58" i="7"/>
  <c r="D60" i="7"/>
  <c r="D91" i="7"/>
  <c r="D97" i="7"/>
  <c r="D107" i="7"/>
  <c r="E107" i="7" s="1"/>
  <c r="D111" i="7"/>
  <c r="E111" i="7" s="1"/>
  <c r="C33" i="7"/>
  <c r="D100" i="7"/>
  <c r="D110" i="7"/>
  <c r="E110" i="7" s="1"/>
  <c r="D51" i="7"/>
  <c r="D56" i="7"/>
  <c r="D99" i="7"/>
  <c r="D109" i="7"/>
  <c r="E109" i="7" s="1"/>
  <c r="C19" i="7"/>
  <c r="D98" i="7"/>
  <c r="F103" i="7" l="1"/>
  <c r="E22" i="7"/>
  <c r="E64" i="7" s="1"/>
  <c r="F104" i="7"/>
  <c r="E23" i="7"/>
  <c r="E65" i="7" s="1"/>
  <c r="F107" i="7"/>
  <c r="E27" i="7"/>
  <c r="F110" i="7"/>
  <c r="E30" i="7"/>
  <c r="E72" i="7" s="1"/>
  <c r="F109" i="7"/>
  <c r="E29" i="7"/>
  <c r="E71" i="7" s="1"/>
  <c r="F111" i="7"/>
  <c r="E31" i="7"/>
  <c r="E73" i="7" s="1"/>
  <c r="F108" i="7"/>
  <c r="E28" i="7"/>
  <c r="E70" i="7" s="1"/>
  <c r="F105" i="7"/>
  <c r="E24" i="7"/>
  <c r="E66" i="7" s="1"/>
  <c r="O106" i="7"/>
  <c r="F102" i="7"/>
  <c r="E21" i="7"/>
  <c r="E61" i="7"/>
  <c r="D93" i="7"/>
  <c r="D74" i="7"/>
  <c r="D33" i="7"/>
  <c r="D211" i="7" s="1"/>
  <c r="D213" i="7" s="1"/>
  <c r="D112" i="7"/>
  <c r="O19" i="7"/>
  <c r="T61" i="7" s="1"/>
  <c r="T59" i="7"/>
  <c r="D220" i="7"/>
  <c r="C220" i="7"/>
  <c r="C211" i="7"/>
  <c r="C218" i="7" s="1"/>
  <c r="C165" i="7"/>
  <c r="C167" i="7" s="1"/>
  <c r="C180" i="7" s="1"/>
  <c r="C217" i="7" s="1"/>
  <c r="C36" i="7"/>
  <c r="C170" i="7" s="1"/>
  <c r="C171" i="7" s="1"/>
  <c r="D61" i="7"/>
  <c r="E25" i="7" l="1"/>
  <c r="E32" i="7" s="1"/>
  <c r="E112" i="7" s="1"/>
  <c r="E63" i="7"/>
  <c r="G105" i="7"/>
  <c r="F24" i="7"/>
  <c r="F66" i="7" s="1"/>
  <c r="G111" i="7"/>
  <c r="F31" i="7"/>
  <c r="F73" i="7" s="1"/>
  <c r="G110" i="7"/>
  <c r="F30" i="7"/>
  <c r="F72" i="7" s="1"/>
  <c r="G104" i="7"/>
  <c r="F23" i="7"/>
  <c r="F65" i="7" s="1"/>
  <c r="G102" i="7"/>
  <c r="F21" i="7"/>
  <c r="F63" i="7" s="1"/>
  <c r="E69" i="7"/>
  <c r="G103" i="7"/>
  <c r="F22" i="7"/>
  <c r="G108" i="7"/>
  <c r="F28" i="7"/>
  <c r="F70" i="7" s="1"/>
  <c r="G109" i="7"/>
  <c r="F29" i="7"/>
  <c r="F71" i="7" s="1"/>
  <c r="G107" i="7"/>
  <c r="F27" i="7"/>
  <c r="D75" i="7"/>
  <c r="D94" i="7"/>
  <c r="D36" i="7"/>
  <c r="D78" i="7" s="1"/>
  <c r="D165" i="7"/>
  <c r="D167" i="7" s="1"/>
  <c r="D180" i="7" s="1"/>
  <c r="D217" i="7" s="1"/>
  <c r="D218" i="7"/>
  <c r="D212" i="7"/>
  <c r="D219" i="7" s="1"/>
  <c r="D215" i="7"/>
  <c r="C212" i="7"/>
  <c r="C213" i="7"/>
  <c r="C38" i="7"/>
  <c r="F25" i="7" l="1"/>
  <c r="F32" i="7" s="1"/>
  <c r="F112" i="7" s="1"/>
  <c r="F64" i="7"/>
  <c r="H109" i="7"/>
  <c r="G29" i="7"/>
  <c r="G71" i="7" s="1"/>
  <c r="H103" i="7"/>
  <c r="G22" i="7"/>
  <c r="G64" i="7" s="1"/>
  <c r="H102" i="7"/>
  <c r="G63" i="7"/>
  <c r="H110" i="7"/>
  <c r="G30" i="7"/>
  <c r="G72" i="7" s="1"/>
  <c r="H105" i="7"/>
  <c r="G24" i="7"/>
  <c r="G66" i="7" s="1"/>
  <c r="F69" i="7"/>
  <c r="H107" i="7"/>
  <c r="G27" i="7"/>
  <c r="G69" i="7" s="1"/>
  <c r="H108" i="7"/>
  <c r="G28" i="7"/>
  <c r="G70" i="7" s="1"/>
  <c r="E33" i="7"/>
  <c r="E74" i="7"/>
  <c r="H104" i="7"/>
  <c r="G23" i="7"/>
  <c r="H111" i="7"/>
  <c r="G31" i="7"/>
  <c r="G73" i="7" s="1"/>
  <c r="E106" i="7"/>
  <c r="E67" i="7"/>
  <c r="D38" i="7"/>
  <c r="D95" i="7" s="1"/>
  <c r="D170" i="7"/>
  <c r="D171" i="7" s="1"/>
  <c r="C214" i="7"/>
  <c r="C219" i="7"/>
  <c r="D214" i="7"/>
  <c r="D216" i="7"/>
  <c r="C40" i="7"/>
  <c r="D40" i="7"/>
  <c r="D80" i="7"/>
  <c r="E211" i="7" l="1"/>
  <c r="E212" i="7" s="1"/>
  <c r="E165" i="7"/>
  <c r="E215" i="7"/>
  <c r="G25" i="7"/>
  <c r="G32" i="7" s="1"/>
  <c r="G65" i="7"/>
  <c r="I108" i="7"/>
  <c r="H28" i="7"/>
  <c r="H70" i="7" s="1"/>
  <c r="I103" i="7"/>
  <c r="H22" i="7"/>
  <c r="H64" i="7" s="1"/>
  <c r="I111" i="7"/>
  <c r="H31" i="7"/>
  <c r="H73" i="7" s="1"/>
  <c r="E36" i="7"/>
  <c r="E170" i="7" s="1"/>
  <c r="E94" i="7"/>
  <c r="E75" i="7"/>
  <c r="I107" i="7"/>
  <c r="H27" i="7"/>
  <c r="H69" i="7" s="1"/>
  <c r="I105" i="7"/>
  <c r="H24" i="7"/>
  <c r="H66" i="7" s="1"/>
  <c r="I102" i="7"/>
  <c r="H21" i="7"/>
  <c r="H63" i="7" s="1"/>
  <c r="I109" i="7"/>
  <c r="H29" i="7"/>
  <c r="H71" i="7" s="1"/>
  <c r="I104" i="7"/>
  <c r="H23" i="7"/>
  <c r="H65" i="7" s="1"/>
  <c r="F33" i="7"/>
  <c r="F74" i="7"/>
  <c r="I110" i="7"/>
  <c r="H30" i="7"/>
  <c r="H72" i="7" s="1"/>
  <c r="F106" i="7"/>
  <c r="F67" i="7"/>
  <c r="D82" i="7"/>
  <c r="E213" i="7" l="1"/>
  <c r="F211" i="7"/>
  <c r="F212" i="7" s="1"/>
  <c r="F165" i="7"/>
  <c r="E214" i="7"/>
  <c r="E216" i="7"/>
  <c r="G33" i="7"/>
  <c r="G165" i="7" s="1"/>
  <c r="G112" i="7"/>
  <c r="G74" i="7"/>
  <c r="G106" i="7"/>
  <c r="G67" i="7"/>
  <c r="H25" i="7"/>
  <c r="H32" i="7" s="1"/>
  <c r="E37" i="7"/>
  <c r="E78" i="7"/>
  <c r="J110" i="7"/>
  <c r="J30" i="7" s="1"/>
  <c r="I30" i="7"/>
  <c r="I72" i="7" s="1"/>
  <c r="J102" i="7"/>
  <c r="J21" i="7" s="1"/>
  <c r="I21" i="7"/>
  <c r="I63" i="7" s="1"/>
  <c r="J107" i="7"/>
  <c r="J27" i="7" s="1"/>
  <c r="I27" i="7"/>
  <c r="I69" i="7" s="1"/>
  <c r="J103" i="7"/>
  <c r="J22" i="7" s="1"/>
  <c r="I22" i="7"/>
  <c r="I64" i="7" s="1"/>
  <c r="G94" i="7"/>
  <c r="J104" i="7"/>
  <c r="J23" i="7" s="1"/>
  <c r="I23" i="7"/>
  <c r="I65" i="7" s="1"/>
  <c r="J111" i="7"/>
  <c r="J31" i="7" s="1"/>
  <c r="I31" i="7"/>
  <c r="I73" i="7" s="1"/>
  <c r="F36" i="7"/>
  <c r="F170" i="7" s="1"/>
  <c r="F94" i="7"/>
  <c r="F75" i="7"/>
  <c r="J109" i="7"/>
  <c r="J29" i="7" s="1"/>
  <c r="I29" i="7"/>
  <c r="I71" i="7" s="1"/>
  <c r="J105" i="7"/>
  <c r="J24" i="7" s="1"/>
  <c r="I24" i="7"/>
  <c r="I66" i="7" s="1"/>
  <c r="J108" i="7"/>
  <c r="J28" i="7" s="1"/>
  <c r="I28" i="7"/>
  <c r="I70" i="7" s="1"/>
  <c r="C48" i="5"/>
  <c r="D48" i="5"/>
  <c r="C46" i="5"/>
  <c r="C45" i="5"/>
  <c r="D45" i="5"/>
  <c r="C43" i="5"/>
  <c r="D43" i="5"/>
  <c r="B43" i="5"/>
  <c r="C44" i="5"/>
  <c r="D44" i="5"/>
  <c r="B44" i="5"/>
  <c r="C42" i="5"/>
  <c r="D42" i="5"/>
  <c r="D47" i="5" s="1"/>
  <c r="D49" i="5" s="1"/>
  <c r="B42" i="5"/>
  <c r="F213" i="7" l="1"/>
  <c r="F215" i="7"/>
  <c r="E79" i="7"/>
  <c r="E169" i="7"/>
  <c r="G36" i="7"/>
  <c r="G170" i="7" s="1"/>
  <c r="G75" i="7"/>
  <c r="G211" i="7"/>
  <c r="F214" i="7"/>
  <c r="F216" i="7"/>
  <c r="D50" i="5"/>
  <c r="D54" i="5"/>
  <c r="J66" i="7"/>
  <c r="J69" i="7"/>
  <c r="J73" i="7"/>
  <c r="J72" i="7"/>
  <c r="J65" i="7"/>
  <c r="J63" i="7"/>
  <c r="H33" i="7"/>
  <c r="H112" i="7"/>
  <c r="H74" i="7"/>
  <c r="J71" i="7"/>
  <c r="G78" i="7"/>
  <c r="H106" i="7"/>
  <c r="H67" i="7"/>
  <c r="J70" i="7"/>
  <c r="J64" i="7"/>
  <c r="I25" i="7"/>
  <c r="I32" i="7" s="1"/>
  <c r="F37" i="7"/>
  <c r="F78" i="7"/>
  <c r="J25" i="7"/>
  <c r="J32" i="7" s="1"/>
  <c r="E38" i="7"/>
  <c r="C47" i="5"/>
  <c r="C49" i="5" s="1"/>
  <c r="C50" i="5" s="1"/>
  <c r="B47" i="5"/>
  <c r="B49" i="5" s="1"/>
  <c r="H94" i="7" l="1"/>
  <c r="H165" i="7"/>
  <c r="E166" i="7"/>
  <c r="E167" i="7" s="1"/>
  <c r="E217" i="7" s="1"/>
  <c r="E171" i="7"/>
  <c r="F79" i="7"/>
  <c r="F169" i="7"/>
  <c r="G37" i="7"/>
  <c r="G169" i="7" s="1"/>
  <c r="G212" i="7"/>
  <c r="G213" i="7"/>
  <c r="G215" i="7"/>
  <c r="H75" i="7"/>
  <c r="H211" i="7"/>
  <c r="H36" i="7"/>
  <c r="F38" i="7"/>
  <c r="F115" i="7" s="1"/>
  <c r="F120" i="7" s="1"/>
  <c r="F122" i="7" s="1"/>
  <c r="J33" i="7"/>
  <c r="J165" i="7" s="1"/>
  <c r="J74" i="7"/>
  <c r="J112" i="7"/>
  <c r="E40" i="7"/>
  <c r="E82" i="7" s="1"/>
  <c r="E115" i="7"/>
  <c r="E120" i="7" s="1"/>
  <c r="E122" i="7" s="1"/>
  <c r="I33" i="7"/>
  <c r="I165" i="7" s="1"/>
  <c r="I112" i="7"/>
  <c r="I74" i="7"/>
  <c r="J106" i="7"/>
  <c r="J67" i="7"/>
  <c r="I106" i="7"/>
  <c r="I67" i="7"/>
  <c r="H37" i="7"/>
  <c r="H169" i="7" s="1"/>
  <c r="E95" i="7"/>
  <c r="E80" i="7"/>
  <c r="F80" i="7"/>
  <c r="B50" i="5"/>
  <c r="G79" i="7" l="1"/>
  <c r="G166" i="7"/>
  <c r="G167" i="7" s="1"/>
  <c r="G217" i="7" s="1"/>
  <c r="G171" i="7"/>
  <c r="H166" i="7"/>
  <c r="H167" i="7" s="1"/>
  <c r="H217" i="7" s="1"/>
  <c r="F166" i="7"/>
  <c r="F167" i="7" s="1"/>
  <c r="F217" i="7" s="1"/>
  <c r="F171" i="7"/>
  <c r="F95" i="7"/>
  <c r="G38" i="7"/>
  <c r="G115" i="7" s="1"/>
  <c r="G120" i="7" s="1"/>
  <c r="G122" i="7" s="1"/>
  <c r="F40" i="7"/>
  <c r="H78" i="7"/>
  <c r="H170" i="7"/>
  <c r="H171" i="7" s="1"/>
  <c r="I75" i="7"/>
  <c r="I211" i="7"/>
  <c r="E127" i="7"/>
  <c r="E131" i="7" s="1"/>
  <c r="E123" i="7"/>
  <c r="E221" i="7" s="1"/>
  <c r="J94" i="7"/>
  <c r="J211" i="7"/>
  <c r="H212" i="7"/>
  <c r="H213" i="7"/>
  <c r="H215" i="7"/>
  <c r="J36" i="7"/>
  <c r="F123" i="7"/>
  <c r="F221" i="7" s="1"/>
  <c r="F127" i="7"/>
  <c r="G214" i="7"/>
  <c r="G216" i="7"/>
  <c r="H38" i="7"/>
  <c r="H79" i="7"/>
  <c r="G95" i="7"/>
  <c r="F82" i="7"/>
  <c r="I94" i="7"/>
  <c r="I36" i="7"/>
  <c r="J75" i="7"/>
  <c r="B81" i="1"/>
  <c r="C81" i="1"/>
  <c r="D81" i="1"/>
  <c r="G80" i="7" l="1"/>
  <c r="G40" i="7"/>
  <c r="G82" i="7" s="1"/>
  <c r="I78" i="7"/>
  <c r="I170" i="7"/>
  <c r="J37" i="7"/>
  <c r="J169" i="7" s="1"/>
  <c r="J166" i="7" s="1"/>
  <c r="J167" i="7" s="1"/>
  <c r="J217" i="7" s="1"/>
  <c r="J170" i="7"/>
  <c r="J171" i="7" s="1"/>
  <c r="I213" i="7"/>
  <c r="I215" i="7"/>
  <c r="I212" i="7"/>
  <c r="J213" i="7"/>
  <c r="J215" i="7"/>
  <c r="J212" i="7"/>
  <c r="G123" i="7"/>
  <c r="G221" i="7" s="1"/>
  <c r="G127" i="7"/>
  <c r="H214" i="7"/>
  <c r="H216" i="7"/>
  <c r="E207" i="7"/>
  <c r="E209" i="7" s="1"/>
  <c r="F131" i="7"/>
  <c r="I37" i="7"/>
  <c r="J78" i="7"/>
  <c r="J38" i="7"/>
  <c r="H95" i="7"/>
  <c r="H115" i="7"/>
  <c r="H120" i="7" s="1"/>
  <c r="H122" i="7" s="1"/>
  <c r="H40" i="7"/>
  <c r="H80" i="7"/>
  <c r="C17" i="3"/>
  <c r="B17" i="3"/>
  <c r="C16" i="3"/>
  <c r="B16" i="3"/>
  <c r="C15" i="3"/>
  <c r="B15" i="3"/>
  <c r="C14" i="3"/>
  <c r="B14" i="3"/>
  <c r="C14" i="2"/>
  <c r="C15" i="2"/>
  <c r="C16" i="2"/>
  <c r="C17" i="2"/>
  <c r="B15" i="2"/>
  <c r="B16" i="2"/>
  <c r="B17" i="2"/>
  <c r="B14" i="2"/>
  <c r="B79" i="1"/>
  <c r="B80" i="1"/>
  <c r="B78" i="1"/>
  <c r="D42" i="1"/>
  <c r="D43" i="1"/>
  <c r="D44" i="1"/>
  <c r="D47" i="1"/>
  <c r="D48" i="1"/>
  <c r="D49" i="1"/>
  <c r="D57" i="1"/>
  <c r="D58" i="1"/>
  <c r="D59" i="1"/>
  <c r="D60" i="1"/>
  <c r="D61" i="1"/>
  <c r="D64" i="1"/>
  <c r="D65" i="1"/>
  <c r="D67" i="1"/>
  <c r="D71" i="1"/>
  <c r="D73" i="1"/>
  <c r="C43" i="1"/>
  <c r="C44" i="1"/>
  <c r="C47" i="1"/>
  <c r="C48" i="1"/>
  <c r="C49" i="1"/>
  <c r="C57" i="1"/>
  <c r="C58" i="1"/>
  <c r="C59" i="1"/>
  <c r="C60" i="1"/>
  <c r="C61" i="1"/>
  <c r="C64" i="1"/>
  <c r="C65" i="1"/>
  <c r="C67" i="1"/>
  <c r="C71" i="1"/>
  <c r="C73" i="1"/>
  <c r="C42" i="1"/>
  <c r="C38" i="1"/>
  <c r="D38" i="1"/>
  <c r="B38" i="1"/>
  <c r="I79" i="7" l="1"/>
  <c r="I169" i="7"/>
  <c r="I166" i="7" s="1"/>
  <c r="I167" i="7" s="1"/>
  <c r="I217" i="7" s="1"/>
  <c r="G131" i="7"/>
  <c r="F207" i="7"/>
  <c r="F209" i="7" s="1"/>
  <c r="J214" i="7"/>
  <c r="J216" i="7"/>
  <c r="I214" i="7"/>
  <c r="I216" i="7"/>
  <c r="H123" i="7"/>
  <c r="H221" i="7" s="1"/>
  <c r="H127" i="7"/>
  <c r="E219" i="7"/>
  <c r="E218" i="7"/>
  <c r="E220" i="7"/>
  <c r="J79" i="7"/>
  <c r="I38" i="7"/>
  <c r="I40" i="7" s="1"/>
  <c r="I82" i="7" s="1"/>
  <c r="H82" i="7"/>
  <c r="J95" i="7"/>
  <c r="J115" i="7"/>
  <c r="J120" i="7" s="1"/>
  <c r="J122" i="7" s="1"/>
  <c r="J40" i="7"/>
  <c r="D74" i="1"/>
  <c r="C74" i="1"/>
  <c r="B14" i="1"/>
  <c r="B9" i="1"/>
  <c r="B6" i="4"/>
  <c r="C6" i="4"/>
  <c r="D6" i="4"/>
  <c r="E6" i="4"/>
  <c r="F6" i="4"/>
  <c r="G6" i="4"/>
  <c r="C1" i="4"/>
  <c r="D1" i="4" s="1"/>
  <c r="E1" i="4" s="1"/>
  <c r="F1" i="4" s="1"/>
  <c r="G1" i="4" s="1"/>
  <c r="B10" i="3"/>
  <c r="C10" i="3"/>
  <c r="C1" i="3"/>
  <c r="B10" i="2"/>
  <c r="C10" i="2"/>
  <c r="C1" i="2"/>
  <c r="C16" i="1"/>
  <c r="C17" i="1"/>
  <c r="C18" i="1"/>
  <c r="D17" i="1"/>
  <c r="D79" i="1" s="1"/>
  <c r="D18" i="1"/>
  <c r="D16" i="1"/>
  <c r="D78" i="1" s="1"/>
  <c r="C14" i="1"/>
  <c r="D14" i="1"/>
  <c r="C9" i="1"/>
  <c r="D9" i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I171" i="7" l="1"/>
  <c r="I80" i="7"/>
  <c r="F218" i="7"/>
  <c r="F220" i="7"/>
  <c r="F219" i="7"/>
  <c r="J123" i="7"/>
  <c r="J221" i="7" s="1"/>
  <c r="J127" i="7"/>
  <c r="H131" i="7"/>
  <c r="G207" i="7"/>
  <c r="G209" i="7" s="1"/>
  <c r="I115" i="7"/>
  <c r="I120" i="7" s="1"/>
  <c r="I122" i="7" s="1"/>
  <c r="J80" i="7"/>
  <c r="I95" i="7"/>
  <c r="J82" i="7"/>
  <c r="C87" i="1"/>
  <c r="C54" i="1"/>
  <c r="C80" i="1"/>
  <c r="C11" i="2"/>
  <c r="C19" i="2" s="1"/>
  <c r="C18" i="2"/>
  <c r="B11" i="3"/>
  <c r="B19" i="3" s="1"/>
  <c r="B18" i="3"/>
  <c r="C53" i="1"/>
  <c r="C79" i="1"/>
  <c r="B11" i="2"/>
  <c r="B19" i="2" s="1"/>
  <c r="B18" i="2"/>
  <c r="B89" i="1"/>
  <c r="B88" i="1"/>
  <c r="B84" i="1"/>
  <c r="B92" i="1"/>
  <c r="B90" i="1"/>
  <c r="B85" i="1"/>
  <c r="B91" i="1"/>
  <c r="B86" i="1"/>
  <c r="D50" i="1"/>
  <c r="D87" i="1"/>
  <c r="D84" i="1"/>
  <c r="D86" i="1"/>
  <c r="D88" i="1"/>
  <c r="D90" i="1"/>
  <c r="D92" i="1"/>
  <c r="D85" i="1"/>
  <c r="D89" i="1"/>
  <c r="D91" i="1"/>
  <c r="C86" i="1"/>
  <c r="C90" i="1"/>
  <c r="C92" i="1"/>
  <c r="C85" i="1"/>
  <c r="C89" i="1"/>
  <c r="C91" i="1"/>
  <c r="C84" i="1"/>
  <c r="C88" i="1"/>
  <c r="D54" i="1"/>
  <c r="D80" i="1"/>
  <c r="C52" i="1"/>
  <c r="C78" i="1"/>
  <c r="B87" i="1"/>
  <c r="B26" i="1"/>
  <c r="C11" i="3"/>
  <c r="C19" i="3" s="1"/>
  <c r="C18" i="3"/>
  <c r="C45" i="1"/>
  <c r="C19" i="1"/>
  <c r="C50" i="1"/>
  <c r="D26" i="1"/>
  <c r="D19" i="1"/>
  <c r="D55" i="1" s="1"/>
  <c r="D45" i="1"/>
  <c r="D52" i="1"/>
  <c r="D53" i="1"/>
  <c r="D27" i="1"/>
  <c r="B19" i="1"/>
  <c r="C26" i="1"/>
  <c r="B27" i="1"/>
  <c r="I123" i="7" l="1"/>
  <c r="I221" i="7" s="1"/>
  <c r="I127" i="7"/>
  <c r="I131" i="7" s="1"/>
  <c r="G218" i="7"/>
  <c r="G220" i="7"/>
  <c r="G219" i="7"/>
  <c r="H207" i="7"/>
  <c r="H209" i="7" s="1"/>
  <c r="C93" i="1"/>
  <c r="D93" i="1"/>
  <c r="B93" i="1"/>
  <c r="C27" i="1"/>
  <c r="C62" i="1"/>
  <c r="C55" i="1"/>
  <c r="D30" i="1"/>
  <c r="D63" i="1"/>
  <c r="D62" i="1"/>
  <c r="B30" i="1"/>
  <c r="B32" i="1" s="1"/>
  <c r="J131" i="7" l="1"/>
  <c r="J207" i="7" s="1"/>
  <c r="J209" i="7" s="1"/>
  <c r="J218" i="7" s="1"/>
  <c r="I207" i="7"/>
  <c r="I209" i="7" s="1"/>
  <c r="H219" i="7"/>
  <c r="H220" i="7"/>
  <c r="H218" i="7"/>
  <c r="B34" i="1"/>
  <c r="B82" i="1"/>
  <c r="D32" i="1"/>
  <c r="D82" i="1" s="1"/>
  <c r="C30" i="1"/>
  <c r="C63" i="1"/>
  <c r="I218" i="7" l="1"/>
  <c r="I220" i="7"/>
  <c r="I219" i="7"/>
  <c r="J219" i="7"/>
  <c r="J220" i="7"/>
  <c r="D34" i="1"/>
  <c r="C32" i="1"/>
  <c r="C82" i="1" s="1"/>
  <c r="C66" i="1"/>
  <c r="D66" i="1"/>
  <c r="C34" i="1" l="1"/>
  <c r="C70" i="1" s="1"/>
  <c r="C68" i="1"/>
  <c r="D68" i="1"/>
  <c r="D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tc={08522C40-461C-E049-909A-097CFA6B4B97}</author>
    <author>tc={FBDE916C-BEFD-D44C-913B-A5A5A8BEACCB}</author>
  </authors>
  <commentList>
    <comment ref="K43" authorId="0" shapeId="0" xr:uid="{08522C40-461C-E049-909A-097CFA6B4B97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Target - FY24</t>
      </text>
    </comment>
    <comment ref="M43" authorId="1" shapeId="0" xr:uid="{FBDE916C-BEFD-D44C-913B-A5A5A8BEACCB}">
      <text>
        <t>[Threaded comment]
Your version of Excel allows you to read this threaded comment; however, any edits to it will get removed if the file is opened in a newer version of Excel. Learn more: https://go.microsoft.com/fwlink/?linkid=870924
Comment:
    2032 Target - FY24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tc={FE66E02B-635E-DE47-AA6C-F808EA57DA6F}</author>
    <author>tc={A2AF3F18-37C5-404A-8153-E95A1AD8919B}</author>
  </authors>
  <commentList>
    <comment ref="K37" authorId="0" shapeId="0" xr:uid="{FE66E02B-635E-DE47-AA6C-F808EA57DA6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Target - FY24</t>
      </text>
    </comment>
    <comment ref="M37" authorId="1" shapeId="0" xr:uid="{A2AF3F18-37C5-404A-8153-E95A1AD8919B}">
      <text>
        <t>[Threaded comment]
Your version of Excel allows you to read this threaded comment; however, any edits to it will get removed if the file is opened in a newer version of Excel. Learn more: https://go.microsoft.com/fwlink/?linkid=870924
Comment:
    2032 Target - FY24</t>
      </text>
    </comment>
  </commentList>
</comments>
</file>

<file path=xl/sharedStrings.xml><?xml version="1.0" encoding="utf-8"?>
<sst xmlns="http://schemas.openxmlformats.org/spreadsheetml/2006/main" count="471" uniqueCount="182">
  <si>
    <t>CAVA</t>
  </si>
  <si>
    <t>Results of Operations ($ Thousands):</t>
  </si>
  <si>
    <t>Revenue:</t>
  </si>
  <si>
    <t>Zoes Kitchen</t>
  </si>
  <si>
    <t xml:space="preserve">Other </t>
  </si>
  <si>
    <t>Total revenue</t>
  </si>
  <si>
    <t>Restaurant-level operating expenses:</t>
  </si>
  <si>
    <t>Restaurant-level operating profit (loss):</t>
  </si>
  <si>
    <t>Total restaurant-level profit</t>
  </si>
  <si>
    <t>Overhead Expenses:</t>
  </si>
  <si>
    <t>G&amp;A</t>
  </si>
  <si>
    <t>A&amp;D</t>
  </si>
  <si>
    <t>Restructuring</t>
  </si>
  <si>
    <t>pre-opening costs</t>
  </si>
  <si>
    <t>Impairment and asset disposal costs</t>
  </si>
  <si>
    <t xml:space="preserve">Intererst (income) expense, net </t>
  </si>
  <si>
    <t>Other income, net</t>
  </si>
  <si>
    <t>Income (loss) before income taxes</t>
  </si>
  <si>
    <t>Total restaurant-level operating expenses</t>
  </si>
  <si>
    <t>CAVA Segment Results</t>
  </si>
  <si>
    <t>Restaurant revenue</t>
  </si>
  <si>
    <t>Food, beverage, and packaging</t>
  </si>
  <si>
    <t xml:space="preserve">Labor </t>
  </si>
  <si>
    <t>Occupancy</t>
  </si>
  <si>
    <t>Other operating expenses</t>
  </si>
  <si>
    <t>Total restaurant operating expenses</t>
  </si>
  <si>
    <t xml:space="preserve">Restaurant-level profit </t>
  </si>
  <si>
    <t>Restaurant operating expense (ex A&amp;D):</t>
  </si>
  <si>
    <t>Zoes Kitchen Segment Results</t>
  </si>
  <si>
    <t>Other Results Segment</t>
  </si>
  <si>
    <t>Revenue</t>
  </si>
  <si>
    <t>Operating-level profit</t>
  </si>
  <si>
    <t>Total operating expenses</t>
  </si>
  <si>
    <t>Operating income (loss)</t>
  </si>
  <si>
    <t>Income taxes</t>
  </si>
  <si>
    <t>Net income (loss)</t>
  </si>
  <si>
    <t xml:space="preserve">Diluted EPS </t>
  </si>
  <si>
    <t>Diluted Shares</t>
  </si>
  <si>
    <t xml:space="preserve"> </t>
  </si>
  <si>
    <t>Locations</t>
  </si>
  <si>
    <t>Revenue/Store</t>
  </si>
  <si>
    <t>Growth Rates</t>
  </si>
  <si>
    <t>Ratios</t>
  </si>
  <si>
    <t>Net margin</t>
  </si>
  <si>
    <t>Expenses as % of total revenue:</t>
  </si>
  <si>
    <t>Cava</t>
  </si>
  <si>
    <t>Operating margin:</t>
  </si>
  <si>
    <t>Overall</t>
  </si>
  <si>
    <t>CONSOLIDATED BALANCE SHEETS - USD ($) $ in Thousands</t>
  </si>
  <si>
    <t>Current assets:</t>
  </si>
  <si>
    <t>Cash and cash equivalents</t>
  </si>
  <si>
    <t>Trade accounts receivable, net</t>
  </si>
  <si>
    <t>Other accounts receivable</t>
  </si>
  <si>
    <t>Inventories</t>
  </si>
  <si>
    <t>Prepaid expenses and other</t>
  </si>
  <si>
    <t>Total current assets</t>
  </si>
  <si>
    <t>Property and equipment, net</t>
  </si>
  <si>
    <t>Operating lease assets</t>
  </si>
  <si>
    <t>Goodwill</t>
  </si>
  <si>
    <t>Intangible assets, net</t>
  </si>
  <si>
    <t>Other long-term assets</t>
  </si>
  <si>
    <t>Total assets</t>
  </si>
  <si>
    <t>Current liabilities:</t>
  </si>
  <si>
    <t>Accounts payable</t>
  </si>
  <si>
    <t>Accrued expenses and other</t>
  </si>
  <si>
    <t>Operating lease liabilities - current</t>
  </si>
  <si>
    <t>Total current liabilities</t>
  </si>
  <si>
    <t>Deferred income taxes</t>
  </si>
  <si>
    <t>Operating lease liabilities</t>
  </si>
  <si>
    <t>Other long-term liabilities</t>
  </si>
  <si>
    <t>Total liabilities</t>
  </si>
  <si>
    <t>Commitments and Contingencies (Note 12)</t>
  </si>
  <si>
    <t>Preferred stock:</t>
  </si>
  <si>
    <t>Redeemable preferred stock, par value $0.0001 per share; 250,000 and 111,874 shares authorized; zero and 95,204 shares issued and outstanding, respectively</t>
  </si>
  <si>
    <t>Stockholders' equity:</t>
  </si>
  <si>
    <t>Common stock, par value $0.0001 per share; 2,500,000 and 150,000 shares authorized; 113,708 and 1,409 issued and outstanding, respectively</t>
  </si>
  <si>
    <t>Treasury stock, at cost; 1,086 shares and 886 shares, respectively</t>
  </si>
  <si>
    <t>Additional paid-in capital</t>
  </si>
  <si>
    <t>Accumulated deficit</t>
  </si>
  <si>
    <t>Total stockholders’ equity</t>
  </si>
  <si>
    <t>Total liabilities, preferred stock and stockholders' equity</t>
  </si>
  <si>
    <t>Dec. 25, 2022</t>
  </si>
  <si>
    <t> </t>
  </si>
  <si>
    <t>Dec. 31, 2023</t>
  </si>
  <si>
    <t>Net income</t>
  </si>
  <si>
    <t>Depreciation and amort</t>
  </si>
  <si>
    <t>Stock based compensation</t>
  </si>
  <si>
    <t>Other</t>
  </si>
  <si>
    <t>Working capital, net</t>
  </si>
  <si>
    <t>Net cash flow from operations</t>
  </si>
  <si>
    <t>Capital spending</t>
  </si>
  <si>
    <t>Excess cash flow from operations</t>
  </si>
  <si>
    <t>Excess cash flow/share</t>
  </si>
  <si>
    <t>Share repurchases, net</t>
  </si>
  <si>
    <t>Net change in cash</t>
  </si>
  <si>
    <t>CONSOLIDATED STATEMENTS OF CASH FLOWS - USD ($) $ in Thousands</t>
  </si>
  <si>
    <t>Cash flows from operating activities:</t>
  </si>
  <si>
    <t>Adjustments to reconcile net income (loss) to net cash provided by operating activities:</t>
  </si>
  <si>
    <t>Depreciation</t>
  </si>
  <si>
    <t>Amortization of intangible assets</t>
  </si>
  <si>
    <t>Equity-based compensation</t>
  </si>
  <si>
    <t>Gain on extinguishment of debt</t>
  </si>
  <si>
    <t>Changes in operating assets and liabilities:</t>
  </si>
  <si>
    <t>Trade accounts receivable</t>
  </si>
  <si>
    <t>Deferred rent</t>
  </si>
  <si>
    <t>Net cash provided by operating activities</t>
  </si>
  <si>
    <t>Cash flows from investing activities:</t>
  </si>
  <si>
    <t>Purchase of property and equipment</t>
  </si>
  <si>
    <t>Net cash used in investing activities</t>
  </si>
  <si>
    <t>Cash flows from financing activities:</t>
  </si>
  <si>
    <t>Proceeds from Series F convertible Preferred Stock, net of issuance costs $7.9 million</t>
  </si>
  <si>
    <t>Proceeds from Delayed Draw Term Loan</t>
  </si>
  <si>
    <t>Payments on Delayed Draw Term Loan</t>
  </si>
  <si>
    <t>Payments on 2020 Credit Facility</t>
  </si>
  <si>
    <t>Purchase of treasury stock</t>
  </si>
  <si>
    <t>Shares purchased under equity plans</t>
  </si>
  <si>
    <t>Proceeds from initial public offering, net of underwriting fees of $22.8 million</t>
  </si>
  <si>
    <t>Offering costs paid</t>
  </si>
  <si>
    <t>Payment of loan acquisition fees</t>
  </si>
  <si>
    <t>Proceeds from deemed landlord financing, net of financing lease payments</t>
  </si>
  <si>
    <t>Net cash provided by (used in) financing activities</t>
  </si>
  <si>
    <t>Net change in cash and cash equivalents</t>
  </si>
  <si>
    <t>Cash and cash equivalents - beginning of year</t>
  </si>
  <si>
    <t>Cash and cash equivalents - end of year</t>
  </si>
  <si>
    <t>Funds Flow</t>
  </si>
  <si>
    <t>Debt, net</t>
  </si>
  <si>
    <t>Operating income</t>
  </si>
  <si>
    <t>Taxes</t>
  </si>
  <si>
    <t>NOPAT</t>
  </si>
  <si>
    <t>Pre-tax income</t>
  </si>
  <si>
    <t>Effective tax rate</t>
  </si>
  <si>
    <t>Invested capital</t>
  </si>
  <si>
    <t>Net working capital</t>
  </si>
  <si>
    <t>PP&amp;E</t>
  </si>
  <si>
    <t>Other assets</t>
  </si>
  <si>
    <t xml:space="preserve">  Total</t>
  </si>
  <si>
    <t>Return on invested capital (ROIC)</t>
  </si>
  <si>
    <t>DCF</t>
  </si>
  <si>
    <t>Tax rate</t>
  </si>
  <si>
    <t>Free cash flow</t>
  </si>
  <si>
    <t>NPV</t>
  </si>
  <si>
    <t>Assumed growth rate</t>
  </si>
  <si>
    <t>Assumed cost of capital</t>
  </si>
  <si>
    <t>Net debt</t>
  </si>
  <si>
    <t>Equity Capitalization</t>
  </si>
  <si>
    <t>Shares outstanding</t>
  </si>
  <si>
    <t>Estimated stock price</t>
  </si>
  <si>
    <t>Ending year end stock price</t>
  </si>
  <si>
    <t>Market capitalization</t>
  </si>
  <si>
    <t>Total market value</t>
  </si>
  <si>
    <t>EBITD</t>
  </si>
  <si>
    <t>EBITD margin</t>
  </si>
  <si>
    <t>EBITD growth</t>
  </si>
  <si>
    <t>ROIC</t>
  </si>
  <si>
    <t>TMV/EBITD (trailing)</t>
  </si>
  <si>
    <t>TMV/invested capital</t>
  </si>
  <si>
    <t>Excess cash flow yield</t>
  </si>
  <si>
    <t xml:space="preserve">Adj EBITD </t>
  </si>
  <si>
    <t>Adj EBITD margin</t>
  </si>
  <si>
    <t>Adj EBITD growth</t>
  </si>
  <si>
    <t>TMV/Adj EBITD</t>
  </si>
  <si>
    <t>2024 E</t>
  </si>
  <si>
    <t>2025 E</t>
  </si>
  <si>
    <t>Q1</t>
  </si>
  <si>
    <t>Q2</t>
  </si>
  <si>
    <t>Q3</t>
  </si>
  <si>
    <t>Q4</t>
  </si>
  <si>
    <t>Q2 E</t>
  </si>
  <si>
    <t>Q3 E</t>
  </si>
  <si>
    <t>Q4 E</t>
  </si>
  <si>
    <t>Restaurant operating expenses (excluding depreciation and amortization):</t>
  </si>
  <si>
    <t>Labor</t>
  </si>
  <si>
    <t>Gross margin:</t>
  </si>
  <si>
    <t>Operating margin</t>
  </si>
  <si>
    <t>2026 E</t>
  </si>
  <si>
    <t>2027 E</t>
  </si>
  <si>
    <t>2028 E</t>
  </si>
  <si>
    <t>2029 E</t>
  </si>
  <si>
    <t>2030 E</t>
  </si>
  <si>
    <t>2031 E</t>
  </si>
  <si>
    <t>2032 E</t>
  </si>
  <si>
    <t>Net debt/Market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</si>
</sst>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[$$-409]* #,##0.00_);_([$$-409]* \(#,##0.00\);_([$$-409]* &quot;-&quot;??_);_(@_)"/>
    <numFmt numFmtId="165" formatCode="_([$$-409]* #,##0_);_([$$-409]* \(#,##0\);_([$$-409]* &quot;-&quot;??_);_(@_)"/>
    <numFmt numFmtId="166" formatCode="_(&quot;$ &quot;#,##0_);_(&quot;$ &quot;\(#,##0\)"/>
    <numFmt numFmtId="167" formatCode="&quot;$&quot;#,##0_);\(&quot;$&quot;#,##0\)"/>
    <numFmt numFmtId="168" formatCode="&quot;$&quot;#,##0.0_);\(&quot;$&quot;#,##0.0\)"/>
    <numFmt numFmtId="169" formatCode="0.0"/>
    <numFmt numFmtId="170" formatCode="&quot;$&quot;#,##0;\-&quot;$&quot;#,##0"/>
    <numFmt numFmtId="171" formatCode="0.0%"/>
    <numFmt numFmtId="172" formatCode="_([$$-409]* #,##0.0_);_([$$-409]* \(#,##0.0\);_([$$-409]* &quot;-&quot;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name val="Calibri (Body)"/>
    </font>
    <font>
      <sz val="12"/>
      <color rgb="FF006100"/>
      <name val="Calibri (Body)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b/>
      <u val="singleAccounting"/>
      <sz val="12"/>
      <color rgb="FF006100"/>
      <name val="Calibri"/>
      <family val="2"/>
      <scheme val="minor"/>
    </font>
    <font>
      <b/>
      <u val="singleAccounting"/>
      <sz val="12"/>
      <color rgb="FF9C0006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8" fillId="4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2" borderId="0" xfId="2" applyFont="1"/>
    <xf numFmtId="16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165" fontId="5" fillId="0" borderId="0" xfId="0" applyNumberFormat="1" applyFont="1"/>
    <xf numFmtId="165" fontId="6" fillId="2" borderId="0" xfId="2" applyNumberFormat="1" applyFont="1"/>
    <xf numFmtId="0" fontId="7" fillId="0" borderId="0" xfId="0" applyFo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3" borderId="0" xfId="0" applyFont="1" applyFill="1"/>
    <xf numFmtId="0" fontId="8" fillId="0" borderId="0" xfId="0" applyFont="1"/>
    <xf numFmtId="0" fontId="5" fillId="0" borderId="0" xfId="0" applyFont="1" applyAlignment="1">
      <alignment horizontal="center"/>
    </xf>
    <xf numFmtId="9" fontId="10" fillId="0" borderId="0" xfId="1" applyFont="1"/>
    <xf numFmtId="0" fontId="9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9" fontId="3" fillId="0" borderId="0" xfId="1" applyFont="1"/>
    <xf numFmtId="9" fontId="0" fillId="0" borderId="0" xfId="0" applyNumberFormat="1"/>
    <xf numFmtId="9" fontId="3" fillId="0" borderId="0" xfId="0" applyNumberFormat="1" applyFont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 wrapText="1"/>
    </xf>
    <xf numFmtId="166" fontId="12" fillId="0" borderId="0" xfId="0" applyNumberFormat="1" applyFont="1" applyAlignment="1">
      <alignment horizontal="right" vertical="top"/>
    </xf>
    <xf numFmtId="37" fontId="12" fillId="0" borderId="0" xfId="0" applyNumberFormat="1" applyFont="1" applyAlignment="1">
      <alignment horizontal="right" vertical="top"/>
    </xf>
    <xf numFmtId="167" fontId="12" fillId="0" borderId="0" xfId="0" applyNumberFormat="1" applyFont="1"/>
    <xf numFmtId="37" fontId="12" fillId="0" borderId="0" xfId="0" applyNumberFormat="1" applyFont="1"/>
    <xf numFmtId="168" fontId="12" fillId="0" borderId="0" xfId="0" applyNumberFormat="1" applyFont="1"/>
    <xf numFmtId="166" fontId="0" fillId="0" borderId="0" xfId="0" applyNumberFormat="1"/>
    <xf numFmtId="0" fontId="13" fillId="0" borderId="0" xfId="0" applyFont="1" applyAlignment="1">
      <alignment horizontal="center" vertical="top" wrapText="1"/>
    </xf>
    <xf numFmtId="37" fontId="0" fillId="0" borderId="0" xfId="0" applyNumberFormat="1"/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wrapText="1"/>
    </xf>
    <xf numFmtId="167" fontId="14" fillId="0" borderId="0" xfId="0" applyNumberFormat="1" applyFont="1" applyAlignment="1">
      <alignment wrapText="1"/>
    </xf>
    <xf numFmtId="170" fontId="14" fillId="0" borderId="0" xfId="0" applyNumberFormat="1" applyFont="1" applyAlignment="1">
      <alignment wrapText="1"/>
    </xf>
    <xf numFmtId="171" fontId="14" fillId="0" borderId="0" xfId="0" applyNumberFormat="1" applyFont="1" applyAlignment="1">
      <alignment wrapText="1"/>
    </xf>
    <xf numFmtId="9" fontId="0" fillId="0" borderId="0" xfId="1" applyFont="1"/>
    <xf numFmtId="0" fontId="15" fillId="0" borderId="0" xfId="0" applyFont="1" applyAlignment="1">
      <alignment wrapText="1"/>
    </xf>
    <xf numFmtId="171" fontId="0" fillId="0" borderId="0" xfId="1" applyNumberFormat="1" applyFont="1"/>
    <xf numFmtId="0" fontId="16" fillId="0" borderId="0" xfId="0" applyFont="1" applyAlignment="1">
      <alignment wrapText="1"/>
    </xf>
    <xf numFmtId="167" fontId="16" fillId="0" borderId="0" xfId="0" applyNumberFormat="1" applyFont="1" applyAlignment="1">
      <alignment wrapText="1"/>
    </xf>
    <xf numFmtId="3" fontId="16" fillId="0" borderId="0" xfId="0" applyNumberFormat="1" applyFont="1" applyAlignment="1">
      <alignment wrapText="1"/>
    </xf>
    <xf numFmtId="37" fontId="16" fillId="0" borderId="0" xfId="0" applyNumberFormat="1" applyFont="1" applyAlignment="1">
      <alignment wrapText="1"/>
    </xf>
    <xf numFmtId="0" fontId="17" fillId="2" borderId="0" xfId="2" applyFont="1" applyAlignment="1">
      <alignment wrapText="1"/>
    </xf>
    <xf numFmtId="165" fontId="17" fillId="2" borderId="0" xfId="2" applyNumberFormat="1" applyFont="1" applyAlignment="1">
      <alignment wrapText="1"/>
    </xf>
    <xf numFmtId="0" fontId="1" fillId="0" borderId="0" xfId="2" applyFont="1" applyFill="1" applyAlignment="1">
      <alignment wrapText="1"/>
    </xf>
    <xf numFmtId="171" fontId="0" fillId="0" borderId="0" xfId="0" applyNumberFormat="1"/>
    <xf numFmtId="165" fontId="20" fillId="2" borderId="0" xfId="2" applyNumberFormat="1" applyFont="1"/>
    <xf numFmtId="165" fontId="21" fillId="4" borderId="0" xfId="3" applyNumberFormat="1" applyFont="1"/>
    <xf numFmtId="0" fontId="2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4" fillId="0" borderId="0" xfId="0" applyFont="1" applyAlignment="1">
      <alignment horizontal="left" wrapText="1"/>
    </xf>
    <xf numFmtId="0" fontId="23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6" fillId="2" borderId="0" xfId="2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6" fillId="3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right" wrapText="1"/>
    </xf>
    <xf numFmtId="171" fontId="3" fillId="0" borderId="0" xfId="1" applyNumberFormat="1" applyFont="1"/>
    <xf numFmtId="165" fontId="0" fillId="5" borderId="0" xfId="0" applyNumberFormat="1" applyFill="1"/>
    <xf numFmtId="0" fontId="0" fillId="5" borderId="0" xfId="0" applyFill="1"/>
    <xf numFmtId="165" fontId="4" fillId="5" borderId="0" xfId="0" applyNumberFormat="1" applyFont="1" applyFill="1"/>
    <xf numFmtId="164" fontId="0" fillId="5" borderId="0" xfId="0" applyNumberFormat="1" applyFill="1"/>
    <xf numFmtId="0" fontId="6" fillId="0" borderId="0" xfId="0" applyFont="1" applyAlignment="1">
      <alignment wrapText="1"/>
    </xf>
    <xf numFmtId="9" fontId="0" fillId="0" borderId="0" xfId="1" applyFont="1" applyAlignment="1">
      <alignment wrapText="1"/>
    </xf>
    <xf numFmtId="172" fontId="0" fillId="0" borderId="0" xfId="0" applyNumberFormat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Retail%20-%20Restaurants/Restaurants.xlsx" TargetMode="External"/><Relationship Id="rId1" Type="http://schemas.openxmlformats.org/officeDocument/2006/relationships/externalLinkPath" Target="Restaura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ability"/>
      <sheetName val="Long Short Jul 2024"/>
      <sheetName val="Cost"/>
      <sheetName val="Solvency"/>
      <sheetName val="Valuation Metrics"/>
      <sheetName val="CAVA vs. CHIPOTLE"/>
      <sheetName val="US Fast Food"/>
      <sheetName val="Pizza Restaurants"/>
    </sheetNames>
    <sheetDataSet>
      <sheetData sheetId="0"/>
      <sheetData sheetId="1"/>
      <sheetData sheetId="2"/>
      <sheetData sheetId="3"/>
      <sheetData sheetId="4"/>
      <sheetData sheetId="5">
        <row r="69">
          <cell r="N69">
            <v>0.92685000000000017</v>
          </cell>
          <cell r="O69">
            <v>1.1934120600000004</v>
          </cell>
          <cell r="P69">
            <v>1.5530817636000007</v>
          </cell>
          <cell r="Q69">
            <v>2.0281420677600011</v>
          </cell>
          <cell r="R69">
            <v>2.5326424071153015</v>
          </cell>
          <cell r="S69">
            <v>3.1235923021088725</v>
          </cell>
        </row>
      </sheetData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ong, Nam" id="{610F61B2-0950-E544-A8E1-F18AC41BF049}" userId="S::namkong@bu.edu::a7f4be3c-5d4f-4af1-8677-ac0199dbe73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3" dT="2024-07-01T20:28:38.30" personId="{610F61B2-0950-E544-A8E1-F18AC41BF049}" id="{08522C40-461C-E049-909A-097CFA6B4B97}">
    <text>2030 Target - FY24</text>
  </threadedComment>
  <threadedComment ref="M43" dT="2024-07-01T20:28:50.41" personId="{610F61B2-0950-E544-A8E1-F18AC41BF049}" id="{FBDE916C-BEFD-D44C-913B-A5A5A8BEACCB}">
    <text>2032 Target - FY24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7" dT="2024-07-01T20:28:38.30" personId="{610F61B2-0950-E544-A8E1-F18AC41BF049}" id="{FE66E02B-635E-DE47-AA6C-F808EA57DA6F}">
    <text>2030 Target - FY24</text>
  </threadedComment>
  <threadedComment ref="M37" dT="2024-07-01T20:28:50.41" personId="{610F61B2-0950-E544-A8E1-F18AC41BF049}" id="{A2AF3F18-37C5-404A-8153-E95A1AD8919B}">
    <text>2032 Target - FY24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3E6C-EFBC-B548-B39F-E720842386BB}">
  <dimension ref="A1:AB223"/>
  <sheetViews>
    <sheetView tabSelected="1" zoomScale="88" workbookViewId="0">
      <pane xSplit="1" ySplit="4" topLeftCell="B160" activePane="bottomRight" state="frozen"/>
      <selection pane="topRight" activeCell="B1" sqref="B1"/>
      <selection pane="bottomLeft" activeCell="A5" sqref="A5"/>
      <selection pane="bottomRight" activeCell="F217" sqref="F217"/>
    </sheetView>
  </sheetViews>
  <sheetFormatPr baseColWidth="10" defaultColWidth="37.1640625" defaultRowHeight="16" x14ac:dyDescent="0.2"/>
  <cols>
    <col min="1" max="1" width="41.33203125" style="64" bestFit="1" customWidth="1"/>
    <col min="2" max="2" width="11" style="64" bestFit="1" customWidth="1"/>
    <col min="3" max="3" width="11.5" bestFit="1" customWidth="1"/>
    <col min="4" max="5" width="12.6640625" bestFit="1" customWidth="1"/>
    <col min="6" max="10" width="13.83203125" bestFit="1" customWidth="1"/>
    <col min="11" max="13" width="8.1640625" bestFit="1" customWidth="1"/>
    <col min="15" max="15" width="11.5" bestFit="1" customWidth="1"/>
    <col min="16" max="18" width="11" bestFit="1" customWidth="1"/>
    <col min="20" max="23" width="11" bestFit="1" customWidth="1"/>
    <col min="25" max="25" width="11" bestFit="1" customWidth="1"/>
    <col min="26" max="28" width="8" bestFit="1" customWidth="1"/>
  </cols>
  <sheetData>
    <row r="1" spans="1:28" ht="17" x14ac:dyDescent="0.2">
      <c r="A1" s="58" t="s">
        <v>0</v>
      </c>
      <c r="B1" s="58"/>
    </row>
    <row r="2" spans="1:28" x14ac:dyDescent="0.2">
      <c r="A2" s="58"/>
      <c r="B2" s="58"/>
    </row>
    <row r="3" spans="1:28" ht="17" x14ac:dyDescent="0.2">
      <c r="A3" s="58" t="s">
        <v>1</v>
      </c>
      <c r="B3" s="58">
        <f>C3-1</f>
        <v>2021</v>
      </c>
      <c r="C3" s="2">
        <v>2022</v>
      </c>
      <c r="D3" s="2">
        <f t="shared" ref="D3" si="0">C3+1</f>
        <v>2023</v>
      </c>
      <c r="E3" s="2" t="s">
        <v>161</v>
      </c>
      <c r="F3" s="2" t="s">
        <v>162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179</v>
      </c>
      <c r="M3" s="2" t="s">
        <v>180</v>
      </c>
      <c r="O3" s="83">
        <f>T3-1</f>
        <v>2022</v>
      </c>
      <c r="P3" s="83"/>
      <c r="Q3" s="83"/>
      <c r="R3" s="83"/>
      <c r="T3" s="83">
        <v>2023</v>
      </c>
      <c r="U3" s="83"/>
      <c r="V3" s="83"/>
      <c r="W3" s="83"/>
      <c r="Y3" s="83" t="s">
        <v>161</v>
      </c>
      <c r="Z3" s="83"/>
      <c r="AA3" s="83"/>
      <c r="AB3" s="83"/>
    </row>
    <row r="4" spans="1:28" x14ac:dyDescent="0.2">
      <c r="A4" s="58"/>
      <c r="B4" s="58"/>
      <c r="O4" t="s">
        <v>163</v>
      </c>
      <c r="P4" t="s">
        <v>164</v>
      </c>
      <c r="Q4" t="s">
        <v>165</v>
      </c>
      <c r="R4" t="s">
        <v>166</v>
      </c>
      <c r="T4" t="s">
        <v>163</v>
      </c>
      <c r="U4" t="s">
        <v>164</v>
      </c>
      <c r="V4" t="s">
        <v>165</v>
      </c>
      <c r="W4" t="s">
        <v>166</v>
      </c>
      <c r="Y4" t="s">
        <v>163</v>
      </c>
      <c r="Z4" t="s">
        <v>167</v>
      </c>
      <c r="AA4" t="s">
        <v>168</v>
      </c>
      <c r="AB4" t="s">
        <v>169</v>
      </c>
    </row>
    <row r="5" spans="1:28" ht="17" x14ac:dyDescent="0.2">
      <c r="A5" s="58" t="s">
        <v>2</v>
      </c>
      <c r="B5" s="58"/>
    </row>
    <row r="6" spans="1:28" ht="17" x14ac:dyDescent="0.2">
      <c r="A6" s="59" t="s">
        <v>0</v>
      </c>
      <c r="B6" s="59">
        <v>278219</v>
      </c>
      <c r="C6" s="8">
        <v>448594</v>
      </c>
      <c r="D6" s="8">
        <v>717060</v>
      </c>
      <c r="E6" s="76"/>
      <c r="F6" s="76"/>
      <c r="G6" s="77"/>
      <c r="H6" s="77"/>
      <c r="I6" s="77"/>
      <c r="J6" s="77"/>
      <c r="N6" s="8"/>
      <c r="O6" s="8">
        <f>C6-SUM(P6:R6)</f>
        <v>112006</v>
      </c>
      <c r="P6" s="8">
        <v>105327</v>
      </c>
      <c r="Q6" s="8">
        <v>116213</v>
      </c>
      <c r="R6" s="8">
        <v>115048</v>
      </c>
      <c r="S6" s="8"/>
      <c r="T6" s="8">
        <v>196761</v>
      </c>
      <c r="U6" s="8">
        <v>171089</v>
      </c>
      <c r="V6" s="8">
        <v>173759</v>
      </c>
      <c r="W6" s="8">
        <v>175451</v>
      </c>
      <c r="X6" s="8"/>
      <c r="Y6" s="8">
        <v>256290</v>
      </c>
      <c r="Z6" s="8"/>
      <c r="AA6" s="8"/>
      <c r="AB6" s="8"/>
    </row>
    <row r="7" spans="1:28" ht="17" x14ac:dyDescent="0.2">
      <c r="A7" s="59" t="s">
        <v>3</v>
      </c>
      <c r="B7" s="59">
        <v>215816</v>
      </c>
      <c r="C7" s="8">
        <v>108392</v>
      </c>
      <c r="D7" s="8">
        <v>3867</v>
      </c>
      <c r="E7" s="76"/>
      <c r="F7" s="76"/>
      <c r="G7" s="77"/>
      <c r="H7" s="77"/>
      <c r="I7" s="77"/>
      <c r="J7" s="77"/>
      <c r="N7" s="8"/>
      <c r="O7" s="8">
        <f>C7-SUM(P7:R7)</f>
        <v>44741</v>
      </c>
      <c r="P7" s="8">
        <v>28823</v>
      </c>
      <c r="Q7" s="8">
        <v>21432</v>
      </c>
      <c r="R7" s="8">
        <v>13396</v>
      </c>
      <c r="S7" s="8"/>
      <c r="T7" s="8">
        <v>3867</v>
      </c>
      <c r="U7" s="8"/>
      <c r="V7" s="8"/>
      <c r="W7" s="8"/>
      <c r="X7" s="8"/>
      <c r="Y7" s="8"/>
      <c r="Z7" s="8"/>
      <c r="AA7" s="8"/>
      <c r="AB7" s="8"/>
    </row>
    <row r="8" spans="1:28" ht="17" x14ac:dyDescent="0.2">
      <c r="A8" s="59" t="s">
        <v>4</v>
      </c>
      <c r="B8" s="59">
        <v>6037</v>
      </c>
      <c r="C8" s="8">
        <v>7133</v>
      </c>
      <c r="D8" s="8">
        <v>7773</v>
      </c>
      <c r="E8" s="76"/>
      <c r="F8" s="76"/>
      <c r="G8" s="77"/>
      <c r="H8" s="77"/>
      <c r="I8" s="77"/>
      <c r="J8" s="77"/>
      <c r="N8" s="8"/>
      <c r="O8" s="8">
        <f>C8-SUM(P8:R8)</f>
        <v>2264</v>
      </c>
      <c r="P8" s="8">
        <v>1765</v>
      </c>
      <c r="Q8" s="8">
        <v>1613</v>
      </c>
      <c r="R8" s="8">
        <v>1491</v>
      </c>
      <c r="S8" s="8"/>
      <c r="T8" s="8">
        <v>2455</v>
      </c>
      <c r="U8" s="8">
        <v>1805</v>
      </c>
      <c r="V8" s="8">
        <v>1794</v>
      </c>
      <c r="W8" s="8">
        <v>1719</v>
      </c>
      <c r="X8" s="8"/>
      <c r="Y8" s="8">
        <v>2716</v>
      </c>
      <c r="Z8" s="8"/>
      <c r="AA8" s="8"/>
      <c r="AB8" s="8"/>
    </row>
    <row r="9" spans="1:28" ht="17" x14ac:dyDescent="0.2">
      <c r="A9" s="58" t="s">
        <v>5</v>
      </c>
      <c r="B9" s="9">
        <f t="shared" ref="B9:C9" si="1">SUM(B6:B8)</f>
        <v>500072</v>
      </c>
      <c r="C9" s="9">
        <f t="shared" si="1"/>
        <v>564119</v>
      </c>
      <c r="D9" s="9">
        <f>SUM(D6:D8)</f>
        <v>728700</v>
      </c>
      <c r="E9" s="78">
        <f>'[1]CAVA vs. CHIPOTLE'!N$69*1000000*0.98</f>
        <v>908313.00000000012</v>
      </c>
      <c r="F9" s="78">
        <f>'[1]CAVA vs. CHIPOTLE'!O$69*1000000</f>
        <v>1193412.0600000005</v>
      </c>
      <c r="G9" s="78">
        <f>'[1]CAVA vs. CHIPOTLE'!P$69*1000000</f>
        <v>1553081.7636000006</v>
      </c>
      <c r="H9" s="78">
        <f>'[1]CAVA vs. CHIPOTLE'!Q$69*1000000</f>
        <v>2028142.0677600012</v>
      </c>
      <c r="I9" s="78">
        <f>'[1]CAVA vs. CHIPOTLE'!R$69*1000000</f>
        <v>2532642.4071153016</v>
      </c>
      <c r="J9" s="78">
        <f>'[1]CAVA vs. CHIPOTLE'!S$69*1000000</f>
        <v>3123592.3021088727</v>
      </c>
      <c r="K9" s="39">
        <f>J9/D9-1</f>
        <v>3.2865271059542644</v>
      </c>
      <c r="L9" s="8"/>
      <c r="M9" s="8"/>
      <c r="N9" s="8"/>
      <c r="O9" s="9">
        <f>SUM(O6:O8)</f>
        <v>159011</v>
      </c>
      <c r="P9" s="9">
        <f t="shared" ref="P9" si="2">SUM(P6:P8)</f>
        <v>135915</v>
      </c>
      <c r="Q9" s="9">
        <f t="shared" ref="Q9" si="3">SUM(Q6:Q8)</f>
        <v>139258</v>
      </c>
      <c r="R9" s="9">
        <f t="shared" ref="R9" si="4">SUM(R6:R8)</f>
        <v>129935</v>
      </c>
      <c r="S9" s="9"/>
      <c r="T9" s="9">
        <f>SUM(T6:T8)</f>
        <v>203083</v>
      </c>
      <c r="U9" s="9">
        <f t="shared" ref="U9" si="5">SUM(U6:U8)</f>
        <v>172894</v>
      </c>
      <c r="V9" s="9">
        <f t="shared" ref="V9" si="6">SUM(V6:V8)</f>
        <v>175553</v>
      </c>
      <c r="W9" s="9">
        <f t="shared" ref="W9" si="7">SUM(W6:W8)</f>
        <v>177170</v>
      </c>
      <c r="X9" s="8"/>
      <c r="Y9" s="9">
        <f>SUM(Y6:Y8)</f>
        <v>259006</v>
      </c>
      <c r="Z9" s="9">
        <f t="shared" ref="Z9:AB9" si="8">SUM(Z6:Z8)</f>
        <v>0</v>
      </c>
      <c r="AA9" s="9">
        <f t="shared" si="8"/>
        <v>0</v>
      </c>
      <c r="AB9" s="9">
        <f t="shared" si="8"/>
        <v>0</v>
      </c>
    </row>
    <row r="10" spans="1:28" ht="17" x14ac:dyDescent="0.2">
      <c r="A10" s="58" t="s">
        <v>6</v>
      </c>
      <c r="B10" s="58"/>
      <c r="C10" s="8"/>
      <c r="D10" s="8"/>
      <c r="E10" s="76"/>
      <c r="F10" s="76"/>
      <c r="G10" s="77"/>
      <c r="H10" s="77"/>
      <c r="I10" s="77"/>
      <c r="J10" s="7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7" x14ac:dyDescent="0.2">
      <c r="A11" s="59" t="s">
        <v>0</v>
      </c>
      <c r="B11" s="59">
        <v>227335</v>
      </c>
      <c r="C11" s="8">
        <v>357501</v>
      </c>
      <c r="D11" s="8">
        <v>539572</v>
      </c>
      <c r="E11" s="76"/>
      <c r="F11" s="76"/>
      <c r="G11" s="77"/>
      <c r="H11" s="77"/>
      <c r="I11" s="77"/>
      <c r="J11" s="77"/>
      <c r="N11" s="8"/>
      <c r="O11" s="8">
        <f>C11-SUM(P11:R11)</f>
        <v>92414</v>
      </c>
      <c r="P11" s="8">
        <v>82074</v>
      </c>
      <c r="Q11" s="8">
        <v>90992</v>
      </c>
      <c r="R11" s="8">
        <v>92021</v>
      </c>
      <c r="S11" s="8"/>
      <c r="T11" s="8">
        <v>146778</v>
      </c>
      <c r="U11" s="8">
        <v>126473</v>
      </c>
      <c r="V11" s="8">
        <v>130179</v>
      </c>
      <c r="W11" s="8">
        <v>136142</v>
      </c>
      <c r="X11" s="8"/>
      <c r="Y11" s="8">
        <v>191674</v>
      </c>
      <c r="Z11" s="8"/>
      <c r="AA11" s="8"/>
      <c r="AB11" s="8"/>
    </row>
    <row r="12" spans="1:28" ht="17" x14ac:dyDescent="0.2">
      <c r="A12" s="59" t="s">
        <v>3</v>
      </c>
      <c r="B12" s="59">
        <v>186237</v>
      </c>
      <c r="C12" s="8">
        <v>102292</v>
      </c>
      <c r="D12" s="8">
        <v>4044</v>
      </c>
      <c r="E12" s="76"/>
      <c r="F12" s="76"/>
      <c r="G12" s="77"/>
      <c r="H12" s="77"/>
      <c r="I12" s="77"/>
      <c r="J12" s="77"/>
      <c r="N12" s="8"/>
      <c r="O12" s="8">
        <f>C12-SUM(P12:R12)</f>
        <v>42632</v>
      </c>
      <c r="P12" s="8">
        <v>26602</v>
      </c>
      <c r="Q12" s="8">
        <v>20263</v>
      </c>
      <c r="R12" s="8">
        <v>12795</v>
      </c>
      <c r="S12" s="8"/>
      <c r="T12" s="8">
        <v>4044</v>
      </c>
      <c r="U12" s="8"/>
      <c r="V12" s="8"/>
      <c r="W12" s="8"/>
      <c r="X12" s="8"/>
      <c r="Y12" s="8"/>
      <c r="Z12" s="8"/>
      <c r="AA12" s="8"/>
      <c r="AB12" s="8"/>
    </row>
    <row r="13" spans="1:28" ht="17" x14ac:dyDescent="0.2">
      <c r="A13" s="59" t="s">
        <v>4</v>
      </c>
      <c r="B13" s="59">
        <v>4347</v>
      </c>
      <c r="C13" s="8">
        <v>6342</v>
      </c>
      <c r="D13" s="8">
        <v>4738</v>
      </c>
      <c r="E13" s="76"/>
      <c r="F13" s="76"/>
      <c r="G13" s="77"/>
      <c r="H13" s="77"/>
      <c r="I13" s="77"/>
      <c r="J13" s="77"/>
      <c r="N13" s="8"/>
      <c r="O13" s="8">
        <f>C13-SUM(P13:R13)</f>
        <v>1821</v>
      </c>
      <c r="P13" s="8">
        <v>1634</v>
      </c>
      <c r="Q13" s="8">
        <v>1595</v>
      </c>
      <c r="R13" s="8">
        <v>1292</v>
      </c>
      <c r="S13" s="8"/>
      <c r="T13" s="8">
        <v>1697</v>
      </c>
      <c r="U13" s="8">
        <v>990</v>
      </c>
      <c r="V13" s="8">
        <v>887</v>
      </c>
      <c r="W13" s="8">
        <v>1164</v>
      </c>
      <c r="X13" s="8"/>
      <c r="Y13" s="8">
        <v>1966</v>
      </c>
      <c r="Z13" s="8"/>
      <c r="AA13" s="8"/>
      <c r="AB13" s="8"/>
    </row>
    <row r="14" spans="1:28" ht="17" x14ac:dyDescent="0.2">
      <c r="A14" s="60" t="s">
        <v>18</v>
      </c>
      <c r="B14" s="9">
        <f t="shared" ref="B14:C14" si="9">SUM(B11:B13)</f>
        <v>417919</v>
      </c>
      <c r="C14" s="9">
        <f t="shared" si="9"/>
        <v>466135</v>
      </c>
      <c r="D14" s="9">
        <f>SUM(D11:D13)</f>
        <v>548354</v>
      </c>
      <c r="E14" s="78">
        <f>E9-E19</f>
        <v>681234.75000000012</v>
      </c>
      <c r="F14" s="78">
        <f t="shared" ref="F14:J14" si="10">F9-F19</f>
        <v>889091.98470000038</v>
      </c>
      <c r="G14" s="78">
        <f t="shared" si="10"/>
        <v>1149125.1968876405</v>
      </c>
      <c r="H14" s="78">
        <f t="shared" si="10"/>
        <v>1490071.9208991374</v>
      </c>
      <c r="I14" s="78">
        <f t="shared" si="10"/>
        <v>1847289.0093049477</v>
      </c>
      <c r="J14" s="78">
        <f t="shared" si="10"/>
        <v>2261417.7276634471</v>
      </c>
      <c r="K14" s="8"/>
      <c r="L14" s="8"/>
      <c r="M14" s="8"/>
      <c r="N14" s="8"/>
      <c r="O14" s="9">
        <f>SUM(O11:O13)</f>
        <v>136867</v>
      </c>
      <c r="P14" s="9">
        <f t="shared" ref="P14" si="11">SUM(P11:P13)</f>
        <v>110310</v>
      </c>
      <c r="Q14" s="9">
        <f t="shared" ref="Q14" si="12">SUM(Q11:Q13)</f>
        <v>112850</v>
      </c>
      <c r="R14" s="9">
        <f t="shared" ref="R14" si="13">SUM(R11:R13)</f>
        <v>106108</v>
      </c>
      <c r="S14" s="8"/>
      <c r="T14" s="9">
        <f>SUM(T11:T13)</f>
        <v>152519</v>
      </c>
      <c r="U14" s="9">
        <f t="shared" ref="U14:W14" si="14">SUM(U11:U13)</f>
        <v>127463</v>
      </c>
      <c r="V14" s="9">
        <f t="shared" si="14"/>
        <v>131066</v>
      </c>
      <c r="W14" s="9">
        <f t="shared" si="14"/>
        <v>137306</v>
      </c>
      <c r="X14" s="8"/>
      <c r="Y14" s="9">
        <f>SUM(Y11:Y13)</f>
        <v>193640</v>
      </c>
      <c r="Z14" s="9">
        <f t="shared" ref="Z14:AB14" si="15">SUM(Z11:Z13)</f>
        <v>0</v>
      </c>
      <c r="AA14" s="9">
        <f t="shared" si="15"/>
        <v>0</v>
      </c>
      <c r="AB14" s="9">
        <f t="shared" si="15"/>
        <v>0</v>
      </c>
    </row>
    <row r="15" spans="1:28" ht="17" x14ac:dyDescent="0.2">
      <c r="A15" s="58" t="s">
        <v>7</v>
      </c>
      <c r="B15" s="58"/>
      <c r="C15" s="8"/>
      <c r="D15" s="8"/>
      <c r="E15" s="76"/>
      <c r="F15" s="76"/>
      <c r="G15" s="77"/>
      <c r="H15" s="77"/>
      <c r="I15" s="77"/>
      <c r="J15" s="7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7" x14ac:dyDescent="0.2">
      <c r="A16" s="59" t="s">
        <v>0</v>
      </c>
      <c r="B16" s="59">
        <v>50884</v>
      </c>
      <c r="C16" s="8">
        <f>C6-C11</f>
        <v>91093</v>
      </c>
      <c r="D16" s="8">
        <f>D6-D11</f>
        <v>177488</v>
      </c>
      <c r="E16" s="76"/>
      <c r="F16" s="76"/>
      <c r="G16" s="77"/>
      <c r="H16" s="77"/>
      <c r="I16" s="77"/>
      <c r="J16" s="77"/>
      <c r="N16" s="8"/>
      <c r="O16" s="8">
        <f>C16-SUM(P16:R16)</f>
        <v>19592</v>
      </c>
      <c r="P16" s="8">
        <v>23253</v>
      </c>
      <c r="Q16" s="8">
        <v>25221</v>
      </c>
      <c r="R16" s="8">
        <v>23027</v>
      </c>
      <c r="S16" s="8"/>
      <c r="T16" s="8">
        <v>64616</v>
      </c>
      <c r="U16" s="8">
        <v>44616</v>
      </c>
      <c r="V16" s="8">
        <v>43580</v>
      </c>
      <c r="W16" s="8">
        <v>39309</v>
      </c>
      <c r="X16" s="8"/>
      <c r="Y16" s="8">
        <v>64616</v>
      </c>
      <c r="Z16" s="8"/>
      <c r="AA16" s="8"/>
      <c r="AB16" s="8"/>
    </row>
    <row r="17" spans="1:28" ht="17" x14ac:dyDescent="0.2">
      <c r="A17" s="59" t="s">
        <v>3</v>
      </c>
      <c r="B17" s="59">
        <v>29579</v>
      </c>
      <c r="C17" s="8">
        <f t="shared" ref="C17:D19" si="16">C7-C12</f>
        <v>6100</v>
      </c>
      <c r="D17" s="8">
        <f t="shared" si="16"/>
        <v>-177</v>
      </c>
      <c r="E17" s="76"/>
      <c r="F17" s="76"/>
      <c r="G17" s="77"/>
      <c r="H17" s="77"/>
      <c r="I17" s="77"/>
      <c r="J17" s="77"/>
      <c r="N17" s="8"/>
      <c r="O17" s="8">
        <f>C17-SUM(P17:R17)</f>
        <v>2109</v>
      </c>
      <c r="P17" s="8">
        <v>2221</v>
      </c>
      <c r="Q17" s="8">
        <v>1169</v>
      </c>
      <c r="R17" s="8">
        <v>601</v>
      </c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7" x14ac:dyDescent="0.2">
      <c r="A18" s="59" t="s">
        <v>4</v>
      </c>
      <c r="B18" s="59">
        <v>1690</v>
      </c>
      <c r="C18" s="8">
        <f t="shared" si="16"/>
        <v>791</v>
      </c>
      <c r="D18" s="8">
        <f t="shared" si="16"/>
        <v>3035</v>
      </c>
      <c r="E18" s="76"/>
      <c r="F18" s="76"/>
      <c r="G18" s="77"/>
      <c r="H18" s="77"/>
      <c r="I18" s="77"/>
      <c r="J18" s="77"/>
      <c r="N18" s="8"/>
      <c r="O18" s="8">
        <f>C18-SUM(P18:R18)</f>
        <v>443</v>
      </c>
      <c r="P18" s="8">
        <v>131</v>
      </c>
      <c r="Q18" s="8">
        <v>18</v>
      </c>
      <c r="R18" s="8">
        <v>199</v>
      </c>
      <c r="S18" s="8"/>
      <c r="T18" s="8">
        <v>750</v>
      </c>
      <c r="U18" s="8">
        <v>815</v>
      </c>
      <c r="V18" s="8">
        <v>907</v>
      </c>
      <c r="W18" s="8">
        <v>555</v>
      </c>
      <c r="X18" s="8"/>
      <c r="Y18" s="8">
        <v>750</v>
      </c>
      <c r="Z18" s="8"/>
      <c r="AA18" s="8"/>
      <c r="AB18" s="8"/>
    </row>
    <row r="19" spans="1:28" ht="17" x14ac:dyDescent="0.2">
      <c r="A19" s="60" t="s">
        <v>8</v>
      </c>
      <c r="B19" s="9">
        <f t="shared" ref="B19:C19" si="17">B9-B14</f>
        <v>82153</v>
      </c>
      <c r="C19" s="9">
        <f t="shared" si="17"/>
        <v>97984</v>
      </c>
      <c r="D19" s="9">
        <f t="shared" si="16"/>
        <v>180346</v>
      </c>
      <c r="E19" s="78">
        <f>E9*E90</f>
        <v>227078.25000000003</v>
      </c>
      <c r="F19" s="78">
        <f t="shared" ref="F19:J19" si="18">F9*F90</f>
        <v>304320.07530000014</v>
      </c>
      <c r="G19" s="78">
        <f t="shared" si="18"/>
        <v>403956.56671236019</v>
      </c>
      <c r="H19" s="78">
        <f t="shared" si="18"/>
        <v>538070.14686086378</v>
      </c>
      <c r="I19" s="78">
        <f t="shared" si="18"/>
        <v>685353.39781035378</v>
      </c>
      <c r="J19" s="78">
        <f t="shared" si="18"/>
        <v>862174.5744454253</v>
      </c>
      <c r="K19" s="8"/>
      <c r="L19" s="8"/>
      <c r="M19" s="8"/>
      <c r="N19" s="8"/>
      <c r="O19" s="9">
        <f>SUM(O16:O18)</f>
        <v>22144</v>
      </c>
      <c r="P19" s="9">
        <f t="shared" ref="P19" si="19">SUM(P16:P18)</f>
        <v>25605</v>
      </c>
      <c r="Q19" s="9">
        <f t="shared" ref="Q19" si="20">SUM(Q16:Q18)</f>
        <v>26408</v>
      </c>
      <c r="R19" s="9">
        <f t="shared" ref="R19" si="21">SUM(R16:R18)</f>
        <v>23827</v>
      </c>
      <c r="S19" s="8"/>
      <c r="T19" s="9">
        <f>SUM(T16:T18)</f>
        <v>65366</v>
      </c>
      <c r="U19" s="9">
        <f t="shared" ref="U19:W19" si="22">SUM(U16:U18)</f>
        <v>45431</v>
      </c>
      <c r="V19" s="9">
        <f t="shared" si="22"/>
        <v>44487</v>
      </c>
      <c r="W19" s="9">
        <f t="shared" si="22"/>
        <v>39864</v>
      </c>
      <c r="X19" s="8"/>
      <c r="Y19" s="9">
        <f>SUM(Y16:Y18)</f>
        <v>65366</v>
      </c>
      <c r="Z19" s="9">
        <f t="shared" ref="Z19:AB19" si="23">SUM(Z16:Z18)</f>
        <v>0</v>
      </c>
      <c r="AA19" s="9">
        <f t="shared" si="23"/>
        <v>0</v>
      </c>
      <c r="AB19" s="9">
        <f t="shared" si="23"/>
        <v>0</v>
      </c>
    </row>
    <row r="20" spans="1:28" ht="34" x14ac:dyDescent="0.2">
      <c r="A20" s="57" t="s">
        <v>170</v>
      </c>
      <c r="B20" s="57"/>
      <c r="C20" s="8"/>
      <c r="D20" s="8"/>
      <c r="E20" s="76"/>
      <c r="F20" s="76"/>
      <c r="G20" s="77"/>
      <c r="H20" s="77"/>
      <c r="I20" s="77"/>
      <c r="J20" s="7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7" x14ac:dyDescent="0.2">
      <c r="A21" s="61" t="s">
        <v>21</v>
      </c>
      <c r="B21" s="61">
        <v>154772</v>
      </c>
      <c r="C21" s="8">
        <v>179988</v>
      </c>
      <c r="D21" s="8">
        <f>SUM(T21:W21)</f>
        <v>213458</v>
      </c>
      <c r="E21" s="76">
        <f>E$9*E102</f>
        <v>263411.29352334293</v>
      </c>
      <c r="F21" s="76">
        <f t="shared" ref="F21:J21" si="24">F$9*F102</f>
        <v>342629.28339311219</v>
      </c>
      <c r="G21" s="76">
        <f>G$9*G102</f>
        <v>441431.75392081006</v>
      </c>
      <c r="H21" s="76">
        <f t="shared" si="24"/>
        <v>570693.35809832742</v>
      </c>
      <c r="I21" s="76">
        <f t="shared" si="24"/>
        <v>705526.79761603347</v>
      </c>
      <c r="J21" s="76">
        <f t="shared" si="24"/>
        <v>861448.21988917713</v>
      </c>
      <c r="K21" s="8"/>
      <c r="L21" s="8"/>
      <c r="M21" s="8"/>
      <c r="N21" s="8"/>
      <c r="O21" s="8">
        <f>C21-SUM(P21:R21)</f>
        <v>50904</v>
      </c>
      <c r="P21" s="8">
        <v>43741</v>
      </c>
      <c r="Q21" s="8">
        <v>44617</v>
      </c>
      <c r="R21" s="8">
        <v>40726</v>
      </c>
      <c r="S21" s="8"/>
      <c r="T21" s="8">
        <v>59118</v>
      </c>
      <c r="U21" s="8">
        <v>51000</v>
      </c>
      <c r="V21" s="8">
        <v>51818</v>
      </c>
      <c r="W21" s="8">
        <v>51522</v>
      </c>
      <c r="X21" s="8"/>
      <c r="Y21" s="8">
        <v>73947</v>
      </c>
      <c r="Z21" s="8"/>
      <c r="AA21" s="8"/>
      <c r="AB21" s="8"/>
    </row>
    <row r="22" spans="1:28" ht="17" x14ac:dyDescent="0.2">
      <c r="A22" s="61" t="s">
        <v>171</v>
      </c>
      <c r="B22" s="61">
        <v>143395</v>
      </c>
      <c r="C22" s="8">
        <v>157891</v>
      </c>
      <c r="D22" s="8">
        <f t="shared" ref="D22:D24" si="25">SUM(T22:W22)</f>
        <v>187326</v>
      </c>
      <c r="E22" s="76">
        <f t="shared" ref="E22:J24" si="26">E$9*E103</f>
        <v>231163.90095734873</v>
      </c>
      <c r="F22" s="76">
        <f t="shared" si="26"/>
        <v>300683.84947342396</v>
      </c>
      <c r="G22" s="76">
        <f t="shared" si="26"/>
        <v>387390.70325295691</v>
      </c>
      <c r="H22" s="76">
        <f t="shared" si="26"/>
        <v>500827.81624079344</v>
      </c>
      <c r="I22" s="76">
        <f t="shared" si="26"/>
        <v>619154.64817538392</v>
      </c>
      <c r="J22" s="76">
        <f t="shared" si="26"/>
        <v>755987.82542214403</v>
      </c>
      <c r="K22" s="8"/>
      <c r="L22" s="8"/>
      <c r="M22" s="8"/>
      <c r="N22" s="8"/>
      <c r="O22" s="8">
        <f>C22-SUM(P22:R22)</f>
        <v>47022</v>
      </c>
      <c r="P22" s="8">
        <v>37731</v>
      </c>
      <c r="Q22" s="8">
        <v>37193</v>
      </c>
      <c r="R22" s="8">
        <v>35945</v>
      </c>
      <c r="S22" s="8"/>
      <c r="T22" s="8">
        <v>52154</v>
      </c>
      <c r="U22" s="8">
        <v>42417</v>
      </c>
      <c r="V22" s="8">
        <v>43913</v>
      </c>
      <c r="W22" s="8">
        <v>48842</v>
      </c>
      <c r="X22" s="8"/>
      <c r="Y22" s="8">
        <v>66513</v>
      </c>
      <c r="Z22" s="8"/>
      <c r="AA22" s="8"/>
      <c r="AB22" s="8"/>
    </row>
    <row r="23" spans="1:28" ht="17" x14ac:dyDescent="0.2">
      <c r="A23" s="61" t="s">
        <v>23</v>
      </c>
      <c r="B23" s="61">
        <v>49299</v>
      </c>
      <c r="C23" s="8">
        <v>53669</v>
      </c>
      <c r="D23" s="8">
        <f t="shared" si="25"/>
        <v>58319</v>
      </c>
      <c r="E23" s="76">
        <f t="shared" si="26"/>
        <v>68332.086587319893</v>
      </c>
      <c r="F23" s="76">
        <f t="shared" si="26"/>
        <v>84393.194906574616</v>
      </c>
      <c r="G23" s="76">
        <f t="shared" si="26"/>
        <v>103237.90431819581</v>
      </c>
      <c r="H23" s="76">
        <f t="shared" si="26"/>
        <v>126727.56395953591</v>
      </c>
      <c r="I23" s="76">
        <f t="shared" si="26"/>
        <v>148755.98276480223</v>
      </c>
      <c r="J23" s="76">
        <f t="shared" si="26"/>
        <v>172457.76935199409</v>
      </c>
      <c r="K23" s="8"/>
      <c r="L23" s="8"/>
      <c r="M23" s="8"/>
      <c r="N23" s="8"/>
      <c r="O23" s="8">
        <f>C23-SUM(P23:R23)</f>
        <v>16740</v>
      </c>
      <c r="P23" s="8">
        <v>12214</v>
      </c>
      <c r="Q23" s="8">
        <v>12302</v>
      </c>
      <c r="R23" s="8">
        <v>12413</v>
      </c>
      <c r="S23" s="8"/>
      <c r="T23" s="8">
        <v>16599</v>
      </c>
      <c r="U23" s="8">
        <v>13400</v>
      </c>
      <c r="V23" s="8">
        <v>13782</v>
      </c>
      <c r="W23" s="8">
        <v>14538</v>
      </c>
      <c r="X23" s="8"/>
      <c r="Y23" s="8">
        <v>20422</v>
      </c>
      <c r="Z23" s="8"/>
      <c r="AA23" s="8"/>
      <c r="AB23" s="8"/>
    </row>
    <row r="24" spans="1:28" ht="17" x14ac:dyDescent="0.2">
      <c r="A24" s="61" t="s">
        <v>24</v>
      </c>
      <c r="B24" s="61">
        <v>70453</v>
      </c>
      <c r="C24" s="8">
        <v>74587</v>
      </c>
      <c r="D24" s="8">
        <f t="shared" si="25"/>
        <v>89251</v>
      </c>
      <c r="E24" s="76">
        <f t="shared" si="26"/>
        <v>111249.95685878964</v>
      </c>
      <c r="F24" s="76">
        <f t="shared" si="26"/>
        <v>146168.82086875263</v>
      </c>
      <c r="G24" s="76">
        <f t="shared" si="26"/>
        <v>190221.07929609393</v>
      </c>
      <c r="H24" s="76">
        <f t="shared" si="26"/>
        <v>248406.3506101933</v>
      </c>
      <c r="I24" s="76">
        <f t="shared" si="26"/>
        <v>310197.43032447889</v>
      </c>
      <c r="J24" s="76">
        <f t="shared" si="26"/>
        <v>382576.83073352405</v>
      </c>
      <c r="K24" s="8"/>
      <c r="L24" s="8"/>
      <c r="M24" s="8"/>
      <c r="N24" s="8"/>
      <c r="O24" s="8">
        <f>C24-SUM(P24:R24)</f>
        <v>22201</v>
      </c>
      <c r="P24" s="8">
        <v>16624</v>
      </c>
      <c r="Q24" s="8">
        <v>18738</v>
      </c>
      <c r="R24" s="8">
        <v>17024</v>
      </c>
      <c r="S24" s="8"/>
      <c r="T24" s="8">
        <v>24648</v>
      </c>
      <c r="U24" s="8">
        <v>20646</v>
      </c>
      <c r="V24" s="8">
        <v>21553</v>
      </c>
      <c r="W24" s="8">
        <v>22404</v>
      </c>
      <c r="X24" s="8"/>
      <c r="Y24" s="8">
        <v>32758</v>
      </c>
      <c r="Z24" s="8"/>
      <c r="AA24" s="8"/>
      <c r="AB24" s="8"/>
    </row>
    <row r="25" spans="1:28" ht="17" x14ac:dyDescent="0.2">
      <c r="A25" s="57" t="s">
        <v>25</v>
      </c>
      <c r="B25" s="9">
        <f>SUM(B21:B24)</f>
        <v>417919</v>
      </c>
      <c r="C25" s="9">
        <f>SUM(C21:C24)</f>
        <v>466135</v>
      </c>
      <c r="D25" s="9">
        <f>SUM(D21:D24)</f>
        <v>548354</v>
      </c>
      <c r="E25" s="78">
        <f>SUM(E21:E24)</f>
        <v>674157.2379268012</v>
      </c>
      <c r="F25" s="78">
        <f t="shared" ref="F25:J25" si="27">SUM(F21:F24)</f>
        <v>873875.14864186337</v>
      </c>
      <c r="G25" s="78">
        <f t="shared" si="27"/>
        <v>1122281.4407880567</v>
      </c>
      <c r="H25" s="78">
        <f t="shared" si="27"/>
        <v>1446655.08890885</v>
      </c>
      <c r="I25" s="78">
        <f t="shared" si="27"/>
        <v>1783634.8588806982</v>
      </c>
      <c r="J25" s="78">
        <f t="shared" si="27"/>
        <v>2172470.6453968394</v>
      </c>
      <c r="K25" s="9"/>
      <c r="L25" s="9"/>
      <c r="M25" s="9"/>
      <c r="N25" s="8"/>
      <c r="O25" s="9">
        <f>SUM(O21:O24)</f>
        <v>136867</v>
      </c>
      <c r="P25" s="9">
        <f t="shared" ref="P25" si="28">SUM(P21:P24)</f>
        <v>110310</v>
      </c>
      <c r="Q25" s="9">
        <f>SUM(Q21:Q24)</f>
        <v>112850</v>
      </c>
      <c r="R25" s="9">
        <f t="shared" ref="R25" si="29">SUM(R21:R24)</f>
        <v>106108</v>
      </c>
      <c r="S25" s="8"/>
      <c r="T25" s="9">
        <f>SUM(T21:T24)</f>
        <v>152519</v>
      </c>
      <c r="U25" s="9">
        <f t="shared" ref="U25" si="30">SUM(U21:U24)</f>
        <v>127463</v>
      </c>
      <c r="V25" s="9">
        <f t="shared" ref="V25" si="31">SUM(V21:V24)</f>
        <v>131066</v>
      </c>
      <c r="W25" s="9">
        <f t="shared" ref="W25" si="32">SUM(W21:W24)</f>
        <v>137306</v>
      </c>
      <c r="X25" s="8"/>
      <c r="Y25" s="9">
        <f>SUM(Y21:Y24)</f>
        <v>193640</v>
      </c>
      <c r="Z25" s="9">
        <f t="shared" ref="Z25:AB25" si="33">SUM(Z21:Z24)</f>
        <v>0</v>
      </c>
      <c r="AA25" s="9">
        <f t="shared" si="33"/>
        <v>0</v>
      </c>
      <c r="AB25" s="9">
        <f t="shared" si="33"/>
        <v>0</v>
      </c>
    </row>
    <row r="26" spans="1:28" ht="17" x14ac:dyDescent="0.2">
      <c r="A26" s="58" t="s">
        <v>9</v>
      </c>
      <c r="B26" s="58"/>
      <c r="C26" s="8"/>
      <c r="D26" s="8"/>
      <c r="E26" s="76"/>
      <c r="F26" s="76"/>
      <c r="G26" s="77"/>
      <c r="H26" s="77"/>
      <c r="I26" s="77"/>
      <c r="J26" s="77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7" x14ac:dyDescent="0.2">
      <c r="A27" s="59" t="s">
        <v>10</v>
      </c>
      <c r="B27" s="59">
        <v>64792</v>
      </c>
      <c r="C27" s="8">
        <v>70037</v>
      </c>
      <c r="D27" s="8">
        <v>101491</v>
      </c>
      <c r="E27" s="76">
        <f>E$9*E107</f>
        <v>113856.23056772337</v>
      </c>
      <c r="F27" s="76">
        <f t="shared" ref="F27:J27" si="34">F$9*F107</f>
        <v>134633.8308480618</v>
      </c>
      <c r="G27" s="76">
        <f t="shared" si="34"/>
        <v>157688.71374431957</v>
      </c>
      <c r="H27" s="76">
        <f t="shared" si="34"/>
        <v>185330.61768302976</v>
      </c>
      <c r="I27" s="76">
        <f t="shared" si="34"/>
        <v>208288.4479485151</v>
      </c>
      <c r="J27" s="76">
        <f t="shared" si="34"/>
        <v>231200.17722285181</v>
      </c>
      <c r="K27" s="8"/>
      <c r="L27" s="8"/>
      <c r="M27" s="8"/>
      <c r="N27" s="8"/>
      <c r="O27" s="8">
        <f>C27-SUM(P27:R27)</f>
        <v>20937</v>
      </c>
      <c r="P27" s="8">
        <v>16284</v>
      </c>
      <c r="Q27" s="8">
        <v>16547</v>
      </c>
      <c r="R27" s="8">
        <v>16269</v>
      </c>
      <c r="S27" s="8"/>
      <c r="T27" s="8">
        <v>29024</v>
      </c>
      <c r="U27" s="8">
        <v>23321</v>
      </c>
      <c r="V27" s="8">
        <v>24472</v>
      </c>
      <c r="W27" s="8">
        <v>24674</v>
      </c>
      <c r="X27" s="8"/>
      <c r="Y27" s="8">
        <v>33840</v>
      </c>
      <c r="Z27" s="8"/>
      <c r="AA27" s="8"/>
      <c r="AB27" s="8"/>
    </row>
    <row r="28" spans="1:28" ht="17" x14ac:dyDescent="0.2">
      <c r="A28" s="59" t="s">
        <v>11</v>
      </c>
      <c r="B28" s="59">
        <v>44538</v>
      </c>
      <c r="C28" s="8">
        <v>42724</v>
      </c>
      <c r="D28" s="8">
        <v>47433</v>
      </c>
      <c r="E28" s="76">
        <f t="shared" ref="E28:J31" si="35">E$9*E108</f>
        <v>56168.258546109508</v>
      </c>
      <c r="F28" s="76">
        <f t="shared" si="35"/>
        <v>70108.303284461319</v>
      </c>
      <c r="G28" s="76">
        <f t="shared" si="35"/>
        <v>86675.620608889352</v>
      </c>
      <c r="H28" s="76">
        <f t="shared" si="35"/>
        <v>107528.75521420452</v>
      </c>
      <c r="I28" s="76">
        <f t="shared" si="35"/>
        <v>127562.70642005099</v>
      </c>
      <c r="J28" s="76">
        <f t="shared" si="35"/>
        <v>149460.97102215976</v>
      </c>
      <c r="K28" s="8"/>
      <c r="L28" s="8"/>
      <c r="M28" s="8"/>
      <c r="N28" s="8"/>
      <c r="O28" s="8">
        <f>C28-SUM(P28:R28)</f>
        <v>12819</v>
      </c>
      <c r="P28" s="8">
        <v>8946</v>
      </c>
      <c r="Q28" s="8">
        <v>10018</v>
      </c>
      <c r="R28" s="8">
        <v>10941</v>
      </c>
      <c r="S28" s="8"/>
      <c r="T28" s="8">
        <v>12859</v>
      </c>
      <c r="U28" s="8">
        <v>10709</v>
      </c>
      <c r="V28" s="8">
        <v>11528</v>
      </c>
      <c r="W28" s="8">
        <v>12337</v>
      </c>
      <c r="X28" s="8"/>
      <c r="Y28" s="8">
        <v>17322</v>
      </c>
      <c r="Z28" s="8"/>
      <c r="AA28" s="8"/>
      <c r="AB28" s="8"/>
    </row>
    <row r="29" spans="1:28" ht="17" x14ac:dyDescent="0.2">
      <c r="A29" s="59" t="s">
        <v>12</v>
      </c>
      <c r="B29" s="59">
        <v>6839</v>
      </c>
      <c r="C29" s="8">
        <v>5923</v>
      </c>
      <c r="D29" s="8">
        <v>6080</v>
      </c>
      <c r="E29" s="76">
        <f t="shared" si="35"/>
        <v>7199.692449567724</v>
      </c>
      <c r="F29" s="76">
        <f t="shared" si="35"/>
        <v>8986.5385695512596</v>
      </c>
      <c r="G29" s="76">
        <f t="shared" si="35"/>
        <v>11110.15059772832</v>
      </c>
      <c r="H29" s="76">
        <f t="shared" si="35"/>
        <v>13783.122123887664</v>
      </c>
      <c r="I29" s="76">
        <f t="shared" si="35"/>
        <v>16351.090064594484</v>
      </c>
      <c r="J29" s="76">
        <f t="shared" si="35"/>
        <v>19158.027192349873</v>
      </c>
      <c r="K29" s="8"/>
      <c r="L29" s="8"/>
      <c r="M29" s="8"/>
      <c r="N29" s="8"/>
      <c r="O29" s="8">
        <f>C29-SUM(P29:R29)</f>
        <v>1284</v>
      </c>
      <c r="P29" s="8">
        <v>1650</v>
      </c>
      <c r="Q29" s="8">
        <v>2055</v>
      </c>
      <c r="R29" s="8">
        <v>934</v>
      </c>
      <c r="S29" s="8"/>
      <c r="T29" s="8">
        <v>2215</v>
      </c>
      <c r="U29" s="8">
        <v>1853</v>
      </c>
      <c r="V29" s="8">
        <v>1092</v>
      </c>
      <c r="W29" s="8">
        <v>920</v>
      </c>
      <c r="X29" s="8"/>
      <c r="Y29" s="8">
        <v>282</v>
      </c>
      <c r="Z29" s="8"/>
      <c r="AA29" s="8"/>
      <c r="AB29" s="8"/>
    </row>
    <row r="30" spans="1:28" ht="17" x14ac:dyDescent="0.2">
      <c r="A30" s="59" t="s">
        <v>13</v>
      </c>
      <c r="B30" s="59">
        <v>8194</v>
      </c>
      <c r="C30" s="8">
        <v>19313</v>
      </c>
      <c r="D30" s="8">
        <v>15718</v>
      </c>
      <c r="E30" s="76">
        <f t="shared" si="35"/>
        <v>18612.625974063401</v>
      </c>
      <c r="F30" s="76">
        <f t="shared" si="35"/>
        <v>23231.975861218205</v>
      </c>
      <c r="G30" s="76">
        <f t="shared" si="35"/>
        <v>28721.932088008834</v>
      </c>
      <c r="H30" s="76">
        <f t="shared" si="35"/>
        <v>35632.091043300374</v>
      </c>
      <c r="I30" s="76">
        <f t="shared" si="35"/>
        <v>42270.795005805274</v>
      </c>
      <c r="J30" s="76">
        <f t="shared" si="35"/>
        <v>49527.281481801852</v>
      </c>
      <c r="K30" s="8"/>
      <c r="L30" s="8"/>
      <c r="M30" s="8"/>
      <c r="N30" s="8"/>
      <c r="O30" s="8">
        <f>C30-SUM(P30:R30)</f>
        <v>3566</v>
      </c>
      <c r="P30" s="8">
        <v>4484</v>
      </c>
      <c r="Q30" s="8">
        <v>6175</v>
      </c>
      <c r="R30" s="8">
        <v>5088</v>
      </c>
      <c r="S30" s="8"/>
      <c r="T30" s="8">
        <v>5999</v>
      </c>
      <c r="U30" s="8">
        <v>3400</v>
      </c>
      <c r="V30" s="8">
        <v>3410</v>
      </c>
      <c r="W30" s="8">
        <v>2909</v>
      </c>
      <c r="X30" s="8"/>
      <c r="Y30" s="8">
        <v>3379</v>
      </c>
      <c r="Z30" s="8"/>
      <c r="AA30" s="8"/>
      <c r="AB30" s="8"/>
    </row>
    <row r="31" spans="1:28" ht="17" x14ac:dyDescent="0.2">
      <c r="A31" s="59" t="s">
        <v>14</v>
      </c>
      <c r="B31" s="59">
        <v>10542</v>
      </c>
      <c r="C31" s="8">
        <v>19753</v>
      </c>
      <c r="D31" s="8">
        <v>4899</v>
      </c>
      <c r="E31" s="76">
        <f t="shared" si="35"/>
        <v>5801.1995576368881</v>
      </c>
      <c r="F31" s="76">
        <f t="shared" si="35"/>
        <v>7240.9625743801998</v>
      </c>
      <c r="G31" s="76">
        <f t="shared" si="35"/>
        <v>8952.0769372156301</v>
      </c>
      <c r="H31" s="76">
        <f t="shared" si="35"/>
        <v>11105.84132975751</v>
      </c>
      <c r="I31" s="76">
        <f t="shared" si="35"/>
        <v>13174.998392507956</v>
      </c>
      <c r="J31" s="76">
        <f t="shared" si="35"/>
        <v>15436.70644988849</v>
      </c>
      <c r="K31" s="8"/>
      <c r="L31" s="8"/>
      <c r="M31" s="8"/>
      <c r="N31" s="8"/>
      <c r="O31" s="8">
        <f>C31-SUM(P31:R31)</f>
        <v>3431</v>
      </c>
      <c r="P31" s="8">
        <v>2579</v>
      </c>
      <c r="Q31" s="8">
        <v>3838</v>
      </c>
      <c r="R31" s="8">
        <v>9905</v>
      </c>
      <c r="S31" s="8"/>
      <c r="T31" s="8">
        <v>2719</v>
      </c>
      <c r="U31" s="8">
        <v>386</v>
      </c>
      <c r="V31" s="8">
        <v>1190</v>
      </c>
      <c r="W31" s="8">
        <v>604</v>
      </c>
      <c r="X31" s="8"/>
      <c r="Y31" s="8">
        <v>1290</v>
      </c>
      <c r="Z31" s="8"/>
      <c r="AA31" s="8"/>
      <c r="AB31" s="8"/>
    </row>
    <row r="32" spans="1:28" ht="20" x14ac:dyDescent="0.35">
      <c r="A32" s="60" t="s">
        <v>32</v>
      </c>
      <c r="B32" s="56">
        <f t="shared" ref="B32:C32" si="36">SUM(B27:B31)+B14</f>
        <v>552824</v>
      </c>
      <c r="C32" s="56">
        <f t="shared" si="36"/>
        <v>623885</v>
      </c>
      <c r="D32" s="56">
        <f>SUM(D27:D31)+D14</f>
        <v>723975</v>
      </c>
      <c r="E32" s="56">
        <f>SUM(E27:E31)+E25</f>
        <v>875795.24502190214</v>
      </c>
      <c r="F32" s="56">
        <f t="shared" ref="F32:J32" si="37">SUM(F27:F31)+F25</f>
        <v>1118076.7597795362</v>
      </c>
      <c r="G32" s="56">
        <f t="shared" si="37"/>
        <v>1415429.9347642185</v>
      </c>
      <c r="H32" s="56">
        <f t="shared" si="37"/>
        <v>1800035.5163030298</v>
      </c>
      <c r="I32" s="56">
        <f t="shared" si="37"/>
        <v>2191282.8967121718</v>
      </c>
      <c r="J32" s="56">
        <f t="shared" si="37"/>
        <v>2637253.808765891</v>
      </c>
      <c r="K32" s="56"/>
      <c r="L32" s="56"/>
      <c r="M32" s="56"/>
      <c r="N32" s="8"/>
      <c r="O32" s="56">
        <f>SUM(O27:O31)+O14</f>
        <v>178904</v>
      </c>
      <c r="P32" s="56">
        <f t="shared" ref="P32" si="38">SUM(P27:P31)+P14</f>
        <v>144253</v>
      </c>
      <c r="Q32" s="56">
        <f t="shared" ref="Q32" si="39">SUM(Q27:Q31)+Q14</f>
        <v>151483</v>
      </c>
      <c r="R32" s="56">
        <f t="shared" ref="R32" si="40">SUM(R27:R31)+R14</f>
        <v>149245</v>
      </c>
      <c r="S32" s="8"/>
      <c r="T32" s="56">
        <f>SUM(T27:T31)+T14</f>
        <v>205335</v>
      </c>
      <c r="U32" s="56">
        <f>SUM(U27:U31)+U14</f>
        <v>167132</v>
      </c>
      <c r="V32" s="56">
        <f t="shared" ref="V32" si="41">SUM(V27:V31)+V14</f>
        <v>172758</v>
      </c>
      <c r="W32" s="56">
        <f t="shared" ref="W32" si="42">SUM(W27:W31)+W14</f>
        <v>178750</v>
      </c>
      <c r="X32" s="8"/>
      <c r="Y32" s="56">
        <f>SUM(Y27:Y31)+Y14</f>
        <v>249753</v>
      </c>
      <c r="Z32" s="56">
        <f t="shared" ref="Z32:AB32" si="43">SUM(Z27:Z31)+Z14</f>
        <v>0</v>
      </c>
      <c r="AA32" s="56">
        <f t="shared" si="43"/>
        <v>0</v>
      </c>
      <c r="AB32" s="56">
        <f t="shared" si="43"/>
        <v>0</v>
      </c>
    </row>
    <row r="33" spans="1:28" ht="20" x14ac:dyDescent="0.35">
      <c r="A33" s="62" t="s">
        <v>33</v>
      </c>
      <c r="B33" s="55">
        <f t="shared" ref="B33:C33" si="44">B9-B32</f>
        <v>-52752</v>
      </c>
      <c r="C33" s="55">
        <f t="shared" si="44"/>
        <v>-59766</v>
      </c>
      <c r="D33" s="55">
        <f>D9-D32</f>
        <v>4725</v>
      </c>
      <c r="E33" s="55">
        <f t="shared" ref="E33:J33" si="45">E9-E32</f>
        <v>32517.754978097975</v>
      </c>
      <c r="F33" s="55">
        <f t="shared" si="45"/>
        <v>75335.300220464356</v>
      </c>
      <c r="G33" s="55">
        <f t="shared" si="45"/>
        <v>137651.82883578213</v>
      </c>
      <c r="H33" s="55">
        <f t="shared" si="45"/>
        <v>228106.55145697133</v>
      </c>
      <c r="I33" s="55">
        <f t="shared" si="45"/>
        <v>341359.51040312974</v>
      </c>
      <c r="J33" s="55">
        <f t="shared" si="45"/>
        <v>486338.49334298167</v>
      </c>
      <c r="K33" s="55"/>
      <c r="L33" s="55"/>
      <c r="M33" s="55"/>
      <c r="N33" s="8"/>
      <c r="O33" s="55">
        <f>O9-O32</f>
        <v>-19893</v>
      </c>
      <c r="P33" s="55">
        <f t="shared" ref="P33" si="46">P9-P32</f>
        <v>-8338</v>
      </c>
      <c r="Q33" s="55">
        <f t="shared" ref="Q33" si="47">Q9-Q32</f>
        <v>-12225</v>
      </c>
      <c r="R33" s="55">
        <f t="shared" ref="R33" si="48">R9-R32</f>
        <v>-19310</v>
      </c>
      <c r="S33" s="8"/>
      <c r="T33" s="55">
        <f>T9-T32</f>
        <v>-2252</v>
      </c>
      <c r="U33" s="55">
        <f t="shared" ref="U33" si="49">U9-U32</f>
        <v>5762</v>
      </c>
      <c r="V33" s="55">
        <f t="shared" ref="V33" si="50">V9-V32</f>
        <v>2795</v>
      </c>
      <c r="W33" s="55">
        <f t="shared" ref="W33" si="51">W9-W32</f>
        <v>-1580</v>
      </c>
      <c r="X33" s="8"/>
      <c r="Y33" s="55">
        <f>Y9-Y32</f>
        <v>9253</v>
      </c>
      <c r="Z33" s="55">
        <f t="shared" ref="Z33:AB33" si="52">Z9-Z32</f>
        <v>0</v>
      </c>
      <c r="AA33" s="55">
        <f t="shared" si="52"/>
        <v>0</v>
      </c>
      <c r="AB33" s="55">
        <f t="shared" si="52"/>
        <v>0</v>
      </c>
    </row>
    <row r="34" spans="1:28" ht="17" x14ac:dyDescent="0.2">
      <c r="A34" s="59" t="s">
        <v>15</v>
      </c>
      <c r="B34" s="59">
        <v>4810</v>
      </c>
      <c r="C34" s="8">
        <v>47</v>
      </c>
      <c r="D34" s="8">
        <v>-8852</v>
      </c>
      <c r="E34" s="76"/>
      <c r="F34" s="76"/>
      <c r="G34" s="77"/>
      <c r="H34" s="77"/>
      <c r="I34" s="77"/>
      <c r="J34" s="77"/>
      <c r="N34" s="8"/>
      <c r="O34" s="8">
        <f>C34-SUM(P34:R34)</f>
        <v>343</v>
      </c>
      <c r="P34" s="8">
        <v>34</v>
      </c>
      <c r="Q34" s="8">
        <v>-115</v>
      </c>
      <c r="R34" s="8">
        <v>-215</v>
      </c>
      <c r="S34" s="8"/>
      <c r="T34" s="8">
        <v>25</v>
      </c>
      <c r="U34" s="8">
        <v>-699</v>
      </c>
      <c r="V34" s="8">
        <v>-3956</v>
      </c>
      <c r="W34" s="8">
        <v>-4222</v>
      </c>
      <c r="X34" s="8"/>
      <c r="Y34" s="8">
        <v>-4914</v>
      </c>
      <c r="Z34" s="8"/>
      <c r="AA34" s="8"/>
      <c r="AB34" s="8"/>
    </row>
    <row r="35" spans="1:28" ht="17" x14ac:dyDescent="0.2">
      <c r="A35" s="59" t="s">
        <v>16</v>
      </c>
      <c r="B35" s="59">
        <v>-20288</v>
      </c>
      <c r="C35" s="8">
        <v>-919</v>
      </c>
      <c r="D35" s="8">
        <v>-471</v>
      </c>
      <c r="E35" s="76"/>
      <c r="F35" s="76"/>
      <c r="G35" s="77"/>
      <c r="H35" s="77"/>
      <c r="I35" s="77"/>
      <c r="J35" s="77"/>
      <c r="N35" s="8"/>
      <c r="O35" s="8">
        <f>C35-SUM(P35:R35)</f>
        <v>-258</v>
      </c>
      <c r="P35" s="8">
        <v>-198</v>
      </c>
      <c r="Q35" s="8">
        <v>-188</v>
      </c>
      <c r="R35" s="8">
        <v>-275</v>
      </c>
      <c r="S35" s="8"/>
      <c r="T35" s="8">
        <v>-174</v>
      </c>
      <c r="U35" s="8">
        <v>-118</v>
      </c>
      <c r="V35" s="8">
        <v>-120</v>
      </c>
      <c r="W35" s="8">
        <v>-59</v>
      </c>
      <c r="X35" s="8"/>
      <c r="Y35" s="8">
        <v>-78</v>
      </c>
      <c r="Z35" s="8"/>
      <c r="AA35" s="8"/>
      <c r="AB35" s="8"/>
    </row>
    <row r="36" spans="1:28" ht="17" x14ac:dyDescent="0.2">
      <c r="A36" s="60" t="s">
        <v>17</v>
      </c>
      <c r="B36" s="9">
        <f t="shared" ref="B36:C36" si="53">B33-B34-B35</f>
        <v>-37274</v>
      </c>
      <c r="C36" s="9">
        <f t="shared" si="53"/>
        <v>-58894</v>
      </c>
      <c r="D36" s="9">
        <f>D33-D34-D35</f>
        <v>14048</v>
      </c>
      <c r="E36" s="78">
        <f t="shared" ref="E36:J36" si="54">E33-E34-E35</f>
        <v>32517.754978097975</v>
      </c>
      <c r="F36" s="78">
        <f t="shared" si="54"/>
        <v>75335.300220464356</v>
      </c>
      <c r="G36" s="78">
        <f t="shared" si="54"/>
        <v>137651.82883578213</v>
      </c>
      <c r="H36" s="78">
        <f t="shared" si="54"/>
        <v>228106.55145697133</v>
      </c>
      <c r="I36" s="78">
        <f t="shared" si="54"/>
        <v>341359.51040312974</v>
      </c>
      <c r="J36" s="78">
        <f t="shared" si="54"/>
        <v>486338.49334298167</v>
      </c>
      <c r="K36" s="9"/>
      <c r="L36" s="9"/>
      <c r="M36" s="9"/>
      <c r="N36" s="8"/>
      <c r="O36" s="9">
        <f>O33-O34-O35</f>
        <v>-19978</v>
      </c>
      <c r="P36" s="9">
        <f t="shared" ref="P36" si="55">P33-P34-P35</f>
        <v>-8174</v>
      </c>
      <c r="Q36" s="9">
        <f t="shared" ref="Q36" si="56">Q33-Q34-Q35</f>
        <v>-11922</v>
      </c>
      <c r="R36" s="9">
        <f t="shared" ref="R36" si="57">R33-R34-R35</f>
        <v>-18820</v>
      </c>
      <c r="S36" s="8"/>
      <c r="T36" s="9">
        <f>T33-T34-T35</f>
        <v>-2103</v>
      </c>
      <c r="U36" s="9">
        <f t="shared" ref="U36" si="58">U33-U34-U35</f>
        <v>6579</v>
      </c>
      <c r="V36" s="9">
        <f t="shared" ref="V36" si="59">V33-V34-V35</f>
        <v>6871</v>
      </c>
      <c r="W36" s="9">
        <f t="shared" ref="W36" si="60">W33-W34-W35</f>
        <v>2701</v>
      </c>
      <c r="X36" s="8"/>
      <c r="Y36" s="9">
        <f>Y33-Y34-Y35</f>
        <v>14245</v>
      </c>
      <c r="Z36" s="9">
        <f t="shared" ref="Z36:AB36" si="61">Z33-Z34-Z35</f>
        <v>0</v>
      </c>
      <c r="AA36" s="9">
        <f t="shared" si="61"/>
        <v>0</v>
      </c>
      <c r="AB36" s="9">
        <f t="shared" si="61"/>
        <v>0</v>
      </c>
    </row>
    <row r="37" spans="1:28" ht="17" x14ac:dyDescent="0.2">
      <c r="A37" s="59" t="s">
        <v>34</v>
      </c>
      <c r="B37" s="59">
        <v>117</v>
      </c>
      <c r="C37" s="8">
        <v>93</v>
      </c>
      <c r="D37" s="8">
        <v>768</v>
      </c>
      <c r="E37" s="76">
        <f>E36*0.27</f>
        <v>8779.7938440864546</v>
      </c>
      <c r="F37" s="76">
        <f t="shared" ref="F37:J37" si="62">F36*0.27</f>
        <v>20340.531059525376</v>
      </c>
      <c r="G37" s="76">
        <f t="shared" si="62"/>
        <v>37165.99378566118</v>
      </c>
      <c r="H37" s="76">
        <f t="shared" si="62"/>
        <v>61588.768893382265</v>
      </c>
      <c r="I37" s="76">
        <f t="shared" si="62"/>
        <v>92167.067808845037</v>
      </c>
      <c r="J37" s="76">
        <f t="shared" si="62"/>
        <v>131311.39320260505</v>
      </c>
      <c r="K37" s="8"/>
      <c r="L37" s="8"/>
      <c r="M37" s="8"/>
      <c r="N37" s="8"/>
      <c r="O37" s="8">
        <f>C37-SUM(P37:R37)</f>
        <v>40</v>
      </c>
      <c r="P37" s="8">
        <v>56</v>
      </c>
      <c r="Q37" s="8">
        <v>-29</v>
      </c>
      <c r="R37" s="8">
        <v>26</v>
      </c>
      <c r="S37" s="8"/>
      <c r="T37" s="8">
        <v>38</v>
      </c>
      <c r="U37" s="8">
        <v>40</v>
      </c>
      <c r="V37" s="8">
        <v>38</v>
      </c>
      <c r="W37" s="8"/>
      <c r="X37" s="8"/>
      <c r="Y37" s="8">
        <v>252</v>
      </c>
      <c r="Z37" s="8"/>
      <c r="AA37" s="8"/>
      <c r="AB37" s="8"/>
    </row>
    <row r="38" spans="1:28" ht="20" x14ac:dyDescent="0.35">
      <c r="A38" s="63" t="s">
        <v>35</v>
      </c>
      <c r="B38" s="11">
        <f t="shared" ref="B38:C38" si="63">B36-B37</f>
        <v>-37391</v>
      </c>
      <c r="C38" s="11">
        <f t="shared" si="63"/>
        <v>-58987</v>
      </c>
      <c r="D38" s="11">
        <f>D36-D37</f>
        <v>13280</v>
      </c>
      <c r="E38" s="11">
        <f t="shared" ref="E38:J38" si="64">E36-E37</f>
        <v>23737.961134011523</v>
      </c>
      <c r="F38" s="11">
        <f t="shared" si="64"/>
        <v>54994.76916093898</v>
      </c>
      <c r="G38" s="11">
        <f t="shared" si="64"/>
        <v>100485.83505012095</v>
      </c>
      <c r="H38" s="11">
        <f t="shared" si="64"/>
        <v>166517.78256358905</v>
      </c>
      <c r="I38" s="11">
        <f t="shared" si="64"/>
        <v>249192.44259428472</v>
      </c>
      <c r="J38" s="11">
        <f t="shared" si="64"/>
        <v>355027.1001403766</v>
      </c>
      <c r="K38" s="11"/>
      <c r="L38" s="11"/>
      <c r="M38" s="11"/>
      <c r="N38" s="8"/>
      <c r="O38" s="55">
        <f>O36-O37</f>
        <v>-20018</v>
      </c>
      <c r="P38" s="55">
        <f t="shared" ref="P38:R38" si="65">P36-P37</f>
        <v>-8230</v>
      </c>
      <c r="Q38" s="55">
        <f t="shared" si="65"/>
        <v>-11893</v>
      </c>
      <c r="R38" s="55">
        <f t="shared" si="65"/>
        <v>-18846</v>
      </c>
      <c r="S38" s="8"/>
      <c r="T38" s="55">
        <f>T36-T37</f>
        <v>-2141</v>
      </c>
      <c r="U38" s="55">
        <f t="shared" ref="U38:W38" si="66">U36-U37</f>
        <v>6539</v>
      </c>
      <c r="V38" s="55">
        <f t="shared" si="66"/>
        <v>6833</v>
      </c>
      <c r="W38" s="55">
        <f t="shared" si="66"/>
        <v>2701</v>
      </c>
      <c r="X38" s="8"/>
      <c r="Y38" s="55">
        <f>Y36-Y37</f>
        <v>13993</v>
      </c>
      <c r="Z38" s="55">
        <f t="shared" ref="Z38" si="67">Z36-Z37</f>
        <v>0</v>
      </c>
      <c r="AA38" s="55">
        <f t="shared" ref="AA38" si="68">AA36-AA37</f>
        <v>0</v>
      </c>
      <c r="AB38" s="55">
        <f t="shared" ref="AB38" si="69">AB36-AB37</f>
        <v>0</v>
      </c>
    </row>
    <row r="39" spans="1:28" x14ac:dyDescent="0.2">
      <c r="E39" s="77"/>
      <c r="F39" s="77"/>
      <c r="G39" s="77"/>
      <c r="H39" s="77"/>
      <c r="I39" s="77"/>
      <c r="J39" s="77"/>
    </row>
    <row r="40" spans="1:28" ht="17" x14ac:dyDescent="0.2">
      <c r="A40" s="64" t="s">
        <v>36</v>
      </c>
      <c r="B40" s="7">
        <f>B38/B41</f>
        <v>-51.080601092896174</v>
      </c>
      <c r="C40" s="7">
        <f>C38/C41</f>
        <v>-44.417921686746986</v>
      </c>
      <c r="D40" s="7">
        <f>D38/D41</f>
        <v>0.20930525784894716</v>
      </c>
      <c r="E40" s="79">
        <f t="shared" ref="E40" si="70">E38/E41</f>
        <v>0.20817294689127003</v>
      </c>
      <c r="F40" s="79">
        <f t="shared" ref="F40" si="71">F38/F41</f>
        <v>0.48228333912951837</v>
      </c>
      <c r="G40" s="79">
        <f t="shared" ref="G40" si="72">G38/G41</f>
        <v>0.88122279268719594</v>
      </c>
      <c r="H40" s="79">
        <f t="shared" ref="H40" si="73">H38/H41</f>
        <v>1.4602980142382622</v>
      </c>
      <c r="I40" s="79">
        <f t="shared" ref="I40" si="74">I38/I41</f>
        <v>2.1853235341075568</v>
      </c>
      <c r="J40" s="79">
        <f t="shared" ref="J40" si="75">J38/J41</f>
        <v>3.1134534783861842</v>
      </c>
      <c r="O40" s="7">
        <f>O38/O41</f>
        <v>-15.529868114817688</v>
      </c>
      <c r="P40" s="7">
        <f>P38/P41</f>
        <v>-6.2254160363086237</v>
      </c>
      <c r="Q40" s="7">
        <f t="shared" ref="Q40" si="76">Q38/Q41</f>
        <v>-8.9623210248681229</v>
      </c>
      <c r="R40" s="7">
        <f t="shared" ref="R40" si="77">R38/R41</f>
        <v>-13.716157205240174</v>
      </c>
      <c r="T40" s="7">
        <f>T38/T41</f>
        <v>-1.299939283545841</v>
      </c>
      <c r="U40" s="7">
        <f t="shared" ref="U40:W40" si="78">U38/U41</f>
        <v>0.20905399788995813</v>
      </c>
      <c r="V40" s="7">
        <f t="shared" si="78"/>
        <v>5.8047964116112918E-2</v>
      </c>
      <c r="W40" s="7">
        <f t="shared" si="78"/>
        <v>2.3036247334754796E-2</v>
      </c>
      <c r="Y40" s="7">
        <f>Y38/Y41</f>
        <v>0.11864909781576448</v>
      </c>
      <c r="Z40" s="7" t="e">
        <f t="shared" ref="Z40:AB40" si="79">Z38/Z41</f>
        <v>#DIV/0!</v>
      </c>
      <c r="AA40" s="7" t="e">
        <f t="shared" si="79"/>
        <v>#DIV/0!</v>
      </c>
      <c r="AB40" s="7" t="e">
        <f t="shared" si="79"/>
        <v>#DIV/0!</v>
      </c>
    </row>
    <row r="41" spans="1:28" ht="17" x14ac:dyDescent="0.2">
      <c r="A41" s="64" t="s">
        <v>37</v>
      </c>
      <c r="B41" s="64">
        <v>732</v>
      </c>
      <c r="C41">
        <v>1328</v>
      </c>
      <c r="D41">
        <v>63448</v>
      </c>
      <c r="E41" s="77">
        <v>114030</v>
      </c>
      <c r="F41" s="77">
        <v>114030</v>
      </c>
      <c r="G41" s="77">
        <v>114030</v>
      </c>
      <c r="H41" s="77">
        <v>114030</v>
      </c>
      <c r="I41" s="77">
        <v>114030</v>
      </c>
      <c r="J41" s="77">
        <v>114030</v>
      </c>
      <c r="K41">
        <v>114030</v>
      </c>
      <c r="L41">
        <v>114030</v>
      </c>
      <c r="M41">
        <v>114030</v>
      </c>
      <c r="O41">
        <f>(C41*4)-SUM(P41:R41)</f>
        <v>1289</v>
      </c>
      <c r="P41">
        <v>1322</v>
      </c>
      <c r="Q41">
        <v>1327</v>
      </c>
      <c r="R41">
        <v>1374</v>
      </c>
      <c r="T41">
        <v>1647</v>
      </c>
      <c r="U41">
        <v>31279</v>
      </c>
      <c r="V41">
        <v>117713</v>
      </c>
      <c r="W41">
        <v>117250</v>
      </c>
      <c r="Y41">
        <v>117936</v>
      </c>
    </row>
    <row r="42" spans="1:28" ht="17" x14ac:dyDescent="0.2">
      <c r="A42" s="64" t="s">
        <v>38</v>
      </c>
      <c r="E42" s="77"/>
      <c r="F42" s="77"/>
      <c r="G42" s="77"/>
      <c r="H42" s="77"/>
      <c r="I42" s="77"/>
      <c r="J42" s="77"/>
    </row>
    <row r="43" spans="1:28" ht="17" x14ac:dyDescent="0.2">
      <c r="A43" s="64" t="s">
        <v>39</v>
      </c>
      <c r="B43">
        <v>133</v>
      </c>
      <c r="C43">
        <v>290</v>
      </c>
      <c r="D43">
        <v>309</v>
      </c>
      <c r="E43" s="77">
        <f>D43+63</f>
        <v>372</v>
      </c>
      <c r="F43" s="77">
        <f t="shared" ref="F43:J43" si="80">E43+63</f>
        <v>435</v>
      </c>
      <c r="G43" s="77">
        <f t="shared" si="80"/>
        <v>498</v>
      </c>
      <c r="H43" s="77">
        <f t="shared" si="80"/>
        <v>561</v>
      </c>
      <c r="I43" s="77">
        <f t="shared" si="80"/>
        <v>624</v>
      </c>
      <c r="J43" s="77">
        <f t="shared" si="80"/>
        <v>687</v>
      </c>
      <c r="K43">
        <v>750</v>
      </c>
      <c r="L43">
        <f>(K43+M43)/2</f>
        <v>875</v>
      </c>
      <c r="M43">
        <v>1000</v>
      </c>
    </row>
    <row r="44" spans="1:28" ht="17" x14ac:dyDescent="0.2">
      <c r="A44" s="64" t="s">
        <v>40</v>
      </c>
      <c r="B44" s="8">
        <f t="shared" ref="B44:D44" si="81">B6/B43</f>
        <v>2091.8721804511279</v>
      </c>
      <c r="C44" s="8">
        <f t="shared" si="81"/>
        <v>1546.8758620689655</v>
      </c>
      <c r="D44" s="8">
        <f t="shared" si="81"/>
        <v>2320.5825242718447</v>
      </c>
      <c r="E44" s="76">
        <f>E9/E43</f>
        <v>2441.7016129032263</v>
      </c>
      <c r="F44" s="76">
        <f t="shared" ref="F44:M44" si="82">F9/F43</f>
        <v>2743.476000000001</v>
      </c>
      <c r="G44" s="76">
        <f t="shared" si="82"/>
        <v>3118.6380795180735</v>
      </c>
      <c r="H44" s="76">
        <f t="shared" si="82"/>
        <v>3615.2265022459915</v>
      </c>
      <c r="I44" s="76">
        <f t="shared" si="82"/>
        <v>4058.7218062745219</v>
      </c>
      <c r="J44" s="76">
        <f t="shared" si="82"/>
        <v>4546.7136857479954</v>
      </c>
      <c r="K44" s="8">
        <f t="shared" si="82"/>
        <v>4.3820361412723529E-3</v>
      </c>
      <c r="L44" s="8">
        <f t="shared" si="82"/>
        <v>0</v>
      </c>
      <c r="M44" s="8">
        <f t="shared" si="82"/>
        <v>0</v>
      </c>
    </row>
    <row r="46" spans="1:28" ht="17" x14ac:dyDescent="0.2">
      <c r="A46" s="65" t="s">
        <v>41</v>
      </c>
      <c r="B46" s="65"/>
    </row>
    <row r="47" spans="1:28" ht="17" x14ac:dyDescent="0.2">
      <c r="A47" s="66" t="s">
        <v>2</v>
      </c>
      <c r="B47" s="66"/>
    </row>
    <row r="48" spans="1:28" ht="17" x14ac:dyDescent="0.2">
      <c r="A48" s="67" t="s">
        <v>0</v>
      </c>
      <c r="B48" s="67"/>
      <c r="C48" s="19">
        <f t="shared" ref="C48:D51" si="83">(C6-B6)/ABS(B6)</f>
        <v>0.61237729989684386</v>
      </c>
      <c r="D48" s="19">
        <f t="shared" si="83"/>
        <v>0.59846096916142433</v>
      </c>
      <c r="E48" s="19">
        <f t="shared" ref="E48" si="84">(E6-D6)/ABS(D6)</f>
        <v>-1</v>
      </c>
      <c r="F48" s="19"/>
      <c r="N48" s="19"/>
      <c r="O48" s="19"/>
      <c r="P48" s="19"/>
      <c r="Q48" s="19"/>
      <c r="R48" s="19"/>
      <c r="S48" s="19"/>
      <c r="T48" s="19">
        <f>(T6-O6)/ABS(O6)</f>
        <v>0.75670053389996961</v>
      </c>
      <c r="U48" s="19">
        <f t="shared" ref="U48:W63" si="85">(U6-P6)/ABS(P6)</f>
        <v>0.62436032546260689</v>
      </c>
      <c r="V48" s="19">
        <f t="shared" si="85"/>
        <v>0.4951769595484154</v>
      </c>
      <c r="W48" s="19">
        <f t="shared" si="85"/>
        <v>0.52502433766775602</v>
      </c>
      <c r="X48" s="19"/>
      <c r="Y48" s="19">
        <f>(Y6-T6)/ABS(T6)</f>
        <v>0.3025447116044338</v>
      </c>
      <c r="Z48" s="19">
        <f t="shared" ref="Z48:Z51" si="86">(Z6-U6)/ABS(U6)</f>
        <v>-1</v>
      </c>
      <c r="AA48" s="19">
        <f t="shared" ref="AA48:AA51" si="87">(AA6-V6)/ABS(V6)</f>
        <v>-1</v>
      </c>
      <c r="AB48" s="19">
        <f t="shared" ref="AB48:AB51" si="88">(AB6-W6)/ABS(W6)</f>
        <v>-1</v>
      </c>
    </row>
    <row r="49" spans="1:28" ht="17" x14ac:dyDescent="0.2">
      <c r="A49" s="67" t="s">
        <v>3</v>
      </c>
      <c r="B49" s="67"/>
      <c r="C49" s="19">
        <f t="shared" si="83"/>
        <v>-0.49775734885272638</v>
      </c>
      <c r="D49" s="19">
        <f t="shared" si="83"/>
        <v>-0.96432393534578198</v>
      </c>
      <c r="E49" s="19">
        <f t="shared" ref="E49" si="89">(E7-D7)/ABS(D7)</f>
        <v>-1</v>
      </c>
      <c r="F49" s="19"/>
      <c r="N49" s="19"/>
      <c r="O49" s="19"/>
      <c r="P49" s="19"/>
      <c r="Q49" s="19"/>
      <c r="R49" s="19"/>
      <c r="S49" s="19"/>
      <c r="T49" s="19">
        <f t="shared" ref="T49:T83" si="90">(T7-O7)/ABS(O7)</f>
        <v>-0.91356920944994524</v>
      </c>
      <c r="U49" s="19">
        <f t="shared" si="85"/>
        <v>-1</v>
      </c>
      <c r="V49" s="19">
        <f t="shared" si="85"/>
        <v>-1</v>
      </c>
      <c r="W49" s="19">
        <f t="shared" si="85"/>
        <v>-1</v>
      </c>
      <c r="X49" s="19"/>
      <c r="Y49" s="19">
        <f t="shared" ref="Y49:Y51" si="91">(Y7-T7)/ABS(T7)</f>
        <v>-1</v>
      </c>
      <c r="Z49" s="19" t="e">
        <f t="shared" si="86"/>
        <v>#DIV/0!</v>
      </c>
      <c r="AA49" s="19" t="e">
        <f t="shared" si="87"/>
        <v>#DIV/0!</v>
      </c>
      <c r="AB49" s="19" t="e">
        <f t="shared" si="88"/>
        <v>#DIV/0!</v>
      </c>
    </row>
    <row r="50" spans="1:28" ht="17" x14ac:dyDescent="0.2">
      <c r="A50" s="67" t="s">
        <v>4</v>
      </c>
      <c r="B50" s="67"/>
      <c r="C50" s="19">
        <f t="shared" si="83"/>
        <v>0.18154712605598808</v>
      </c>
      <c r="D50" s="19">
        <f t="shared" si="83"/>
        <v>8.9723818870040661E-2</v>
      </c>
      <c r="E50" s="19">
        <f t="shared" ref="E50" si="92">(E8-D8)/ABS(D8)</f>
        <v>-1</v>
      </c>
      <c r="F50" s="19"/>
      <c r="N50" s="19"/>
      <c r="O50" s="19"/>
      <c r="P50" s="19"/>
      <c r="Q50" s="19"/>
      <c r="R50" s="19"/>
      <c r="S50" s="19"/>
      <c r="T50" s="19">
        <f t="shared" si="90"/>
        <v>8.4363957597173148E-2</v>
      </c>
      <c r="U50" s="19">
        <f t="shared" si="85"/>
        <v>2.2662889518413599E-2</v>
      </c>
      <c r="V50" s="19">
        <f t="shared" si="85"/>
        <v>0.11221326720396776</v>
      </c>
      <c r="W50" s="19">
        <f t="shared" si="85"/>
        <v>0.15291750503018109</v>
      </c>
      <c r="X50" s="19"/>
      <c r="Y50" s="19">
        <f t="shared" si="91"/>
        <v>0.10631364562118126</v>
      </c>
      <c r="Z50" s="19">
        <f t="shared" si="86"/>
        <v>-1</v>
      </c>
      <c r="AA50" s="19">
        <f t="shared" si="87"/>
        <v>-1</v>
      </c>
      <c r="AB50" s="19">
        <f t="shared" si="88"/>
        <v>-1</v>
      </c>
    </row>
    <row r="51" spans="1:28" ht="17" x14ac:dyDescent="0.2">
      <c r="A51" s="66" t="s">
        <v>5</v>
      </c>
      <c r="B51" s="66"/>
      <c r="C51" s="19">
        <f t="shared" si="83"/>
        <v>0.12807555711977475</v>
      </c>
      <c r="D51" s="19">
        <f t="shared" si="83"/>
        <v>0.29174872677573349</v>
      </c>
      <c r="E51" s="19">
        <f t="shared" ref="E51:F51" si="93">(E9-D9)/ABS(D9)</f>
        <v>0.24648414985590794</v>
      </c>
      <c r="F51" s="19">
        <f t="shared" si="93"/>
        <v>0.3138775510204086</v>
      </c>
      <c r="G51" s="19">
        <f t="shared" ref="G51:J51" si="94">(G9-F9)/ABS(F9)</f>
        <v>0.30137931034482757</v>
      </c>
      <c r="H51" s="19">
        <f t="shared" si="94"/>
        <v>0.30588235294117666</v>
      </c>
      <c r="I51" s="19">
        <f t="shared" si="94"/>
        <v>0.24875000000000005</v>
      </c>
      <c r="J51" s="19">
        <f t="shared" si="94"/>
        <v>0.23333333333333361</v>
      </c>
      <c r="K51" s="19"/>
      <c r="L51" s="19"/>
      <c r="M51" s="19"/>
      <c r="N51" s="19"/>
      <c r="O51" s="19"/>
      <c r="P51" s="19"/>
      <c r="Q51" s="19"/>
      <c r="R51" s="19"/>
      <c r="S51" s="19"/>
      <c r="T51" s="19">
        <f t="shared" si="90"/>
        <v>0.27716321512348202</v>
      </c>
      <c r="U51" s="19">
        <f t="shared" si="85"/>
        <v>0.27207445830114407</v>
      </c>
      <c r="V51" s="19">
        <f t="shared" si="85"/>
        <v>0.26063134613451294</v>
      </c>
      <c r="W51" s="19">
        <f t="shared" si="85"/>
        <v>0.36352791780505639</v>
      </c>
      <c r="X51" s="19"/>
      <c r="Y51" s="19">
        <f t="shared" si="91"/>
        <v>0.2753701688472201</v>
      </c>
      <c r="Z51" s="19">
        <f t="shared" si="86"/>
        <v>-1</v>
      </c>
      <c r="AA51" s="19">
        <f t="shared" si="87"/>
        <v>-1</v>
      </c>
      <c r="AB51" s="19">
        <f t="shared" si="88"/>
        <v>-1</v>
      </c>
    </row>
    <row r="52" spans="1:28" ht="17" x14ac:dyDescent="0.2">
      <c r="A52" s="66" t="s">
        <v>6</v>
      </c>
      <c r="B52" s="66"/>
      <c r="C52" s="19"/>
      <c r="D52" s="19"/>
      <c r="E52" s="19"/>
      <c r="F52" s="19"/>
      <c r="G52" s="19"/>
      <c r="H52" s="19"/>
      <c r="I52" s="19"/>
      <c r="J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7" x14ac:dyDescent="0.2">
      <c r="A53" s="67" t="s">
        <v>0</v>
      </c>
      <c r="B53" s="67"/>
      <c r="C53" s="19">
        <f t="shared" ref="C53:D56" si="95">(C11-B11)/ABS(B11)</f>
        <v>0.5725735148569292</v>
      </c>
      <c r="D53" s="19">
        <f t="shared" si="95"/>
        <v>0.509288085907452</v>
      </c>
      <c r="E53" s="19">
        <f t="shared" ref="E53" si="96">(E11-D11)/ABS(D11)</f>
        <v>-1</v>
      </c>
      <c r="F53" s="19"/>
      <c r="G53" s="19"/>
      <c r="H53" s="19"/>
      <c r="I53" s="19"/>
      <c r="J53" s="19"/>
      <c r="N53" s="19"/>
      <c r="O53" s="19"/>
      <c r="P53" s="19"/>
      <c r="Q53" s="19"/>
      <c r="R53" s="19"/>
      <c r="S53" s="19"/>
      <c r="T53" s="19">
        <f t="shared" si="90"/>
        <v>0.58826584716601382</v>
      </c>
      <c r="U53" s="19">
        <f t="shared" si="85"/>
        <v>0.5409630333601384</v>
      </c>
      <c r="V53" s="19">
        <f t="shared" si="85"/>
        <v>0.43066423421839284</v>
      </c>
      <c r="W53" s="19">
        <f t="shared" si="85"/>
        <v>0.47946664348355267</v>
      </c>
      <c r="X53" s="19"/>
      <c r="Y53" s="19">
        <f t="shared" ref="Y53:Y56" si="97">(Y11-T11)/ABS(T11)</f>
        <v>0.30587690253307714</v>
      </c>
      <c r="Z53" s="19">
        <f t="shared" ref="Z53:Z56" si="98">(Z11-U11)/ABS(U11)</f>
        <v>-1</v>
      </c>
      <c r="AA53" s="19">
        <f t="shared" ref="AA53:AA56" si="99">(AA11-V11)/ABS(V11)</f>
        <v>-1</v>
      </c>
      <c r="AB53" s="19">
        <f t="shared" ref="AB53:AB56" si="100">(AB11-W11)/ABS(W11)</f>
        <v>-1</v>
      </c>
    </row>
    <row r="54" spans="1:28" ht="17" x14ac:dyDescent="0.2">
      <c r="A54" s="67" t="s">
        <v>3</v>
      </c>
      <c r="B54" s="67"/>
      <c r="C54" s="19">
        <f t="shared" si="95"/>
        <v>-0.45074287064332008</v>
      </c>
      <c r="D54" s="19">
        <f t="shared" si="95"/>
        <v>-0.96046611660735937</v>
      </c>
      <c r="E54" s="19">
        <f t="shared" ref="E54" si="101">(E12-D12)/ABS(D12)</f>
        <v>-1</v>
      </c>
      <c r="F54" s="19"/>
      <c r="G54" s="19"/>
      <c r="H54" s="19"/>
      <c r="I54" s="19"/>
      <c r="J54" s="19"/>
      <c r="N54" s="19"/>
      <c r="O54" s="19"/>
      <c r="P54" s="19"/>
      <c r="Q54" s="19"/>
      <c r="R54" s="19"/>
      <c r="S54" s="19"/>
      <c r="T54" s="19">
        <f t="shared" si="90"/>
        <v>-0.90514167761306064</v>
      </c>
      <c r="U54" s="19">
        <f t="shared" si="85"/>
        <v>-1</v>
      </c>
      <c r="V54" s="19">
        <f t="shared" si="85"/>
        <v>-1</v>
      </c>
      <c r="W54" s="19">
        <f t="shared" si="85"/>
        <v>-1</v>
      </c>
      <c r="X54" s="19"/>
      <c r="Y54" s="19">
        <f t="shared" si="97"/>
        <v>-1</v>
      </c>
      <c r="Z54" s="19" t="e">
        <f t="shared" si="98"/>
        <v>#DIV/0!</v>
      </c>
      <c r="AA54" s="19" t="e">
        <f t="shared" si="99"/>
        <v>#DIV/0!</v>
      </c>
      <c r="AB54" s="19" t="e">
        <f t="shared" si="100"/>
        <v>#DIV/0!</v>
      </c>
    </row>
    <row r="55" spans="1:28" ht="17" x14ac:dyDescent="0.2">
      <c r="A55" s="67" t="s">
        <v>4</v>
      </c>
      <c r="B55" s="67"/>
      <c r="C55" s="19">
        <f t="shared" si="95"/>
        <v>0.45893719806763283</v>
      </c>
      <c r="D55" s="19">
        <f t="shared" si="95"/>
        <v>-0.25291706086408072</v>
      </c>
      <c r="E55" s="19">
        <f t="shared" ref="E55" si="102">(E13-D13)/ABS(D13)</f>
        <v>-1</v>
      </c>
      <c r="F55" s="19"/>
      <c r="G55" s="19"/>
      <c r="H55" s="19"/>
      <c r="I55" s="19"/>
      <c r="J55" s="19"/>
      <c r="N55" s="19"/>
      <c r="O55" s="19"/>
      <c r="P55" s="19"/>
      <c r="Q55" s="19"/>
      <c r="R55" s="19"/>
      <c r="S55" s="19"/>
      <c r="T55" s="19">
        <f t="shared" si="90"/>
        <v>-6.8094453596924773E-2</v>
      </c>
      <c r="U55" s="19">
        <f t="shared" si="85"/>
        <v>-0.39412484700122397</v>
      </c>
      <c r="V55" s="19">
        <f t="shared" si="85"/>
        <v>-0.44388714733542317</v>
      </c>
      <c r="W55" s="19">
        <f t="shared" si="85"/>
        <v>-9.9071207430340563E-2</v>
      </c>
      <c r="X55" s="19"/>
      <c r="Y55" s="19">
        <f t="shared" si="97"/>
        <v>0.15851502651738361</v>
      </c>
      <c r="Z55" s="19">
        <f t="shared" si="98"/>
        <v>-1</v>
      </c>
      <c r="AA55" s="19">
        <f t="shared" si="99"/>
        <v>-1</v>
      </c>
      <c r="AB55" s="19">
        <f t="shared" si="100"/>
        <v>-1</v>
      </c>
    </row>
    <row r="56" spans="1:28" ht="17" x14ac:dyDescent="0.2">
      <c r="A56" s="68" t="s">
        <v>18</v>
      </c>
      <c r="B56" s="68"/>
      <c r="C56" s="19">
        <f t="shared" si="95"/>
        <v>0.11537163900181614</v>
      </c>
      <c r="D56" s="19">
        <f t="shared" si="95"/>
        <v>0.17638452379675415</v>
      </c>
      <c r="E56" s="19">
        <f t="shared" ref="E56:F56" si="103">(E14-D14)/ABS(D14)</f>
        <v>0.24232658100424201</v>
      </c>
      <c r="F56" s="19">
        <f t="shared" si="103"/>
        <v>0.30511836734693909</v>
      </c>
      <c r="G56" s="19">
        <f t="shared" ref="G56:J56" si="104">(G14-F14)/ABS(F14)</f>
        <v>0.29247053922703081</v>
      </c>
      <c r="H56" s="19">
        <f t="shared" si="104"/>
        <v>0.29670111223297285</v>
      </c>
      <c r="I56" s="19">
        <f t="shared" si="104"/>
        <v>0.23973144074163802</v>
      </c>
      <c r="J56" s="19">
        <f t="shared" si="104"/>
        <v>0.22418187748235324</v>
      </c>
      <c r="N56" s="19"/>
      <c r="O56" s="19"/>
      <c r="P56" s="19"/>
      <c r="Q56" s="19"/>
      <c r="R56" s="19"/>
      <c r="S56" s="19"/>
      <c r="T56" s="19">
        <f t="shared" si="90"/>
        <v>0.11435919542329415</v>
      </c>
      <c r="U56" s="19">
        <f t="shared" si="85"/>
        <v>0.1554981416009428</v>
      </c>
      <c r="V56" s="19">
        <f t="shared" si="85"/>
        <v>0.16141781125387683</v>
      </c>
      <c r="W56" s="19">
        <f t="shared" si="85"/>
        <v>0.2940211859614732</v>
      </c>
      <c r="X56" s="19"/>
      <c r="Y56" s="19">
        <f t="shared" si="97"/>
        <v>0.26961231059736818</v>
      </c>
      <c r="Z56" s="19">
        <f t="shared" si="98"/>
        <v>-1</v>
      </c>
      <c r="AA56" s="19">
        <f t="shared" si="99"/>
        <v>-1</v>
      </c>
      <c r="AB56" s="19">
        <f t="shared" si="100"/>
        <v>-1</v>
      </c>
    </row>
    <row r="57" spans="1:28" ht="17" x14ac:dyDescent="0.2">
      <c r="A57" s="66" t="s">
        <v>7</v>
      </c>
      <c r="B57" s="66"/>
      <c r="C57" s="19"/>
      <c r="D57" s="19"/>
      <c r="E57" s="19"/>
      <c r="F57" s="19"/>
      <c r="G57" s="19"/>
      <c r="H57" s="19"/>
      <c r="I57" s="19"/>
      <c r="J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7" x14ac:dyDescent="0.2">
      <c r="A58" s="67" t="s">
        <v>0</v>
      </c>
      <c r="B58" s="67"/>
      <c r="C58" s="19">
        <f t="shared" ref="C58:D61" si="105">(C16-B16)/ABS(B16)</f>
        <v>0.79020910305793568</v>
      </c>
      <c r="D58" s="19">
        <f t="shared" si="105"/>
        <v>0.94842633352727435</v>
      </c>
      <c r="E58" s="19">
        <f t="shared" ref="E58" si="106">(E16-D16)/ABS(D16)</f>
        <v>-1</v>
      </c>
      <c r="F58" s="19"/>
      <c r="G58" s="19"/>
      <c r="H58" s="19"/>
      <c r="I58" s="19"/>
      <c r="J58" s="19"/>
      <c r="N58" s="19"/>
      <c r="O58" s="19"/>
      <c r="P58" s="19"/>
      <c r="Q58" s="19"/>
      <c r="R58" s="19"/>
      <c r="S58" s="19"/>
      <c r="T58" s="19">
        <f t="shared" si="90"/>
        <v>2.2980808493262557</v>
      </c>
      <c r="U58" s="19">
        <f t="shared" si="85"/>
        <v>0.91872016513998189</v>
      </c>
      <c r="V58" s="19">
        <f t="shared" si="85"/>
        <v>0.72792514174695688</v>
      </c>
      <c r="W58" s="19">
        <f t="shared" si="85"/>
        <v>0.70708298953402526</v>
      </c>
      <c r="X58" s="19"/>
      <c r="Y58" s="19">
        <f t="shared" ref="Y58:Y61" si="107">(Y16-T16)/ABS(T16)</f>
        <v>0</v>
      </c>
      <c r="Z58" s="19">
        <f t="shared" ref="Z58:Z61" si="108">(Z16-U16)/ABS(U16)</f>
        <v>-1</v>
      </c>
      <c r="AA58" s="19">
        <f t="shared" ref="AA58:AA61" si="109">(AA16-V16)/ABS(V16)</f>
        <v>-1</v>
      </c>
      <c r="AB58" s="19">
        <f t="shared" ref="AB58:AB61" si="110">(AB16-W16)/ABS(W16)</f>
        <v>-1</v>
      </c>
    </row>
    <row r="59" spans="1:28" ht="17" x14ac:dyDescent="0.2">
      <c r="A59" s="67" t="s">
        <v>3</v>
      </c>
      <c r="B59" s="67"/>
      <c r="C59" s="19">
        <f t="shared" si="105"/>
        <v>-0.7937726089455357</v>
      </c>
      <c r="D59" s="19">
        <f t="shared" si="105"/>
        <v>-1.0290163934426229</v>
      </c>
      <c r="E59" s="19">
        <f t="shared" ref="E59" si="111">(E17-D17)/ABS(D17)</f>
        <v>1</v>
      </c>
      <c r="F59" s="19"/>
      <c r="G59" s="19"/>
      <c r="H59" s="19"/>
      <c r="I59" s="19"/>
      <c r="J59" s="19"/>
      <c r="N59" s="19"/>
      <c r="O59" s="19"/>
      <c r="P59" s="19"/>
      <c r="Q59" s="19"/>
      <c r="R59" s="19"/>
      <c r="S59" s="19"/>
      <c r="T59" s="19">
        <f t="shared" si="90"/>
        <v>-1</v>
      </c>
      <c r="U59" s="19">
        <f t="shared" si="85"/>
        <v>-1</v>
      </c>
      <c r="V59" s="19">
        <f t="shared" si="85"/>
        <v>-1</v>
      </c>
      <c r="W59" s="19">
        <f t="shared" si="85"/>
        <v>-1</v>
      </c>
      <c r="X59" s="19"/>
      <c r="Y59" s="19" t="e">
        <f t="shared" si="107"/>
        <v>#DIV/0!</v>
      </c>
      <c r="Z59" s="19" t="e">
        <f t="shared" si="108"/>
        <v>#DIV/0!</v>
      </c>
      <c r="AA59" s="19" t="e">
        <f t="shared" si="109"/>
        <v>#DIV/0!</v>
      </c>
      <c r="AB59" s="19" t="e">
        <f t="shared" si="110"/>
        <v>#DIV/0!</v>
      </c>
    </row>
    <row r="60" spans="1:28" ht="17" x14ac:dyDescent="0.2">
      <c r="A60" s="67" t="s">
        <v>4</v>
      </c>
      <c r="B60" s="67"/>
      <c r="C60" s="19">
        <f t="shared" si="105"/>
        <v>-0.53195266272189345</v>
      </c>
      <c r="D60" s="19">
        <f t="shared" si="105"/>
        <v>2.8369152970922884</v>
      </c>
      <c r="E60" s="19">
        <f t="shared" ref="E60" si="112">(E18-D18)/ABS(D18)</f>
        <v>-1</v>
      </c>
      <c r="F60" s="19"/>
      <c r="G60" s="19"/>
      <c r="H60" s="19"/>
      <c r="I60" s="19"/>
      <c r="J60" s="19"/>
      <c r="N60" s="19"/>
      <c r="O60" s="19"/>
      <c r="P60" s="19"/>
      <c r="Q60" s="19"/>
      <c r="R60" s="19"/>
      <c r="S60" s="19"/>
      <c r="T60" s="19">
        <f t="shared" si="90"/>
        <v>0.69300225733634313</v>
      </c>
      <c r="U60" s="19">
        <f t="shared" si="85"/>
        <v>5.221374045801527</v>
      </c>
      <c r="V60" s="19">
        <f t="shared" si="85"/>
        <v>49.388888888888886</v>
      </c>
      <c r="W60" s="19">
        <f t="shared" si="85"/>
        <v>1.7889447236180904</v>
      </c>
      <c r="X60" s="19"/>
      <c r="Y60" s="19">
        <f t="shared" si="107"/>
        <v>0</v>
      </c>
      <c r="Z60" s="19">
        <f t="shared" si="108"/>
        <v>-1</v>
      </c>
      <c r="AA60" s="19">
        <f t="shared" si="109"/>
        <v>-1</v>
      </c>
      <c r="AB60" s="19">
        <f t="shared" si="110"/>
        <v>-1</v>
      </c>
    </row>
    <row r="61" spans="1:28" ht="17" x14ac:dyDescent="0.2">
      <c r="A61" s="68" t="s">
        <v>8</v>
      </c>
      <c r="B61" s="68"/>
      <c r="C61" s="19">
        <f t="shared" si="105"/>
        <v>0.19270142295473081</v>
      </c>
      <c r="D61" s="19">
        <f t="shared" si="105"/>
        <v>0.84056580666231218</v>
      </c>
      <c r="E61" s="19">
        <f t="shared" ref="E61:F61" si="113">(E19-D19)/ABS(D19)</f>
        <v>0.25912551428919983</v>
      </c>
      <c r="F61" s="19">
        <f t="shared" si="113"/>
        <v>0.34015510204081678</v>
      </c>
      <c r="G61" s="19">
        <f t="shared" ref="G61:J61" si="114">(G19-F19)/ABS(F19)</f>
        <v>0.32740689655172411</v>
      </c>
      <c r="H61" s="19">
        <f t="shared" si="114"/>
        <v>0.33200000000000002</v>
      </c>
      <c r="I61" s="19">
        <f t="shared" si="114"/>
        <v>0.27372500000000011</v>
      </c>
      <c r="J61" s="19">
        <f t="shared" si="114"/>
        <v>0.25800000000000034</v>
      </c>
      <c r="N61" s="19"/>
      <c r="O61" s="19"/>
      <c r="P61" s="19"/>
      <c r="Q61" s="19"/>
      <c r="R61" s="19"/>
      <c r="S61" s="19"/>
      <c r="T61" s="19">
        <f t="shared" si="90"/>
        <v>1.9518605491329479</v>
      </c>
      <c r="U61" s="19">
        <f t="shared" si="85"/>
        <v>0.77430189416129658</v>
      </c>
      <c r="V61" s="19">
        <f t="shared" si="85"/>
        <v>0.68460315056043619</v>
      </c>
      <c r="W61" s="19">
        <f t="shared" si="85"/>
        <v>0.67305997397909934</v>
      </c>
      <c r="X61" s="19"/>
      <c r="Y61" s="19">
        <f t="shared" si="107"/>
        <v>0</v>
      </c>
      <c r="Z61" s="19">
        <f t="shared" si="108"/>
        <v>-1</v>
      </c>
      <c r="AA61" s="19">
        <f t="shared" si="109"/>
        <v>-1</v>
      </c>
      <c r="AB61" s="19">
        <f t="shared" si="110"/>
        <v>-1</v>
      </c>
    </row>
    <row r="62" spans="1:28" ht="34" x14ac:dyDescent="0.2">
      <c r="A62" s="57" t="s">
        <v>170</v>
      </c>
      <c r="B62" s="57"/>
      <c r="C62" s="19"/>
      <c r="D62" s="19"/>
      <c r="E62" s="19"/>
      <c r="F62" s="19"/>
      <c r="G62" s="19"/>
      <c r="H62" s="19"/>
      <c r="I62" s="19"/>
      <c r="J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7" x14ac:dyDescent="0.2">
      <c r="A63" s="61" t="s">
        <v>21</v>
      </c>
      <c r="B63" s="61"/>
      <c r="C63" s="19">
        <f t="shared" ref="C63" si="115">(C21-B21)/ABS(B21)</f>
        <v>0.16292352621921277</v>
      </c>
      <c r="D63" s="19">
        <f t="shared" ref="D63:F66" si="116">(D21-C21)/ABS(C21)</f>
        <v>0.18595684156721559</v>
      </c>
      <c r="E63" s="19">
        <f t="shared" si="116"/>
        <v>0.23401930835734866</v>
      </c>
      <c r="F63" s="19">
        <f t="shared" si="116"/>
        <v>0.30073877551020467</v>
      </c>
      <c r="G63" s="19">
        <f t="shared" ref="G63:J63" si="117">(G21-F21)/ABS(F21)</f>
        <v>0.28836551724137915</v>
      </c>
      <c r="H63" s="19">
        <f t="shared" si="117"/>
        <v>0.29282352941176504</v>
      </c>
      <c r="I63" s="19">
        <f t="shared" si="117"/>
        <v>0.23626249999999996</v>
      </c>
      <c r="J63" s="19">
        <f t="shared" si="117"/>
        <v>0.22100000000000036</v>
      </c>
      <c r="N63" s="19"/>
      <c r="O63" s="19"/>
      <c r="P63" s="19"/>
      <c r="Q63" s="19"/>
      <c r="R63" s="19"/>
      <c r="S63" s="19"/>
      <c r="T63" s="19">
        <f t="shared" si="90"/>
        <v>0.16136256482791136</v>
      </c>
      <c r="U63" s="19">
        <f t="shared" si="85"/>
        <v>0.16595413913719392</v>
      </c>
      <c r="V63" s="19">
        <f t="shared" si="85"/>
        <v>0.16139588049398212</v>
      </c>
      <c r="W63" s="19">
        <f t="shared" si="85"/>
        <v>0.26508864116289349</v>
      </c>
      <c r="X63" s="19"/>
      <c r="Y63" s="19">
        <f t="shared" ref="Y63:Y67" si="118">(Y21-T21)/ABS(T21)</f>
        <v>0.2508373084339795</v>
      </c>
      <c r="Z63" s="19">
        <f t="shared" ref="Z63:Z67" si="119">(Z21-U21)/ABS(U21)</f>
        <v>-1</v>
      </c>
      <c r="AA63" s="19">
        <f t="shared" ref="AA63:AA67" si="120">(AA21-V21)/ABS(V21)</f>
        <v>-1</v>
      </c>
      <c r="AB63" s="19">
        <f t="shared" ref="AB63:AB67" si="121">(AB21-W21)/ABS(W21)</f>
        <v>-1</v>
      </c>
    </row>
    <row r="64" spans="1:28" ht="17" x14ac:dyDescent="0.2">
      <c r="A64" s="61" t="s">
        <v>171</v>
      </c>
      <c r="B64" s="61"/>
      <c r="C64" s="19">
        <f t="shared" ref="C64" si="122">(C22-B22)/ABS(B22)</f>
        <v>0.10109139091321176</v>
      </c>
      <c r="D64" s="19">
        <f t="shared" si="116"/>
        <v>0.18642607875053044</v>
      </c>
      <c r="E64" s="19">
        <f t="shared" si="116"/>
        <v>0.23401930835734883</v>
      </c>
      <c r="F64" s="19">
        <f t="shared" si="116"/>
        <v>0.30073877551020445</v>
      </c>
      <c r="G64" s="19">
        <f t="shared" ref="G64:J64" si="123">(G22-F22)/ABS(F22)</f>
        <v>0.28836551724137932</v>
      </c>
      <c r="H64" s="19">
        <f t="shared" si="123"/>
        <v>0.29282352941176493</v>
      </c>
      <c r="I64" s="19">
        <f t="shared" si="123"/>
        <v>0.23626250000000001</v>
      </c>
      <c r="J64" s="19">
        <f t="shared" si="123"/>
        <v>0.22100000000000042</v>
      </c>
      <c r="N64" s="19"/>
      <c r="O64" s="19"/>
      <c r="P64" s="19"/>
      <c r="Q64" s="19"/>
      <c r="R64" s="19"/>
      <c r="S64" s="19"/>
      <c r="T64" s="19">
        <f t="shared" si="90"/>
        <v>0.10914040236485049</v>
      </c>
      <c r="U64" s="19">
        <f t="shared" ref="U64:U83" si="124">(U22-P22)/ABS(P22)</f>
        <v>0.12419495905223821</v>
      </c>
      <c r="V64" s="19">
        <f t="shared" ref="V64:V83" si="125">(V22-Q22)/ABS(Q22)</f>
        <v>0.18067916005699997</v>
      </c>
      <c r="W64" s="19">
        <f t="shared" ref="W64:W83" si="126">(W22-R22)/ABS(R22)</f>
        <v>0.35879816386145502</v>
      </c>
      <c r="X64" s="19"/>
      <c r="Y64" s="19">
        <f t="shared" si="118"/>
        <v>0.2753192468458795</v>
      </c>
      <c r="Z64" s="19">
        <f t="shared" si="119"/>
        <v>-1</v>
      </c>
      <c r="AA64" s="19">
        <f t="shared" si="120"/>
        <v>-1</v>
      </c>
      <c r="AB64" s="19">
        <f t="shared" si="121"/>
        <v>-1</v>
      </c>
    </row>
    <row r="65" spans="1:28" ht="17" x14ac:dyDescent="0.2">
      <c r="A65" s="61" t="s">
        <v>23</v>
      </c>
      <c r="B65" s="61"/>
      <c r="C65" s="19">
        <f t="shared" ref="C65" si="127">(C23-B23)/ABS(B23)</f>
        <v>8.8642771658654335E-2</v>
      </c>
      <c r="D65" s="19">
        <f t="shared" si="116"/>
        <v>8.6642195680933121E-2</v>
      </c>
      <c r="E65" s="19">
        <f t="shared" si="116"/>
        <v>0.17169510086455345</v>
      </c>
      <c r="F65" s="19">
        <f t="shared" si="116"/>
        <v>0.2350448979591839</v>
      </c>
      <c r="G65" s="19">
        <f t="shared" ref="G65:J65" si="128">(G23-F23)/ABS(F23)</f>
        <v>0.22329655172413798</v>
      </c>
      <c r="H65" s="19">
        <f t="shared" si="128"/>
        <v>0.22752941176470604</v>
      </c>
      <c r="I65" s="19">
        <f t="shared" si="128"/>
        <v>0.17382499999999995</v>
      </c>
      <c r="J65" s="19">
        <f t="shared" si="128"/>
        <v>0.1593333333333336</v>
      </c>
      <c r="N65" s="19"/>
      <c r="O65" s="19"/>
      <c r="P65" s="19"/>
      <c r="Q65" s="19"/>
      <c r="R65" s="19"/>
      <c r="S65" s="19"/>
      <c r="T65" s="19">
        <f t="shared" si="90"/>
        <v>-8.4229390681003578E-3</v>
      </c>
      <c r="U65" s="19">
        <f t="shared" si="124"/>
        <v>9.7101686589159977E-2</v>
      </c>
      <c r="V65" s="19">
        <f t="shared" si="125"/>
        <v>0.12030564135912859</v>
      </c>
      <c r="W65" s="19">
        <f t="shared" si="126"/>
        <v>0.17119149278981713</v>
      </c>
      <c r="X65" s="19"/>
      <c r="Y65" s="19">
        <f t="shared" si="118"/>
        <v>0.23031507922163985</v>
      </c>
      <c r="Z65" s="19">
        <f t="shared" si="119"/>
        <v>-1</v>
      </c>
      <c r="AA65" s="19">
        <f t="shared" si="120"/>
        <v>-1</v>
      </c>
      <c r="AB65" s="19">
        <f t="shared" si="121"/>
        <v>-1</v>
      </c>
    </row>
    <row r="66" spans="1:28" ht="17" x14ac:dyDescent="0.2">
      <c r="A66" s="61" t="s">
        <v>24</v>
      </c>
      <c r="B66" s="61"/>
      <c r="C66" s="19">
        <f t="shared" ref="C66" si="129">(C24-B24)/ABS(B24)</f>
        <v>5.8677416149773606E-2</v>
      </c>
      <c r="D66" s="19">
        <f t="shared" si="116"/>
        <v>0.19660262512234036</v>
      </c>
      <c r="E66" s="19">
        <f t="shared" si="116"/>
        <v>0.24648414985590789</v>
      </c>
      <c r="F66" s="19">
        <f t="shared" si="116"/>
        <v>0.3138775510204086</v>
      </c>
      <c r="G66" s="19">
        <f t="shared" ref="G66:J66" si="130">(G24-F24)/ABS(F24)</f>
        <v>0.30137931034482746</v>
      </c>
      <c r="H66" s="19">
        <f t="shared" si="130"/>
        <v>0.30588235294117677</v>
      </c>
      <c r="I66" s="19">
        <f t="shared" si="130"/>
        <v>0.24875000000000003</v>
      </c>
      <c r="J66" s="19">
        <f t="shared" si="130"/>
        <v>0.23333333333333361</v>
      </c>
      <c r="N66" s="19"/>
      <c r="O66" s="19"/>
      <c r="P66" s="19"/>
      <c r="Q66" s="19"/>
      <c r="R66" s="19"/>
      <c r="S66" s="19"/>
      <c r="T66" s="19">
        <f t="shared" si="90"/>
        <v>0.11022026034863294</v>
      </c>
      <c r="U66" s="19">
        <f t="shared" si="124"/>
        <v>0.24193936477382097</v>
      </c>
      <c r="V66" s="19">
        <f t="shared" si="125"/>
        <v>0.15022948020066176</v>
      </c>
      <c r="W66" s="19">
        <f t="shared" si="126"/>
        <v>0.31602443609022557</v>
      </c>
      <c r="X66" s="19"/>
      <c r="Y66" s="19">
        <f t="shared" si="118"/>
        <v>0.32903278156442711</v>
      </c>
      <c r="Z66" s="19">
        <f t="shared" si="119"/>
        <v>-1</v>
      </c>
      <c r="AA66" s="19">
        <f t="shared" si="120"/>
        <v>-1</v>
      </c>
      <c r="AB66" s="19">
        <f t="shared" si="121"/>
        <v>-1</v>
      </c>
    </row>
    <row r="67" spans="1:28" ht="17" x14ac:dyDescent="0.2">
      <c r="A67" s="57" t="s">
        <v>25</v>
      </c>
      <c r="B67" s="57"/>
      <c r="C67" s="19">
        <f>(C25-B25)/ABS(B25)</f>
        <v>0.11537163900181614</v>
      </c>
      <c r="D67" s="19">
        <f>(D25-C25)/ABS(C25)</f>
        <v>0.17638452379675415</v>
      </c>
      <c r="E67" s="19">
        <f t="shared" ref="E67:F67" si="131">(E25-D25)/ABS(D25)</f>
        <v>0.22941975061146849</v>
      </c>
      <c r="F67" s="19">
        <f t="shared" si="131"/>
        <v>0.29624826298571488</v>
      </c>
      <c r="G67" s="19">
        <f t="shared" ref="G67:J67" si="132">(G25-F25)/ABS(F25)</f>
        <v>0.28425833201945949</v>
      </c>
      <c r="H67" s="19">
        <f t="shared" si="132"/>
        <v>0.2890305731983065</v>
      </c>
      <c r="I67" s="19">
        <f t="shared" si="132"/>
        <v>0.23293718907526026</v>
      </c>
      <c r="J67" s="19">
        <f t="shared" si="132"/>
        <v>0.21800189908833192</v>
      </c>
      <c r="N67" s="19"/>
      <c r="O67" s="19"/>
      <c r="P67" s="19"/>
      <c r="Q67" s="19"/>
      <c r="R67" s="19"/>
      <c r="S67" s="19"/>
      <c r="T67" s="19">
        <f t="shared" si="90"/>
        <v>0.11435919542329415</v>
      </c>
      <c r="U67" s="19">
        <f t="shared" si="124"/>
        <v>0.1554981416009428</v>
      </c>
      <c r="V67" s="19">
        <f t="shared" si="125"/>
        <v>0.16141781125387683</v>
      </c>
      <c r="W67" s="19">
        <f t="shared" si="126"/>
        <v>0.2940211859614732</v>
      </c>
      <c r="X67" s="19"/>
      <c r="Y67" s="19">
        <f t="shared" si="118"/>
        <v>0.26961231059736818</v>
      </c>
      <c r="Z67" s="19">
        <f t="shared" si="119"/>
        <v>-1</v>
      </c>
      <c r="AA67" s="19">
        <f t="shared" si="120"/>
        <v>-1</v>
      </c>
      <c r="AB67" s="19">
        <f t="shared" si="121"/>
        <v>-1</v>
      </c>
    </row>
    <row r="68" spans="1:28" ht="17" x14ac:dyDescent="0.2">
      <c r="A68" s="66" t="s">
        <v>9</v>
      </c>
      <c r="B68" s="66"/>
      <c r="C68" s="19"/>
      <c r="D68" s="19"/>
      <c r="E68" s="19"/>
      <c r="F68" s="19"/>
      <c r="G68" s="19"/>
      <c r="H68" s="19"/>
      <c r="I68" s="19"/>
      <c r="J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7" x14ac:dyDescent="0.2">
      <c r="A69" s="67" t="s">
        <v>10</v>
      </c>
      <c r="B69" s="67"/>
      <c r="C69" s="19">
        <f t="shared" ref="C69:D80" si="133">(C27-B27)/ABS(B27)</f>
        <v>8.0951352018767755E-2</v>
      </c>
      <c r="D69" s="19">
        <f t="shared" si="133"/>
        <v>0.44910547282150864</v>
      </c>
      <c r="E69" s="19">
        <f t="shared" ref="E69:F69" si="134">(E27-D27)/ABS(D27)</f>
        <v>0.12183573487031724</v>
      </c>
      <c r="F69" s="19">
        <f t="shared" si="134"/>
        <v>0.1824897959183675</v>
      </c>
      <c r="G69" s="19">
        <f t="shared" ref="G69:J69" si="135">(G27-F27)/ABS(F27)</f>
        <v>0.17124137931034492</v>
      </c>
      <c r="H69" s="19">
        <f t="shared" si="135"/>
        <v>0.17529411764705918</v>
      </c>
      <c r="I69" s="19">
        <f t="shared" si="135"/>
        <v>0.12387500000000011</v>
      </c>
      <c r="J69" s="19">
        <f t="shared" si="135"/>
        <v>0.11000000000000026</v>
      </c>
      <c r="N69" s="19"/>
      <c r="O69" s="19"/>
      <c r="P69" s="19"/>
      <c r="Q69" s="19"/>
      <c r="R69" s="19"/>
      <c r="S69" s="19"/>
      <c r="T69" s="19">
        <f t="shared" si="90"/>
        <v>0.38625400009552469</v>
      </c>
      <c r="U69" s="19">
        <f t="shared" si="124"/>
        <v>0.43214197985752884</v>
      </c>
      <c r="V69" s="19">
        <f t="shared" si="125"/>
        <v>0.47893878044358495</v>
      </c>
      <c r="W69" s="19">
        <f t="shared" si="126"/>
        <v>0.5166267133812773</v>
      </c>
      <c r="X69" s="19"/>
      <c r="Y69" s="19">
        <f t="shared" ref="Y69:Y80" si="136">(Y27-T27)/ABS(T27)</f>
        <v>0.16593164277839029</v>
      </c>
      <c r="Z69" s="19">
        <f t="shared" ref="Z69:Z80" si="137">(Z27-U27)/ABS(U27)</f>
        <v>-1</v>
      </c>
      <c r="AA69" s="19">
        <f t="shared" ref="AA69:AA80" si="138">(AA27-V27)/ABS(V27)</f>
        <v>-1</v>
      </c>
      <c r="AB69" s="19">
        <f t="shared" ref="AB69:AB80" si="139">(AB27-W27)/ABS(W27)</f>
        <v>-1</v>
      </c>
    </row>
    <row r="70" spans="1:28" ht="17" x14ac:dyDescent="0.2">
      <c r="A70" s="67" t="s">
        <v>11</v>
      </c>
      <c r="B70" s="67"/>
      <c r="C70" s="19">
        <f t="shared" si="133"/>
        <v>-4.0729264897390989E-2</v>
      </c>
      <c r="D70" s="19">
        <f t="shared" si="133"/>
        <v>0.11021908061042973</v>
      </c>
      <c r="E70" s="19">
        <f t="shared" ref="E70:F70" si="140">(E28-D28)/ABS(D28)</f>
        <v>0.18415994236311234</v>
      </c>
      <c r="F70" s="19">
        <f t="shared" si="140"/>
        <v>0.24818367346938813</v>
      </c>
      <c r="G70" s="19">
        <f t="shared" ref="G70:J70" si="141">(G28-F28)/ABS(F28)</f>
        <v>0.23631034482758598</v>
      </c>
      <c r="H70" s="19">
        <f t="shared" si="141"/>
        <v>0.24058823529411788</v>
      </c>
      <c r="I70" s="19">
        <f t="shared" si="141"/>
        <v>0.18631249999999996</v>
      </c>
      <c r="J70" s="19">
        <f t="shared" si="141"/>
        <v>0.1716666666666668</v>
      </c>
      <c r="N70" s="19"/>
      <c r="O70" s="19"/>
      <c r="P70" s="19"/>
      <c r="Q70" s="19"/>
      <c r="R70" s="19"/>
      <c r="S70" s="19"/>
      <c r="T70" s="19">
        <f t="shared" si="90"/>
        <v>3.1203682034480068E-3</v>
      </c>
      <c r="U70" s="19">
        <f t="shared" si="124"/>
        <v>0.19707131678962664</v>
      </c>
      <c r="V70" s="19">
        <f t="shared" si="125"/>
        <v>0.1507286883609503</v>
      </c>
      <c r="W70" s="19">
        <f t="shared" si="126"/>
        <v>0.12759345580842701</v>
      </c>
      <c r="X70" s="19"/>
      <c r="Y70" s="19">
        <f t="shared" si="136"/>
        <v>0.34707208958705965</v>
      </c>
      <c r="Z70" s="19">
        <f t="shared" si="137"/>
        <v>-1</v>
      </c>
      <c r="AA70" s="19">
        <f t="shared" si="138"/>
        <v>-1</v>
      </c>
      <c r="AB70" s="19">
        <f t="shared" si="139"/>
        <v>-1</v>
      </c>
    </row>
    <row r="71" spans="1:28" ht="17" x14ac:dyDescent="0.2">
      <c r="A71" s="67" t="s">
        <v>12</v>
      </c>
      <c r="B71" s="67"/>
      <c r="C71" s="19">
        <f t="shared" si="133"/>
        <v>-0.13393771019154846</v>
      </c>
      <c r="D71" s="19">
        <f t="shared" si="133"/>
        <v>2.6506837751139625E-2</v>
      </c>
      <c r="E71" s="19">
        <f t="shared" ref="E71:F71" si="142">(E29-D29)/ABS(D29)</f>
        <v>0.18415994236311251</v>
      </c>
      <c r="F71" s="19">
        <f t="shared" si="142"/>
        <v>0.24818367346938819</v>
      </c>
      <c r="G71" s="19">
        <f t="shared" ref="G71:J71" si="143">(G29-F29)/ABS(F29)</f>
        <v>0.23631034482758603</v>
      </c>
      <c r="H71" s="19">
        <f t="shared" si="143"/>
        <v>0.24058823529411782</v>
      </c>
      <c r="I71" s="19">
        <f t="shared" si="143"/>
        <v>0.18631249999999994</v>
      </c>
      <c r="J71" s="19">
        <f t="shared" si="143"/>
        <v>0.17166666666666683</v>
      </c>
      <c r="N71" s="19"/>
      <c r="O71" s="19"/>
      <c r="P71" s="19"/>
      <c r="Q71" s="19"/>
      <c r="R71" s="19"/>
      <c r="S71" s="19"/>
      <c r="T71" s="19">
        <f t="shared" si="90"/>
        <v>0.72507788161993769</v>
      </c>
      <c r="U71" s="19">
        <f t="shared" si="124"/>
        <v>0.12303030303030303</v>
      </c>
      <c r="V71" s="19">
        <f t="shared" si="125"/>
        <v>-0.46861313868613141</v>
      </c>
      <c r="W71" s="19">
        <f t="shared" si="126"/>
        <v>-1.4989293361884369E-2</v>
      </c>
      <c r="X71" s="19"/>
      <c r="Y71" s="19">
        <f t="shared" si="136"/>
        <v>-0.87268623024830705</v>
      </c>
      <c r="Z71" s="19">
        <f t="shared" si="137"/>
        <v>-1</v>
      </c>
      <c r="AA71" s="19">
        <f t="shared" si="138"/>
        <v>-1</v>
      </c>
      <c r="AB71" s="19">
        <f t="shared" si="139"/>
        <v>-1</v>
      </c>
    </row>
    <row r="72" spans="1:28" ht="17" x14ac:dyDescent="0.2">
      <c r="A72" s="67" t="s">
        <v>13</v>
      </c>
      <c r="B72" s="67"/>
      <c r="C72" s="19">
        <f t="shared" si="133"/>
        <v>1.3569685135464975</v>
      </c>
      <c r="D72" s="19">
        <f t="shared" si="133"/>
        <v>-0.18614404805053592</v>
      </c>
      <c r="E72" s="19">
        <f t="shared" ref="E72:F72" si="144">(E30-D30)/ABS(D30)</f>
        <v>0.18415994236311245</v>
      </c>
      <c r="F72" s="19">
        <f t="shared" si="144"/>
        <v>0.24818367346938813</v>
      </c>
      <c r="G72" s="19">
        <f t="shared" ref="G72:J72" si="145">(G30-F30)/ABS(F30)</f>
        <v>0.23631034482758606</v>
      </c>
      <c r="H72" s="19">
        <f t="shared" si="145"/>
        <v>0.24058823529411771</v>
      </c>
      <c r="I72" s="19">
        <f t="shared" si="145"/>
        <v>0.18631249999999999</v>
      </c>
      <c r="J72" s="19">
        <f t="shared" si="145"/>
        <v>0.17166666666666683</v>
      </c>
      <c r="N72" s="19"/>
      <c r="O72" s="19"/>
      <c r="P72" s="19"/>
      <c r="Q72" s="19"/>
      <c r="R72" s="19"/>
      <c r="S72" s="19"/>
      <c r="T72" s="19">
        <f t="shared" si="90"/>
        <v>0.68227706113292208</v>
      </c>
      <c r="U72" s="19">
        <f t="shared" si="124"/>
        <v>-0.24174843889384479</v>
      </c>
      <c r="V72" s="19">
        <f t="shared" si="125"/>
        <v>-0.44777327935222672</v>
      </c>
      <c r="W72" s="19">
        <f t="shared" si="126"/>
        <v>-0.4282625786163522</v>
      </c>
      <c r="X72" s="19"/>
      <c r="Y72" s="19">
        <f t="shared" si="136"/>
        <v>-0.43673945657609603</v>
      </c>
      <c r="Z72" s="19">
        <f t="shared" si="137"/>
        <v>-1</v>
      </c>
      <c r="AA72" s="19">
        <f t="shared" si="138"/>
        <v>-1</v>
      </c>
      <c r="AB72" s="19">
        <f t="shared" si="139"/>
        <v>-1</v>
      </c>
    </row>
    <row r="73" spans="1:28" ht="17" x14ac:dyDescent="0.2">
      <c r="A73" s="67" t="s">
        <v>14</v>
      </c>
      <c r="B73" s="67"/>
      <c r="C73" s="19">
        <f t="shared" si="133"/>
        <v>0.87374312274710686</v>
      </c>
      <c r="D73" s="19">
        <f t="shared" si="133"/>
        <v>-0.75198703994329974</v>
      </c>
      <c r="E73" s="19">
        <f t="shared" ref="E73:F73" si="146">(E31-D31)/ABS(D31)</f>
        <v>0.18415994236311251</v>
      </c>
      <c r="F73" s="19">
        <f t="shared" si="146"/>
        <v>0.24818367346938802</v>
      </c>
      <c r="G73" s="19">
        <f t="shared" ref="G73:J73" si="147">(G31-F31)/ABS(F31)</f>
        <v>0.23631034482758606</v>
      </c>
      <c r="H73" s="19">
        <f t="shared" si="147"/>
        <v>0.24058823529411782</v>
      </c>
      <c r="I73" s="19">
        <f t="shared" si="147"/>
        <v>0.18631250000000002</v>
      </c>
      <c r="J73" s="19">
        <f t="shared" si="147"/>
        <v>0.1716666666666668</v>
      </c>
      <c r="N73" s="19"/>
      <c r="O73" s="19"/>
      <c r="P73" s="19"/>
      <c r="Q73" s="19"/>
      <c r="R73" s="19"/>
      <c r="S73" s="19"/>
      <c r="T73" s="19">
        <f t="shared" si="90"/>
        <v>-0.20751967356455844</v>
      </c>
      <c r="U73" s="19">
        <f t="shared" si="124"/>
        <v>-0.85032958511050794</v>
      </c>
      <c r="V73" s="19">
        <f t="shared" si="125"/>
        <v>-0.68994267847837421</v>
      </c>
      <c r="W73" s="19">
        <f t="shared" si="126"/>
        <v>-0.9390206966178698</v>
      </c>
      <c r="X73" s="19"/>
      <c r="Y73" s="19">
        <f t="shared" si="136"/>
        <v>-0.52556086796616408</v>
      </c>
      <c r="Z73" s="19">
        <f t="shared" si="137"/>
        <v>-1</v>
      </c>
      <c r="AA73" s="19">
        <f t="shared" si="138"/>
        <v>-1</v>
      </c>
      <c r="AB73" s="19">
        <f t="shared" si="139"/>
        <v>-1</v>
      </c>
    </row>
    <row r="74" spans="1:28" ht="17" x14ac:dyDescent="0.2">
      <c r="A74" s="68" t="s">
        <v>32</v>
      </c>
      <c r="B74" s="68"/>
      <c r="C74" s="19">
        <f t="shared" si="133"/>
        <v>0.12854181439300755</v>
      </c>
      <c r="D74" s="19">
        <f t="shared" si="133"/>
        <v>0.16043020749016246</v>
      </c>
      <c r="E74" s="19">
        <f t="shared" ref="E74:F74" si="148">(E32-D32)/ABS(D32)</f>
        <v>0.20970371217500899</v>
      </c>
      <c r="F74" s="19">
        <f t="shared" si="148"/>
        <v>0.27664173348140864</v>
      </c>
      <c r="G74" s="19">
        <f t="shared" ref="G74:J74" si="149">(G32-F32)/ABS(F32)</f>
        <v>0.26595059094450263</v>
      </c>
      <c r="H74" s="19">
        <f t="shared" si="149"/>
        <v>0.27172350399871875</v>
      </c>
      <c r="I74" s="19">
        <f t="shared" si="149"/>
        <v>0.21735536708336639</v>
      </c>
      <c r="J74" s="19">
        <f t="shared" si="149"/>
        <v>0.20352046407283125</v>
      </c>
      <c r="N74" s="19"/>
      <c r="O74" s="19"/>
      <c r="P74" s="19"/>
      <c r="Q74" s="19"/>
      <c r="R74" s="19"/>
      <c r="S74" s="19"/>
      <c r="T74" s="19">
        <f t="shared" si="90"/>
        <v>0.14773845190716808</v>
      </c>
      <c r="U74" s="19">
        <f t="shared" si="124"/>
        <v>0.15860328727998724</v>
      </c>
      <c r="V74" s="19">
        <f t="shared" si="125"/>
        <v>0.14044480238706653</v>
      </c>
      <c r="W74" s="19">
        <f t="shared" si="126"/>
        <v>0.19769506516131194</v>
      </c>
      <c r="X74" s="19"/>
      <c r="Y74" s="19">
        <f t="shared" si="136"/>
        <v>0.21631967272992914</v>
      </c>
      <c r="Z74" s="19">
        <f t="shared" si="137"/>
        <v>-1</v>
      </c>
      <c r="AA74" s="19">
        <f t="shared" si="138"/>
        <v>-1</v>
      </c>
      <c r="AB74" s="19">
        <f t="shared" si="139"/>
        <v>-1</v>
      </c>
    </row>
    <row r="75" spans="1:28" ht="17" x14ac:dyDescent="0.2">
      <c r="A75" s="69" t="s">
        <v>33</v>
      </c>
      <c r="B75" s="69"/>
      <c r="C75" s="19">
        <f t="shared" si="133"/>
        <v>-0.13296178343949044</v>
      </c>
      <c r="D75" s="19">
        <f t="shared" si="133"/>
        <v>1.079058327477161</v>
      </c>
      <c r="E75" s="19">
        <f t="shared" ref="E75:F75" si="150">(E33-D33)/ABS(D33)</f>
        <v>5.8820645456292011</v>
      </c>
      <c r="F75" s="19">
        <f t="shared" si="150"/>
        <v>1.3167435842728297</v>
      </c>
      <c r="G75" s="19">
        <f t="shared" ref="G75:J75" si="151">(G33-F33)/ABS(F33)</f>
        <v>0.82718895966369144</v>
      </c>
      <c r="H75" s="19">
        <f t="shared" si="151"/>
        <v>0.65712692222274205</v>
      </c>
      <c r="I75" s="19">
        <f t="shared" si="151"/>
        <v>0.49649147831478124</v>
      </c>
      <c r="J75" s="19">
        <f t="shared" si="151"/>
        <v>0.42471054276073483</v>
      </c>
      <c r="N75" s="19"/>
      <c r="O75" s="19"/>
      <c r="P75" s="19"/>
      <c r="Q75" s="19"/>
      <c r="R75" s="19"/>
      <c r="S75" s="19"/>
      <c r="T75" s="19">
        <f t="shared" si="90"/>
        <v>0.88679434977127636</v>
      </c>
      <c r="U75" s="19">
        <f t="shared" si="124"/>
        <v>1.6910530103142241</v>
      </c>
      <c r="V75" s="19">
        <f t="shared" si="125"/>
        <v>1.2286298568507157</v>
      </c>
      <c r="W75" s="19">
        <f t="shared" si="126"/>
        <v>0.91817711030554117</v>
      </c>
      <c r="X75" s="19"/>
      <c r="Y75" s="19">
        <f t="shared" si="136"/>
        <v>5.1087921847246891</v>
      </c>
      <c r="Z75" s="19">
        <f t="shared" si="137"/>
        <v>-1</v>
      </c>
      <c r="AA75" s="19">
        <f t="shared" si="138"/>
        <v>-1</v>
      </c>
      <c r="AB75" s="19">
        <f t="shared" si="139"/>
        <v>1</v>
      </c>
    </row>
    <row r="76" spans="1:28" ht="17" x14ac:dyDescent="0.2">
      <c r="A76" s="67" t="s">
        <v>15</v>
      </c>
      <c r="B76" s="67"/>
      <c r="C76" s="19">
        <f t="shared" si="133"/>
        <v>-0.9902286902286902</v>
      </c>
      <c r="D76" s="19">
        <f t="shared" si="133"/>
        <v>-189.34042553191489</v>
      </c>
      <c r="E76" s="19">
        <f t="shared" ref="E76" si="152">(E34-D34)/ABS(D34)</f>
        <v>1</v>
      </c>
      <c r="F76" s="19"/>
      <c r="G76" s="19"/>
      <c r="H76" s="19"/>
      <c r="I76" s="19"/>
      <c r="J76" s="19"/>
      <c r="N76" s="19"/>
      <c r="O76" s="19"/>
      <c r="P76" s="19"/>
      <c r="Q76" s="19"/>
      <c r="R76" s="19"/>
      <c r="S76" s="19"/>
      <c r="T76" s="19">
        <f t="shared" si="90"/>
        <v>-0.92711370262390669</v>
      </c>
      <c r="U76" s="19">
        <f t="shared" si="124"/>
        <v>-21.558823529411764</v>
      </c>
      <c r="V76" s="19">
        <f t="shared" si="125"/>
        <v>-33.4</v>
      </c>
      <c r="W76" s="19">
        <f t="shared" si="126"/>
        <v>-18.63720930232558</v>
      </c>
      <c r="X76" s="19"/>
      <c r="Y76" s="19">
        <f t="shared" si="136"/>
        <v>-197.56</v>
      </c>
      <c r="Z76" s="19">
        <f t="shared" si="137"/>
        <v>1</v>
      </c>
      <c r="AA76" s="19">
        <f t="shared" si="138"/>
        <v>1</v>
      </c>
      <c r="AB76" s="19">
        <f t="shared" si="139"/>
        <v>1</v>
      </c>
    </row>
    <row r="77" spans="1:28" ht="17" x14ac:dyDescent="0.2">
      <c r="A77" s="67" t="s">
        <v>16</v>
      </c>
      <c r="B77" s="67"/>
      <c r="C77" s="19">
        <f t="shared" si="133"/>
        <v>0.95470228706624605</v>
      </c>
      <c r="D77" s="19">
        <f t="shared" si="133"/>
        <v>0.48748639825897716</v>
      </c>
      <c r="E77" s="19">
        <f t="shared" ref="E77" si="153">(E35-D35)/ABS(D35)</f>
        <v>1</v>
      </c>
      <c r="F77" s="19"/>
      <c r="G77" s="19"/>
      <c r="H77" s="19"/>
      <c r="I77" s="19"/>
      <c r="J77" s="19"/>
      <c r="N77" s="19"/>
      <c r="O77" s="19"/>
      <c r="P77" s="19"/>
      <c r="Q77" s="19"/>
      <c r="R77" s="19"/>
      <c r="S77" s="19"/>
      <c r="T77" s="19">
        <f t="shared" si="90"/>
        <v>0.32558139534883723</v>
      </c>
      <c r="U77" s="19">
        <f t="shared" si="124"/>
        <v>0.40404040404040403</v>
      </c>
      <c r="V77" s="19">
        <f t="shared" si="125"/>
        <v>0.36170212765957449</v>
      </c>
      <c r="W77" s="19">
        <f t="shared" si="126"/>
        <v>0.78545454545454541</v>
      </c>
      <c r="X77" s="19"/>
      <c r="Y77" s="19">
        <f t="shared" si="136"/>
        <v>0.55172413793103448</v>
      </c>
      <c r="Z77" s="19">
        <f t="shared" si="137"/>
        <v>1</v>
      </c>
      <c r="AA77" s="19">
        <f t="shared" si="138"/>
        <v>1</v>
      </c>
      <c r="AB77" s="19">
        <f t="shared" si="139"/>
        <v>1</v>
      </c>
    </row>
    <row r="78" spans="1:28" ht="17" x14ac:dyDescent="0.2">
      <c r="A78" s="68" t="s">
        <v>17</v>
      </c>
      <c r="B78" s="68"/>
      <c r="C78" s="19">
        <f t="shared" si="133"/>
        <v>-0.58002897462037883</v>
      </c>
      <c r="D78" s="19">
        <f t="shared" si="133"/>
        <v>1.2385302407715557</v>
      </c>
      <c r="E78" s="19">
        <f t="shared" ref="E78:F78" si="154">(E36-D36)/ABS(D36)</f>
        <v>1.314760462563922</v>
      </c>
      <c r="F78" s="19">
        <f t="shared" si="154"/>
        <v>1.3167435842728297</v>
      </c>
      <c r="G78" s="19">
        <f t="shared" ref="G78:J78" si="155">(G36-F36)/ABS(F36)</f>
        <v>0.82718895966369144</v>
      </c>
      <c r="H78" s="19">
        <f t="shared" si="155"/>
        <v>0.65712692222274205</v>
      </c>
      <c r="I78" s="19">
        <f t="shared" si="155"/>
        <v>0.49649147831478124</v>
      </c>
      <c r="J78" s="19">
        <f t="shared" si="155"/>
        <v>0.42471054276073483</v>
      </c>
      <c r="N78" s="19"/>
      <c r="O78" s="19"/>
      <c r="P78" s="19"/>
      <c r="Q78" s="19"/>
      <c r="R78" s="19"/>
      <c r="S78" s="19"/>
      <c r="T78" s="19">
        <f t="shared" si="90"/>
        <v>0.89473420762839118</v>
      </c>
      <c r="U78" s="19">
        <f t="shared" si="124"/>
        <v>1.8048690971372645</v>
      </c>
      <c r="V78" s="19">
        <f t="shared" si="125"/>
        <v>1.5763294749203154</v>
      </c>
      <c r="W78" s="19">
        <f t="shared" si="126"/>
        <v>1.1435175345377258</v>
      </c>
      <c r="X78" s="19"/>
      <c r="Y78" s="19">
        <f t="shared" si="136"/>
        <v>7.7736566809320022</v>
      </c>
      <c r="Z78" s="19">
        <f t="shared" si="137"/>
        <v>-1</v>
      </c>
      <c r="AA78" s="19">
        <f t="shared" si="138"/>
        <v>-1</v>
      </c>
      <c r="AB78" s="19">
        <f t="shared" si="139"/>
        <v>-1</v>
      </c>
    </row>
    <row r="79" spans="1:28" ht="17" x14ac:dyDescent="0.2">
      <c r="A79" s="67" t="s">
        <v>34</v>
      </c>
      <c r="B79" s="67"/>
      <c r="C79" s="19">
        <f t="shared" si="133"/>
        <v>-0.20512820512820512</v>
      </c>
      <c r="D79" s="19">
        <f t="shared" si="133"/>
        <v>7.258064516129032</v>
      </c>
      <c r="E79" s="19">
        <f t="shared" ref="E79:F79" si="156">(E37-D37)/ABS(D37)</f>
        <v>10.432023234487572</v>
      </c>
      <c r="F79" s="19">
        <f t="shared" si="156"/>
        <v>1.3167435842728294</v>
      </c>
      <c r="G79" s="19">
        <f t="shared" ref="G79:J79" si="157">(G37-F37)/ABS(F37)</f>
        <v>0.82718895966369166</v>
      </c>
      <c r="H79" s="19">
        <f t="shared" si="157"/>
        <v>0.65712692222274194</v>
      </c>
      <c r="I79" s="19">
        <f t="shared" si="157"/>
        <v>0.49649147831478119</v>
      </c>
      <c r="J79" s="19">
        <f t="shared" si="157"/>
        <v>0.42471054276073467</v>
      </c>
      <c r="N79" s="19"/>
      <c r="O79" s="19"/>
      <c r="P79" s="19"/>
      <c r="Q79" s="19"/>
      <c r="R79" s="19"/>
      <c r="S79" s="19"/>
      <c r="T79" s="19">
        <f t="shared" si="90"/>
        <v>-0.05</v>
      </c>
      <c r="U79" s="19">
        <f t="shared" si="124"/>
        <v>-0.2857142857142857</v>
      </c>
      <c r="V79" s="19">
        <f t="shared" si="125"/>
        <v>2.3103448275862069</v>
      </c>
      <c r="W79" s="19">
        <f t="shared" si="126"/>
        <v>-1</v>
      </c>
      <c r="X79" s="19"/>
      <c r="Y79" s="19">
        <f t="shared" si="136"/>
        <v>5.6315789473684212</v>
      </c>
      <c r="Z79" s="19">
        <f t="shared" si="137"/>
        <v>-1</v>
      </c>
      <c r="AA79" s="19">
        <f t="shared" si="138"/>
        <v>-1</v>
      </c>
      <c r="AB79" s="19" t="e">
        <f t="shared" si="139"/>
        <v>#DIV/0!</v>
      </c>
    </row>
    <row r="80" spans="1:28" ht="17" x14ac:dyDescent="0.2">
      <c r="A80" s="70" t="s">
        <v>35</v>
      </c>
      <c r="B80" s="80"/>
      <c r="C80" s="19">
        <f t="shared" si="133"/>
        <v>-0.57757214302907112</v>
      </c>
      <c r="D80" s="19">
        <f t="shared" si="133"/>
        <v>1.2251343516368014</v>
      </c>
      <c r="E80" s="19">
        <f t="shared" ref="E80:F80" si="158">(E38-D38)/ABS(D38)</f>
        <v>0.78749707334424113</v>
      </c>
      <c r="F80" s="19">
        <f t="shared" si="158"/>
        <v>1.3167435842728297</v>
      </c>
      <c r="G80" s="19">
        <f t="shared" ref="G80:J80" si="159">(G38-F38)/ABS(F38)</f>
        <v>0.82718895966369133</v>
      </c>
      <c r="H80" s="19">
        <f t="shared" si="159"/>
        <v>0.65712692222274183</v>
      </c>
      <c r="I80" s="19">
        <f t="shared" si="159"/>
        <v>0.49649147831478146</v>
      </c>
      <c r="J80" s="19">
        <f t="shared" si="159"/>
        <v>0.42471054276073467</v>
      </c>
      <c r="N80" s="19"/>
      <c r="O80" s="19"/>
      <c r="P80" s="19"/>
      <c r="Q80" s="19"/>
      <c r="R80" s="19"/>
      <c r="S80" s="19"/>
      <c r="T80" s="19">
        <f t="shared" si="90"/>
        <v>0.89304625836746931</v>
      </c>
      <c r="U80" s="19">
        <f t="shared" si="124"/>
        <v>1.79453219927096</v>
      </c>
      <c r="V80" s="19">
        <f t="shared" si="125"/>
        <v>1.5745396451694273</v>
      </c>
      <c r="W80" s="19">
        <f t="shared" si="126"/>
        <v>1.1433195373023453</v>
      </c>
      <c r="X80" s="19"/>
      <c r="Y80" s="19">
        <f t="shared" si="136"/>
        <v>7.5357309668379262</v>
      </c>
      <c r="Z80" s="19">
        <f t="shared" si="137"/>
        <v>-1</v>
      </c>
      <c r="AA80" s="19">
        <f t="shared" si="138"/>
        <v>-1</v>
      </c>
      <c r="AB80" s="19">
        <f t="shared" si="139"/>
        <v>-1</v>
      </c>
    </row>
    <row r="81" spans="1:28" x14ac:dyDescent="0.2">
      <c r="A81" s="71"/>
      <c r="B81" s="71"/>
      <c r="C81" s="19"/>
      <c r="D81" s="19"/>
      <c r="E81" s="19"/>
      <c r="F81" s="19"/>
      <c r="G81" s="19"/>
      <c r="H81" s="19"/>
      <c r="I81" s="19"/>
      <c r="J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7" x14ac:dyDescent="0.2">
      <c r="A82" s="71" t="s">
        <v>36</v>
      </c>
      <c r="B82" s="71"/>
      <c r="C82" s="19">
        <f>(C40-B40)/ABS(B40)</f>
        <v>0.1304346320050602</v>
      </c>
      <c r="D82" s="19">
        <f>(D40-C40)/ABS(C40)</f>
        <v>1.0047121803519996</v>
      </c>
      <c r="E82" s="19">
        <f t="shared" ref="E82:F82" si="160">(E40-D40)/ABS(D40)</f>
        <v>-5.4098543405646472E-3</v>
      </c>
      <c r="F82" s="19">
        <f t="shared" si="160"/>
        <v>1.3167435842728299</v>
      </c>
      <c r="G82" s="19">
        <f t="shared" ref="G82:J82" si="161">(G40-F40)/ABS(F40)</f>
        <v>0.82718895966369144</v>
      </c>
      <c r="H82" s="19">
        <f t="shared" si="161"/>
        <v>0.65712692222274172</v>
      </c>
      <c r="I82" s="19">
        <f t="shared" si="161"/>
        <v>0.49649147831478141</v>
      </c>
      <c r="J82" s="19">
        <f t="shared" si="161"/>
        <v>0.42471054276073478</v>
      </c>
      <c r="N82" s="19"/>
      <c r="O82" s="19"/>
      <c r="P82" s="19"/>
      <c r="Q82" s="19"/>
      <c r="R82" s="19"/>
      <c r="S82" s="19"/>
      <c r="T82" s="19">
        <f t="shared" si="90"/>
        <v>0.91629424835195372</v>
      </c>
      <c r="U82" s="19">
        <f t="shared" si="124"/>
        <v>1.033580727243077</v>
      </c>
      <c r="V82" s="19">
        <f t="shared" si="125"/>
        <v>1.0064768896310503</v>
      </c>
      <c r="W82" s="19">
        <f t="shared" si="126"/>
        <v>1.0016794971791336</v>
      </c>
      <c r="X82" s="19"/>
      <c r="Y82" s="19">
        <f t="shared" ref="Y82:Y83" si="162">(Y40-T40)/ABS(T40)</f>
        <v>1.0912727996742475</v>
      </c>
      <c r="Z82" s="19" t="e">
        <f t="shared" ref="Z82:Z83" si="163">(Z40-U40)/ABS(U40)</f>
        <v>#DIV/0!</v>
      </c>
      <c r="AA82" s="19" t="e">
        <f t="shared" ref="AA82:AA83" si="164">(AA40-V40)/ABS(V40)</f>
        <v>#DIV/0!</v>
      </c>
      <c r="AB82" s="19" t="e">
        <f t="shared" ref="AB82:AB83" si="165">(AB40-W40)/ABS(W40)</f>
        <v>#DIV/0!</v>
      </c>
    </row>
    <row r="83" spans="1:28" ht="17" x14ac:dyDescent="0.2">
      <c r="A83" s="71" t="s">
        <v>37</v>
      </c>
      <c r="B83" s="71"/>
      <c r="C83" s="19">
        <f>(C41-B41)/ABS(B41)</f>
        <v>0.81420765027322406</v>
      </c>
      <c r="D83" s="19">
        <f>(D41-C41)/ABS(C41)</f>
        <v>46.777108433734938</v>
      </c>
      <c r="E83" s="19">
        <f t="shared" ref="E83:F83" si="166">(E41-D41)/ABS(D41)</f>
        <v>0.79721977052074144</v>
      </c>
      <c r="F83" s="19">
        <f t="shared" si="166"/>
        <v>0</v>
      </c>
      <c r="G83" s="19">
        <f t="shared" ref="G83:J83" si="167">(G41-F41)/ABS(F41)</f>
        <v>0</v>
      </c>
      <c r="H83" s="19">
        <f t="shared" si="167"/>
        <v>0</v>
      </c>
      <c r="I83" s="19">
        <f t="shared" si="167"/>
        <v>0</v>
      </c>
      <c r="J83" s="19">
        <f t="shared" si="167"/>
        <v>0</v>
      </c>
      <c r="N83" s="19"/>
      <c r="O83" s="19"/>
      <c r="P83" s="19"/>
      <c r="Q83" s="19"/>
      <c r="R83" s="19"/>
      <c r="S83" s="19"/>
      <c r="T83" s="19">
        <f t="shared" si="90"/>
        <v>0.27773467804499613</v>
      </c>
      <c r="U83" s="19">
        <f t="shared" si="124"/>
        <v>22.66036308623298</v>
      </c>
      <c r="V83" s="19">
        <f t="shared" si="125"/>
        <v>87.706103993971368</v>
      </c>
      <c r="W83" s="19">
        <f t="shared" si="126"/>
        <v>84.33478893740903</v>
      </c>
      <c r="X83" s="19"/>
      <c r="Y83" s="19">
        <f t="shared" si="162"/>
        <v>70.606557377049185</v>
      </c>
      <c r="Z83" s="19">
        <f t="shared" si="163"/>
        <v>-1</v>
      </c>
      <c r="AA83" s="19">
        <f t="shared" si="164"/>
        <v>-1</v>
      </c>
      <c r="AB83" s="19">
        <f t="shared" si="165"/>
        <v>-1</v>
      </c>
    </row>
    <row r="84" spans="1:28" ht="17" x14ac:dyDescent="0.2">
      <c r="A84" s="71" t="s">
        <v>38</v>
      </c>
      <c r="B84" s="71"/>
      <c r="C84" s="19"/>
      <c r="D84" s="19"/>
      <c r="E84" s="19"/>
      <c r="F84" s="19"/>
      <c r="G84" s="19"/>
      <c r="H84" s="19"/>
      <c r="I84" s="19"/>
      <c r="J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8" ht="17" x14ac:dyDescent="0.2">
      <c r="A85" s="71" t="s">
        <v>39</v>
      </c>
      <c r="B85" s="71"/>
      <c r="C85" s="19">
        <f>(C43-B43)/ABS(B43)</f>
        <v>1.1804511278195489</v>
      </c>
      <c r="D85" s="19">
        <f>(D43-C43)/ABS(C43)</f>
        <v>6.5517241379310351E-2</v>
      </c>
      <c r="E85" s="19">
        <f t="shared" ref="E85:F85" si="168">(E43-D43)/ABS(D43)</f>
        <v>0.20388349514563106</v>
      </c>
      <c r="F85" s="19">
        <f t="shared" si="168"/>
        <v>0.16935483870967741</v>
      </c>
      <c r="G85" s="19">
        <f t="shared" ref="G85:J85" si="169">(G43-F43)/ABS(F43)</f>
        <v>0.14482758620689656</v>
      </c>
      <c r="H85" s="19">
        <f t="shared" si="169"/>
        <v>0.12650602409638553</v>
      </c>
      <c r="I85" s="19">
        <f t="shared" si="169"/>
        <v>0.11229946524064172</v>
      </c>
      <c r="J85" s="19">
        <f t="shared" si="169"/>
        <v>0.10096153846153846</v>
      </c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8" ht="17" x14ac:dyDescent="0.2">
      <c r="A86" s="71" t="s">
        <v>40</v>
      </c>
      <c r="B86" s="71"/>
      <c r="C86" s="19">
        <f>(C44-B44)/ABS(B44)</f>
        <v>-0.26053041073696476</v>
      </c>
      <c r="D86" s="19">
        <f>(D44-C44)/ABS(C44)</f>
        <v>0.50017372510295499</v>
      </c>
      <c r="E86" s="19">
        <f t="shared" ref="E86:F86" si="170">(E44-D44)/ABS(D44)</f>
        <v>5.2193398581843797E-2</v>
      </c>
      <c r="F86" s="19">
        <f t="shared" si="170"/>
        <v>0.12359183673469407</v>
      </c>
      <c r="G86" s="19">
        <f t="shared" ref="G86:J86" si="171">(G44-F44)/ABS(F44)</f>
        <v>0.13674698795180723</v>
      </c>
      <c r="H86" s="19">
        <f t="shared" si="171"/>
        <v>0.15923246303869165</v>
      </c>
      <c r="I86" s="19">
        <f t="shared" si="171"/>
        <v>0.12267427884615391</v>
      </c>
      <c r="J86" s="19">
        <f t="shared" si="171"/>
        <v>0.12023289665211091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8" spans="1:28" ht="17" x14ac:dyDescent="0.2">
      <c r="A88" s="72" t="s">
        <v>42</v>
      </c>
      <c r="B88" s="72"/>
    </row>
    <row r="89" spans="1:28" ht="17" x14ac:dyDescent="0.2">
      <c r="A89" s="66" t="s">
        <v>172</v>
      </c>
      <c r="B89" s="66"/>
    </row>
    <row r="90" spans="1:28" ht="17" x14ac:dyDescent="0.2">
      <c r="A90" s="67" t="s">
        <v>0</v>
      </c>
      <c r="B90" s="75">
        <f t="shared" ref="B90" si="172">B16/B6</f>
        <v>0.18289189451475277</v>
      </c>
      <c r="C90" s="75">
        <f t="shared" ref="C90:D90" si="173">C16/C6</f>
        <v>0.20306334904167242</v>
      </c>
      <c r="D90" s="75">
        <f t="shared" si="173"/>
        <v>0.24752182523080357</v>
      </c>
      <c r="E90" s="75">
        <v>0.25</v>
      </c>
      <c r="F90" s="75">
        <f>E90*1.02</f>
        <v>0.255</v>
      </c>
      <c r="G90" s="75">
        <f t="shared" ref="G90:J90" si="174">F90*1.02</f>
        <v>0.2601</v>
      </c>
      <c r="H90" s="75">
        <f t="shared" si="174"/>
        <v>0.26530199999999998</v>
      </c>
      <c r="I90" s="75">
        <f t="shared" si="174"/>
        <v>0.27060803999999999</v>
      </c>
      <c r="J90" s="75">
        <f t="shared" si="174"/>
        <v>0.2760202008</v>
      </c>
      <c r="K90" s="75"/>
      <c r="L90" s="75"/>
      <c r="M90" s="75"/>
    </row>
    <row r="91" spans="1:28" ht="17" x14ac:dyDescent="0.2">
      <c r="A91" s="67" t="s">
        <v>3</v>
      </c>
      <c r="B91" s="22">
        <f t="shared" ref="B91:D93" si="175">B17/B7</f>
        <v>0.13705656670497091</v>
      </c>
      <c r="C91" s="22">
        <f t="shared" si="175"/>
        <v>5.6277216030703375E-2</v>
      </c>
      <c r="D91" s="22">
        <f t="shared" si="175"/>
        <v>-4.5771916214119475E-2</v>
      </c>
    </row>
    <row r="92" spans="1:28" ht="17" x14ac:dyDescent="0.2">
      <c r="A92" s="67" t="s">
        <v>4</v>
      </c>
      <c r="B92" s="22">
        <f t="shared" si="175"/>
        <v>0.2799403677323174</v>
      </c>
      <c r="C92" s="22">
        <f t="shared" si="175"/>
        <v>0.11089303238469088</v>
      </c>
      <c r="D92" s="22">
        <f t="shared" si="175"/>
        <v>0.39045413611218321</v>
      </c>
    </row>
    <row r="93" spans="1:28" ht="17" x14ac:dyDescent="0.2">
      <c r="A93" s="73" t="s">
        <v>47</v>
      </c>
      <c r="B93" s="75">
        <f t="shared" si="175"/>
        <v>0.16428234334255867</v>
      </c>
      <c r="C93" s="75">
        <f t="shared" si="175"/>
        <v>0.17369384828378409</v>
      </c>
      <c r="D93" s="75">
        <f t="shared" si="175"/>
        <v>0.24749005077535338</v>
      </c>
      <c r="E93" s="75">
        <f t="shared" ref="E93:J93" si="176">E19/E9</f>
        <v>0.25</v>
      </c>
      <c r="F93" s="75">
        <f t="shared" si="176"/>
        <v>0.255</v>
      </c>
      <c r="G93" s="75">
        <f t="shared" si="176"/>
        <v>0.2601</v>
      </c>
      <c r="H93" s="75">
        <f t="shared" si="176"/>
        <v>0.26530199999999998</v>
      </c>
      <c r="I93" s="75">
        <f t="shared" si="176"/>
        <v>0.27060803999999999</v>
      </c>
      <c r="J93" s="75">
        <f t="shared" si="176"/>
        <v>0.2760202008</v>
      </c>
      <c r="K93" s="75"/>
      <c r="L93" s="75"/>
      <c r="M93" s="75"/>
    </row>
    <row r="94" spans="1:28" ht="17" x14ac:dyDescent="0.2">
      <c r="A94" s="68" t="s">
        <v>173</v>
      </c>
      <c r="B94" s="22">
        <f>B33/B9</f>
        <v>-0.10548880961141596</v>
      </c>
      <c r="C94" s="22">
        <f>C33/C9</f>
        <v>-0.10594573130846506</v>
      </c>
      <c r="D94" s="22">
        <f>D33/D9</f>
        <v>6.4841498559077811E-3</v>
      </c>
      <c r="E94" s="22">
        <f t="shared" ref="E94:J94" si="177">E33/E9</f>
        <v>3.5800164676821726E-2</v>
      </c>
      <c r="F94" s="22">
        <f t="shared" si="177"/>
        <v>6.3125975298476814E-2</v>
      </c>
      <c r="G94" s="22">
        <f t="shared" si="177"/>
        <v>8.8631411469740642E-2</v>
      </c>
      <c r="H94" s="22">
        <f t="shared" si="177"/>
        <v>0.11247069674409227</v>
      </c>
      <c r="I94" s="22">
        <f t="shared" si="177"/>
        <v>0.13478393532545352</v>
      </c>
      <c r="J94" s="22">
        <f t="shared" si="177"/>
        <v>0.15569845431320645</v>
      </c>
      <c r="K94" s="22"/>
      <c r="L94" s="22"/>
      <c r="M94" s="22"/>
    </row>
    <row r="95" spans="1:28" ht="17" x14ac:dyDescent="0.2">
      <c r="A95" s="66" t="s">
        <v>43</v>
      </c>
      <c r="B95" s="22">
        <f t="shared" ref="B95:C95" si="178">B38/B9</f>
        <v>-7.4771232942456287E-2</v>
      </c>
      <c r="C95" s="22">
        <f t="shared" si="178"/>
        <v>-0.10456481699783202</v>
      </c>
      <c r="D95" s="22">
        <f t="shared" ref="D95" si="179">D38/D9</f>
        <v>1.8224234938932344E-2</v>
      </c>
      <c r="E95" s="22">
        <f t="shared" ref="E95:J95" si="180">E38/E9</f>
        <v>2.6134120214079858E-2</v>
      </c>
      <c r="F95" s="22">
        <f t="shared" si="180"/>
        <v>4.6081961967888073E-2</v>
      </c>
      <c r="G95" s="22">
        <f t="shared" si="180"/>
        <v>6.4700930372910664E-2</v>
      </c>
      <c r="H95" s="22">
        <f t="shared" si="180"/>
        <v>8.2103608623187344E-2</v>
      </c>
      <c r="I95" s="22">
        <f t="shared" si="180"/>
        <v>9.8392272787581073E-2</v>
      </c>
      <c r="J95" s="22">
        <f t="shared" si="180"/>
        <v>0.11365987164864071</v>
      </c>
      <c r="K95" s="22"/>
      <c r="L95" s="22"/>
      <c r="M95" s="22"/>
    </row>
    <row r="96" spans="1:28" ht="17" x14ac:dyDescent="0.2">
      <c r="A96" s="66" t="s">
        <v>44</v>
      </c>
      <c r="B96"/>
    </row>
    <row r="97" spans="1:28" ht="17" x14ac:dyDescent="0.2">
      <c r="A97" s="67" t="s">
        <v>45</v>
      </c>
      <c r="B97" s="22">
        <f t="shared" ref="B97:C97" si="181">B11/B$9</f>
        <v>0.45460453694667968</v>
      </c>
      <c r="C97" s="22">
        <f t="shared" si="181"/>
        <v>0.63373330804316108</v>
      </c>
      <c r="D97" s="22">
        <f t="shared" ref="D97" si="182">D11/D$9</f>
        <v>0.7404583504871689</v>
      </c>
    </row>
    <row r="98" spans="1:28" ht="17" x14ac:dyDescent="0.2">
      <c r="A98" s="67" t="s">
        <v>3</v>
      </c>
      <c r="B98" s="22">
        <f t="shared" ref="B98:D100" si="183">B12/B$9</f>
        <v>0.3724203714665088</v>
      </c>
      <c r="C98" s="22">
        <f t="shared" si="183"/>
        <v>0.18133053486941586</v>
      </c>
      <c r="D98" s="22">
        <f t="shared" si="183"/>
        <v>5.5496088925483739E-3</v>
      </c>
    </row>
    <row r="99" spans="1:28" ht="17" x14ac:dyDescent="0.2">
      <c r="A99" s="67" t="s">
        <v>4</v>
      </c>
      <c r="B99" s="22">
        <f t="shared" si="183"/>
        <v>8.6927482442528282E-3</v>
      </c>
      <c r="C99" s="22">
        <f t="shared" si="183"/>
        <v>1.1242308803638948E-2</v>
      </c>
      <c r="D99" s="22">
        <f t="shared" si="183"/>
        <v>6.5019898449293258E-3</v>
      </c>
    </row>
    <row r="100" spans="1:28" ht="17" x14ac:dyDescent="0.2">
      <c r="A100" s="74" t="s">
        <v>18</v>
      </c>
      <c r="B100" s="22">
        <f t="shared" si="183"/>
        <v>0.83571765665744135</v>
      </c>
      <c r="C100" s="22">
        <f t="shared" si="183"/>
        <v>0.82630615171621591</v>
      </c>
      <c r="D100" s="22">
        <f t="shared" si="183"/>
        <v>0.75250994922464665</v>
      </c>
      <c r="E100" s="22">
        <f t="shared" ref="E100:J100" si="184">E14/E$9</f>
        <v>0.75</v>
      </c>
      <c r="F100" s="22">
        <f t="shared" si="184"/>
        <v>0.745</v>
      </c>
      <c r="G100" s="22">
        <f t="shared" si="184"/>
        <v>0.7399</v>
      </c>
      <c r="H100" s="22">
        <f t="shared" si="184"/>
        <v>0.73469800000000007</v>
      </c>
      <c r="I100" s="22">
        <f t="shared" si="184"/>
        <v>0.72939195999999995</v>
      </c>
      <c r="J100" s="22">
        <f t="shared" si="184"/>
        <v>0.72397979919999988</v>
      </c>
      <c r="K100" s="22"/>
      <c r="L100" s="22"/>
      <c r="M100" s="22"/>
    </row>
    <row r="101" spans="1:28" ht="34" x14ac:dyDescent="0.2">
      <c r="A101" s="57" t="s">
        <v>170</v>
      </c>
      <c r="B101" s="8"/>
      <c r="C101" s="8"/>
      <c r="D101" s="8"/>
      <c r="E101" s="8"/>
      <c r="F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7" x14ac:dyDescent="0.2">
      <c r="A102" s="61" t="s">
        <v>21</v>
      </c>
      <c r="B102" s="75">
        <f>B21/B$9</f>
        <v>0.30949943208178021</v>
      </c>
      <c r="C102" s="75">
        <f>C21/C$9</f>
        <v>0.31906034010554513</v>
      </c>
      <c r="D102" s="75">
        <f>D21/D$9</f>
        <v>0.29292987512007684</v>
      </c>
      <c r="E102" s="75">
        <f>D102*0.99</f>
        <v>0.29000057636887605</v>
      </c>
      <c r="F102" s="75">
        <f t="shared" ref="F102:J102" si="185">E102*0.99</f>
        <v>0.28710057060518729</v>
      </c>
      <c r="G102" s="75">
        <f t="shared" si="185"/>
        <v>0.28422956489913542</v>
      </c>
      <c r="H102" s="75">
        <f t="shared" si="185"/>
        <v>0.28138726925014407</v>
      </c>
      <c r="I102" s="75">
        <f t="shared" si="185"/>
        <v>0.27857339655764263</v>
      </c>
      <c r="J102" s="75">
        <f t="shared" si="185"/>
        <v>0.27578766259206622</v>
      </c>
      <c r="K102" s="75"/>
      <c r="L102" s="75"/>
      <c r="M102" s="75"/>
      <c r="N102" s="8"/>
      <c r="O102" s="8">
        <f>C102-SUM(P102:R102)</f>
        <v>-129083.6809396599</v>
      </c>
      <c r="P102" s="8">
        <v>43741</v>
      </c>
      <c r="Q102" s="8">
        <v>44617</v>
      </c>
      <c r="R102" s="8">
        <v>40726</v>
      </c>
      <c r="S102" s="8"/>
      <c r="T102" s="8">
        <v>59118</v>
      </c>
      <c r="U102" s="8">
        <v>51000</v>
      </c>
      <c r="V102" s="8">
        <v>51818</v>
      </c>
      <c r="W102" s="8">
        <v>51522</v>
      </c>
      <c r="X102" s="8"/>
      <c r="Y102" s="8">
        <v>73947</v>
      </c>
      <c r="Z102" s="8"/>
      <c r="AA102" s="8"/>
      <c r="AB102" s="8"/>
    </row>
    <row r="103" spans="1:28" ht="17" x14ac:dyDescent="0.2">
      <c r="A103" s="61" t="s">
        <v>171</v>
      </c>
      <c r="B103" s="75">
        <f t="shared" ref="B103:C103" si="186">B22/B$9</f>
        <v>0.28674870818602122</v>
      </c>
      <c r="C103" s="75">
        <f t="shared" si="186"/>
        <v>0.27988952685514934</v>
      </c>
      <c r="D103" s="75">
        <f t="shared" ref="D103:D105" si="187">D22/D$9</f>
        <v>0.25706875257307532</v>
      </c>
      <c r="E103" s="75">
        <f>D103*0.99</f>
        <v>0.25449806504734457</v>
      </c>
      <c r="F103" s="75">
        <f t="shared" ref="F103:J103" si="188">E103*0.99</f>
        <v>0.25195308439687114</v>
      </c>
      <c r="G103" s="75">
        <f t="shared" si="188"/>
        <v>0.24943355355290242</v>
      </c>
      <c r="H103" s="75">
        <f t="shared" si="188"/>
        <v>0.2469392180173734</v>
      </c>
      <c r="I103" s="75">
        <f t="shared" si="188"/>
        <v>0.24446982583719967</v>
      </c>
      <c r="J103" s="75">
        <f t="shared" si="188"/>
        <v>0.24202512757882769</v>
      </c>
      <c r="K103" s="75"/>
      <c r="L103" s="75"/>
      <c r="M103" s="75"/>
      <c r="N103" s="8"/>
      <c r="O103" s="8">
        <f>C103-SUM(P103:R103)</f>
        <v>-110868.72011047315</v>
      </c>
      <c r="P103" s="8">
        <v>37731</v>
      </c>
      <c r="Q103" s="8">
        <v>37193</v>
      </c>
      <c r="R103" s="8">
        <v>35945</v>
      </c>
      <c r="S103" s="8"/>
      <c r="T103" s="8">
        <v>52154</v>
      </c>
      <c r="U103" s="8">
        <v>42417</v>
      </c>
      <c r="V103" s="8">
        <v>43913</v>
      </c>
      <c r="W103" s="8">
        <v>48842</v>
      </c>
      <c r="X103" s="8"/>
      <c r="Y103" s="8">
        <v>66513</v>
      </c>
      <c r="Z103" s="8"/>
      <c r="AA103" s="8"/>
      <c r="AB103" s="8"/>
    </row>
    <row r="104" spans="1:28" ht="17" x14ac:dyDescent="0.2">
      <c r="A104" s="61" t="s">
        <v>23</v>
      </c>
      <c r="B104" s="75">
        <f t="shared" ref="B104:C104" si="189">B23/B$9</f>
        <v>9.858380393223376E-2</v>
      </c>
      <c r="C104" s="75">
        <f t="shared" si="189"/>
        <v>9.5137728032560501E-2</v>
      </c>
      <c r="D104" s="75">
        <f t="shared" si="187"/>
        <v>8.0031563057499658E-2</v>
      </c>
      <c r="E104" s="75">
        <f>D104*0.94</f>
        <v>7.5229669274049671E-2</v>
      </c>
      <c r="F104" s="75">
        <f t="shared" ref="F104:J104" si="190">E104*0.94</f>
        <v>7.0715889117606692E-2</v>
      </c>
      <c r="G104" s="75">
        <f t="shared" si="190"/>
        <v>6.6472935770550287E-2</v>
      </c>
      <c r="H104" s="75">
        <f t="shared" si="190"/>
        <v>6.2484559624317267E-2</v>
      </c>
      <c r="I104" s="75">
        <f t="shared" si="190"/>
        <v>5.8735486046858229E-2</v>
      </c>
      <c r="J104" s="75">
        <f t="shared" si="190"/>
        <v>5.5211356884046735E-2</v>
      </c>
      <c r="K104" s="75"/>
      <c r="L104" s="75"/>
      <c r="M104" s="75"/>
      <c r="N104" s="8"/>
      <c r="O104" s="8">
        <f>C104-SUM(P104:R104)</f>
        <v>-36928.904862271971</v>
      </c>
      <c r="P104" s="8">
        <v>12214</v>
      </c>
      <c r="Q104" s="8">
        <v>12302</v>
      </c>
      <c r="R104" s="8">
        <v>12413</v>
      </c>
      <c r="S104" s="8"/>
      <c r="T104" s="8">
        <v>16599</v>
      </c>
      <c r="U104" s="8">
        <v>13400</v>
      </c>
      <c r="V104" s="8">
        <v>13782</v>
      </c>
      <c r="W104" s="8">
        <v>14538</v>
      </c>
      <c r="X104" s="8"/>
      <c r="Y104" s="8">
        <v>20422</v>
      </c>
      <c r="Z104" s="8"/>
      <c r="AA104" s="8"/>
      <c r="AB104" s="8"/>
    </row>
    <row r="105" spans="1:28" ht="17" x14ac:dyDescent="0.2">
      <c r="A105" s="61" t="s">
        <v>24</v>
      </c>
      <c r="B105" s="75">
        <f t="shared" ref="B105:C105" si="191">B24/B$9</f>
        <v>0.14088571245740614</v>
      </c>
      <c r="C105" s="75">
        <f t="shared" si="191"/>
        <v>0.13221855672296093</v>
      </c>
      <c r="D105" s="75">
        <f t="shared" si="187"/>
        <v>0.12247975847399478</v>
      </c>
      <c r="E105" s="75">
        <f>D105</f>
        <v>0.12247975847399478</v>
      </c>
      <c r="F105" s="75">
        <f t="shared" ref="F105:J105" si="192">E105</f>
        <v>0.12247975847399478</v>
      </c>
      <c r="G105" s="75">
        <f t="shared" si="192"/>
        <v>0.12247975847399478</v>
      </c>
      <c r="H105" s="75">
        <f t="shared" si="192"/>
        <v>0.12247975847399478</v>
      </c>
      <c r="I105" s="75">
        <f t="shared" si="192"/>
        <v>0.12247975847399478</v>
      </c>
      <c r="J105" s="75">
        <f t="shared" si="192"/>
        <v>0.12247975847399478</v>
      </c>
      <c r="K105" s="75"/>
      <c r="L105" s="75"/>
      <c r="M105" s="75"/>
      <c r="N105" s="8"/>
      <c r="O105" s="8">
        <f>C105-SUM(P105:R105)</f>
        <v>-52385.867781443274</v>
      </c>
      <c r="P105" s="8">
        <v>16624</v>
      </c>
      <c r="Q105" s="8">
        <v>18738</v>
      </c>
      <c r="R105" s="8">
        <v>17024</v>
      </c>
      <c r="S105" s="8"/>
      <c r="T105" s="8">
        <v>24648</v>
      </c>
      <c r="U105" s="8">
        <v>20646</v>
      </c>
      <c r="V105" s="8">
        <v>21553</v>
      </c>
      <c r="W105" s="8">
        <v>22404</v>
      </c>
      <c r="X105" s="8"/>
      <c r="Y105" s="8">
        <v>32758</v>
      </c>
      <c r="Z105" s="8"/>
      <c r="AA105" s="8"/>
      <c r="AB105" s="8"/>
    </row>
    <row r="106" spans="1:28" ht="17" x14ac:dyDescent="0.2">
      <c r="A106" s="57" t="s">
        <v>25</v>
      </c>
      <c r="B106" s="75">
        <f>B25/B$9</f>
        <v>0.83571765665744135</v>
      </c>
      <c r="C106" s="75">
        <f>C25/C$9</f>
        <v>0.82630615171621591</v>
      </c>
      <c r="D106" s="75">
        <f>D25/D$9</f>
        <v>0.75250994922464665</v>
      </c>
      <c r="E106" s="75">
        <f t="shared" ref="E106:J106" si="193">E25/E$9</f>
        <v>0.74220806916426507</v>
      </c>
      <c r="F106" s="75">
        <f t="shared" si="193"/>
        <v>0.73224930259365983</v>
      </c>
      <c r="G106" s="75">
        <f t="shared" si="193"/>
        <v>0.72261581269658293</v>
      </c>
      <c r="H106" s="75">
        <f t="shared" si="193"/>
        <v>0.71329080536582945</v>
      </c>
      <c r="I106" s="75">
        <f t="shared" si="193"/>
        <v>0.70425846691569516</v>
      </c>
      <c r="J106" s="75">
        <f t="shared" si="193"/>
        <v>0.69550390552893548</v>
      </c>
      <c r="K106" s="75"/>
      <c r="L106" s="75"/>
      <c r="M106" s="75"/>
      <c r="N106" s="8"/>
      <c r="O106" s="9">
        <f>SUM(O102:O105)</f>
        <v>-329267.17369384831</v>
      </c>
      <c r="P106" s="9">
        <f t="shared" ref="P106" si="194">SUM(P102:P105)</f>
        <v>110310</v>
      </c>
      <c r="Q106" s="9">
        <f>SUM(Q102:Q105)</f>
        <v>112850</v>
      </c>
      <c r="R106" s="9">
        <f t="shared" ref="R106" si="195">SUM(R102:R105)</f>
        <v>106108</v>
      </c>
      <c r="S106" s="8"/>
      <c r="T106" s="9">
        <f>SUM(T102:T105)</f>
        <v>152519</v>
      </c>
      <c r="U106" s="9">
        <f t="shared" ref="U106" si="196">SUM(U102:U105)</f>
        <v>127463</v>
      </c>
      <c r="V106" s="9">
        <f t="shared" ref="V106" si="197">SUM(V102:V105)</f>
        <v>131066</v>
      </c>
      <c r="W106" s="9">
        <f t="shared" ref="W106" si="198">SUM(W102:W105)</f>
        <v>137306</v>
      </c>
      <c r="X106" s="8"/>
      <c r="Y106" s="9">
        <f>SUM(Y102:Y105)</f>
        <v>193640</v>
      </c>
      <c r="Z106" s="9">
        <f t="shared" ref="Z106" si="199">SUM(Z102:Z105)</f>
        <v>0</v>
      </c>
      <c r="AA106" s="9">
        <f t="shared" ref="AA106" si="200">SUM(AA102:AA105)</f>
        <v>0</v>
      </c>
      <c r="AB106" s="9">
        <f t="shared" ref="AB106" si="201">SUM(AB102:AB105)</f>
        <v>0</v>
      </c>
    </row>
    <row r="107" spans="1:28" ht="17" x14ac:dyDescent="0.2">
      <c r="A107" s="67" t="s">
        <v>10</v>
      </c>
      <c r="B107" s="75">
        <f t="shared" ref="B107:C107" si="202">B27/B$9</f>
        <v>0.12956534259066693</v>
      </c>
      <c r="C107" s="75">
        <f t="shared" si="202"/>
        <v>0.124152882636465</v>
      </c>
      <c r="D107" s="75">
        <f t="shared" ref="D107" si="203">D27/D$9</f>
        <v>0.13927679429120352</v>
      </c>
      <c r="E107" s="75">
        <f>D107*0.9</f>
        <v>0.12534911486208317</v>
      </c>
      <c r="F107" s="75">
        <f t="shared" ref="F107:J107" si="204">E107*0.9</f>
        <v>0.11281420337587485</v>
      </c>
      <c r="G107" s="75">
        <f t="shared" si="204"/>
        <v>0.10153278303828736</v>
      </c>
      <c r="H107" s="75">
        <f t="shared" si="204"/>
        <v>9.1379504734458633E-2</v>
      </c>
      <c r="I107" s="75">
        <f t="shared" si="204"/>
        <v>8.2241554261012775E-2</v>
      </c>
      <c r="J107" s="75">
        <f t="shared" si="204"/>
        <v>7.4017398834911499E-2</v>
      </c>
      <c r="K107" s="75"/>
      <c r="L107" s="75"/>
      <c r="M107" s="75"/>
    </row>
    <row r="108" spans="1:28" ht="17" x14ac:dyDescent="0.2">
      <c r="A108" s="67" t="s">
        <v>11</v>
      </c>
      <c r="B108" s="75">
        <f t="shared" ref="B108:D112" si="205">B28/B$9</f>
        <v>8.9063174902813999E-2</v>
      </c>
      <c r="C108" s="75">
        <f t="shared" si="205"/>
        <v>7.5735793334385126E-2</v>
      </c>
      <c r="D108" s="75">
        <f t="shared" si="205"/>
        <v>6.5092630712227248E-2</v>
      </c>
      <c r="E108" s="75">
        <f t="shared" ref="E108:J111" si="206">D108*0.95</f>
        <v>6.1837999176615879E-2</v>
      </c>
      <c r="F108" s="75">
        <f t="shared" si="206"/>
        <v>5.8746099217785085E-2</v>
      </c>
      <c r="G108" s="75">
        <f t="shared" si="206"/>
        <v>5.5808794256895826E-2</v>
      </c>
      <c r="H108" s="75">
        <f t="shared" si="206"/>
        <v>5.301835454405103E-2</v>
      </c>
      <c r="I108" s="75">
        <f t="shared" si="206"/>
        <v>5.0367436816848479E-2</v>
      </c>
      <c r="J108" s="75">
        <f t="shared" si="206"/>
        <v>4.784906497600605E-2</v>
      </c>
      <c r="K108" s="75"/>
      <c r="L108" s="75"/>
      <c r="M108" s="75"/>
    </row>
    <row r="109" spans="1:28" ht="17" x14ac:dyDescent="0.2">
      <c r="A109" s="67" t="s">
        <v>12</v>
      </c>
      <c r="B109" s="75">
        <f t="shared" si="205"/>
        <v>1.3676030651586171E-2</v>
      </c>
      <c r="C109" s="75">
        <f t="shared" si="205"/>
        <v>1.0499557717431961E-2</v>
      </c>
      <c r="D109" s="75">
        <f t="shared" si="205"/>
        <v>8.3436256346919174E-3</v>
      </c>
      <c r="E109" s="75">
        <f t="shared" si="206"/>
        <v>7.9264443529573209E-3</v>
      </c>
      <c r="F109" s="75">
        <f t="shared" si="206"/>
        <v>7.5301221353094548E-3</v>
      </c>
      <c r="G109" s="75">
        <f t="shared" si="206"/>
        <v>7.1536160285439821E-3</v>
      </c>
      <c r="H109" s="75">
        <f t="shared" si="206"/>
        <v>6.7959352271167823E-3</v>
      </c>
      <c r="I109" s="75">
        <f t="shared" si="206"/>
        <v>6.456138465760943E-3</v>
      </c>
      <c r="J109" s="75">
        <f t="shared" si="206"/>
        <v>6.1333315424728953E-3</v>
      </c>
      <c r="K109" s="75"/>
      <c r="L109" s="75"/>
      <c r="M109" s="75"/>
    </row>
    <row r="110" spans="1:28" ht="17" x14ac:dyDescent="0.2">
      <c r="A110" s="67" t="s">
        <v>13</v>
      </c>
      <c r="B110" s="75">
        <f t="shared" si="205"/>
        <v>1.638564046777264E-2</v>
      </c>
      <c r="C110" s="75">
        <f t="shared" si="205"/>
        <v>3.4235684314834279E-2</v>
      </c>
      <c r="D110" s="75">
        <f t="shared" si="205"/>
        <v>2.156991903389598E-2</v>
      </c>
      <c r="E110" s="75">
        <f t="shared" si="206"/>
        <v>2.0491423082201178E-2</v>
      </c>
      <c r="F110" s="75">
        <f t="shared" si="206"/>
        <v>1.9466851928091118E-2</v>
      </c>
      <c r="G110" s="75">
        <f t="shared" si="206"/>
        <v>1.8493509331686562E-2</v>
      </c>
      <c r="H110" s="75">
        <f t="shared" si="206"/>
        <v>1.7568833865102232E-2</v>
      </c>
      <c r="I110" s="75">
        <f t="shared" si="206"/>
        <v>1.6690392171847118E-2</v>
      </c>
      <c r="J110" s="75">
        <f t="shared" si="206"/>
        <v>1.5855872563254762E-2</v>
      </c>
      <c r="K110" s="75"/>
      <c r="L110" s="75"/>
      <c r="M110" s="75"/>
    </row>
    <row r="111" spans="1:28" ht="17" x14ac:dyDescent="0.2">
      <c r="A111" s="67" t="s">
        <v>14</v>
      </c>
      <c r="B111" s="75">
        <f t="shared" si="205"/>
        <v>2.1080964341134878E-2</v>
      </c>
      <c r="C111" s="75">
        <f t="shared" si="205"/>
        <v>3.5015661589132788E-2</v>
      </c>
      <c r="D111" s="75">
        <f t="shared" si="205"/>
        <v>6.722931247426925E-3</v>
      </c>
      <c r="E111" s="75">
        <f t="shared" si="206"/>
        <v>6.3867846850555786E-3</v>
      </c>
      <c r="F111" s="75">
        <f t="shared" si="206"/>
        <v>6.067445450802799E-3</v>
      </c>
      <c r="G111" s="75">
        <f t="shared" si="206"/>
        <v>5.7640731782626587E-3</v>
      </c>
      <c r="H111" s="75">
        <f t="shared" si="206"/>
        <v>5.4758695193495256E-3</v>
      </c>
      <c r="I111" s="75">
        <f t="shared" si="206"/>
        <v>5.2020760433820487E-3</v>
      </c>
      <c r="J111" s="75">
        <f t="shared" si="206"/>
        <v>4.9419722412129457E-3</v>
      </c>
      <c r="K111" s="75"/>
      <c r="L111" s="75"/>
      <c r="M111" s="75"/>
    </row>
    <row r="112" spans="1:28" ht="17" x14ac:dyDescent="0.2">
      <c r="A112" s="68" t="s">
        <v>32</v>
      </c>
      <c r="B112" s="22">
        <f t="shared" si="205"/>
        <v>1.1054888096114159</v>
      </c>
      <c r="C112" s="22">
        <f t="shared" si="205"/>
        <v>1.1059457313084651</v>
      </c>
      <c r="D112" s="22">
        <f t="shared" si="205"/>
        <v>0.99351585014409227</v>
      </c>
      <c r="E112" s="22">
        <f t="shared" ref="E112:J112" si="207">E32/E$9</f>
        <v>0.96419983532317832</v>
      </c>
      <c r="F112" s="22">
        <f t="shared" si="207"/>
        <v>0.93687402470152314</v>
      </c>
      <c r="G112" s="22">
        <f t="shared" si="207"/>
        <v>0.91136858853025937</v>
      </c>
      <c r="H112" s="22">
        <f t="shared" si="207"/>
        <v>0.88752930325590773</v>
      </c>
      <c r="I112" s="22">
        <f t="shared" si="207"/>
        <v>0.86521606467454648</v>
      </c>
      <c r="J112" s="22">
        <f t="shared" si="207"/>
        <v>0.8443015456867935</v>
      </c>
    </row>
    <row r="114" spans="1:10" ht="17" x14ac:dyDescent="0.2">
      <c r="A114" s="65" t="s">
        <v>124</v>
      </c>
      <c r="B114" s="65"/>
    </row>
    <row r="115" spans="1:10" ht="17" x14ac:dyDescent="0.2">
      <c r="A115" s="64" t="s">
        <v>84</v>
      </c>
      <c r="B115" s="8">
        <v>-37391</v>
      </c>
      <c r="C115" s="8">
        <v>-58987</v>
      </c>
      <c r="D115" s="8">
        <v>13280</v>
      </c>
      <c r="E115" s="8">
        <f>E38</f>
        <v>23737.961134011523</v>
      </c>
      <c r="F115" s="8">
        <f t="shared" ref="F115:J115" si="208">F38</f>
        <v>54994.76916093898</v>
      </c>
      <c r="G115" s="8">
        <f t="shared" si="208"/>
        <v>100485.83505012095</v>
      </c>
      <c r="H115" s="8">
        <f t="shared" si="208"/>
        <v>166517.78256358905</v>
      </c>
      <c r="I115" s="8">
        <f t="shared" si="208"/>
        <v>249192.44259428472</v>
      </c>
      <c r="J115" s="8">
        <f t="shared" si="208"/>
        <v>355027.1001403766</v>
      </c>
    </row>
    <row r="116" spans="1:10" ht="17" x14ac:dyDescent="0.2">
      <c r="A116" s="64" t="s">
        <v>85</v>
      </c>
      <c r="B116" s="8">
        <v>44445</v>
      </c>
      <c r="C116" s="8">
        <v>42724</v>
      </c>
      <c r="D116" s="8">
        <v>47433</v>
      </c>
      <c r="E116" s="8">
        <f>D116*(1+(D43/C43-1))</f>
        <v>50540.679310344829</v>
      </c>
      <c r="F116" s="8">
        <f t="shared" ref="F116:J116" si="209">E116*(1+(E43/D43-1))</f>
        <v>60845.089655172414</v>
      </c>
      <c r="G116" s="8">
        <f t="shared" si="209"/>
        <v>71149.5</v>
      </c>
      <c r="H116" s="8">
        <f t="shared" si="209"/>
        <v>81453.910344827586</v>
      </c>
      <c r="I116" s="8">
        <f t="shared" si="209"/>
        <v>91758.320689655171</v>
      </c>
      <c r="J116" s="8">
        <f t="shared" si="209"/>
        <v>102062.73103448276</v>
      </c>
    </row>
    <row r="117" spans="1:10" ht="17" x14ac:dyDescent="0.2">
      <c r="A117" s="64" t="s">
        <v>86</v>
      </c>
      <c r="B117" s="8">
        <v>5351</v>
      </c>
      <c r="C117" s="8">
        <v>3803</v>
      </c>
      <c r="D117" s="8">
        <v>9360</v>
      </c>
      <c r="E117" s="8">
        <f>D117*(1.08)</f>
        <v>10108.800000000001</v>
      </c>
      <c r="F117" s="8">
        <f t="shared" ref="F117:J117" si="210">E117*(1.08)</f>
        <v>10917.504000000003</v>
      </c>
      <c r="G117" s="8">
        <f t="shared" si="210"/>
        <v>11790.904320000003</v>
      </c>
      <c r="H117" s="8">
        <f t="shared" si="210"/>
        <v>12734.176665600004</v>
      </c>
      <c r="I117" s="8">
        <f t="shared" si="210"/>
        <v>13752.910798848005</v>
      </c>
      <c r="J117" s="8">
        <f t="shared" si="210"/>
        <v>14853.143662755845</v>
      </c>
    </row>
    <row r="118" spans="1:10" ht="17" x14ac:dyDescent="0.2">
      <c r="A118" s="64" t="s">
        <v>87</v>
      </c>
      <c r="B118" s="8">
        <v>-9458</v>
      </c>
      <c r="C118" s="8">
        <v>19753</v>
      </c>
      <c r="D118" s="8">
        <v>4899</v>
      </c>
      <c r="E118" s="8"/>
      <c r="F118" s="8"/>
      <c r="G118" s="8"/>
      <c r="H118" s="8"/>
      <c r="I118" s="8"/>
      <c r="J118" s="8"/>
    </row>
    <row r="119" spans="1:10" ht="17" x14ac:dyDescent="0.2">
      <c r="A119" s="64" t="s">
        <v>88</v>
      </c>
      <c r="B119" s="8">
        <v>446</v>
      </c>
      <c r="C119" s="8">
        <v>-1255</v>
      </c>
      <c r="D119" s="8">
        <v>22129</v>
      </c>
      <c r="E119" s="8">
        <f>D119*1.2</f>
        <v>26554.799999999999</v>
      </c>
      <c r="F119" s="8">
        <f t="shared" ref="F119:J119" si="211">E119*1.2</f>
        <v>31865.759999999998</v>
      </c>
      <c r="G119" s="8">
        <f t="shared" si="211"/>
        <v>38238.911999999997</v>
      </c>
      <c r="H119" s="8">
        <f t="shared" si="211"/>
        <v>45886.694399999993</v>
      </c>
      <c r="I119" s="8">
        <f t="shared" si="211"/>
        <v>55064.033279999989</v>
      </c>
      <c r="J119" s="8">
        <f t="shared" si="211"/>
        <v>66076.839935999989</v>
      </c>
    </row>
    <row r="120" spans="1:10" ht="17" x14ac:dyDescent="0.2">
      <c r="A120" s="64" t="s">
        <v>89</v>
      </c>
      <c r="B120" s="8">
        <v>3393</v>
      </c>
      <c r="C120" s="8">
        <v>6038</v>
      </c>
      <c r="D120" s="8">
        <f>SUM(D115:D119)</f>
        <v>97101</v>
      </c>
      <c r="E120" s="8">
        <f>SUM(E115:E119)</f>
        <v>110942.24044435636</v>
      </c>
      <c r="F120" s="8">
        <f t="shared" ref="F120:J120" si="212">SUM(F115:F119)</f>
        <v>158623.1228161114</v>
      </c>
      <c r="G120" s="8">
        <f t="shared" si="212"/>
        <v>221665.15137012093</v>
      </c>
      <c r="H120" s="8">
        <f t="shared" si="212"/>
        <v>306592.56397401664</v>
      </c>
      <c r="I120" s="8">
        <f t="shared" si="212"/>
        <v>409767.70736278791</v>
      </c>
      <c r="J120" s="8">
        <f t="shared" si="212"/>
        <v>538019.81477361522</v>
      </c>
    </row>
    <row r="121" spans="1:10" ht="17" x14ac:dyDescent="0.2">
      <c r="A121" s="64" t="s">
        <v>90</v>
      </c>
      <c r="B121" s="8">
        <v>-56309</v>
      </c>
      <c r="C121" s="8">
        <v>-104161</v>
      </c>
      <c r="D121" s="8">
        <v>-138806</v>
      </c>
      <c r="E121" s="8">
        <f>D121*(1+(D43/C43-1))</f>
        <v>-147900.18620689656</v>
      </c>
      <c r="F121" s="8">
        <f t="shared" ref="F121:J121" si="213">E121*(1+(E43/D43-1))</f>
        <v>-178054.59310344828</v>
      </c>
      <c r="G121" s="8">
        <f t="shared" si="213"/>
        <v>-208209.00000000003</v>
      </c>
      <c r="H121" s="8">
        <f t="shared" si="213"/>
        <v>-238363.40689655178</v>
      </c>
      <c r="I121" s="8">
        <f t="shared" si="213"/>
        <v>-268517.8137931035</v>
      </c>
      <c r="J121" s="8">
        <f t="shared" si="213"/>
        <v>-298672.22068965522</v>
      </c>
    </row>
    <row r="122" spans="1:10" ht="17" x14ac:dyDescent="0.2">
      <c r="A122" s="64" t="s">
        <v>91</v>
      </c>
      <c r="B122" s="8">
        <f t="shared" ref="B122:E122" si="214">SUM(B120:B121)</f>
        <v>-52916</v>
      </c>
      <c r="C122" s="8">
        <f t="shared" si="214"/>
        <v>-98123</v>
      </c>
      <c r="D122" s="8">
        <f>SUM(D120:D121)</f>
        <v>-41705</v>
      </c>
      <c r="E122" s="8">
        <f t="shared" si="214"/>
        <v>-36957.945762540199</v>
      </c>
      <c r="F122" s="8">
        <f t="shared" ref="F122" si="215">SUM(F120:F121)</f>
        <v>-19431.470287336881</v>
      </c>
      <c r="G122" s="8">
        <f t="shared" ref="G122" si="216">SUM(G120:G121)</f>
        <v>13456.151370120904</v>
      </c>
      <c r="H122" s="8">
        <f t="shared" ref="H122" si="217">SUM(H120:H121)</f>
        <v>68229.157077464857</v>
      </c>
      <c r="I122" s="8">
        <f t="shared" ref="I122" si="218">SUM(I120:I121)</f>
        <v>141249.89356968441</v>
      </c>
      <c r="J122" s="8">
        <f t="shared" ref="J122" si="219">SUM(J120:J121)</f>
        <v>239347.59408395999</v>
      </c>
    </row>
    <row r="123" spans="1:10" ht="17" x14ac:dyDescent="0.2">
      <c r="A123" s="64" t="s">
        <v>92</v>
      </c>
      <c r="B123" s="7">
        <v>-72.289617486338798</v>
      </c>
      <c r="C123" s="7">
        <v>-73.887801204819283</v>
      </c>
      <c r="D123" s="7">
        <f>D122/D41</f>
        <v>-0.65730992308662206</v>
      </c>
      <c r="E123" s="7">
        <f>E122/E41</f>
        <v>-0.32410721531649739</v>
      </c>
      <c r="F123" s="7">
        <f t="shared" ref="F123:J123" si="220">F122/F41</f>
        <v>-0.17040664989333404</v>
      </c>
      <c r="G123" s="7">
        <f t="shared" si="220"/>
        <v>0.11800536148488033</v>
      </c>
      <c r="H123" s="7">
        <f t="shared" si="220"/>
        <v>0.59834391894646022</v>
      </c>
      <c r="I123" s="7">
        <f t="shared" si="220"/>
        <v>1.2387081782836482</v>
      </c>
      <c r="J123" s="7">
        <f t="shared" si="220"/>
        <v>2.0989879337363853</v>
      </c>
    </row>
    <row r="124" spans="1:10" ht="17" x14ac:dyDescent="0.2">
      <c r="A124" s="64" t="s">
        <v>125</v>
      </c>
      <c r="B124" s="8">
        <v>164068</v>
      </c>
      <c r="C124" s="8">
        <v>0</v>
      </c>
      <c r="D124" s="8">
        <v>0</v>
      </c>
      <c r="E124" s="8"/>
      <c r="F124" s="8"/>
      <c r="G124" s="8"/>
      <c r="H124" s="8"/>
      <c r="I124" s="8"/>
      <c r="J124" s="8"/>
    </row>
    <row r="125" spans="1:10" ht="17" x14ac:dyDescent="0.2">
      <c r="A125" s="64" t="s">
        <v>93</v>
      </c>
      <c r="B125" s="8">
        <v>-553</v>
      </c>
      <c r="C125" s="8">
        <v>-874</v>
      </c>
      <c r="D125" s="8">
        <v>-1755</v>
      </c>
      <c r="E125" s="8"/>
      <c r="F125" s="8"/>
      <c r="G125" s="8"/>
      <c r="H125" s="8"/>
      <c r="I125" s="8"/>
      <c r="J125" s="8"/>
    </row>
    <row r="126" spans="1:10" ht="17" x14ac:dyDescent="0.2">
      <c r="A126" s="64" t="s">
        <v>87</v>
      </c>
      <c r="B126" s="8">
        <v>338</v>
      </c>
      <c r="C126" s="8">
        <v>-2210</v>
      </c>
      <c r="D126" s="8">
        <v>336763</v>
      </c>
      <c r="E126" s="8"/>
      <c r="F126" s="8"/>
      <c r="G126" s="8"/>
      <c r="H126" s="8"/>
      <c r="I126" s="8"/>
      <c r="J126" s="8"/>
    </row>
    <row r="127" spans="1:10" ht="17" x14ac:dyDescent="0.2">
      <c r="A127" s="64" t="s">
        <v>94</v>
      </c>
      <c r="B127" s="8">
        <v>110937</v>
      </c>
      <c r="C127" s="8">
        <v>-101207</v>
      </c>
      <c r="D127" s="8">
        <f>SUM(D124:D126)+D122</f>
        <v>293303</v>
      </c>
      <c r="E127" s="8">
        <f t="shared" ref="E127:J127" si="221">SUM(E124:E126)+E122</f>
        <v>-36957.945762540199</v>
      </c>
      <c r="F127" s="8">
        <f t="shared" si="221"/>
        <v>-19431.470287336881</v>
      </c>
      <c r="G127" s="8">
        <f t="shared" si="221"/>
        <v>13456.151370120904</v>
      </c>
      <c r="H127" s="8">
        <f t="shared" si="221"/>
        <v>68229.157077464857</v>
      </c>
      <c r="I127" s="8">
        <f t="shared" si="221"/>
        <v>141249.89356968441</v>
      </c>
      <c r="J127" s="8">
        <f t="shared" si="221"/>
        <v>239347.59408395999</v>
      </c>
    </row>
    <row r="129" spans="1:10" ht="32" x14ac:dyDescent="0.2">
      <c r="A129" s="26" t="s">
        <v>48</v>
      </c>
      <c r="B129" s="26"/>
      <c r="C129" s="29"/>
      <c r="D129" s="29"/>
    </row>
    <row r="130" spans="1:10" x14ac:dyDescent="0.2">
      <c r="A130" s="27" t="s">
        <v>49</v>
      </c>
      <c r="B130" s="27"/>
      <c r="C130" s="28" t="s">
        <v>82</v>
      </c>
      <c r="D130" s="28" t="s">
        <v>82</v>
      </c>
    </row>
    <row r="131" spans="1:10" x14ac:dyDescent="0.2">
      <c r="A131" s="28" t="s">
        <v>50</v>
      </c>
      <c r="B131" s="28"/>
      <c r="C131" s="30">
        <v>39125</v>
      </c>
      <c r="D131" s="30">
        <v>332428</v>
      </c>
      <c r="E131" s="8">
        <f>D131+E127</f>
        <v>295470.05423745979</v>
      </c>
      <c r="F131" s="8">
        <f t="shared" ref="F131:J131" si="222">E131+F127</f>
        <v>276038.58395012293</v>
      </c>
      <c r="G131" s="8">
        <f t="shared" si="222"/>
        <v>289494.73532024387</v>
      </c>
      <c r="H131" s="8">
        <f t="shared" si="222"/>
        <v>357723.89239770873</v>
      </c>
      <c r="I131" s="8">
        <f t="shared" si="222"/>
        <v>498973.78596739314</v>
      </c>
      <c r="J131" s="8">
        <f t="shared" si="222"/>
        <v>738321.38005135313</v>
      </c>
    </row>
    <row r="132" spans="1:10" x14ac:dyDescent="0.2">
      <c r="A132" s="28" t="s">
        <v>51</v>
      </c>
      <c r="B132" s="28"/>
      <c r="C132" s="31">
        <v>2827</v>
      </c>
      <c r="D132" s="31">
        <v>3662</v>
      </c>
    </row>
    <row r="133" spans="1:10" x14ac:dyDescent="0.2">
      <c r="A133" s="28" t="s">
        <v>52</v>
      </c>
      <c r="B133" s="28"/>
      <c r="C133" s="31">
        <v>4908</v>
      </c>
      <c r="D133" s="31">
        <v>8223</v>
      </c>
    </row>
    <row r="134" spans="1:10" x14ac:dyDescent="0.2">
      <c r="A134" s="28" t="s">
        <v>53</v>
      </c>
      <c r="B134" s="28"/>
      <c r="C134" s="31">
        <v>5139</v>
      </c>
      <c r="D134" s="31">
        <v>5637</v>
      </c>
    </row>
    <row r="135" spans="1:10" x14ac:dyDescent="0.2">
      <c r="A135" s="28" t="s">
        <v>54</v>
      </c>
      <c r="B135" s="28"/>
      <c r="C135" s="31">
        <v>6151</v>
      </c>
      <c r="D135" s="31">
        <v>4962</v>
      </c>
    </row>
    <row r="136" spans="1:10" x14ac:dyDescent="0.2">
      <c r="A136" s="28" t="s">
        <v>55</v>
      </c>
      <c r="B136" s="28"/>
      <c r="C136" s="31">
        <v>58150</v>
      </c>
      <c r="D136" s="31">
        <v>354912</v>
      </c>
    </row>
    <row r="137" spans="1:10" x14ac:dyDescent="0.2">
      <c r="A137" s="28" t="s">
        <v>56</v>
      </c>
      <c r="B137" s="28"/>
      <c r="C137" s="31">
        <v>242983</v>
      </c>
      <c r="D137" s="31">
        <v>330730</v>
      </c>
    </row>
    <row r="138" spans="1:10" x14ac:dyDescent="0.2">
      <c r="A138" s="28" t="s">
        <v>57</v>
      </c>
      <c r="B138" s="28"/>
      <c r="C138" s="31">
        <v>273876</v>
      </c>
      <c r="D138" s="31">
        <v>289451</v>
      </c>
    </row>
    <row r="139" spans="1:10" x14ac:dyDescent="0.2">
      <c r="A139" s="28" t="s">
        <v>58</v>
      </c>
      <c r="B139" s="28"/>
      <c r="C139" s="31">
        <v>1944</v>
      </c>
      <c r="D139" s="31">
        <v>1944</v>
      </c>
    </row>
    <row r="140" spans="1:10" x14ac:dyDescent="0.2">
      <c r="A140" s="28" t="s">
        <v>59</v>
      </c>
      <c r="B140" s="28"/>
      <c r="C140" s="31">
        <v>1382</v>
      </c>
      <c r="D140" s="31">
        <v>1355</v>
      </c>
    </row>
    <row r="141" spans="1:10" x14ac:dyDescent="0.2">
      <c r="A141" s="28" t="s">
        <v>60</v>
      </c>
      <c r="B141" s="28"/>
      <c r="C141" s="31">
        <v>5548</v>
      </c>
      <c r="D141" s="31">
        <v>5365</v>
      </c>
    </row>
    <row r="142" spans="1:10" x14ac:dyDescent="0.2">
      <c r="A142" s="28" t="s">
        <v>61</v>
      </c>
      <c r="B142" s="28"/>
      <c r="C142" s="31">
        <v>583883</v>
      </c>
      <c r="D142" s="31">
        <v>983757</v>
      </c>
    </row>
    <row r="143" spans="1:10" x14ac:dyDescent="0.2">
      <c r="A143" s="27" t="s">
        <v>62</v>
      </c>
      <c r="B143" s="27"/>
      <c r="C143" s="28" t="s">
        <v>82</v>
      </c>
      <c r="D143" s="28" t="s">
        <v>82</v>
      </c>
    </row>
    <row r="144" spans="1:10" x14ac:dyDescent="0.2">
      <c r="A144" s="28" t="s">
        <v>63</v>
      </c>
      <c r="B144" s="28"/>
      <c r="C144" s="31">
        <v>14311</v>
      </c>
      <c r="D144" s="31">
        <v>17234</v>
      </c>
    </row>
    <row r="145" spans="1:4" x14ac:dyDescent="0.2">
      <c r="A145" s="28" t="s">
        <v>64</v>
      </c>
      <c r="B145" s="28"/>
      <c r="C145" s="31">
        <v>40468</v>
      </c>
      <c r="D145" s="31">
        <v>59219</v>
      </c>
    </row>
    <row r="146" spans="1:4" x14ac:dyDescent="0.2">
      <c r="A146" s="28" t="s">
        <v>65</v>
      </c>
      <c r="B146" s="28"/>
      <c r="C146" s="31">
        <v>29539</v>
      </c>
      <c r="D146" s="31">
        <v>32583</v>
      </c>
    </row>
    <row r="147" spans="1:4" x14ac:dyDescent="0.2">
      <c r="A147" s="28" t="s">
        <v>66</v>
      </c>
      <c r="B147" s="28"/>
      <c r="C147" s="31">
        <v>84318</v>
      </c>
      <c r="D147" s="31">
        <v>109036</v>
      </c>
    </row>
    <row r="148" spans="1:4" x14ac:dyDescent="0.2">
      <c r="A148" s="28" t="s">
        <v>67</v>
      </c>
      <c r="B148" s="28"/>
      <c r="C148" s="31">
        <v>28</v>
      </c>
      <c r="D148" s="31">
        <v>79</v>
      </c>
    </row>
    <row r="149" spans="1:4" x14ac:dyDescent="0.2">
      <c r="A149" s="28" t="s">
        <v>68</v>
      </c>
      <c r="B149" s="28"/>
      <c r="C149" s="31">
        <v>285194</v>
      </c>
      <c r="D149" s="31">
        <v>303615</v>
      </c>
    </row>
    <row r="150" spans="1:4" x14ac:dyDescent="0.2">
      <c r="A150" s="28" t="s">
        <v>69</v>
      </c>
      <c r="B150" s="28"/>
      <c r="C150" s="31">
        <v>538</v>
      </c>
      <c r="D150" s="31">
        <v>225</v>
      </c>
    </row>
    <row r="151" spans="1:4" x14ac:dyDescent="0.2">
      <c r="A151" s="28" t="s">
        <v>70</v>
      </c>
      <c r="B151" s="28"/>
      <c r="C151" s="31">
        <v>370078</v>
      </c>
      <c r="D151" s="31">
        <v>412955</v>
      </c>
    </row>
    <row r="152" spans="1:4" x14ac:dyDescent="0.2">
      <c r="A152" s="28" t="s">
        <v>71</v>
      </c>
      <c r="B152" s="28"/>
      <c r="C152" s="28" t="s">
        <v>38</v>
      </c>
      <c r="D152" s="28" t="s">
        <v>38</v>
      </c>
    </row>
    <row r="153" spans="1:4" x14ac:dyDescent="0.2">
      <c r="A153" s="27" t="s">
        <v>72</v>
      </c>
      <c r="B153" s="27"/>
      <c r="C153" s="28" t="s">
        <v>82</v>
      </c>
      <c r="D153" s="28" t="s">
        <v>82</v>
      </c>
    </row>
    <row r="154" spans="1:4" ht="64" x14ac:dyDescent="0.2">
      <c r="A154" s="28" t="s">
        <v>73</v>
      </c>
      <c r="B154" s="28"/>
      <c r="C154" s="31">
        <v>662308</v>
      </c>
      <c r="D154" s="31">
        <v>0</v>
      </c>
    </row>
    <row r="155" spans="1:4" x14ac:dyDescent="0.2">
      <c r="A155" s="27" t="s">
        <v>74</v>
      </c>
      <c r="B155" s="27"/>
      <c r="C155" s="28" t="s">
        <v>82</v>
      </c>
      <c r="D155" s="28" t="s">
        <v>82</v>
      </c>
    </row>
    <row r="156" spans="1:4" ht="64" x14ac:dyDescent="0.2">
      <c r="A156" s="28" t="s">
        <v>75</v>
      </c>
      <c r="B156" s="28"/>
      <c r="C156" s="31">
        <v>0</v>
      </c>
      <c r="D156" s="31">
        <v>11</v>
      </c>
    </row>
    <row r="157" spans="1:4" ht="32" x14ac:dyDescent="0.2">
      <c r="A157" s="28" t="s">
        <v>76</v>
      </c>
      <c r="B157" s="28"/>
      <c r="C157" s="31">
        <v>-6619</v>
      </c>
      <c r="D157" s="31">
        <v>-9727</v>
      </c>
    </row>
    <row r="158" spans="1:4" x14ac:dyDescent="0.2">
      <c r="A158" s="28" t="s">
        <v>77</v>
      </c>
      <c r="B158" s="28"/>
      <c r="C158" s="31">
        <v>19059</v>
      </c>
      <c r="D158" s="31">
        <v>1028181</v>
      </c>
    </row>
    <row r="159" spans="1:4" x14ac:dyDescent="0.2">
      <c r="A159" s="28" t="s">
        <v>78</v>
      </c>
      <c r="B159" s="28"/>
      <c r="C159" s="31">
        <v>-460943</v>
      </c>
      <c r="D159" s="31">
        <v>-447663</v>
      </c>
    </row>
    <row r="160" spans="1:4" x14ac:dyDescent="0.2">
      <c r="A160" s="28" t="s">
        <v>79</v>
      </c>
      <c r="B160" s="28"/>
      <c r="C160" s="31">
        <v>-448503</v>
      </c>
      <c r="D160" s="31">
        <v>570802</v>
      </c>
    </row>
    <row r="161" spans="1:10" ht="32" x14ac:dyDescent="0.2">
      <c r="A161" s="28" t="s">
        <v>80</v>
      </c>
      <c r="B161" s="28"/>
      <c r="C161" s="30">
        <v>583883</v>
      </c>
      <c r="D161" s="30">
        <v>983757</v>
      </c>
    </row>
    <row r="163" spans="1:10" ht="17" x14ac:dyDescent="0.2">
      <c r="A163" s="58" t="s">
        <v>0</v>
      </c>
      <c r="B163" s="58"/>
    </row>
    <row r="164" spans="1:10" x14ac:dyDescent="0.2">
      <c r="A164" s="40"/>
      <c r="B164" s="40"/>
    </row>
    <row r="165" spans="1:10" ht="17" x14ac:dyDescent="0.2">
      <c r="A165" s="41" t="s">
        <v>126</v>
      </c>
      <c r="B165" s="41"/>
      <c r="C165" s="8">
        <f>C33</f>
        <v>-59766</v>
      </c>
      <c r="D165" s="8">
        <f>D33</f>
        <v>4725</v>
      </c>
      <c r="E165" s="8">
        <f t="shared" ref="E165:H165" si="223">E33</f>
        <v>32517.754978097975</v>
      </c>
      <c r="F165" s="8">
        <f t="shared" si="223"/>
        <v>75335.300220464356</v>
      </c>
      <c r="G165" s="8">
        <f t="shared" si="223"/>
        <v>137651.82883578213</v>
      </c>
      <c r="H165" s="8">
        <f t="shared" si="223"/>
        <v>228106.55145697133</v>
      </c>
      <c r="I165" s="8">
        <f>I33</f>
        <v>341359.51040312974</v>
      </c>
      <c r="J165" s="8">
        <f t="shared" ref="J165" si="224">J33</f>
        <v>486338.49334298167</v>
      </c>
    </row>
    <row r="166" spans="1:10" ht="17" x14ac:dyDescent="0.2">
      <c r="A166" s="40" t="s">
        <v>127</v>
      </c>
      <c r="B166" s="40"/>
      <c r="C166" s="8">
        <f>C169</f>
        <v>93</v>
      </c>
      <c r="D166" s="8">
        <f>D169</f>
        <v>768</v>
      </c>
      <c r="E166" s="8">
        <f t="shared" ref="E166:H166" si="225">E169</f>
        <v>8779.7938440864546</v>
      </c>
      <c r="F166" s="8">
        <f t="shared" si="225"/>
        <v>20340.531059525376</v>
      </c>
      <c r="G166" s="8">
        <f t="shared" si="225"/>
        <v>37165.99378566118</v>
      </c>
      <c r="H166" s="8">
        <f t="shared" si="225"/>
        <v>61588.768893382265</v>
      </c>
      <c r="I166" s="8">
        <f>I169</f>
        <v>92167.067808845037</v>
      </c>
      <c r="J166" s="8">
        <f t="shared" ref="J166" si="226">J169</f>
        <v>131311.39320260505</v>
      </c>
    </row>
    <row r="167" spans="1:10" ht="17" x14ac:dyDescent="0.2">
      <c r="A167" s="40" t="s">
        <v>128</v>
      </c>
      <c r="B167" s="40"/>
      <c r="C167" s="8">
        <f>C165-C166</f>
        <v>-59859</v>
      </c>
      <c r="D167" s="8">
        <f>D165-D166</f>
        <v>3957</v>
      </c>
      <c r="E167" s="8">
        <f t="shared" ref="E167:H167" si="227">E165-E166</f>
        <v>23737.961134011523</v>
      </c>
      <c r="F167" s="8">
        <f t="shared" si="227"/>
        <v>54994.76916093898</v>
      </c>
      <c r="G167" s="8">
        <f t="shared" si="227"/>
        <v>100485.83505012095</v>
      </c>
      <c r="H167" s="8">
        <f t="shared" si="227"/>
        <v>166517.78256358905</v>
      </c>
      <c r="I167" s="8">
        <f>I165-I166</f>
        <v>249192.44259428472</v>
      </c>
      <c r="J167" s="8">
        <f t="shared" ref="J167" si="228">J165-J166</f>
        <v>355027.1001403766</v>
      </c>
    </row>
    <row r="168" spans="1:10" x14ac:dyDescent="0.2">
      <c r="A168" s="40"/>
      <c r="B168" s="40"/>
    </row>
    <row r="169" spans="1:10" ht="17" x14ac:dyDescent="0.2">
      <c r="A169" s="42" t="s">
        <v>34</v>
      </c>
      <c r="B169" s="42"/>
      <c r="C169" s="8">
        <f>C37</f>
        <v>93</v>
      </c>
      <c r="D169" s="8">
        <f>D37</f>
        <v>768</v>
      </c>
      <c r="E169" s="8">
        <f t="shared" ref="E169:H169" si="229">E37</f>
        <v>8779.7938440864546</v>
      </c>
      <c r="F169" s="8">
        <f t="shared" si="229"/>
        <v>20340.531059525376</v>
      </c>
      <c r="G169" s="8">
        <f t="shared" si="229"/>
        <v>37165.99378566118</v>
      </c>
      <c r="H169" s="8">
        <f t="shared" si="229"/>
        <v>61588.768893382265</v>
      </c>
      <c r="I169" s="8">
        <f>I37</f>
        <v>92167.067808845037</v>
      </c>
      <c r="J169" s="8">
        <f t="shared" ref="J169" si="230">J37</f>
        <v>131311.39320260505</v>
      </c>
    </row>
    <row r="170" spans="1:10" ht="17" x14ac:dyDescent="0.2">
      <c r="A170" s="42" t="s">
        <v>129</v>
      </c>
      <c r="B170" s="42"/>
      <c r="C170" s="8">
        <f>C36</f>
        <v>-58894</v>
      </c>
      <c r="D170" s="8">
        <f>D36</f>
        <v>14048</v>
      </c>
      <c r="E170" s="8">
        <f t="shared" ref="E170:H170" si="231">E36</f>
        <v>32517.754978097975</v>
      </c>
      <c r="F170" s="8">
        <f t="shared" si="231"/>
        <v>75335.300220464356</v>
      </c>
      <c r="G170" s="8">
        <f t="shared" si="231"/>
        <v>137651.82883578213</v>
      </c>
      <c r="H170" s="8">
        <f t="shared" si="231"/>
        <v>228106.55145697133</v>
      </c>
      <c r="I170" s="8">
        <f>I36</f>
        <v>341359.51040312974</v>
      </c>
      <c r="J170" s="8">
        <f t="shared" ref="J170" si="232">J36</f>
        <v>486338.49334298167</v>
      </c>
    </row>
    <row r="171" spans="1:10" ht="17" x14ac:dyDescent="0.2">
      <c r="A171" s="43" t="s">
        <v>130</v>
      </c>
      <c r="B171" s="43"/>
      <c r="C171" s="44">
        <f>C169/C170</f>
        <v>-1.5791082283424457E-3</v>
      </c>
      <c r="D171" s="44">
        <f>D169/D170</f>
        <v>5.4669703872437359E-2</v>
      </c>
      <c r="E171" s="44">
        <f t="shared" ref="E171:H171" si="233">E169/E170</f>
        <v>0.27</v>
      </c>
      <c r="F171" s="44">
        <f t="shared" si="233"/>
        <v>0.27</v>
      </c>
      <c r="G171" s="44">
        <f t="shared" si="233"/>
        <v>0.27</v>
      </c>
      <c r="H171" s="44">
        <f t="shared" si="233"/>
        <v>0.27</v>
      </c>
      <c r="I171" s="44">
        <f>I169/I170</f>
        <v>0.27</v>
      </c>
      <c r="J171" s="44">
        <f t="shared" ref="J171" si="234">J169/J170</f>
        <v>0.26999999999999996</v>
      </c>
    </row>
    <row r="172" spans="1:10" x14ac:dyDescent="0.2">
      <c r="A172" s="40"/>
      <c r="B172" s="40"/>
    </row>
    <row r="173" spans="1:10" ht="17" x14ac:dyDescent="0.2">
      <c r="A173" s="45" t="s">
        <v>131</v>
      </c>
      <c r="B173" s="45"/>
    </row>
    <row r="174" spans="1:10" x14ac:dyDescent="0.2">
      <c r="A174" s="40"/>
      <c r="B174" s="40"/>
    </row>
    <row r="175" spans="1:10" ht="17" x14ac:dyDescent="0.2">
      <c r="A175" s="40" t="s">
        <v>132</v>
      </c>
      <c r="B175" s="40"/>
      <c r="C175" s="37">
        <f>C136-C131-SUM(C144:C146)</f>
        <v>-65293</v>
      </c>
      <c r="D175" s="37">
        <f>D136-D131-SUM(D144:D146)</f>
        <v>-86552</v>
      </c>
    </row>
    <row r="176" spans="1:10" ht="17" x14ac:dyDescent="0.2">
      <c r="A176" s="40" t="s">
        <v>133</v>
      </c>
      <c r="B176" s="40"/>
      <c r="C176" s="37">
        <f>C137</f>
        <v>242983</v>
      </c>
      <c r="D176" s="37">
        <f>D137</f>
        <v>330730</v>
      </c>
    </row>
    <row r="177" spans="1:4" ht="17" x14ac:dyDescent="0.2">
      <c r="A177" s="40" t="s">
        <v>134</v>
      </c>
      <c r="B177" s="40"/>
      <c r="C177" s="37">
        <f>SUM(C138:C141)</f>
        <v>282750</v>
      </c>
      <c r="D177" s="37">
        <f>SUM(D138:D141)</f>
        <v>298115</v>
      </c>
    </row>
    <row r="178" spans="1:4" ht="17" x14ac:dyDescent="0.2">
      <c r="A178" s="40" t="s">
        <v>135</v>
      </c>
      <c r="B178" s="40"/>
      <c r="C178" s="37">
        <f>SUM(C175:C177)</f>
        <v>460440</v>
      </c>
      <c r="D178" s="37">
        <f>SUM(D175:D177)</f>
        <v>542293</v>
      </c>
    </row>
    <row r="179" spans="1:4" x14ac:dyDescent="0.2">
      <c r="A179" s="40"/>
      <c r="B179" s="40"/>
    </row>
    <row r="180" spans="1:4" ht="17" x14ac:dyDescent="0.2">
      <c r="A180" s="40" t="s">
        <v>136</v>
      </c>
      <c r="B180" s="40"/>
      <c r="C180" s="46">
        <f>C167/C178</f>
        <v>-0.13000390930414385</v>
      </c>
      <c r="D180" s="46">
        <f>D167/D178</f>
        <v>7.2967934308574888E-3</v>
      </c>
    </row>
    <row r="182" spans="1:4" ht="17" x14ac:dyDescent="0.2">
      <c r="A182" s="47" t="s">
        <v>137</v>
      </c>
      <c r="B182" s="47"/>
    </row>
    <row r="183" spans="1:4" x14ac:dyDescent="0.2">
      <c r="A183" s="47"/>
      <c r="B183" s="47"/>
    </row>
    <row r="184" spans="1:4" ht="17" x14ac:dyDescent="0.2">
      <c r="A184" s="48" t="s">
        <v>126</v>
      </c>
      <c r="B184" s="48"/>
    </row>
    <row r="185" spans="1:4" ht="17" x14ac:dyDescent="0.2">
      <c r="A185" s="49" t="s">
        <v>138</v>
      </c>
      <c r="B185" s="49"/>
    </row>
    <row r="186" spans="1:4" ht="17" x14ac:dyDescent="0.2">
      <c r="A186" s="49" t="s">
        <v>127</v>
      </c>
      <c r="B186" s="49"/>
    </row>
    <row r="187" spans="1:4" ht="17" x14ac:dyDescent="0.2">
      <c r="A187" s="48" t="s">
        <v>128</v>
      </c>
      <c r="B187" s="48"/>
    </row>
    <row r="188" spans="1:4" ht="17" x14ac:dyDescent="0.2">
      <c r="A188" s="48" t="s">
        <v>85</v>
      </c>
      <c r="B188" s="48"/>
    </row>
    <row r="189" spans="1:4" ht="17" x14ac:dyDescent="0.2">
      <c r="A189" s="48" t="s">
        <v>90</v>
      </c>
      <c r="B189" s="48"/>
    </row>
    <row r="190" spans="1:4" ht="17" x14ac:dyDescent="0.2">
      <c r="A190" s="50" t="s">
        <v>132</v>
      </c>
      <c r="B190" s="50"/>
    </row>
    <row r="191" spans="1:4" ht="17" x14ac:dyDescent="0.2">
      <c r="A191" s="50" t="s">
        <v>139</v>
      </c>
      <c r="B191" s="50"/>
    </row>
    <row r="192" spans="1:4" x14ac:dyDescent="0.2">
      <c r="A192" s="49"/>
      <c r="B192" s="49"/>
    </row>
    <row r="193" spans="1:11" ht="17" x14ac:dyDescent="0.2">
      <c r="A193" s="49" t="s">
        <v>139</v>
      </c>
      <c r="B193" s="49"/>
    </row>
    <row r="194" spans="1:11" ht="17" x14ac:dyDescent="0.2">
      <c r="A194" s="49" t="s">
        <v>140</v>
      </c>
      <c r="B194" s="49"/>
    </row>
    <row r="195" spans="1:11" x14ac:dyDescent="0.2">
      <c r="A195" s="49"/>
      <c r="B195" s="49"/>
    </row>
    <row r="196" spans="1:11" x14ac:dyDescent="0.2">
      <c r="A196" s="49"/>
      <c r="B196" s="49"/>
    </row>
    <row r="197" spans="1:11" ht="17" x14ac:dyDescent="0.2">
      <c r="A197" s="49" t="s">
        <v>141</v>
      </c>
      <c r="B197" s="49"/>
    </row>
    <row r="198" spans="1:11" ht="17" x14ac:dyDescent="0.2">
      <c r="A198" s="49" t="s">
        <v>142</v>
      </c>
      <c r="B198" s="49"/>
    </row>
    <row r="199" spans="1:11" x14ac:dyDescent="0.2">
      <c r="A199" s="49"/>
      <c r="B199" s="49"/>
    </row>
    <row r="200" spans="1:11" ht="17" x14ac:dyDescent="0.2">
      <c r="A200" s="49" t="s">
        <v>140</v>
      </c>
      <c r="B200" s="49"/>
    </row>
    <row r="201" spans="1:11" ht="17" x14ac:dyDescent="0.2">
      <c r="A201" s="49" t="s">
        <v>143</v>
      </c>
      <c r="B201" s="49"/>
    </row>
    <row r="202" spans="1:11" ht="17" x14ac:dyDescent="0.2">
      <c r="A202" s="49" t="s">
        <v>144</v>
      </c>
      <c r="B202" s="49"/>
    </row>
    <row r="203" spans="1:11" ht="17" x14ac:dyDescent="0.2">
      <c r="A203" s="49" t="s">
        <v>145</v>
      </c>
      <c r="B203" s="49"/>
    </row>
    <row r="204" spans="1:11" ht="17" x14ac:dyDescent="0.2">
      <c r="A204" s="49" t="s">
        <v>146</v>
      </c>
      <c r="B204" s="49"/>
    </row>
    <row r="205" spans="1:11" x14ac:dyDescent="0.2">
      <c r="A205" s="47"/>
      <c r="B205" s="47"/>
      <c r="E205" s="23"/>
      <c r="F205" s="82">
        <f>E206*(1+$K$205)</f>
        <v>93.6</v>
      </c>
      <c r="G205" s="82">
        <f>F205*(1+$K$205)</f>
        <v>109.51199999999999</v>
      </c>
      <c r="H205" s="82">
        <f t="shared" ref="H205:J205" si="235">G205*(1+$K$205)</f>
        <v>128.12903999999997</v>
      </c>
      <c r="I205" s="82">
        <f t="shared" si="235"/>
        <v>149.91097679999996</v>
      </c>
      <c r="J205" s="82">
        <f t="shared" si="235"/>
        <v>175.39584285599994</v>
      </c>
      <c r="K205" s="44">
        <v>0.17</v>
      </c>
    </row>
    <row r="206" spans="1:11" ht="17" x14ac:dyDescent="0.2">
      <c r="A206" s="48" t="s">
        <v>147</v>
      </c>
      <c r="B206" s="48"/>
      <c r="C206" s="8"/>
      <c r="D206" s="8">
        <v>43</v>
      </c>
      <c r="E206" s="8">
        <v>80</v>
      </c>
      <c r="F206" s="8">
        <v>80</v>
      </c>
      <c r="G206" s="8">
        <v>80</v>
      </c>
      <c r="H206" s="8">
        <v>90</v>
      </c>
      <c r="I206" s="8">
        <v>120</v>
      </c>
      <c r="J206" s="8">
        <v>160</v>
      </c>
    </row>
    <row r="207" spans="1:11" ht="17" x14ac:dyDescent="0.2">
      <c r="A207" s="47" t="s">
        <v>143</v>
      </c>
      <c r="B207" s="47"/>
      <c r="C207" s="8">
        <f>-C131</f>
        <v>-39125</v>
      </c>
      <c r="D207" s="8">
        <f>-D131</f>
        <v>-332428</v>
      </c>
      <c r="E207" s="8">
        <f>-E131</f>
        <v>-295470.05423745979</v>
      </c>
      <c r="F207" s="8">
        <f t="shared" ref="F207:J207" si="236">-F131</f>
        <v>-276038.58395012293</v>
      </c>
      <c r="G207" s="8">
        <f t="shared" si="236"/>
        <v>-289494.73532024387</v>
      </c>
      <c r="H207" s="8">
        <f t="shared" si="236"/>
        <v>-357723.89239770873</v>
      </c>
      <c r="I207" s="8">
        <f t="shared" si="236"/>
        <v>-498973.78596739314</v>
      </c>
      <c r="J207" s="8">
        <f t="shared" si="236"/>
        <v>-738321.38005135313</v>
      </c>
    </row>
    <row r="208" spans="1:11" ht="17" x14ac:dyDescent="0.2">
      <c r="A208" s="47" t="s">
        <v>148</v>
      </c>
      <c r="B208" s="8">
        <f>B206*B41</f>
        <v>0</v>
      </c>
      <c r="C208" s="8">
        <f>C206*C41</f>
        <v>0</v>
      </c>
      <c r="D208" s="8">
        <f>D206*D41</f>
        <v>2728264</v>
      </c>
      <c r="E208" s="8">
        <f>E206*E41</f>
        <v>9122400</v>
      </c>
      <c r="F208" s="8">
        <f>F205*F41</f>
        <v>10673208</v>
      </c>
      <c r="G208" s="8">
        <f t="shared" ref="G208:I208" si="237">G205*G41</f>
        <v>12487653.359999998</v>
      </c>
      <c r="H208" s="8">
        <f t="shared" si="237"/>
        <v>14610554.431199998</v>
      </c>
      <c r="I208" s="8">
        <f t="shared" si="237"/>
        <v>17094348.684503995</v>
      </c>
      <c r="J208" s="8">
        <f>J205*J41</f>
        <v>20000387.960869674</v>
      </c>
    </row>
    <row r="209" spans="1:11" ht="17" x14ac:dyDescent="0.2">
      <c r="A209" s="47" t="s">
        <v>149</v>
      </c>
      <c r="B209" s="47"/>
      <c r="C209" s="8">
        <f>SUM(C207:C208)</f>
        <v>-39125</v>
      </c>
      <c r="D209" s="8">
        <f t="shared" ref="D209:E209" si="238">SUM(D207:D208)</f>
        <v>2395836</v>
      </c>
      <c r="E209" s="8">
        <f t="shared" si="238"/>
        <v>8826929.9457625411</v>
      </c>
      <c r="F209" s="8">
        <f t="shared" ref="F209:J209" si="239">SUM(F207:F208)</f>
        <v>10397169.416049877</v>
      </c>
      <c r="G209" s="8">
        <f t="shared" si="239"/>
        <v>12198158.624679754</v>
      </c>
      <c r="H209" s="8">
        <f t="shared" si="239"/>
        <v>14252830.538802288</v>
      </c>
      <c r="I209" s="8">
        <f t="shared" si="239"/>
        <v>16595374.898536602</v>
      </c>
      <c r="J209" s="8">
        <f t="shared" si="239"/>
        <v>19262066.580818322</v>
      </c>
    </row>
    <row r="210" spans="1:11" ht="17" x14ac:dyDescent="0.2">
      <c r="A210" s="47" t="s">
        <v>131</v>
      </c>
      <c r="B210" s="47"/>
      <c r="C210" s="8">
        <f>C178</f>
        <v>460440</v>
      </c>
      <c r="D210" s="8">
        <f>D178</f>
        <v>542293</v>
      </c>
      <c r="E210" s="8">
        <f>D210*(1+(D43/C43-1))</f>
        <v>577822.54137931031</v>
      </c>
      <c r="F210" s="8">
        <f t="shared" ref="F210:J210" si="240">E210*(1+(E43/D43-1))</f>
        <v>695631.0206896551</v>
      </c>
      <c r="G210" s="8">
        <f t="shared" si="240"/>
        <v>813439.5</v>
      </c>
      <c r="H210" s="8">
        <f t="shared" si="240"/>
        <v>931247.9793103449</v>
      </c>
      <c r="I210" s="8">
        <f t="shared" si="240"/>
        <v>1049056.4586206898</v>
      </c>
      <c r="J210" s="8">
        <f t="shared" si="240"/>
        <v>1166864.9379310347</v>
      </c>
    </row>
    <row r="211" spans="1:11" ht="17" x14ac:dyDescent="0.2">
      <c r="A211" s="51" t="s">
        <v>150</v>
      </c>
      <c r="B211" s="51"/>
      <c r="C211" s="52">
        <f>C33+C116</f>
        <v>-17042</v>
      </c>
      <c r="D211" s="52">
        <f>D33+D116</f>
        <v>52158</v>
      </c>
      <c r="E211" s="52">
        <f t="shared" ref="E211:J211" si="241">E33+E116</f>
        <v>83058.434288442804</v>
      </c>
      <c r="F211" s="52">
        <f t="shared" si="241"/>
        <v>136180.38987563679</v>
      </c>
      <c r="G211" s="52">
        <f t="shared" si="241"/>
        <v>208801.32883578213</v>
      </c>
      <c r="H211" s="52">
        <f t="shared" si="241"/>
        <v>309560.4618017989</v>
      </c>
      <c r="I211" s="52">
        <f t="shared" si="241"/>
        <v>433117.83109278488</v>
      </c>
      <c r="J211" s="52">
        <f t="shared" si="241"/>
        <v>588401.22437746439</v>
      </c>
    </row>
    <row r="212" spans="1:11" ht="17" x14ac:dyDescent="0.2">
      <c r="A212" s="51" t="s">
        <v>157</v>
      </c>
      <c r="B212" s="51"/>
      <c r="C212" s="52">
        <f>C211+C117</f>
        <v>-13239</v>
      </c>
      <c r="D212" s="52">
        <f>D211+D117</f>
        <v>61518</v>
      </c>
      <c r="E212" s="52">
        <f t="shared" ref="E212:J212" si="242">E211+E117</f>
        <v>93167.234288442807</v>
      </c>
      <c r="F212" s="52">
        <f t="shared" si="242"/>
        <v>147097.8938756368</v>
      </c>
      <c r="G212" s="52">
        <f t="shared" si="242"/>
        <v>220592.23315578213</v>
      </c>
      <c r="H212" s="52">
        <f t="shared" si="242"/>
        <v>322294.63846739888</v>
      </c>
      <c r="I212" s="52">
        <f t="shared" si="242"/>
        <v>446870.7418916329</v>
      </c>
      <c r="J212" s="52">
        <f t="shared" si="242"/>
        <v>603254.36804022023</v>
      </c>
    </row>
    <row r="213" spans="1:11" ht="17" x14ac:dyDescent="0.2">
      <c r="A213" s="47" t="s">
        <v>151</v>
      </c>
      <c r="B213" s="47"/>
      <c r="C213" s="22">
        <f>C211/C$9</f>
        <v>-3.0209937974079937E-2</v>
      </c>
      <c r="D213" s="22">
        <f>D211/D$9</f>
        <v>7.1576780568135032E-2</v>
      </c>
      <c r="E213" s="22">
        <f t="shared" ref="E213:J213" si="243">E211/E$9</f>
        <v>9.144252508600316E-2</v>
      </c>
      <c r="F213" s="22">
        <f t="shared" si="243"/>
        <v>0.11411011706688863</v>
      </c>
      <c r="G213" s="22">
        <f t="shared" si="243"/>
        <v>0.13444323005363634</v>
      </c>
      <c r="H213" s="22">
        <f t="shared" si="243"/>
        <v>0.15263253335290047</v>
      </c>
      <c r="I213" s="22">
        <f t="shared" si="243"/>
        <v>0.17101420629930511</v>
      </c>
      <c r="J213" s="22">
        <f t="shared" si="243"/>
        <v>0.18837324704002159</v>
      </c>
    </row>
    <row r="214" spans="1:11" ht="17" x14ac:dyDescent="0.2">
      <c r="A214" s="53" t="s">
        <v>158</v>
      </c>
      <c r="B214" s="53"/>
      <c r="C214" s="22">
        <f>C212/C$9</f>
        <v>-2.3468452578268059E-2</v>
      </c>
      <c r="D214" s="22">
        <f>D212/D$9</f>
        <v>8.4421572663647595E-2</v>
      </c>
      <c r="E214" s="22">
        <f t="shared" ref="E214:J214" si="244">E212/E$9</f>
        <v>0.10257172834523209</v>
      </c>
      <c r="F214" s="22">
        <f t="shared" si="244"/>
        <v>0.12325825991371056</v>
      </c>
      <c r="G214" s="22">
        <f t="shared" si="244"/>
        <v>0.14203517054018805</v>
      </c>
      <c r="H214" s="22">
        <f t="shared" si="244"/>
        <v>0.15891127332285945</v>
      </c>
      <c r="I214" s="22">
        <f t="shared" si="244"/>
        <v>0.17644446789494533</v>
      </c>
      <c r="J214" s="22">
        <f t="shared" si="244"/>
        <v>0.19312839503187948</v>
      </c>
    </row>
    <row r="215" spans="1:11" ht="17" x14ac:dyDescent="0.2">
      <c r="A215" s="47" t="s">
        <v>152</v>
      </c>
      <c r="B215" s="47"/>
      <c r="D215" s="19">
        <f>(D211-C211)/ABS(C211)</f>
        <v>4.0605562727379416</v>
      </c>
      <c r="E215" s="19">
        <f t="shared" ref="E215:J215" si="245">(E211-D211)/ABS(D211)</f>
        <v>0.59243901776223795</v>
      </c>
      <c r="F215" s="19">
        <f t="shared" si="245"/>
        <v>0.63957328406545289</v>
      </c>
      <c r="G215" s="19">
        <f t="shared" si="245"/>
        <v>0.53327016486341783</v>
      </c>
      <c r="H215" s="19">
        <f t="shared" si="245"/>
        <v>0.48255982626078836</v>
      </c>
      <c r="I215" s="19">
        <f t="shared" si="245"/>
        <v>0.39913808298327064</v>
      </c>
      <c r="J215" s="19">
        <f t="shared" si="245"/>
        <v>0.358524591086193</v>
      </c>
    </row>
    <row r="216" spans="1:11" ht="17" x14ac:dyDescent="0.2">
      <c r="A216" s="47" t="s">
        <v>159</v>
      </c>
      <c r="B216" s="47"/>
      <c r="D216" s="19">
        <f>(D212-C212)/ABS(C212)</f>
        <v>5.6467255835032857</v>
      </c>
      <c r="E216" s="19">
        <f t="shared" ref="E216:J216" si="246">(E212-D212)/ABS(D212)</f>
        <v>0.51447111883420804</v>
      </c>
      <c r="F216" s="19">
        <f t="shared" si="246"/>
        <v>0.57885865131754777</v>
      </c>
      <c r="G216" s="19">
        <f t="shared" si="246"/>
        <v>0.49962876655651345</v>
      </c>
      <c r="H216" s="19">
        <f t="shared" si="246"/>
        <v>0.46104254831036845</v>
      </c>
      <c r="I216" s="19">
        <f t="shared" si="246"/>
        <v>0.38652862491485501</v>
      </c>
      <c r="J216" s="19">
        <f t="shared" si="246"/>
        <v>0.34995270777094351</v>
      </c>
    </row>
    <row r="217" spans="1:11" ht="17" x14ac:dyDescent="0.2">
      <c r="A217" s="47" t="s">
        <v>153</v>
      </c>
      <c r="B217" s="47"/>
      <c r="C217" s="54">
        <f>C180</f>
        <v>-0.13000390930414385</v>
      </c>
      <c r="D217" s="54">
        <f>D180</f>
        <v>7.2967934308574888E-3</v>
      </c>
      <c r="E217" s="54">
        <f>E167/E210</f>
        <v>4.1081749904299407E-2</v>
      </c>
      <c r="F217" s="54">
        <f t="shared" ref="F217:J217" si="247">F167/F210</f>
        <v>7.9057384626718699E-2</v>
      </c>
      <c r="G217" s="54">
        <f t="shared" si="247"/>
        <v>0.1235320328679895</v>
      </c>
      <c r="H217" s="54">
        <f t="shared" si="247"/>
        <v>0.17881142967623648</v>
      </c>
      <c r="I217" s="54">
        <f t="shared" si="247"/>
        <v>0.23753959145528306</v>
      </c>
      <c r="J217" s="54">
        <f t="shared" si="247"/>
        <v>0.30425723543452615</v>
      </c>
    </row>
    <row r="218" spans="1:11" ht="17" x14ac:dyDescent="0.2">
      <c r="A218" s="47" t="s">
        <v>154</v>
      </c>
      <c r="B218" s="47"/>
      <c r="C218" s="39">
        <f>C$209/C211</f>
        <v>2.295798615186011</v>
      </c>
      <c r="D218" s="39">
        <f>D$209/D211</f>
        <v>45.934199930978949</v>
      </c>
      <c r="E218" s="39">
        <f t="shared" ref="E218:J218" si="248">E$209/E211</f>
        <v>106.27373392458432</v>
      </c>
      <c r="F218" s="39">
        <f t="shared" si="248"/>
        <v>76.348506753026797</v>
      </c>
      <c r="G218" s="39">
        <f t="shared" si="248"/>
        <v>58.419928133088412</v>
      </c>
      <c r="H218" s="39">
        <f t="shared" si="248"/>
        <v>46.042154272039738</v>
      </c>
      <c r="I218" s="39">
        <f t="shared" si="248"/>
        <v>38.316074073111643</v>
      </c>
      <c r="J218" s="39">
        <f t="shared" si="248"/>
        <v>32.736278890646126</v>
      </c>
    </row>
    <row r="219" spans="1:11" ht="17" x14ac:dyDescent="0.2">
      <c r="A219" s="47" t="s">
        <v>160</v>
      </c>
      <c r="B219" s="47"/>
      <c r="C219" s="39">
        <f>C$209/C212</f>
        <v>2.9552836316942366</v>
      </c>
      <c r="D219" s="39">
        <f>D$209/D212</f>
        <v>38.94528430703209</v>
      </c>
      <c r="E219" s="39">
        <f t="shared" ref="E219:J219" si="249">E$209/E212</f>
        <v>94.742856897894441</v>
      </c>
      <c r="F219" s="39">
        <f t="shared" si="249"/>
        <v>70.681973358776389</v>
      </c>
      <c r="G219" s="39">
        <f t="shared" si="249"/>
        <v>55.297316909908702</v>
      </c>
      <c r="H219" s="39">
        <f t="shared" si="249"/>
        <v>44.22298368529642</v>
      </c>
      <c r="I219" s="39">
        <f t="shared" si="249"/>
        <v>37.136857132976083</v>
      </c>
      <c r="J219" s="39">
        <f t="shared" si="249"/>
        <v>31.930256292042429</v>
      </c>
    </row>
    <row r="220" spans="1:11" ht="17" x14ac:dyDescent="0.2">
      <c r="A220" s="47" t="s">
        <v>155</v>
      </c>
      <c r="B220" s="47"/>
      <c r="C220" s="38">
        <f>C209/C210</f>
        <v>-8.4973069238120064E-2</v>
      </c>
      <c r="D220" s="38">
        <f>D209/D210</f>
        <v>4.4179733096315088</v>
      </c>
      <c r="E220" s="38">
        <f t="shared" ref="E220:J220" si="250">E209/E210</f>
        <v>15.276195221965429</v>
      </c>
      <c r="F220" s="38">
        <f t="shared" si="250"/>
        <v>14.946385521654895</v>
      </c>
      <c r="G220" s="38">
        <f t="shared" si="250"/>
        <v>14.995778573181845</v>
      </c>
      <c r="H220" s="38">
        <f t="shared" si="250"/>
        <v>15.305086137590891</v>
      </c>
      <c r="I220" s="38">
        <f t="shared" si="250"/>
        <v>15.819334376298842</v>
      </c>
      <c r="J220" s="38">
        <f t="shared" si="250"/>
        <v>16.507537380437398</v>
      </c>
    </row>
    <row r="221" spans="1:11" ht="17" x14ac:dyDescent="0.2">
      <c r="A221" s="47" t="s">
        <v>156</v>
      </c>
      <c r="B221" s="47"/>
      <c r="C221" s="7"/>
      <c r="D221" s="7">
        <f>D123/D206</f>
        <v>-1.5286277281084233E-2</v>
      </c>
      <c r="E221" s="7">
        <f t="shared" ref="E221:J221" si="251">E123/E206</f>
        <v>-4.0513401914562177E-3</v>
      </c>
      <c r="F221" s="7">
        <f>F123/F206</f>
        <v>-2.1300831236666755E-3</v>
      </c>
      <c r="G221" s="7">
        <f t="shared" si="251"/>
        <v>1.4750670185610041E-3</v>
      </c>
      <c r="H221" s="7">
        <f t="shared" si="251"/>
        <v>6.6482657660717802E-3</v>
      </c>
      <c r="I221" s="7">
        <f t="shared" si="251"/>
        <v>1.0322568152363735E-2</v>
      </c>
      <c r="J221" s="7">
        <f t="shared" si="251"/>
        <v>1.3118674585852409E-2</v>
      </c>
    </row>
    <row r="223" spans="1:11" ht="17" x14ac:dyDescent="0.2">
      <c r="A223" s="64" t="s">
        <v>181</v>
      </c>
      <c r="B223" s="81" t="e">
        <f>B207/B208</f>
        <v>#DIV/0!</v>
      </c>
      <c r="C223" s="81" t="e">
        <f t="shared" ref="C223:D223" si="252">C207/C208</f>
        <v>#DIV/0!</v>
      </c>
      <c r="D223" s="81">
        <f t="shared" si="252"/>
        <v>-0.12184597971457307</v>
      </c>
      <c r="E223" s="81">
        <f>D223*0.75</f>
        <v>-9.1384484785929809E-2</v>
      </c>
      <c r="F223" s="81">
        <f t="shared" ref="F223:J223" si="253">E223*0.75</f>
        <v>-6.8538363589447357E-2</v>
      </c>
      <c r="G223" s="81">
        <f t="shared" si="253"/>
        <v>-5.1403772692085514E-2</v>
      </c>
      <c r="H223" s="81">
        <f t="shared" si="253"/>
        <v>-3.8552829519064136E-2</v>
      </c>
      <c r="I223" s="81">
        <f t="shared" si="253"/>
        <v>-2.8914622139298102E-2</v>
      </c>
      <c r="J223" s="81">
        <f t="shared" si="253"/>
        <v>-2.1685966604473576E-2</v>
      </c>
      <c r="K223" s="81"/>
    </row>
  </sheetData>
  <mergeCells count="3">
    <mergeCell ref="T3:W3"/>
    <mergeCell ref="Y3:AB3"/>
    <mergeCell ref="O3:R3"/>
  </mergeCells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AC3A-A503-D84A-AF31-BFB4816932BA}">
  <dimension ref="A1:W93"/>
  <sheetViews>
    <sheetView zoomScale="91" workbookViewId="0">
      <pane xSplit="1" ySplit="4" topLeftCell="B25" activePane="bottomRight" state="frozen"/>
      <selection pane="topRight" activeCell="B1" sqref="B1"/>
      <selection pane="bottomLeft" activeCell="A5" sqref="A5"/>
      <selection pane="bottomRight" activeCell="B37" sqref="B37"/>
    </sheetView>
  </sheetViews>
  <sheetFormatPr baseColWidth="10" defaultRowHeight="16" x14ac:dyDescent="0.2"/>
  <cols>
    <col min="1" max="1" width="37" bestFit="1" customWidth="1"/>
    <col min="2" max="4" width="10.6640625" bestFit="1" customWidth="1"/>
    <col min="5" max="13" width="5.6640625" bestFit="1" customWidth="1"/>
  </cols>
  <sheetData>
    <row r="1" spans="1:23" x14ac:dyDescent="0.2">
      <c r="A1" s="2" t="s">
        <v>0</v>
      </c>
    </row>
    <row r="2" spans="1:23" x14ac:dyDescent="0.2">
      <c r="A2" s="2"/>
    </row>
    <row r="3" spans="1:23" x14ac:dyDescent="0.2">
      <c r="A3" s="2" t="s">
        <v>1</v>
      </c>
      <c r="B3" s="2">
        <v>2021</v>
      </c>
      <c r="C3" s="2">
        <f t="shared" ref="C3:M3" si="0">B3+1</f>
        <v>2022</v>
      </c>
      <c r="D3" s="2">
        <f t="shared" si="0"/>
        <v>2023</v>
      </c>
      <c r="E3" s="2">
        <f t="shared" si="0"/>
        <v>2024</v>
      </c>
      <c r="F3" s="2">
        <f t="shared" si="0"/>
        <v>2025</v>
      </c>
      <c r="G3" s="2">
        <f t="shared" si="0"/>
        <v>2026</v>
      </c>
      <c r="H3" s="2">
        <f t="shared" si="0"/>
        <v>2027</v>
      </c>
      <c r="I3" s="2">
        <f t="shared" si="0"/>
        <v>2028</v>
      </c>
      <c r="J3" s="2">
        <f t="shared" si="0"/>
        <v>2029</v>
      </c>
      <c r="K3" s="2">
        <f t="shared" si="0"/>
        <v>2030</v>
      </c>
      <c r="L3" s="2">
        <f t="shared" si="0"/>
        <v>2031</v>
      </c>
      <c r="M3" s="2">
        <f t="shared" si="0"/>
        <v>2032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A4" s="2"/>
    </row>
    <row r="5" spans="1:23" x14ac:dyDescent="0.2">
      <c r="A5" s="2" t="s">
        <v>2</v>
      </c>
    </row>
    <row r="6" spans="1:23" x14ac:dyDescent="0.2">
      <c r="A6" s="1" t="s">
        <v>0</v>
      </c>
      <c r="B6" s="8">
        <v>278219</v>
      </c>
      <c r="C6" s="8">
        <v>448594</v>
      </c>
      <c r="D6" s="8">
        <v>717060</v>
      </c>
    </row>
    <row r="7" spans="1:23" x14ac:dyDescent="0.2">
      <c r="A7" s="1" t="s">
        <v>3</v>
      </c>
      <c r="B7" s="8">
        <v>215816</v>
      </c>
      <c r="C7" s="8">
        <v>108392</v>
      </c>
      <c r="D7" s="8">
        <v>3867</v>
      </c>
    </row>
    <row r="8" spans="1:23" x14ac:dyDescent="0.2">
      <c r="A8" s="1" t="s">
        <v>4</v>
      </c>
      <c r="B8" s="8">
        <v>6037</v>
      </c>
      <c r="C8" s="8">
        <v>7133</v>
      </c>
      <c r="D8" s="8">
        <v>7773</v>
      </c>
    </row>
    <row r="9" spans="1:23" x14ac:dyDescent="0.2">
      <c r="A9" s="2" t="s">
        <v>5</v>
      </c>
      <c r="B9" s="9">
        <f t="shared" ref="B9" si="1">SUM(B6:B8)</f>
        <v>500072</v>
      </c>
      <c r="C9" s="9">
        <f t="shared" ref="C9" si="2">SUM(C6:C8)</f>
        <v>564119</v>
      </c>
      <c r="D9" s="9">
        <f>SUM(D6:D8)</f>
        <v>728700</v>
      </c>
    </row>
    <row r="10" spans="1:23" x14ac:dyDescent="0.2">
      <c r="A10" s="2" t="s">
        <v>6</v>
      </c>
      <c r="B10" s="8"/>
      <c r="C10" s="8"/>
      <c r="D10" s="8"/>
    </row>
    <row r="11" spans="1:23" x14ac:dyDescent="0.2">
      <c r="A11" s="1" t="s">
        <v>0</v>
      </c>
      <c r="B11" s="8">
        <v>227335</v>
      </c>
      <c r="C11" s="8">
        <v>357501</v>
      </c>
      <c r="D11" s="8">
        <v>539572</v>
      </c>
    </row>
    <row r="12" spans="1:23" x14ac:dyDescent="0.2">
      <c r="A12" s="1" t="s">
        <v>3</v>
      </c>
      <c r="B12" s="8">
        <v>186237</v>
      </c>
      <c r="C12" s="8">
        <v>102292</v>
      </c>
      <c r="D12" s="8">
        <v>4044</v>
      </c>
    </row>
    <row r="13" spans="1:23" x14ac:dyDescent="0.2">
      <c r="A13" s="1" t="s">
        <v>4</v>
      </c>
      <c r="B13" s="8">
        <v>4347</v>
      </c>
      <c r="C13" s="8">
        <v>6342</v>
      </c>
      <c r="D13" s="8">
        <v>4738</v>
      </c>
    </row>
    <row r="14" spans="1:23" x14ac:dyDescent="0.2">
      <c r="A14" s="3" t="s">
        <v>18</v>
      </c>
      <c r="B14" s="9">
        <f t="shared" ref="B14" si="3">SUM(B11:B13)</f>
        <v>417919</v>
      </c>
      <c r="C14" s="9">
        <f t="shared" ref="C14" si="4">SUM(C11:C13)</f>
        <v>466135</v>
      </c>
      <c r="D14" s="9">
        <f>SUM(D11:D13)</f>
        <v>548354</v>
      </c>
    </row>
    <row r="15" spans="1:23" x14ac:dyDescent="0.2">
      <c r="A15" s="2" t="s">
        <v>7</v>
      </c>
      <c r="B15" s="8"/>
      <c r="C15" s="8"/>
      <c r="D15" s="8"/>
    </row>
    <row r="16" spans="1:23" x14ac:dyDescent="0.2">
      <c r="A16" s="1" t="s">
        <v>0</v>
      </c>
      <c r="B16" s="8">
        <v>50884</v>
      </c>
      <c r="C16" s="8">
        <f>C6-C11</f>
        <v>91093</v>
      </c>
      <c r="D16" s="8">
        <f>D6-D11</f>
        <v>177488</v>
      </c>
    </row>
    <row r="17" spans="1:4" x14ac:dyDescent="0.2">
      <c r="A17" s="1" t="s">
        <v>3</v>
      </c>
      <c r="B17" s="8">
        <v>29579</v>
      </c>
      <c r="C17" s="8">
        <f t="shared" ref="C17:D19" si="5">C7-C12</f>
        <v>6100</v>
      </c>
      <c r="D17" s="8">
        <f t="shared" si="5"/>
        <v>-177</v>
      </c>
    </row>
    <row r="18" spans="1:4" x14ac:dyDescent="0.2">
      <c r="A18" s="1" t="s">
        <v>4</v>
      </c>
      <c r="B18" s="8">
        <v>1690</v>
      </c>
      <c r="C18" s="8">
        <f t="shared" si="5"/>
        <v>791</v>
      </c>
      <c r="D18" s="8">
        <f t="shared" si="5"/>
        <v>3035</v>
      </c>
    </row>
    <row r="19" spans="1:4" x14ac:dyDescent="0.2">
      <c r="A19" s="3" t="s">
        <v>8</v>
      </c>
      <c r="B19" s="9">
        <f t="shared" ref="B19:C19" si="6">B9-B14</f>
        <v>82153</v>
      </c>
      <c r="C19" s="9">
        <f t="shared" si="6"/>
        <v>97984</v>
      </c>
      <c r="D19" s="9">
        <f t="shared" si="5"/>
        <v>180346</v>
      </c>
    </row>
    <row r="20" spans="1:4" x14ac:dyDescent="0.2">
      <c r="A20" s="2" t="s">
        <v>9</v>
      </c>
      <c r="B20" s="8"/>
      <c r="C20" s="8"/>
      <c r="D20" s="8"/>
    </row>
    <row r="21" spans="1:4" x14ac:dyDescent="0.2">
      <c r="A21" s="1" t="s">
        <v>10</v>
      </c>
      <c r="B21" s="8">
        <v>64792</v>
      </c>
      <c r="C21" s="8">
        <v>70037</v>
      </c>
      <c r="D21" s="8">
        <v>101491</v>
      </c>
    </row>
    <row r="22" spans="1:4" x14ac:dyDescent="0.2">
      <c r="A22" s="1" t="s">
        <v>11</v>
      </c>
      <c r="B22" s="8">
        <v>44538</v>
      </c>
      <c r="C22" s="8">
        <v>42724</v>
      </c>
      <c r="D22" s="8">
        <v>47433</v>
      </c>
    </row>
    <row r="23" spans="1:4" x14ac:dyDescent="0.2">
      <c r="A23" s="1" t="s">
        <v>12</v>
      </c>
      <c r="B23" s="8">
        <v>6839</v>
      </c>
      <c r="C23" s="8">
        <v>5923</v>
      </c>
      <c r="D23" s="8">
        <v>6080</v>
      </c>
    </row>
    <row r="24" spans="1:4" x14ac:dyDescent="0.2">
      <c r="A24" s="1" t="s">
        <v>13</v>
      </c>
      <c r="B24" s="8">
        <v>8194</v>
      </c>
      <c r="C24" s="8">
        <v>19313</v>
      </c>
      <c r="D24" s="8">
        <v>15718</v>
      </c>
    </row>
    <row r="25" spans="1:4" x14ac:dyDescent="0.2">
      <c r="A25" s="1" t="s">
        <v>14</v>
      </c>
      <c r="B25" s="8">
        <v>10542</v>
      </c>
      <c r="C25" s="8">
        <v>19753</v>
      </c>
      <c r="D25" s="8">
        <v>4899</v>
      </c>
    </row>
    <row r="26" spans="1:4" x14ac:dyDescent="0.2">
      <c r="A26" s="3" t="s">
        <v>32</v>
      </c>
      <c r="B26" s="9">
        <f>SUM(B21:B25)+B14</f>
        <v>552824</v>
      </c>
      <c r="C26" s="9">
        <f t="shared" ref="C26" si="7">SUM(C21:C25)+C14</f>
        <v>623885</v>
      </c>
      <c r="D26" s="9">
        <f>SUM(D21:D25)+D14</f>
        <v>723975</v>
      </c>
    </row>
    <row r="27" spans="1:4" x14ac:dyDescent="0.2">
      <c r="A27" s="4" t="s">
        <v>33</v>
      </c>
      <c r="B27" s="10">
        <f t="shared" ref="B27:C27" si="8">B9-B26</f>
        <v>-52752</v>
      </c>
      <c r="C27" s="10">
        <f t="shared" si="8"/>
        <v>-59766</v>
      </c>
      <c r="D27" s="10">
        <f>D9-D26</f>
        <v>4725</v>
      </c>
    </row>
    <row r="28" spans="1:4" x14ac:dyDescent="0.2">
      <c r="A28" s="1" t="s">
        <v>15</v>
      </c>
      <c r="B28" s="8">
        <v>4810</v>
      </c>
      <c r="C28" s="8">
        <v>47</v>
      </c>
      <c r="D28" s="8">
        <v>-8852</v>
      </c>
    </row>
    <row r="29" spans="1:4" x14ac:dyDescent="0.2">
      <c r="A29" s="1" t="s">
        <v>16</v>
      </c>
      <c r="B29" s="8">
        <v>-20288</v>
      </c>
      <c r="C29" s="8">
        <v>-919</v>
      </c>
      <c r="D29" s="8">
        <v>-471</v>
      </c>
    </row>
    <row r="30" spans="1:4" x14ac:dyDescent="0.2">
      <c r="A30" s="3" t="s">
        <v>17</v>
      </c>
      <c r="B30" s="9">
        <f t="shared" ref="B30:C30" si="9">B27-B28-B29</f>
        <v>-37274</v>
      </c>
      <c r="C30" s="9">
        <f t="shared" si="9"/>
        <v>-58894</v>
      </c>
      <c r="D30" s="9">
        <f>D27-D28-D29</f>
        <v>14048</v>
      </c>
    </row>
    <row r="31" spans="1:4" x14ac:dyDescent="0.2">
      <c r="A31" s="1" t="s">
        <v>34</v>
      </c>
      <c r="B31" s="8">
        <v>117</v>
      </c>
      <c r="C31" s="8">
        <v>93</v>
      </c>
      <c r="D31" s="8">
        <v>768</v>
      </c>
    </row>
    <row r="32" spans="1:4" x14ac:dyDescent="0.2">
      <c r="A32" s="6" t="s">
        <v>35</v>
      </c>
      <c r="B32" s="11">
        <f t="shared" ref="B32:C32" si="10">B30-B31</f>
        <v>-37391</v>
      </c>
      <c r="C32" s="11">
        <f t="shared" si="10"/>
        <v>-58987</v>
      </c>
      <c r="D32" s="11">
        <f>D30-D31</f>
        <v>13280</v>
      </c>
    </row>
    <row r="34" spans="1:13" x14ac:dyDescent="0.2">
      <c r="A34" t="s">
        <v>36</v>
      </c>
      <c r="B34" s="7">
        <f t="shared" ref="B34:C34" si="11">B32/B35</f>
        <v>-51.080601092896174</v>
      </c>
      <c r="C34" s="7">
        <f t="shared" si="11"/>
        <v>-44.417921686746986</v>
      </c>
      <c r="D34" s="7">
        <f>D32/D35</f>
        <v>0.20930525784894716</v>
      </c>
    </row>
    <row r="35" spans="1:13" x14ac:dyDescent="0.2">
      <c r="A35" t="s">
        <v>37</v>
      </c>
      <c r="B35">
        <v>732</v>
      </c>
      <c r="C35">
        <v>1328</v>
      </c>
      <c r="D35">
        <v>63448</v>
      </c>
    </row>
    <row r="36" spans="1:13" x14ac:dyDescent="0.2">
      <c r="A36" t="s">
        <v>38</v>
      </c>
    </row>
    <row r="37" spans="1:13" x14ac:dyDescent="0.2">
      <c r="A37" t="s">
        <v>39</v>
      </c>
      <c r="B37">
        <v>133</v>
      </c>
      <c r="C37">
        <v>290</v>
      </c>
      <c r="D37">
        <v>309</v>
      </c>
      <c r="K37">
        <v>750</v>
      </c>
      <c r="M37">
        <v>1000</v>
      </c>
    </row>
    <row r="38" spans="1:13" x14ac:dyDescent="0.2">
      <c r="A38" t="s">
        <v>40</v>
      </c>
      <c r="B38" s="8">
        <f>B6/B37</f>
        <v>2091.8721804511279</v>
      </c>
      <c r="C38" s="8">
        <f t="shared" ref="C38:D38" si="12">C6/C37</f>
        <v>1546.8758620689655</v>
      </c>
      <c r="D38" s="8">
        <f t="shared" si="12"/>
        <v>2320.5825242718447</v>
      </c>
    </row>
    <row r="40" spans="1:13" x14ac:dyDescent="0.2">
      <c r="A40" s="18" t="s">
        <v>41</v>
      </c>
    </row>
    <row r="41" spans="1:13" x14ac:dyDescent="0.2">
      <c r="A41" s="12" t="s">
        <v>2</v>
      </c>
    </row>
    <row r="42" spans="1:13" x14ac:dyDescent="0.2">
      <c r="A42" s="13" t="s">
        <v>0</v>
      </c>
      <c r="C42" s="19">
        <f>(C6-B6)/ABS(B6)</f>
        <v>0.61237729989684386</v>
      </c>
      <c r="D42" s="19">
        <f>(D6-C6)/ABS(C6)</f>
        <v>0.59846096916142433</v>
      </c>
    </row>
    <row r="43" spans="1:13" x14ac:dyDescent="0.2">
      <c r="A43" s="13" t="s">
        <v>3</v>
      </c>
      <c r="C43" s="19">
        <f t="shared" ref="C43:D74" si="13">(C7-B7)/ABS(B7)</f>
        <v>-0.49775734885272638</v>
      </c>
      <c r="D43" s="19">
        <f t="shared" si="13"/>
        <v>-0.96432393534578198</v>
      </c>
    </row>
    <row r="44" spans="1:13" x14ac:dyDescent="0.2">
      <c r="A44" s="13" t="s">
        <v>4</v>
      </c>
      <c r="C44" s="19">
        <f t="shared" si="13"/>
        <v>0.18154712605598808</v>
      </c>
      <c r="D44" s="19">
        <f t="shared" si="13"/>
        <v>8.9723818870040661E-2</v>
      </c>
    </row>
    <row r="45" spans="1:13" x14ac:dyDescent="0.2">
      <c r="A45" s="12" t="s">
        <v>5</v>
      </c>
      <c r="C45" s="19">
        <f t="shared" si="13"/>
        <v>0.12807555711977475</v>
      </c>
      <c r="D45" s="19">
        <f t="shared" si="13"/>
        <v>0.29174872677573349</v>
      </c>
    </row>
    <row r="46" spans="1:13" x14ac:dyDescent="0.2">
      <c r="A46" s="12" t="s">
        <v>6</v>
      </c>
      <c r="C46" s="19"/>
      <c r="D46" s="19"/>
    </row>
    <row r="47" spans="1:13" x14ac:dyDescent="0.2">
      <c r="A47" s="13" t="s">
        <v>0</v>
      </c>
      <c r="C47" s="19">
        <f t="shared" si="13"/>
        <v>0.5725735148569292</v>
      </c>
      <c r="D47" s="19">
        <f t="shared" si="13"/>
        <v>0.509288085907452</v>
      </c>
    </row>
    <row r="48" spans="1:13" x14ac:dyDescent="0.2">
      <c r="A48" s="13" t="s">
        <v>3</v>
      </c>
      <c r="C48" s="19">
        <f t="shared" si="13"/>
        <v>-0.45074287064332008</v>
      </c>
      <c r="D48" s="19">
        <f t="shared" si="13"/>
        <v>-0.96046611660735937</v>
      </c>
    </row>
    <row r="49" spans="1:4" x14ac:dyDescent="0.2">
      <c r="A49" s="13" t="s">
        <v>4</v>
      </c>
      <c r="C49" s="19">
        <f t="shared" si="13"/>
        <v>0.45893719806763283</v>
      </c>
      <c r="D49" s="19">
        <f t="shared" si="13"/>
        <v>-0.25291706086408072</v>
      </c>
    </row>
    <row r="50" spans="1:4" x14ac:dyDescent="0.2">
      <c r="A50" s="14" t="s">
        <v>18</v>
      </c>
      <c r="C50" s="19">
        <f t="shared" si="13"/>
        <v>0.11537163900181614</v>
      </c>
      <c r="D50" s="19">
        <f t="shared" si="13"/>
        <v>0.17638452379675415</v>
      </c>
    </row>
    <row r="51" spans="1:4" x14ac:dyDescent="0.2">
      <c r="A51" s="12" t="s">
        <v>7</v>
      </c>
      <c r="C51" s="19"/>
      <c r="D51" s="19"/>
    </row>
    <row r="52" spans="1:4" x14ac:dyDescent="0.2">
      <c r="A52" s="13" t="s">
        <v>0</v>
      </c>
      <c r="C52" s="19">
        <f t="shared" si="13"/>
        <v>0.79020910305793568</v>
      </c>
      <c r="D52" s="19">
        <f t="shared" si="13"/>
        <v>0.94842633352727435</v>
      </c>
    </row>
    <row r="53" spans="1:4" x14ac:dyDescent="0.2">
      <c r="A53" s="13" t="s">
        <v>3</v>
      </c>
      <c r="C53" s="19">
        <f t="shared" si="13"/>
        <v>-0.7937726089455357</v>
      </c>
      <c r="D53" s="19">
        <f t="shared" si="13"/>
        <v>-1.0290163934426229</v>
      </c>
    </row>
    <row r="54" spans="1:4" x14ac:dyDescent="0.2">
      <c r="A54" s="13" t="s">
        <v>4</v>
      </c>
      <c r="C54" s="19">
        <f t="shared" si="13"/>
        <v>-0.53195266272189345</v>
      </c>
      <c r="D54" s="19">
        <f t="shared" si="13"/>
        <v>2.8369152970922884</v>
      </c>
    </row>
    <row r="55" spans="1:4" x14ac:dyDescent="0.2">
      <c r="A55" s="14" t="s">
        <v>8</v>
      </c>
      <c r="C55" s="19">
        <f t="shared" si="13"/>
        <v>0.19270142295473081</v>
      </c>
      <c r="D55" s="19">
        <f t="shared" si="13"/>
        <v>0.84056580666231218</v>
      </c>
    </row>
    <row r="56" spans="1:4" x14ac:dyDescent="0.2">
      <c r="A56" s="12" t="s">
        <v>9</v>
      </c>
      <c r="C56" s="19"/>
      <c r="D56" s="19"/>
    </row>
    <row r="57" spans="1:4" x14ac:dyDescent="0.2">
      <c r="A57" s="13" t="s">
        <v>10</v>
      </c>
      <c r="C57" s="19">
        <f t="shared" si="13"/>
        <v>8.0951352018767755E-2</v>
      </c>
      <c r="D57" s="19">
        <f t="shared" si="13"/>
        <v>0.44910547282150864</v>
      </c>
    </row>
    <row r="58" spans="1:4" x14ac:dyDescent="0.2">
      <c r="A58" s="13" t="s">
        <v>11</v>
      </c>
      <c r="C58" s="19">
        <f t="shared" si="13"/>
        <v>-4.0729264897390989E-2</v>
      </c>
      <c r="D58" s="19">
        <f t="shared" si="13"/>
        <v>0.11021908061042973</v>
      </c>
    </row>
    <row r="59" spans="1:4" x14ac:dyDescent="0.2">
      <c r="A59" s="13" t="s">
        <v>12</v>
      </c>
      <c r="C59" s="19">
        <f t="shared" si="13"/>
        <v>-0.13393771019154846</v>
      </c>
      <c r="D59" s="19">
        <f t="shared" si="13"/>
        <v>2.6506837751139625E-2</v>
      </c>
    </row>
    <row r="60" spans="1:4" x14ac:dyDescent="0.2">
      <c r="A60" s="13" t="s">
        <v>13</v>
      </c>
      <c r="C60" s="19">
        <f t="shared" si="13"/>
        <v>1.3569685135464975</v>
      </c>
      <c r="D60" s="19">
        <f t="shared" si="13"/>
        <v>-0.18614404805053592</v>
      </c>
    </row>
    <row r="61" spans="1:4" x14ac:dyDescent="0.2">
      <c r="A61" s="13" t="s">
        <v>14</v>
      </c>
      <c r="C61" s="19">
        <f t="shared" si="13"/>
        <v>0.87374312274710686</v>
      </c>
      <c r="D61" s="19">
        <f t="shared" si="13"/>
        <v>-0.75198703994329974</v>
      </c>
    </row>
    <row r="62" spans="1:4" x14ac:dyDescent="0.2">
      <c r="A62" s="14" t="s">
        <v>32</v>
      </c>
      <c r="C62" s="19">
        <f t="shared" si="13"/>
        <v>0.12854181439300755</v>
      </c>
      <c r="D62" s="19">
        <f t="shared" si="13"/>
        <v>0.16043020749016246</v>
      </c>
    </row>
    <row r="63" spans="1:4" x14ac:dyDescent="0.2">
      <c r="A63" s="15" t="s">
        <v>33</v>
      </c>
      <c r="C63" s="19">
        <f t="shared" si="13"/>
        <v>-0.13296178343949044</v>
      </c>
      <c r="D63" s="19">
        <f t="shared" si="13"/>
        <v>1.079058327477161</v>
      </c>
    </row>
    <row r="64" spans="1:4" x14ac:dyDescent="0.2">
      <c r="A64" s="13" t="s">
        <v>15</v>
      </c>
      <c r="C64" s="19">
        <f t="shared" si="13"/>
        <v>-0.9902286902286902</v>
      </c>
      <c r="D64" s="19">
        <f t="shared" si="13"/>
        <v>-189.34042553191489</v>
      </c>
    </row>
    <row r="65" spans="1:4" x14ac:dyDescent="0.2">
      <c r="A65" s="13" t="s">
        <v>16</v>
      </c>
      <c r="C65" s="19">
        <f t="shared" si="13"/>
        <v>0.95470228706624605</v>
      </c>
      <c r="D65" s="19">
        <f t="shared" si="13"/>
        <v>0.48748639825897716</v>
      </c>
    </row>
    <row r="66" spans="1:4" x14ac:dyDescent="0.2">
      <c r="A66" s="14" t="s">
        <v>17</v>
      </c>
      <c r="C66" s="19">
        <f t="shared" si="13"/>
        <v>-0.58002897462037883</v>
      </c>
      <c r="D66" s="19">
        <f t="shared" si="13"/>
        <v>1.2385302407715557</v>
      </c>
    </row>
    <row r="67" spans="1:4" x14ac:dyDescent="0.2">
      <c r="A67" s="13" t="s">
        <v>34</v>
      </c>
      <c r="C67" s="19">
        <f t="shared" si="13"/>
        <v>-0.20512820512820512</v>
      </c>
      <c r="D67" s="19">
        <f t="shared" si="13"/>
        <v>7.258064516129032</v>
      </c>
    </row>
    <row r="68" spans="1:4" x14ac:dyDescent="0.2">
      <c r="A68" s="16" t="s">
        <v>35</v>
      </c>
      <c r="C68" s="19">
        <f t="shared" si="13"/>
        <v>-0.57757214302907112</v>
      </c>
      <c r="D68" s="19">
        <f t="shared" si="13"/>
        <v>1.2251343516368014</v>
      </c>
    </row>
    <row r="69" spans="1:4" x14ac:dyDescent="0.2">
      <c r="A69" s="17"/>
      <c r="C69" s="19"/>
      <c r="D69" s="19"/>
    </row>
    <row r="70" spans="1:4" x14ac:dyDescent="0.2">
      <c r="A70" s="17" t="s">
        <v>36</v>
      </c>
      <c r="C70" s="19">
        <f t="shared" si="13"/>
        <v>0.1304346320050602</v>
      </c>
      <c r="D70" s="19">
        <f t="shared" si="13"/>
        <v>1.0047121803519996</v>
      </c>
    </row>
    <row r="71" spans="1:4" x14ac:dyDescent="0.2">
      <c r="A71" s="17" t="s">
        <v>37</v>
      </c>
      <c r="C71" s="19">
        <f t="shared" si="13"/>
        <v>0.81420765027322406</v>
      </c>
      <c r="D71" s="19">
        <f t="shared" si="13"/>
        <v>46.777108433734938</v>
      </c>
    </row>
    <row r="72" spans="1:4" x14ac:dyDescent="0.2">
      <c r="A72" s="17" t="s">
        <v>38</v>
      </c>
      <c r="C72" s="19"/>
      <c r="D72" s="19"/>
    </row>
    <row r="73" spans="1:4" x14ac:dyDescent="0.2">
      <c r="A73" s="17" t="s">
        <v>39</v>
      </c>
      <c r="C73" s="19">
        <f t="shared" si="13"/>
        <v>1.1804511278195489</v>
      </c>
      <c r="D73" s="19">
        <f t="shared" si="13"/>
        <v>6.5517241379310351E-2</v>
      </c>
    </row>
    <row r="74" spans="1:4" x14ac:dyDescent="0.2">
      <c r="A74" s="17" t="s">
        <v>40</v>
      </c>
      <c r="C74" s="19">
        <f t="shared" si="13"/>
        <v>-0.26053041073696476</v>
      </c>
      <c r="D74" s="19">
        <f t="shared" si="13"/>
        <v>0.50017372510295499</v>
      </c>
    </row>
    <row r="76" spans="1:4" x14ac:dyDescent="0.2">
      <c r="A76" s="20" t="s">
        <v>42</v>
      </c>
    </row>
    <row r="77" spans="1:4" x14ac:dyDescent="0.2">
      <c r="A77" s="12" t="s">
        <v>46</v>
      </c>
    </row>
    <row r="78" spans="1:4" x14ac:dyDescent="0.2">
      <c r="A78" s="13" t="s">
        <v>0</v>
      </c>
      <c r="B78" s="22">
        <f>B16/B6</f>
        <v>0.18289189451475277</v>
      </c>
      <c r="C78" s="22">
        <f t="shared" ref="C78:D78" si="14">C16/C6</f>
        <v>0.20306334904167242</v>
      </c>
      <c r="D78" s="22">
        <f t="shared" si="14"/>
        <v>0.24752182523080357</v>
      </c>
    </row>
    <row r="79" spans="1:4" x14ac:dyDescent="0.2">
      <c r="A79" s="13" t="s">
        <v>3</v>
      </c>
      <c r="B79" s="22">
        <f t="shared" ref="B79:D80" si="15">B17/B7</f>
        <v>0.13705656670497091</v>
      </c>
      <c r="C79" s="22">
        <f t="shared" si="15"/>
        <v>5.6277216030703375E-2</v>
      </c>
      <c r="D79" s="22">
        <f t="shared" si="15"/>
        <v>-4.5771916214119475E-2</v>
      </c>
    </row>
    <row r="80" spans="1:4" x14ac:dyDescent="0.2">
      <c r="A80" s="13" t="s">
        <v>4</v>
      </c>
      <c r="B80" s="22">
        <f t="shared" si="15"/>
        <v>0.2799403677323174</v>
      </c>
      <c r="C80" s="22">
        <f t="shared" si="15"/>
        <v>0.11089303238469088</v>
      </c>
      <c r="D80" s="22">
        <f t="shared" si="15"/>
        <v>0.39045413611218321</v>
      </c>
    </row>
    <row r="81" spans="1:4" x14ac:dyDescent="0.2">
      <c r="A81" s="25" t="s">
        <v>47</v>
      </c>
      <c r="B81" s="22">
        <f>B19/B9</f>
        <v>0.16428234334255867</v>
      </c>
      <c r="C81" s="22">
        <f t="shared" ref="C81:D81" si="16">C19/C9</f>
        <v>0.17369384828378409</v>
      </c>
      <c r="D81" s="22">
        <f t="shared" si="16"/>
        <v>0.24749005077535338</v>
      </c>
    </row>
    <row r="82" spans="1:4" x14ac:dyDescent="0.2">
      <c r="A82" s="12" t="s">
        <v>43</v>
      </c>
      <c r="B82" s="22">
        <f>B32/B9</f>
        <v>-7.4771232942456287E-2</v>
      </c>
      <c r="C82" s="22">
        <f t="shared" ref="C82:D82" si="17">C32/C9</f>
        <v>-0.10456481699783202</v>
      </c>
      <c r="D82" s="22">
        <f t="shared" si="17"/>
        <v>1.8224234938932344E-2</v>
      </c>
    </row>
    <row r="83" spans="1:4" x14ac:dyDescent="0.2">
      <c r="A83" s="12" t="s">
        <v>44</v>
      </c>
    </row>
    <row r="84" spans="1:4" x14ac:dyDescent="0.2">
      <c r="A84" s="13" t="s">
        <v>45</v>
      </c>
      <c r="B84" s="22">
        <f>B11/B$9</f>
        <v>0.45460453694667968</v>
      </c>
      <c r="C84" s="22">
        <f t="shared" ref="C84:D84" si="18">C11/C$9</f>
        <v>0.63373330804316108</v>
      </c>
      <c r="D84" s="22">
        <f t="shared" si="18"/>
        <v>0.7404583504871689</v>
      </c>
    </row>
    <row r="85" spans="1:4" x14ac:dyDescent="0.2">
      <c r="A85" s="13" t="s">
        <v>3</v>
      </c>
      <c r="B85" s="22">
        <f t="shared" ref="B85:D87" si="19">B12/B$9</f>
        <v>0.3724203714665088</v>
      </c>
      <c r="C85" s="22">
        <f t="shared" si="19"/>
        <v>0.18133053486941586</v>
      </c>
      <c r="D85" s="22">
        <f t="shared" si="19"/>
        <v>5.5496088925483739E-3</v>
      </c>
    </row>
    <row r="86" spans="1:4" x14ac:dyDescent="0.2">
      <c r="A86" s="13" t="s">
        <v>4</v>
      </c>
      <c r="B86" s="22">
        <f t="shared" si="19"/>
        <v>8.6927482442528282E-3</v>
      </c>
      <c r="C86" s="22">
        <f t="shared" si="19"/>
        <v>1.1242308803638948E-2</v>
      </c>
      <c r="D86" s="22">
        <f t="shared" si="19"/>
        <v>6.5019898449293258E-3</v>
      </c>
    </row>
    <row r="87" spans="1:4" x14ac:dyDescent="0.2">
      <c r="A87" s="21" t="s">
        <v>18</v>
      </c>
      <c r="B87" s="22">
        <f t="shared" si="19"/>
        <v>0.83571765665744135</v>
      </c>
      <c r="C87" s="22">
        <f t="shared" si="19"/>
        <v>0.82630615171621591</v>
      </c>
      <c r="D87" s="22">
        <f t="shared" si="19"/>
        <v>0.75250994922464665</v>
      </c>
    </row>
    <row r="88" spans="1:4" x14ac:dyDescent="0.2">
      <c r="A88" s="13" t="s">
        <v>10</v>
      </c>
      <c r="B88" s="22">
        <f>B21/B$9</f>
        <v>0.12956534259066693</v>
      </c>
      <c r="C88" s="22">
        <f t="shared" ref="C88:D88" si="20">C21/C$9</f>
        <v>0.124152882636465</v>
      </c>
      <c r="D88" s="22">
        <f t="shared" si="20"/>
        <v>0.13927679429120352</v>
      </c>
    </row>
    <row r="89" spans="1:4" x14ac:dyDescent="0.2">
      <c r="A89" s="13" t="s">
        <v>11</v>
      </c>
      <c r="B89" s="22">
        <f t="shared" ref="B89:D93" si="21">B22/B$9</f>
        <v>8.9063174902813999E-2</v>
      </c>
      <c r="C89" s="22">
        <f t="shared" si="21"/>
        <v>7.5735793334385126E-2</v>
      </c>
      <c r="D89" s="22">
        <f t="shared" si="21"/>
        <v>6.5092630712227248E-2</v>
      </c>
    </row>
    <row r="90" spans="1:4" x14ac:dyDescent="0.2">
      <c r="A90" s="13" t="s">
        <v>12</v>
      </c>
      <c r="B90" s="22">
        <f t="shared" si="21"/>
        <v>1.3676030651586171E-2</v>
      </c>
      <c r="C90" s="22">
        <f t="shared" si="21"/>
        <v>1.0499557717431961E-2</v>
      </c>
      <c r="D90" s="22">
        <f t="shared" si="21"/>
        <v>8.3436256346919174E-3</v>
      </c>
    </row>
    <row r="91" spans="1:4" x14ac:dyDescent="0.2">
      <c r="A91" s="13" t="s">
        <v>13</v>
      </c>
      <c r="B91" s="22">
        <f t="shared" si="21"/>
        <v>1.638564046777264E-2</v>
      </c>
      <c r="C91" s="22">
        <f t="shared" si="21"/>
        <v>3.4235684314834279E-2</v>
      </c>
      <c r="D91" s="22">
        <f t="shared" si="21"/>
        <v>2.156991903389598E-2</v>
      </c>
    </row>
    <row r="92" spans="1:4" x14ac:dyDescent="0.2">
      <c r="A92" s="13" t="s">
        <v>14</v>
      </c>
      <c r="B92" s="22">
        <f t="shared" si="21"/>
        <v>2.1080964341134878E-2</v>
      </c>
      <c r="C92" s="22">
        <f t="shared" si="21"/>
        <v>3.5015661589132788E-2</v>
      </c>
      <c r="D92" s="22">
        <f t="shared" si="21"/>
        <v>6.722931247426925E-3</v>
      </c>
    </row>
    <row r="93" spans="1:4" x14ac:dyDescent="0.2">
      <c r="A93" s="14" t="s">
        <v>32</v>
      </c>
      <c r="B93" s="22">
        <f t="shared" si="21"/>
        <v>1.1054888096114159</v>
      </c>
      <c r="C93" s="22">
        <f t="shared" si="21"/>
        <v>1.1059457313084651</v>
      </c>
      <c r="D93" s="22">
        <f t="shared" si="21"/>
        <v>0.99351585014409227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4D24-17E4-DE4A-B7E0-917E823A894B}">
  <dimension ref="A1:J54"/>
  <sheetViews>
    <sheetView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B54" sqref="B54"/>
    </sheetView>
  </sheetViews>
  <sheetFormatPr baseColWidth="10" defaultRowHeight="16" x14ac:dyDescent="0.2"/>
  <cols>
    <col min="1" max="1" width="60.1640625" customWidth="1"/>
    <col min="2" max="2" width="12.5" bestFit="1" customWidth="1"/>
    <col min="3" max="4" width="11.6640625" bestFit="1" customWidth="1"/>
    <col min="5" max="10" width="11.5" bestFit="1" customWidth="1"/>
  </cols>
  <sheetData>
    <row r="1" spans="1:10" x14ac:dyDescent="0.2">
      <c r="A1" s="84" t="s">
        <v>95</v>
      </c>
      <c r="B1" s="26"/>
      <c r="C1" s="26"/>
    </row>
    <row r="2" spans="1:10" x14ac:dyDescent="0.2">
      <c r="A2" s="85"/>
      <c r="B2" s="29">
        <f>C2-1</f>
        <v>2021</v>
      </c>
      <c r="C2" s="29">
        <f>D2-1</f>
        <v>2022</v>
      </c>
      <c r="D2" s="29">
        <v>2023</v>
      </c>
      <c r="E2">
        <f>D2+1</f>
        <v>2024</v>
      </c>
      <c r="F2">
        <f t="shared" ref="F2:I2" si="0">E2+1</f>
        <v>2025</v>
      </c>
      <c r="G2">
        <f t="shared" si="0"/>
        <v>2026</v>
      </c>
      <c r="H2">
        <f t="shared" si="0"/>
        <v>2027</v>
      </c>
      <c r="I2">
        <f t="shared" si="0"/>
        <v>2028</v>
      </c>
      <c r="J2">
        <f>I2+1</f>
        <v>2029</v>
      </c>
    </row>
    <row r="3" spans="1:10" x14ac:dyDescent="0.2">
      <c r="A3" s="27" t="s">
        <v>96</v>
      </c>
      <c r="B3" s="28" t="s">
        <v>82</v>
      </c>
      <c r="C3" s="28" t="s">
        <v>82</v>
      </c>
      <c r="D3" s="28" t="s">
        <v>82</v>
      </c>
    </row>
    <row r="4" spans="1:10" x14ac:dyDescent="0.2">
      <c r="A4" s="28" t="s">
        <v>35</v>
      </c>
      <c r="B4" s="30">
        <v>-37391</v>
      </c>
      <c r="C4" s="30">
        <v>-58987</v>
      </c>
      <c r="D4" s="30">
        <v>13280</v>
      </c>
    </row>
    <row r="5" spans="1:10" ht="32" x14ac:dyDescent="0.2">
      <c r="A5" s="27" t="s">
        <v>97</v>
      </c>
      <c r="B5" s="28" t="s">
        <v>82</v>
      </c>
      <c r="C5" s="28" t="s">
        <v>82</v>
      </c>
      <c r="D5" s="28" t="s">
        <v>82</v>
      </c>
    </row>
    <row r="6" spans="1:10" x14ac:dyDescent="0.2">
      <c r="A6" s="28" t="s">
        <v>98</v>
      </c>
      <c r="B6" s="31">
        <v>38269</v>
      </c>
      <c r="C6" s="31">
        <v>37086</v>
      </c>
      <c r="D6" s="31">
        <v>47406</v>
      </c>
    </row>
    <row r="7" spans="1:10" x14ac:dyDescent="0.2">
      <c r="A7" s="28" t="s">
        <v>99</v>
      </c>
      <c r="B7" s="31">
        <v>6176</v>
      </c>
      <c r="C7" s="31">
        <v>5638</v>
      </c>
      <c r="D7" s="31">
        <v>27</v>
      </c>
    </row>
    <row r="8" spans="1:10" x14ac:dyDescent="0.2">
      <c r="A8" s="28" t="s">
        <v>100</v>
      </c>
      <c r="B8" s="31">
        <v>5351</v>
      </c>
      <c r="C8" s="31">
        <v>3803</v>
      </c>
      <c r="D8" s="31">
        <v>9360</v>
      </c>
    </row>
    <row r="9" spans="1:10" x14ac:dyDescent="0.2">
      <c r="A9" s="28" t="s">
        <v>14</v>
      </c>
      <c r="B9" s="31">
        <v>10542</v>
      </c>
      <c r="C9" s="31">
        <v>19753</v>
      </c>
      <c r="D9" s="31">
        <v>4899</v>
      </c>
    </row>
    <row r="10" spans="1:10" x14ac:dyDescent="0.2">
      <c r="A10" s="28" t="s">
        <v>101</v>
      </c>
      <c r="B10" s="31">
        <v>-20000</v>
      </c>
      <c r="C10" s="31">
        <v>0</v>
      </c>
      <c r="D10" s="31">
        <v>0</v>
      </c>
    </row>
    <row r="11" spans="1:10" x14ac:dyDescent="0.2">
      <c r="A11" s="27" t="s">
        <v>102</v>
      </c>
      <c r="B11" s="28" t="s">
        <v>82</v>
      </c>
      <c r="C11" s="28" t="s">
        <v>82</v>
      </c>
      <c r="D11" s="28" t="s">
        <v>82</v>
      </c>
    </row>
    <row r="12" spans="1:10" x14ac:dyDescent="0.2">
      <c r="A12" s="28" t="s">
        <v>103</v>
      </c>
      <c r="B12" s="31">
        <v>453</v>
      </c>
      <c r="C12" s="31">
        <v>-50</v>
      </c>
      <c r="D12" s="31">
        <v>-835</v>
      </c>
    </row>
    <row r="13" spans="1:10" x14ac:dyDescent="0.2">
      <c r="A13" s="28" t="s">
        <v>52</v>
      </c>
      <c r="B13" s="31">
        <v>-1356</v>
      </c>
      <c r="C13" s="31">
        <v>-1626</v>
      </c>
      <c r="D13" s="31">
        <v>-3315</v>
      </c>
    </row>
    <row r="14" spans="1:10" x14ac:dyDescent="0.2">
      <c r="A14" s="28" t="s">
        <v>53</v>
      </c>
      <c r="B14" s="31">
        <v>-1157</v>
      </c>
      <c r="C14" s="31">
        <v>-1496</v>
      </c>
      <c r="D14" s="31">
        <v>-498</v>
      </c>
    </row>
    <row r="15" spans="1:10" x14ac:dyDescent="0.2">
      <c r="A15" s="28" t="s">
        <v>54</v>
      </c>
      <c r="B15" s="31">
        <v>-1402</v>
      </c>
      <c r="C15" s="31">
        <v>-318</v>
      </c>
      <c r="D15" s="31">
        <v>60</v>
      </c>
    </row>
    <row r="16" spans="1:10" x14ac:dyDescent="0.2">
      <c r="A16" s="28" t="s">
        <v>57</v>
      </c>
      <c r="B16" s="31">
        <v>0</v>
      </c>
      <c r="C16" s="31">
        <v>-34187</v>
      </c>
      <c r="D16" s="31">
        <v>-20521</v>
      </c>
    </row>
    <row r="17" spans="1:4" x14ac:dyDescent="0.2">
      <c r="A17" s="28" t="s">
        <v>63</v>
      </c>
      <c r="B17" s="31">
        <v>-555</v>
      </c>
      <c r="C17" s="31">
        <v>336</v>
      </c>
      <c r="D17" s="31">
        <v>2549</v>
      </c>
    </row>
    <row r="18" spans="1:4" x14ac:dyDescent="0.2">
      <c r="A18" s="28" t="s">
        <v>64</v>
      </c>
      <c r="B18" s="31">
        <v>1172</v>
      </c>
      <c r="C18" s="31">
        <v>-2901</v>
      </c>
      <c r="D18" s="31">
        <v>19173</v>
      </c>
    </row>
    <row r="19" spans="1:4" x14ac:dyDescent="0.2">
      <c r="A19" s="28" t="s">
        <v>104</v>
      </c>
      <c r="B19" s="31">
        <v>3291</v>
      </c>
      <c r="C19" s="28" t="s">
        <v>82</v>
      </c>
      <c r="D19" s="28" t="s">
        <v>82</v>
      </c>
    </row>
    <row r="20" spans="1:4" x14ac:dyDescent="0.2">
      <c r="A20" s="28" t="s">
        <v>68</v>
      </c>
      <c r="B20" s="31">
        <v>0</v>
      </c>
      <c r="C20" s="31">
        <v>38987</v>
      </c>
      <c r="D20" s="31">
        <v>25516</v>
      </c>
    </row>
    <row r="21" spans="1:4" x14ac:dyDescent="0.2">
      <c r="A21" s="28" t="s">
        <v>105</v>
      </c>
      <c r="B21" s="31">
        <v>3393</v>
      </c>
      <c r="C21" s="31">
        <v>6038</v>
      </c>
      <c r="D21" s="31">
        <v>97101</v>
      </c>
    </row>
    <row r="22" spans="1:4" x14ac:dyDescent="0.2">
      <c r="A22" s="27" t="s">
        <v>106</v>
      </c>
      <c r="B22" s="28" t="s">
        <v>82</v>
      </c>
      <c r="C22" s="28" t="s">
        <v>82</v>
      </c>
      <c r="D22" s="28" t="s">
        <v>82</v>
      </c>
    </row>
    <row r="23" spans="1:4" x14ac:dyDescent="0.2">
      <c r="A23" s="28" t="s">
        <v>107</v>
      </c>
      <c r="B23" s="31">
        <v>-56309</v>
      </c>
      <c r="C23" s="31">
        <v>-104161</v>
      </c>
      <c r="D23" s="31">
        <v>-138806</v>
      </c>
    </row>
    <row r="24" spans="1:4" x14ac:dyDescent="0.2">
      <c r="A24" s="28" t="s">
        <v>108</v>
      </c>
      <c r="B24" s="31">
        <v>-56309</v>
      </c>
      <c r="C24" s="31">
        <v>-104161</v>
      </c>
      <c r="D24" s="31">
        <v>-138806</v>
      </c>
    </row>
    <row r="25" spans="1:4" x14ac:dyDescent="0.2">
      <c r="A25" s="27" t="s">
        <v>109</v>
      </c>
      <c r="B25" s="28" t="s">
        <v>82</v>
      </c>
      <c r="C25" s="28" t="s">
        <v>82</v>
      </c>
      <c r="D25" s="28" t="s">
        <v>82</v>
      </c>
    </row>
    <row r="26" spans="1:4" x14ac:dyDescent="0.2">
      <c r="A26" s="28" t="s">
        <v>110</v>
      </c>
      <c r="B26" s="31">
        <v>204068</v>
      </c>
      <c r="C26" s="31">
        <v>0</v>
      </c>
      <c r="D26" s="31">
        <v>0</v>
      </c>
    </row>
    <row r="27" spans="1:4" x14ac:dyDescent="0.2">
      <c r="A27" s="28" t="s">
        <v>111</v>
      </c>
      <c r="B27" s="31">
        <v>0</v>
      </c>
      <c r="C27" s="31">
        <v>0</v>
      </c>
      <c r="D27" s="31">
        <v>6000</v>
      </c>
    </row>
    <row r="28" spans="1:4" x14ac:dyDescent="0.2">
      <c r="A28" s="28" t="s">
        <v>112</v>
      </c>
      <c r="B28" s="31">
        <v>0</v>
      </c>
      <c r="C28" s="31">
        <v>0</v>
      </c>
      <c r="D28" s="31">
        <v>-6000</v>
      </c>
    </row>
    <row r="29" spans="1:4" x14ac:dyDescent="0.2">
      <c r="A29" s="28" t="s">
        <v>113</v>
      </c>
      <c r="B29" s="31">
        <v>-40000</v>
      </c>
      <c r="C29" s="31">
        <v>0</v>
      </c>
      <c r="D29" s="31">
        <v>0</v>
      </c>
    </row>
    <row r="30" spans="1:4" x14ac:dyDescent="0.2">
      <c r="A30" s="28" t="s">
        <v>114</v>
      </c>
      <c r="B30" s="31">
        <v>-7688</v>
      </c>
      <c r="C30" s="31">
        <v>-911</v>
      </c>
      <c r="D30" s="31">
        <v>-3108</v>
      </c>
    </row>
    <row r="31" spans="1:4" x14ac:dyDescent="0.2">
      <c r="A31" s="28" t="s">
        <v>115</v>
      </c>
      <c r="B31" s="31">
        <v>7135</v>
      </c>
      <c r="C31" s="31">
        <v>37</v>
      </c>
      <c r="D31" s="31">
        <v>1353</v>
      </c>
    </row>
    <row r="32" spans="1:4" x14ac:dyDescent="0.2">
      <c r="A32" s="28" t="s">
        <v>116</v>
      </c>
      <c r="B32" s="31">
        <v>0</v>
      </c>
      <c r="C32" s="31">
        <v>0</v>
      </c>
      <c r="D32" s="31">
        <v>342604</v>
      </c>
    </row>
    <row r="33" spans="1:10" x14ac:dyDescent="0.2">
      <c r="A33" s="28" t="s">
        <v>117</v>
      </c>
      <c r="B33" s="31">
        <v>0</v>
      </c>
      <c r="C33" s="31">
        <v>-1109</v>
      </c>
      <c r="D33" s="31">
        <v>-5384</v>
      </c>
    </row>
    <row r="34" spans="1:10" x14ac:dyDescent="0.2">
      <c r="A34" s="28" t="s">
        <v>118</v>
      </c>
      <c r="B34" s="31">
        <v>0</v>
      </c>
      <c r="C34" s="31">
        <v>-986</v>
      </c>
      <c r="D34" s="31">
        <v>-372</v>
      </c>
    </row>
    <row r="35" spans="1:10" x14ac:dyDescent="0.2">
      <c r="A35" s="28" t="s">
        <v>119</v>
      </c>
      <c r="B35" s="31">
        <v>338</v>
      </c>
      <c r="C35" s="31">
        <v>-115</v>
      </c>
      <c r="D35" s="31">
        <v>-85</v>
      </c>
    </row>
    <row r="36" spans="1:10" x14ac:dyDescent="0.2">
      <c r="A36" s="28" t="s">
        <v>120</v>
      </c>
      <c r="B36" s="31">
        <v>143152</v>
      </c>
      <c r="C36" s="31">
        <v>-3084</v>
      </c>
      <c r="D36" s="31">
        <v>335008</v>
      </c>
    </row>
    <row r="37" spans="1:10" x14ac:dyDescent="0.2">
      <c r="A37" s="28" t="s">
        <v>121</v>
      </c>
      <c r="B37" s="31">
        <v>90236</v>
      </c>
      <c r="C37" s="31">
        <v>-101207</v>
      </c>
      <c r="D37" s="31">
        <v>293303</v>
      </c>
    </row>
    <row r="38" spans="1:10" x14ac:dyDescent="0.2">
      <c r="A38" s="28" t="s">
        <v>122</v>
      </c>
      <c r="B38" s="31">
        <v>50096</v>
      </c>
      <c r="C38" s="31">
        <v>140332</v>
      </c>
      <c r="D38" s="31">
        <v>39125</v>
      </c>
    </row>
    <row r="39" spans="1:10" x14ac:dyDescent="0.2">
      <c r="A39" s="28" t="s">
        <v>123</v>
      </c>
      <c r="B39" s="31">
        <v>140332</v>
      </c>
      <c r="C39" s="31">
        <v>39125</v>
      </c>
      <c r="D39" s="31">
        <v>332428</v>
      </c>
    </row>
    <row r="41" spans="1:10" x14ac:dyDescent="0.2">
      <c r="A41" s="36" t="s">
        <v>124</v>
      </c>
    </row>
    <row r="42" spans="1:10" x14ac:dyDescent="0.2">
      <c r="A42" s="32" t="s">
        <v>84</v>
      </c>
      <c r="B42" s="35">
        <f>B4</f>
        <v>-37391</v>
      </c>
      <c r="C42" s="35">
        <f>C4</f>
        <v>-58987</v>
      </c>
      <c r="D42" s="35">
        <f>D4</f>
        <v>13280</v>
      </c>
    </row>
    <row r="43" spans="1:10" x14ac:dyDescent="0.2">
      <c r="A43" s="33" t="s">
        <v>85</v>
      </c>
      <c r="B43" s="37">
        <f>B6+B7</f>
        <v>44445</v>
      </c>
      <c r="C43" s="37">
        <f t="shared" ref="C43:D43" si="1">C6+C7</f>
        <v>42724</v>
      </c>
      <c r="D43" s="37">
        <f t="shared" si="1"/>
        <v>47433</v>
      </c>
    </row>
    <row r="44" spans="1:10" x14ac:dyDescent="0.2">
      <c r="A44" s="33" t="s">
        <v>86</v>
      </c>
      <c r="B44" s="37">
        <f>B8</f>
        <v>5351</v>
      </c>
      <c r="C44" s="37">
        <f t="shared" ref="C44:D44" si="2">C8</f>
        <v>3803</v>
      </c>
      <c r="D44" s="37">
        <f t="shared" si="2"/>
        <v>9360</v>
      </c>
    </row>
    <row r="45" spans="1:10" x14ac:dyDescent="0.2">
      <c r="A45" s="33" t="s">
        <v>87</v>
      </c>
      <c r="B45" s="37">
        <f>SUM(B9:B10)</f>
        <v>-9458</v>
      </c>
      <c r="C45" s="37">
        <f t="shared" ref="C45:D45" si="3">SUM(C9:C10)</f>
        <v>19753</v>
      </c>
      <c r="D45" s="37">
        <f t="shared" si="3"/>
        <v>4899</v>
      </c>
    </row>
    <row r="46" spans="1:10" x14ac:dyDescent="0.2">
      <c r="A46" s="33" t="s">
        <v>88</v>
      </c>
      <c r="B46" s="37">
        <f>SUM(B12:B20)</f>
        <v>446</v>
      </c>
      <c r="C46" s="37">
        <f t="shared" ref="C46:D46" si="4">SUM(C12:C20)</f>
        <v>-1255</v>
      </c>
      <c r="D46" s="37">
        <f t="shared" si="4"/>
        <v>22129</v>
      </c>
      <c r="E46" s="8">
        <f>D46*1.2</f>
        <v>26554.799999999999</v>
      </c>
      <c r="F46" s="8">
        <f t="shared" ref="F46:J46" si="5">E46*1.2</f>
        <v>31865.759999999998</v>
      </c>
      <c r="G46" s="8">
        <f t="shared" si="5"/>
        <v>38238.911999999997</v>
      </c>
      <c r="H46" s="8">
        <f t="shared" si="5"/>
        <v>45886.694399999993</v>
      </c>
      <c r="I46" s="8">
        <f t="shared" si="5"/>
        <v>55064.033279999989</v>
      </c>
      <c r="J46" s="8">
        <f t="shared" si="5"/>
        <v>66076.839935999989</v>
      </c>
    </row>
    <row r="47" spans="1:10" x14ac:dyDescent="0.2">
      <c r="A47" s="32" t="s">
        <v>89</v>
      </c>
      <c r="B47" s="35">
        <f>SUM(B42:B46)</f>
        <v>3393</v>
      </c>
      <c r="C47" s="35">
        <f t="shared" ref="C47:D47" si="6">SUM(C42:C46)</f>
        <v>6038</v>
      </c>
      <c r="D47" s="35">
        <f t="shared" si="6"/>
        <v>97101</v>
      </c>
    </row>
    <row r="48" spans="1:10" x14ac:dyDescent="0.2">
      <c r="A48" s="33" t="s">
        <v>90</v>
      </c>
      <c r="B48" s="37">
        <f>B23</f>
        <v>-56309</v>
      </c>
      <c r="C48" s="37">
        <f t="shared" ref="C48:D48" si="7">C23</f>
        <v>-104161</v>
      </c>
      <c r="D48" s="37">
        <f t="shared" si="7"/>
        <v>-138806</v>
      </c>
    </row>
    <row r="49" spans="1:5" x14ac:dyDescent="0.2">
      <c r="A49" s="32" t="s">
        <v>91</v>
      </c>
      <c r="B49" s="35">
        <f>SUM(B47:B48)</f>
        <v>-52916</v>
      </c>
      <c r="C49" s="35">
        <f t="shared" ref="C49:D49" si="8">SUM(C47:C48)</f>
        <v>-98123</v>
      </c>
      <c r="D49" s="35">
        <f t="shared" si="8"/>
        <v>-41705</v>
      </c>
    </row>
    <row r="50" spans="1:5" x14ac:dyDescent="0.2">
      <c r="A50" s="34" t="s">
        <v>92</v>
      </c>
      <c r="B50" s="7">
        <f>B49/'Statement of Operations'!B35</f>
        <v>-72.289617486338798</v>
      </c>
      <c r="C50" s="7">
        <f>C49/'Statement of Operations'!C35</f>
        <v>-73.887801204819283</v>
      </c>
      <c r="D50" s="7">
        <f>D49/'Statement of Operations'!D35</f>
        <v>-0.65730992308662206</v>
      </c>
    </row>
    <row r="51" spans="1:5" x14ac:dyDescent="0.2">
      <c r="A51" s="33" t="s">
        <v>125</v>
      </c>
      <c r="B51" s="8">
        <f>SUM(B26:B29)</f>
        <v>164068</v>
      </c>
      <c r="C51" s="8">
        <f>SUM(C26:C29)</f>
        <v>0</v>
      </c>
      <c r="D51" s="8">
        <f t="shared" ref="D51" si="9">SUM(D26:D29)</f>
        <v>0</v>
      </c>
    </row>
    <row r="52" spans="1:5" x14ac:dyDescent="0.2">
      <c r="A52" s="33" t="s">
        <v>93</v>
      </c>
      <c r="B52" s="37">
        <f>SUM(B30:B31)</f>
        <v>-553</v>
      </c>
      <c r="C52" s="37">
        <f>SUM(C30:C31)</f>
        <v>-874</v>
      </c>
      <c r="D52" s="37">
        <f>SUM(D30:D31)</f>
        <v>-1755</v>
      </c>
      <c r="E52" s="37"/>
    </row>
    <row r="53" spans="1:5" x14ac:dyDescent="0.2">
      <c r="A53" s="33" t="s">
        <v>87</v>
      </c>
      <c r="B53" s="37">
        <f>SUM(B32:B35)</f>
        <v>338</v>
      </c>
      <c r="C53" s="37">
        <f t="shared" ref="C53" si="10">SUM(C32:C35)</f>
        <v>-2210</v>
      </c>
      <c r="D53" s="37">
        <f>SUM(D32:D35)</f>
        <v>336763</v>
      </c>
    </row>
    <row r="54" spans="1:5" x14ac:dyDescent="0.2">
      <c r="A54" s="32" t="s">
        <v>94</v>
      </c>
      <c r="B54" s="8">
        <f>B49+SUM(B51:B53)</f>
        <v>110937</v>
      </c>
      <c r="C54" s="8">
        <f t="shared" ref="C54:D54" si="11">C49+SUM(C51:C53)</f>
        <v>-101207</v>
      </c>
      <c r="D54" s="8">
        <f t="shared" si="11"/>
        <v>293303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F4EF-BF8C-0D45-AC57-FA3543FA5720}">
  <dimension ref="A1:C33"/>
  <sheetViews>
    <sheetView workbookViewId="0">
      <selection sqref="A1:C33"/>
    </sheetView>
  </sheetViews>
  <sheetFormatPr baseColWidth="10" defaultRowHeight="16" x14ac:dyDescent="0.2"/>
  <cols>
    <col min="1" max="1" width="80" customWidth="1"/>
    <col min="2" max="3" width="14" customWidth="1"/>
  </cols>
  <sheetData>
    <row r="1" spans="1:3" x14ac:dyDescent="0.2">
      <c r="A1" s="26" t="s">
        <v>48</v>
      </c>
      <c r="B1" s="29" t="s">
        <v>81</v>
      </c>
      <c r="C1" s="29" t="s">
        <v>83</v>
      </c>
    </row>
    <row r="2" spans="1:3" x14ac:dyDescent="0.2">
      <c r="A2" s="27" t="s">
        <v>49</v>
      </c>
      <c r="B2" s="28" t="s">
        <v>82</v>
      </c>
      <c r="C2" s="28" t="s">
        <v>82</v>
      </c>
    </row>
    <row r="3" spans="1:3" x14ac:dyDescent="0.2">
      <c r="A3" s="28" t="s">
        <v>50</v>
      </c>
      <c r="B3" s="30">
        <v>39125</v>
      </c>
      <c r="C3" s="30">
        <v>332428</v>
      </c>
    </row>
    <row r="4" spans="1:3" x14ac:dyDescent="0.2">
      <c r="A4" s="28" t="s">
        <v>51</v>
      </c>
      <c r="B4" s="31">
        <v>2827</v>
      </c>
      <c r="C4" s="31">
        <v>3662</v>
      </c>
    </row>
    <row r="5" spans="1:3" x14ac:dyDescent="0.2">
      <c r="A5" s="28" t="s">
        <v>52</v>
      </c>
      <c r="B5" s="31">
        <v>4908</v>
      </c>
      <c r="C5" s="31">
        <v>8223</v>
      </c>
    </row>
    <row r="6" spans="1:3" x14ac:dyDescent="0.2">
      <c r="A6" s="28" t="s">
        <v>53</v>
      </c>
      <c r="B6" s="31">
        <v>5139</v>
      </c>
      <c r="C6" s="31">
        <v>5637</v>
      </c>
    </row>
    <row r="7" spans="1:3" x14ac:dyDescent="0.2">
      <c r="A7" s="28" t="s">
        <v>54</v>
      </c>
      <c r="B7" s="31">
        <v>6151</v>
      </c>
      <c r="C7" s="31">
        <v>4962</v>
      </c>
    </row>
    <row r="8" spans="1:3" x14ac:dyDescent="0.2">
      <c r="A8" s="28" t="s">
        <v>55</v>
      </c>
      <c r="B8" s="31">
        <v>58150</v>
      </c>
      <c r="C8" s="31">
        <v>354912</v>
      </c>
    </row>
    <row r="9" spans="1:3" x14ac:dyDescent="0.2">
      <c r="A9" s="28" t="s">
        <v>56</v>
      </c>
      <c r="B9" s="31">
        <v>242983</v>
      </c>
      <c r="C9" s="31">
        <v>330730</v>
      </c>
    </row>
    <row r="10" spans="1:3" x14ac:dyDescent="0.2">
      <c r="A10" s="28" t="s">
        <v>57</v>
      </c>
      <c r="B10" s="31">
        <v>273876</v>
      </c>
      <c r="C10" s="31">
        <v>289451</v>
      </c>
    </row>
    <row r="11" spans="1:3" x14ac:dyDescent="0.2">
      <c r="A11" s="28" t="s">
        <v>58</v>
      </c>
      <c r="B11" s="31">
        <v>1944</v>
      </c>
      <c r="C11" s="31">
        <v>1944</v>
      </c>
    </row>
    <row r="12" spans="1:3" x14ac:dyDescent="0.2">
      <c r="A12" s="28" t="s">
        <v>59</v>
      </c>
      <c r="B12" s="31">
        <v>1382</v>
      </c>
      <c r="C12" s="31">
        <v>1355</v>
      </c>
    </row>
    <row r="13" spans="1:3" x14ac:dyDescent="0.2">
      <c r="A13" s="28" t="s">
        <v>60</v>
      </c>
      <c r="B13" s="31">
        <v>5548</v>
      </c>
      <c r="C13" s="31">
        <v>5365</v>
      </c>
    </row>
    <row r="14" spans="1:3" x14ac:dyDescent="0.2">
      <c r="A14" s="28" t="s">
        <v>61</v>
      </c>
      <c r="B14" s="31">
        <v>583883</v>
      </c>
      <c r="C14" s="31">
        <v>983757</v>
      </c>
    </row>
    <row r="15" spans="1:3" x14ac:dyDescent="0.2">
      <c r="A15" s="27" t="s">
        <v>62</v>
      </c>
      <c r="B15" s="28" t="s">
        <v>82</v>
      </c>
      <c r="C15" s="28" t="s">
        <v>82</v>
      </c>
    </row>
    <row r="16" spans="1:3" x14ac:dyDescent="0.2">
      <c r="A16" s="28" t="s">
        <v>63</v>
      </c>
      <c r="B16" s="31">
        <v>14311</v>
      </c>
      <c r="C16" s="31">
        <v>17234</v>
      </c>
    </row>
    <row r="17" spans="1:3" x14ac:dyDescent="0.2">
      <c r="A17" s="28" t="s">
        <v>64</v>
      </c>
      <c r="B17" s="31">
        <v>40468</v>
      </c>
      <c r="C17" s="31">
        <v>59219</v>
      </c>
    </row>
    <row r="18" spans="1:3" x14ac:dyDescent="0.2">
      <c r="A18" s="28" t="s">
        <v>65</v>
      </c>
      <c r="B18" s="31">
        <v>29539</v>
      </c>
      <c r="C18" s="31">
        <v>32583</v>
      </c>
    </row>
    <row r="19" spans="1:3" x14ac:dyDescent="0.2">
      <c r="A19" s="28" t="s">
        <v>66</v>
      </c>
      <c r="B19" s="31">
        <v>84318</v>
      </c>
      <c r="C19" s="31">
        <v>109036</v>
      </c>
    </row>
    <row r="20" spans="1:3" x14ac:dyDescent="0.2">
      <c r="A20" s="28" t="s">
        <v>67</v>
      </c>
      <c r="B20" s="31">
        <v>28</v>
      </c>
      <c r="C20" s="31">
        <v>79</v>
      </c>
    </row>
    <row r="21" spans="1:3" x14ac:dyDescent="0.2">
      <c r="A21" s="28" t="s">
        <v>68</v>
      </c>
      <c r="B21" s="31">
        <v>285194</v>
      </c>
      <c r="C21" s="31">
        <v>303615</v>
      </c>
    </row>
    <row r="22" spans="1:3" x14ac:dyDescent="0.2">
      <c r="A22" s="28" t="s">
        <v>69</v>
      </c>
      <c r="B22" s="31">
        <v>538</v>
      </c>
      <c r="C22" s="31">
        <v>225</v>
      </c>
    </row>
    <row r="23" spans="1:3" x14ac:dyDescent="0.2">
      <c r="A23" s="28" t="s">
        <v>70</v>
      </c>
      <c r="B23" s="31">
        <v>370078</v>
      </c>
      <c r="C23" s="31">
        <v>412955</v>
      </c>
    </row>
    <row r="24" spans="1:3" x14ac:dyDescent="0.2">
      <c r="A24" s="28" t="s">
        <v>71</v>
      </c>
      <c r="B24" s="28" t="s">
        <v>38</v>
      </c>
      <c r="C24" s="28" t="s">
        <v>38</v>
      </c>
    </row>
    <row r="25" spans="1:3" x14ac:dyDescent="0.2">
      <c r="A25" s="27" t="s">
        <v>72</v>
      </c>
      <c r="B25" s="28" t="s">
        <v>82</v>
      </c>
      <c r="C25" s="28" t="s">
        <v>82</v>
      </c>
    </row>
    <row r="26" spans="1:3" ht="32" x14ac:dyDescent="0.2">
      <c r="A26" s="28" t="s">
        <v>73</v>
      </c>
      <c r="B26" s="31">
        <v>662308</v>
      </c>
      <c r="C26" s="31">
        <v>0</v>
      </c>
    </row>
    <row r="27" spans="1:3" x14ac:dyDescent="0.2">
      <c r="A27" s="27" t="s">
        <v>74</v>
      </c>
      <c r="B27" s="28" t="s">
        <v>82</v>
      </c>
      <c r="C27" s="28" t="s">
        <v>82</v>
      </c>
    </row>
    <row r="28" spans="1:3" ht="32" x14ac:dyDescent="0.2">
      <c r="A28" s="28" t="s">
        <v>75</v>
      </c>
      <c r="B28" s="31">
        <v>0</v>
      </c>
      <c r="C28" s="31">
        <v>11</v>
      </c>
    </row>
    <row r="29" spans="1:3" x14ac:dyDescent="0.2">
      <c r="A29" s="28" t="s">
        <v>76</v>
      </c>
      <c r="B29" s="31">
        <v>-6619</v>
      </c>
      <c r="C29" s="31">
        <v>-9727</v>
      </c>
    </row>
    <row r="30" spans="1:3" x14ac:dyDescent="0.2">
      <c r="A30" s="28" t="s">
        <v>77</v>
      </c>
      <c r="B30" s="31">
        <v>19059</v>
      </c>
      <c r="C30" s="31">
        <v>1028181</v>
      </c>
    </row>
    <row r="31" spans="1:3" x14ac:dyDescent="0.2">
      <c r="A31" s="28" t="s">
        <v>78</v>
      </c>
      <c r="B31" s="31">
        <v>-460943</v>
      </c>
      <c r="C31" s="31">
        <v>-447663</v>
      </c>
    </row>
    <row r="32" spans="1:3" x14ac:dyDescent="0.2">
      <c r="A32" s="28" t="s">
        <v>79</v>
      </c>
      <c r="B32" s="31">
        <v>-448503</v>
      </c>
      <c r="C32" s="31">
        <v>570802</v>
      </c>
    </row>
    <row r="33" spans="1:3" x14ac:dyDescent="0.2">
      <c r="A33" s="28" t="s">
        <v>80</v>
      </c>
      <c r="B33" s="30">
        <v>583883</v>
      </c>
      <c r="C33" s="30">
        <v>983757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A322-D5DF-A745-9643-97DA286D9BE3}">
  <dimension ref="A1:C19"/>
  <sheetViews>
    <sheetView workbookViewId="0">
      <selection activeCell="D21" sqref="D21"/>
    </sheetView>
  </sheetViews>
  <sheetFormatPr baseColWidth="10" defaultRowHeight="16" x14ac:dyDescent="0.2"/>
  <cols>
    <col min="1" max="1" width="35.1640625" bestFit="1" customWidth="1"/>
    <col min="2" max="3" width="7.1640625" bestFit="1" customWidth="1"/>
  </cols>
  <sheetData>
    <row r="1" spans="1:3" x14ac:dyDescent="0.2">
      <c r="A1" s="2" t="s">
        <v>19</v>
      </c>
      <c r="B1" s="2">
        <v>2022</v>
      </c>
      <c r="C1" s="2">
        <f t="shared" ref="C1" si="0">B1+1</f>
        <v>2023</v>
      </c>
    </row>
    <row r="2" spans="1:3" x14ac:dyDescent="0.2">
      <c r="A2" s="2"/>
    </row>
    <row r="3" spans="1:3" x14ac:dyDescent="0.2">
      <c r="A3" s="5" t="s">
        <v>20</v>
      </c>
      <c r="B3">
        <v>448594</v>
      </c>
      <c r="C3">
        <v>717060</v>
      </c>
    </row>
    <row r="4" spans="1:3" x14ac:dyDescent="0.2">
      <c r="A4" s="2"/>
    </row>
    <row r="5" spans="1:3" x14ac:dyDescent="0.2">
      <c r="A5" s="3" t="s">
        <v>27</v>
      </c>
    </row>
    <row r="6" spans="1:3" x14ac:dyDescent="0.2">
      <c r="A6" s="1" t="s">
        <v>21</v>
      </c>
      <c r="B6">
        <v>140760</v>
      </c>
      <c r="C6">
        <v>208237</v>
      </c>
    </row>
    <row r="7" spans="1:3" x14ac:dyDescent="0.2">
      <c r="A7" s="1" t="s">
        <v>22</v>
      </c>
      <c r="B7">
        <v>121318</v>
      </c>
      <c r="C7">
        <v>185820</v>
      </c>
    </row>
    <row r="8" spans="1:3" x14ac:dyDescent="0.2">
      <c r="A8" s="1" t="s">
        <v>23</v>
      </c>
      <c r="B8">
        <v>40855</v>
      </c>
      <c r="C8">
        <v>57811</v>
      </c>
    </row>
    <row r="9" spans="1:3" x14ac:dyDescent="0.2">
      <c r="A9" s="1" t="s">
        <v>24</v>
      </c>
      <c r="B9">
        <v>54568</v>
      </c>
      <c r="C9">
        <v>87704</v>
      </c>
    </row>
    <row r="10" spans="1:3" x14ac:dyDescent="0.2">
      <c r="A10" s="3" t="s">
        <v>25</v>
      </c>
      <c r="B10" s="2">
        <f t="shared" ref="B10" si="1">SUM(B6:B9)</f>
        <v>357501</v>
      </c>
      <c r="C10" s="2">
        <f>SUM(C6:C9)</f>
        <v>539572</v>
      </c>
    </row>
    <row r="11" spans="1:3" x14ac:dyDescent="0.2">
      <c r="A11" s="4" t="s">
        <v>26</v>
      </c>
      <c r="B11" s="5">
        <f t="shared" ref="B11" si="2">B3-B10</f>
        <v>91093</v>
      </c>
      <c r="C11" s="5">
        <f>C3-C10</f>
        <v>177488</v>
      </c>
    </row>
    <row r="13" spans="1:3" x14ac:dyDescent="0.2">
      <c r="A13" s="2" t="s">
        <v>44</v>
      </c>
    </row>
    <row r="14" spans="1:3" x14ac:dyDescent="0.2">
      <c r="A14" s="1" t="s">
        <v>21</v>
      </c>
      <c r="B14" s="22">
        <f>B6/B$3</f>
        <v>0.31378038939441899</v>
      </c>
      <c r="C14" s="22">
        <f>C6/C$3</f>
        <v>0.29040387136362367</v>
      </c>
    </row>
    <row r="15" spans="1:3" x14ac:dyDescent="0.2">
      <c r="A15" s="1" t="s">
        <v>22</v>
      </c>
      <c r="B15" s="22">
        <f t="shared" ref="B15:C18" si="3">B7/B$3</f>
        <v>0.27044053197323192</v>
      </c>
      <c r="C15" s="22">
        <f t="shared" si="3"/>
        <v>0.25914149443561207</v>
      </c>
    </row>
    <row r="16" spans="1:3" x14ac:dyDescent="0.2">
      <c r="A16" s="1" t="s">
        <v>23</v>
      </c>
      <c r="B16" s="22">
        <f t="shared" si="3"/>
        <v>9.1073442801285792E-2</v>
      </c>
      <c r="C16" s="22">
        <f t="shared" si="3"/>
        <v>8.0622263130003063E-2</v>
      </c>
    </row>
    <row r="17" spans="1:3" x14ac:dyDescent="0.2">
      <c r="A17" s="1" t="s">
        <v>24</v>
      </c>
      <c r="B17" s="22">
        <f t="shared" si="3"/>
        <v>0.12164228678939085</v>
      </c>
      <c r="C17" s="22">
        <f t="shared" si="3"/>
        <v>0.12231054583995761</v>
      </c>
    </row>
    <row r="18" spans="1:3" x14ac:dyDescent="0.2">
      <c r="A18" s="3" t="s">
        <v>25</v>
      </c>
      <c r="B18" s="22">
        <f t="shared" si="3"/>
        <v>0.79693665095832755</v>
      </c>
      <c r="C18" s="22">
        <f>C10/C$3</f>
        <v>0.75247817476919643</v>
      </c>
    </row>
    <row r="19" spans="1:3" x14ac:dyDescent="0.2">
      <c r="A19" s="4" t="s">
        <v>26</v>
      </c>
      <c r="B19" s="24">
        <f>B11/B3</f>
        <v>0.20306334904167242</v>
      </c>
      <c r="C19" s="24">
        <f>C11/C3</f>
        <v>0.24752182523080357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446E-6ADE-0B41-992C-5DF5BA344EEE}">
  <dimension ref="A1:D19"/>
  <sheetViews>
    <sheetView workbookViewId="0">
      <selection activeCell="C19" sqref="A18:C19"/>
    </sheetView>
  </sheetViews>
  <sheetFormatPr baseColWidth="10" defaultRowHeight="16" x14ac:dyDescent="0.2"/>
  <cols>
    <col min="1" max="1" width="35.1640625" bestFit="1" customWidth="1"/>
    <col min="2" max="2" width="7.1640625" bestFit="1" customWidth="1"/>
    <col min="3" max="3" width="5.6640625" bestFit="1" customWidth="1"/>
  </cols>
  <sheetData>
    <row r="1" spans="1:3" x14ac:dyDescent="0.2">
      <c r="A1" s="2" t="s">
        <v>28</v>
      </c>
      <c r="B1" s="2">
        <v>2022</v>
      </c>
      <c r="C1" s="2">
        <f t="shared" ref="C1" si="0">B1+1</f>
        <v>2023</v>
      </c>
    </row>
    <row r="3" spans="1:3" x14ac:dyDescent="0.2">
      <c r="A3" s="5" t="s">
        <v>20</v>
      </c>
      <c r="B3">
        <v>108392</v>
      </c>
      <c r="C3">
        <v>3867</v>
      </c>
    </row>
    <row r="4" spans="1:3" x14ac:dyDescent="0.2">
      <c r="A4" s="2"/>
    </row>
    <row r="5" spans="1:3" x14ac:dyDescent="0.2">
      <c r="A5" s="3" t="s">
        <v>27</v>
      </c>
    </row>
    <row r="6" spans="1:3" x14ac:dyDescent="0.2">
      <c r="A6" s="1" t="s">
        <v>21</v>
      </c>
      <c r="B6">
        <v>33367</v>
      </c>
      <c r="C6">
        <v>1141</v>
      </c>
    </row>
    <row r="7" spans="1:3" x14ac:dyDescent="0.2">
      <c r="A7" s="1" t="s">
        <v>22</v>
      </c>
      <c r="B7">
        <v>36573</v>
      </c>
      <c r="C7">
        <v>1506</v>
      </c>
    </row>
    <row r="8" spans="1:3" x14ac:dyDescent="0.2">
      <c r="A8" s="1" t="s">
        <v>23</v>
      </c>
      <c r="B8">
        <v>12814</v>
      </c>
      <c r="C8">
        <v>508</v>
      </c>
    </row>
    <row r="9" spans="1:3" x14ac:dyDescent="0.2">
      <c r="A9" s="1" t="s">
        <v>24</v>
      </c>
      <c r="B9">
        <v>19538</v>
      </c>
      <c r="C9">
        <v>889</v>
      </c>
    </row>
    <row r="10" spans="1:3" x14ac:dyDescent="0.2">
      <c r="A10" s="3" t="s">
        <v>25</v>
      </c>
      <c r="B10" s="2">
        <f t="shared" ref="B10" si="1">SUM(B5:B9)</f>
        <v>102292</v>
      </c>
      <c r="C10" s="2">
        <f>SUM(C5:C9)</f>
        <v>4044</v>
      </c>
    </row>
    <row r="11" spans="1:3" x14ac:dyDescent="0.2">
      <c r="A11" s="4" t="s">
        <v>26</v>
      </c>
      <c r="B11" s="5">
        <f t="shared" ref="B11" si="2">B3-B10</f>
        <v>6100</v>
      </c>
      <c r="C11" s="5">
        <f>C3-C10</f>
        <v>-177</v>
      </c>
    </row>
    <row r="13" spans="1:3" x14ac:dyDescent="0.2">
      <c r="A13" s="2" t="s">
        <v>44</v>
      </c>
    </row>
    <row r="14" spans="1:3" x14ac:dyDescent="0.2">
      <c r="A14" s="1" t="s">
        <v>21</v>
      </c>
      <c r="B14" s="22">
        <f>B6/B$3</f>
        <v>0.30783637168794747</v>
      </c>
      <c r="C14" s="22">
        <f>C6/C$3</f>
        <v>0.29506077062322211</v>
      </c>
    </row>
    <row r="15" spans="1:3" x14ac:dyDescent="0.2">
      <c r="A15" s="1" t="s">
        <v>22</v>
      </c>
      <c r="B15" s="22">
        <f t="shared" ref="B15:C18" si="3">B7/B$3</f>
        <v>0.33741420030998598</v>
      </c>
      <c r="C15" s="22">
        <f t="shared" si="3"/>
        <v>0.38944918541505041</v>
      </c>
    </row>
    <row r="16" spans="1:3" x14ac:dyDescent="0.2">
      <c r="A16" s="1" t="s">
        <v>23</v>
      </c>
      <c r="B16" s="22">
        <f t="shared" si="3"/>
        <v>0.11821905675695624</v>
      </c>
      <c r="C16" s="22">
        <f t="shared" si="3"/>
        <v>0.13136798551848977</v>
      </c>
    </row>
    <row r="17" spans="1:4" x14ac:dyDescent="0.2">
      <c r="A17" s="1" t="s">
        <v>24</v>
      </c>
      <c r="B17" s="22">
        <f t="shared" si="3"/>
        <v>0.18025315521440696</v>
      </c>
      <c r="C17" s="22">
        <f>C9/C$3</f>
        <v>0.22989397465735711</v>
      </c>
    </row>
    <row r="18" spans="1:4" x14ac:dyDescent="0.2">
      <c r="A18" s="3" t="s">
        <v>25</v>
      </c>
      <c r="B18" s="22">
        <f t="shared" si="3"/>
        <v>0.94372278396929665</v>
      </c>
      <c r="C18" s="22">
        <f>C10/C$3</f>
        <v>1.0457719162141195</v>
      </c>
    </row>
    <row r="19" spans="1:4" x14ac:dyDescent="0.2">
      <c r="A19" s="4" t="s">
        <v>26</v>
      </c>
      <c r="B19" s="24">
        <f>B11/B3</f>
        <v>5.6277216030703375E-2</v>
      </c>
      <c r="C19" s="24">
        <f>C11/C3</f>
        <v>-4.5771916214119475E-2</v>
      </c>
      <c r="D19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DF6D-AD9C-1844-A378-F7CD0B5D9517}">
  <dimension ref="A1:G6"/>
  <sheetViews>
    <sheetView workbookViewId="0">
      <selection activeCell="H10" sqref="H10"/>
    </sheetView>
  </sheetViews>
  <sheetFormatPr baseColWidth="10" defaultRowHeight="16" x14ac:dyDescent="0.2"/>
  <cols>
    <col min="1" max="1" width="26.83203125" bestFit="1" customWidth="1"/>
    <col min="2" max="7" width="5.1640625" bestFit="1" customWidth="1"/>
  </cols>
  <sheetData>
    <row r="1" spans="1:7" x14ac:dyDescent="0.2">
      <c r="A1" s="2" t="s">
        <v>29</v>
      </c>
      <c r="B1" s="2">
        <v>2018</v>
      </c>
      <c r="C1" s="2">
        <f>B1+1</f>
        <v>2019</v>
      </c>
      <c r="D1" s="2">
        <f t="shared" ref="D1:G1" si="0">C1+1</f>
        <v>2020</v>
      </c>
      <c r="E1" s="2">
        <f t="shared" si="0"/>
        <v>2021</v>
      </c>
      <c r="F1" s="2">
        <f t="shared" si="0"/>
        <v>2022</v>
      </c>
      <c r="G1" s="2">
        <f t="shared" si="0"/>
        <v>2023</v>
      </c>
    </row>
    <row r="3" spans="1:7" x14ac:dyDescent="0.2">
      <c r="A3" s="2" t="s">
        <v>30</v>
      </c>
      <c r="F3" s="2">
        <v>7133</v>
      </c>
      <c r="G3" s="2">
        <v>7773</v>
      </c>
    </row>
    <row r="4" spans="1:7" x14ac:dyDescent="0.2">
      <c r="A4" s="1" t="s">
        <v>21</v>
      </c>
      <c r="F4">
        <v>5861</v>
      </c>
      <c r="G4">
        <v>4080</v>
      </c>
    </row>
    <row r="5" spans="1:7" x14ac:dyDescent="0.2">
      <c r="A5" s="1" t="s">
        <v>24</v>
      </c>
      <c r="F5">
        <v>481</v>
      </c>
      <c r="G5">
        <v>658</v>
      </c>
    </row>
    <row r="6" spans="1:7" x14ac:dyDescent="0.2">
      <c r="A6" s="5" t="s">
        <v>31</v>
      </c>
      <c r="B6" s="5">
        <f t="shared" ref="B6:F6" si="1">B3-SUM(B4:B5)</f>
        <v>0</v>
      </c>
      <c r="C6" s="5">
        <f t="shared" si="1"/>
        <v>0</v>
      </c>
      <c r="D6" s="5">
        <f t="shared" si="1"/>
        <v>0</v>
      </c>
      <c r="E6" s="5">
        <f t="shared" si="1"/>
        <v>0</v>
      </c>
      <c r="F6" s="5">
        <f t="shared" si="1"/>
        <v>791</v>
      </c>
      <c r="G6" s="5">
        <f>G3-SUM(G4:G5)</f>
        <v>3035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</vt:lpstr>
      <vt:lpstr>Statement of Operations</vt:lpstr>
      <vt:lpstr>Statement of Cashflow</vt:lpstr>
      <vt:lpstr>Balance Sheet</vt:lpstr>
      <vt:lpstr>CAVA</vt:lpstr>
      <vt:lpstr>Zoes Kitchen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2024-07-01T19:02:46Z</dcterms:created>
  <dcterms:modified xsi:type="dcterms:W3CDTF">2024-07-23T16:19:01Z</dcterms:modified>
</cp:coreProperties>
</file>