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Retail - Restaurants/"/>
    </mc:Choice>
  </mc:AlternateContent>
  <xr:revisionPtr revIDLastSave="0" documentId="8_{5298D832-8FBD-EB4E-830C-C9C3021BF0F4}" xr6:coauthVersionLast="47" xr6:coauthVersionMax="47" xr10:uidLastSave="{00000000-0000-0000-0000-000000000000}"/>
  <bookViews>
    <workbookView xWindow="7680" yWindow="500" windowWidth="28720" windowHeight="16060" xr2:uid="{111DEC47-AA74-464C-902D-A487F91A099A}"/>
  </bookViews>
  <sheets>
    <sheet name="Financial Model " sheetId="3" r:id="rId1"/>
    <sheet name="Valuation " sheetId="6" r:id="rId2"/>
    <sheet name="Funds Flow Statement " sheetId="5" r:id="rId3"/>
    <sheet name="Funds Flow 2.0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3" l="1"/>
  <c r="S61" i="3"/>
  <c r="B214" i="3"/>
  <c r="B213" i="3"/>
  <c r="G49" i="3"/>
  <c r="F49" i="3"/>
  <c r="G42" i="3"/>
  <c r="F42" i="3"/>
  <c r="F44" i="3"/>
  <c r="G44" i="3" s="1"/>
  <c r="F43" i="3"/>
  <c r="G43" i="3" s="1"/>
  <c r="F50" i="3"/>
  <c r="G50" i="3" s="1"/>
  <c r="E110" i="3"/>
  <c r="D110" i="3"/>
  <c r="C110" i="3"/>
  <c r="B110" i="3"/>
  <c r="B126" i="3"/>
  <c r="D126" i="3"/>
  <c r="E126" i="3"/>
  <c r="B86" i="3"/>
  <c r="E86" i="3"/>
  <c r="C86" i="3"/>
  <c r="D86" i="3"/>
  <c r="E80" i="3"/>
  <c r="D80" i="3"/>
  <c r="C80" i="3"/>
  <c r="B80" i="3"/>
  <c r="E5" i="5"/>
  <c r="D9" i="5"/>
  <c r="E9" i="5"/>
  <c r="F9" i="5"/>
  <c r="G9" i="5"/>
  <c r="G11" i="5" s="1"/>
  <c r="D11" i="5"/>
  <c r="D12" i="5" s="1"/>
  <c r="E11" i="5"/>
  <c r="E12" i="5" s="1"/>
  <c r="F11" i="5"/>
  <c r="F12" i="5" s="1"/>
  <c r="D19" i="5"/>
  <c r="E19" i="5"/>
  <c r="F19" i="5"/>
  <c r="G19" i="5"/>
  <c r="B241" i="3"/>
  <c r="B238" i="3"/>
  <c r="B237" i="3"/>
  <c r="B234" i="3"/>
  <c r="B228" i="3"/>
  <c r="B225" i="3"/>
  <c r="B224" i="3"/>
  <c r="B220" i="3"/>
  <c r="B219" i="3"/>
  <c r="B205" i="3"/>
  <c r="B204" i="3"/>
  <c r="E182" i="3"/>
  <c r="D182" i="3"/>
  <c r="C182" i="3"/>
  <c r="B182" i="3"/>
  <c r="E180" i="3"/>
  <c r="D180" i="3"/>
  <c r="C180" i="3"/>
  <c r="B180" i="3"/>
  <c r="E179" i="3"/>
  <c r="B210" i="3" s="1"/>
  <c r="D179" i="3"/>
  <c r="C179" i="3"/>
  <c r="B179" i="3"/>
  <c r="B221" i="3" l="1"/>
  <c r="B226" i="3"/>
  <c r="B229" i="3" s="1"/>
  <c r="B239" i="3"/>
  <c r="B240" i="3" s="1"/>
  <c r="E184" i="3"/>
  <c r="B208" i="3" s="1"/>
  <c r="G12" i="5"/>
  <c r="G20" i="5"/>
  <c r="F20" i="5"/>
  <c r="E20" i="5"/>
  <c r="D20" i="5"/>
  <c r="C184" i="3"/>
  <c r="D184" i="3"/>
  <c r="B227" i="3" l="1"/>
  <c r="B242" i="3"/>
  <c r="E161" i="3" l="1"/>
  <c r="E162" i="3"/>
  <c r="F162" i="3"/>
  <c r="G162" i="3"/>
  <c r="E163" i="3"/>
  <c r="F163" i="3"/>
  <c r="G163" i="3"/>
  <c r="F124" i="3"/>
  <c r="G124" i="3" s="1"/>
  <c r="F123" i="3"/>
  <c r="G123" i="3" s="1"/>
  <c r="F122" i="3"/>
  <c r="G122" i="3" s="1"/>
  <c r="F121" i="3"/>
  <c r="G121" i="3" s="1"/>
  <c r="F120" i="3"/>
  <c r="G120" i="3" s="1"/>
  <c r="F115" i="3"/>
  <c r="G115" i="3" s="1"/>
  <c r="F111" i="3"/>
  <c r="G111" i="3" s="1"/>
  <c r="F109" i="3"/>
  <c r="G109" i="3" s="1"/>
  <c r="F108" i="3"/>
  <c r="G108" i="3" s="1"/>
  <c r="F107" i="3"/>
  <c r="F103" i="3"/>
  <c r="G103" i="3" s="1"/>
  <c r="C138" i="3"/>
  <c r="F102" i="3"/>
  <c r="G102" i="3" s="1"/>
  <c r="F101" i="3"/>
  <c r="G101" i="3" s="1"/>
  <c r="F98" i="3"/>
  <c r="G98" i="3" s="1"/>
  <c r="F97" i="3"/>
  <c r="G97" i="3" s="1"/>
  <c r="E138" i="3"/>
  <c r="D138" i="3"/>
  <c r="F13" i="3"/>
  <c r="G13" i="3" s="1"/>
  <c r="V13" i="3"/>
  <c r="W13" i="3"/>
  <c r="X13" i="3"/>
  <c r="U13" i="3"/>
  <c r="C76" i="3"/>
  <c r="B136" i="3"/>
  <c r="D84" i="3"/>
  <c r="D89" i="3" s="1"/>
  <c r="C84" i="3"/>
  <c r="C89" i="3" s="1"/>
  <c r="B84" i="3"/>
  <c r="B89" i="3" s="1"/>
  <c r="E84" i="3"/>
  <c r="E89" i="3" s="1"/>
  <c r="D46" i="3"/>
  <c r="C46" i="3"/>
  <c r="F32" i="3"/>
  <c r="G32" i="3" s="1"/>
  <c r="E52" i="3"/>
  <c r="D52" i="3"/>
  <c r="C52" i="3"/>
  <c r="E35" i="3"/>
  <c r="D35" i="3"/>
  <c r="C35" i="3"/>
  <c r="E33" i="3"/>
  <c r="D33" i="3"/>
  <c r="C33" i="3"/>
  <c r="E31" i="3"/>
  <c r="D31" i="3"/>
  <c r="C31" i="3"/>
  <c r="D11" i="3"/>
  <c r="E11" i="3"/>
  <c r="F10" i="3" s="1"/>
  <c r="C11" i="3"/>
  <c r="B209" i="3"/>
  <c r="B211" i="3" s="1"/>
  <c r="B181" i="3"/>
  <c r="B152" i="3"/>
  <c r="B153" i="3" s="1"/>
  <c r="F74" i="3"/>
  <c r="C73" i="3"/>
  <c r="B138" i="3"/>
  <c r="E137" i="3"/>
  <c r="D137" i="3"/>
  <c r="C137" i="3"/>
  <c r="B137" i="3"/>
  <c r="E136" i="3"/>
  <c r="D136" i="3"/>
  <c r="C136" i="3"/>
  <c r="H16" i="5"/>
  <c r="I16" i="5" s="1"/>
  <c r="H17" i="5"/>
  <c r="I17" i="5" s="1"/>
  <c r="H10" i="5"/>
  <c r="I10" i="5" s="1"/>
  <c r="H7" i="5"/>
  <c r="I7" i="5" s="1"/>
  <c r="H6" i="5"/>
  <c r="I6" i="5" s="1"/>
  <c r="I5" i="5"/>
  <c r="H5" i="5"/>
  <c r="G107" i="3" l="1"/>
  <c r="G110" i="3" s="1"/>
  <c r="F110" i="3"/>
  <c r="G125" i="3"/>
  <c r="I9" i="5"/>
  <c r="I11" i="5" s="1"/>
  <c r="H9" i="5"/>
  <c r="H11" i="5" s="1"/>
  <c r="H19" i="5"/>
  <c r="I19" i="5"/>
  <c r="I20" i="5" s="1"/>
  <c r="F125" i="3"/>
  <c r="E165" i="3"/>
  <c r="H165" i="3"/>
  <c r="F165" i="3"/>
  <c r="G165" i="3"/>
  <c r="G113" i="3"/>
  <c r="G117" i="3" s="1"/>
  <c r="G126" i="3" s="1"/>
  <c r="F113" i="3"/>
  <c r="F117" i="3" s="1"/>
  <c r="E139" i="3"/>
  <c r="E186" i="3" s="1"/>
  <c r="B139" i="3"/>
  <c r="B186" i="3" s="1"/>
  <c r="B187" i="3" s="1"/>
  <c r="D181" i="3"/>
  <c r="C181" i="3"/>
  <c r="E181" i="3"/>
  <c r="G74" i="3"/>
  <c r="D139" i="3"/>
  <c r="D186" i="3" s="1"/>
  <c r="C139" i="3"/>
  <c r="C186" i="3" s="1"/>
  <c r="F126" i="3" l="1"/>
  <c r="H20" i="5"/>
  <c r="C187" i="3"/>
  <c r="D187" i="3"/>
  <c r="E187" i="3"/>
  <c r="E66" i="3" l="1"/>
  <c r="D66" i="3"/>
  <c r="C66" i="3"/>
  <c r="B66" i="3"/>
  <c r="E65" i="3"/>
  <c r="D65" i="3"/>
  <c r="C65" i="3"/>
  <c r="B65" i="3"/>
  <c r="E64" i="3"/>
  <c r="D64" i="3"/>
  <c r="C64" i="3"/>
  <c r="B67" i="3"/>
  <c r="C67" i="3"/>
  <c r="D67" i="3"/>
  <c r="E67" i="3"/>
  <c r="B68" i="3"/>
  <c r="C68" i="3"/>
  <c r="D68" i="3"/>
  <c r="E68" i="3"/>
  <c r="B69" i="3"/>
  <c r="C69" i="3"/>
  <c r="D69" i="3"/>
  <c r="E69" i="3"/>
  <c r="B64" i="3"/>
  <c r="F138" i="3" l="1"/>
  <c r="F137" i="3"/>
  <c r="G137" i="3" l="1"/>
  <c r="G13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V57" i="3"/>
  <c r="W57" i="3" s="1"/>
  <c r="X57" i="3" s="1"/>
  <c r="V16" i="3"/>
  <c r="Z12" i="3"/>
  <c r="X12" i="3"/>
  <c r="X30" i="3" s="1"/>
  <c r="W12" i="3"/>
  <c r="W30" i="3" s="1"/>
  <c r="V12" i="3"/>
  <c r="V7" i="3"/>
  <c r="U7" i="3"/>
  <c r="T60" i="3"/>
  <c r="T58" i="3"/>
  <c r="V58" i="3" s="1"/>
  <c r="W58" i="3" s="1"/>
  <c r="X58" i="3" s="1"/>
  <c r="Z58" i="3" s="1"/>
  <c r="T57" i="3"/>
  <c r="T55" i="3"/>
  <c r="V55" i="3" s="1"/>
  <c r="W55" i="3" s="1"/>
  <c r="T54" i="3"/>
  <c r="T50" i="3"/>
  <c r="V50" i="3" s="1"/>
  <c r="W50" i="3" s="1"/>
  <c r="X50" i="3" s="1"/>
  <c r="Z50" i="3" s="1"/>
  <c r="AA50" i="3" s="1"/>
  <c r="T48" i="3"/>
  <c r="V48" i="3" s="1"/>
  <c r="W48" i="3" s="1"/>
  <c r="T47" i="3"/>
  <c r="V47" i="3" s="1"/>
  <c r="W47" i="3" s="1"/>
  <c r="X47" i="3" s="1"/>
  <c r="Z47" i="3" s="1"/>
  <c r="T44" i="3"/>
  <c r="V44" i="3" s="1"/>
  <c r="W44" i="3" s="1"/>
  <c r="T43" i="3"/>
  <c r="V43" i="3" s="1"/>
  <c r="W43" i="3" s="1"/>
  <c r="T42" i="3"/>
  <c r="V42" i="3" s="1"/>
  <c r="W42" i="3" s="1"/>
  <c r="T41" i="3"/>
  <c r="V41" i="3" s="1"/>
  <c r="W41" i="3" s="1"/>
  <c r="X41" i="3" s="1"/>
  <c r="Z41" i="3" s="1"/>
  <c r="T40" i="3"/>
  <c r="V40" i="3" s="1"/>
  <c r="T39" i="3"/>
  <c r="V39" i="3" s="1"/>
  <c r="T38" i="3"/>
  <c r="V38" i="3" s="1"/>
  <c r="W38" i="3" s="1"/>
  <c r="T37" i="3"/>
  <c r="V37" i="3" s="1"/>
  <c r="W37" i="3" s="1"/>
  <c r="X37" i="3" s="1"/>
  <c r="Z37" i="3" s="1"/>
  <c r="S30" i="3"/>
  <c r="R30" i="3"/>
  <c r="R34" i="3" s="1"/>
  <c r="R22" i="3" s="1"/>
  <c r="Q30" i="3"/>
  <c r="Q34" i="3" s="1"/>
  <c r="Q20" i="3" s="1"/>
  <c r="P30" i="3"/>
  <c r="P10" i="3"/>
  <c r="Q6" i="3" s="1"/>
  <c r="Q10" i="3" s="1"/>
  <c r="R6" i="3" s="1"/>
  <c r="R10" i="3" s="1"/>
  <c r="S6" i="3" s="1"/>
  <c r="S10" i="3" s="1"/>
  <c r="U6" i="3" s="1"/>
  <c r="B12" i="3"/>
  <c r="U14" i="3"/>
  <c r="S14" i="3"/>
  <c r="R14" i="3"/>
  <c r="Q14" i="3"/>
  <c r="P14" i="3"/>
  <c r="N10" i="3"/>
  <c r="N14" i="3"/>
  <c r="L14" i="3"/>
  <c r="S32" i="3"/>
  <c r="T32" i="3" s="1"/>
  <c r="K13" i="3"/>
  <c r="K12" i="3"/>
  <c r="K10" i="3"/>
  <c r="U49" i="3"/>
  <c r="U51" i="3" s="1"/>
  <c r="S49" i="3"/>
  <c r="S51" i="3" s="1"/>
  <c r="R49" i="3"/>
  <c r="R51" i="3" s="1"/>
  <c r="R61" i="3" s="1"/>
  <c r="Q49" i="3"/>
  <c r="Q51" i="3" s="1"/>
  <c r="Q61" i="3" s="1"/>
  <c r="P49" i="3"/>
  <c r="P51" i="3" s="1"/>
  <c r="P61" i="3" s="1"/>
  <c r="N49" i="3"/>
  <c r="N51" i="3" s="1"/>
  <c r="M49" i="3"/>
  <c r="M51" i="3" s="1"/>
  <c r="M61" i="3" s="1"/>
  <c r="U45" i="3"/>
  <c r="S45" i="3"/>
  <c r="R45" i="3"/>
  <c r="Q45" i="3"/>
  <c r="P45" i="3"/>
  <c r="N45" i="3"/>
  <c r="M45" i="3"/>
  <c r="U34" i="3"/>
  <c r="U22" i="3" s="1"/>
  <c r="M34" i="3"/>
  <c r="M20" i="3" s="1"/>
  <c r="N34" i="3"/>
  <c r="N21" i="3" s="1"/>
  <c r="L49" i="3"/>
  <c r="L51" i="3" s="1"/>
  <c r="L61" i="3" s="1"/>
  <c r="L45" i="3"/>
  <c r="L34" i="3"/>
  <c r="L25" i="3" s="1"/>
  <c r="M10" i="3"/>
  <c r="M14" i="3"/>
  <c r="L10" i="3"/>
  <c r="K49" i="3"/>
  <c r="K51" i="3" s="1"/>
  <c r="K45" i="3"/>
  <c r="V14" i="3" l="1"/>
  <c r="S34" i="3"/>
  <c r="S22" i="3" s="1"/>
  <c r="Z30" i="3"/>
  <c r="X14" i="3"/>
  <c r="AA12" i="3"/>
  <c r="AA30" i="3" s="1"/>
  <c r="F12" i="3"/>
  <c r="F30" i="3" s="1"/>
  <c r="AC12" i="3"/>
  <c r="AC30" i="3" s="1"/>
  <c r="U10" i="3"/>
  <c r="F58" i="3"/>
  <c r="F179" i="3" s="1"/>
  <c r="W49" i="3"/>
  <c r="W51" i="3" s="1"/>
  <c r="W61" i="3" s="1"/>
  <c r="X55" i="3"/>
  <c r="Z55" i="3" s="1"/>
  <c r="AA55" i="3" s="1"/>
  <c r="AB12" i="3"/>
  <c r="AB30" i="3" s="1"/>
  <c r="V30" i="3"/>
  <c r="G57" i="3"/>
  <c r="F57" i="3"/>
  <c r="G58" i="3"/>
  <c r="V32" i="3"/>
  <c r="Z57" i="3"/>
  <c r="AA57" i="3" s="1"/>
  <c r="V6" i="3"/>
  <c r="V10" i="3" s="1"/>
  <c r="X7" i="3"/>
  <c r="V49" i="3"/>
  <c r="V51" i="3" s="1"/>
  <c r="T61" i="3"/>
  <c r="U23" i="3"/>
  <c r="W7" i="3"/>
  <c r="U25" i="3"/>
  <c r="AA58" i="3"/>
  <c r="AB50" i="3"/>
  <c r="AC50" i="3" s="1"/>
  <c r="X48" i="3"/>
  <c r="Z48" i="3" s="1"/>
  <c r="AA47" i="3"/>
  <c r="X44" i="3"/>
  <c r="Z44" i="3" s="1"/>
  <c r="X43" i="3"/>
  <c r="Z43" i="3" s="1"/>
  <c r="W39" i="3"/>
  <c r="X39" i="3" s="1"/>
  <c r="X38" i="3"/>
  <c r="T30" i="3"/>
  <c r="U24" i="3"/>
  <c r="W40" i="3"/>
  <c r="R25" i="3"/>
  <c r="P34" i="3"/>
  <c r="P20" i="3" s="1"/>
  <c r="V45" i="3"/>
  <c r="W16" i="3"/>
  <c r="X16" i="3" s="1"/>
  <c r="L19" i="3"/>
  <c r="L20" i="3"/>
  <c r="M24" i="3"/>
  <c r="T45" i="3"/>
  <c r="X42" i="3"/>
  <c r="Z42" i="3" s="1"/>
  <c r="AA41" i="3"/>
  <c r="AA37" i="3"/>
  <c r="U61" i="3"/>
  <c r="T49" i="3"/>
  <c r="N24" i="3"/>
  <c r="M25" i="3"/>
  <c r="N25" i="3"/>
  <c r="U21" i="3"/>
  <c r="Q25" i="3"/>
  <c r="T51" i="3"/>
  <c r="L21" i="3"/>
  <c r="M23" i="3"/>
  <c r="N23" i="3"/>
  <c r="Q23" i="3"/>
  <c r="R23" i="3"/>
  <c r="Q24" i="3"/>
  <c r="R24" i="3"/>
  <c r="S25" i="3"/>
  <c r="N22" i="3"/>
  <c r="N20" i="3"/>
  <c r="N19" i="3"/>
  <c r="S20" i="3"/>
  <c r="R21" i="3"/>
  <c r="R19" i="3"/>
  <c r="R20" i="3"/>
  <c r="Q21" i="3"/>
  <c r="Q19" i="3"/>
  <c r="Q22" i="3"/>
  <c r="M19" i="3"/>
  <c r="M22" i="3"/>
  <c r="M21" i="3"/>
  <c r="U20" i="3"/>
  <c r="S19" i="3"/>
  <c r="U19" i="3"/>
  <c r="L22" i="3"/>
  <c r="L23" i="3"/>
  <c r="L24" i="3"/>
  <c r="K34" i="3"/>
  <c r="K14" i="3" s="1"/>
  <c r="F47" i="3"/>
  <c r="F48" i="3"/>
  <c r="G48" i="3" s="1"/>
  <c r="G179" i="3" l="1"/>
  <c r="B172" i="3"/>
  <c r="B197" i="3"/>
  <c r="F161" i="3"/>
  <c r="F182" i="3"/>
  <c r="F184" i="3" s="1"/>
  <c r="S24" i="3"/>
  <c r="G55" i="3"/>
  <c r="S23" i="3"/>
  <c r="S21" i="3"/>
  <c r="W14" i="3"/>
  <c r="X32" i="3"/>
  <c r="X34" i="3" s="1"/>
  <c r="X20" i="3" s="1"/>
  <c r="B212" i="3"/>
  <c r="I12" i="5"/>
  <c r="H12" i="5"/>
  <c r="W32" i="3"/>
  <c r="W34" i="3" s="1"/>
  <c r="W25" i="3" s="1"/>
  <c r="Z13" i="3"/>
  <c r="Z32" i="3" s="1"/>
  <c r="Z34" i="3" s="1"/>
  <c r="V34" i="3"/>
  <c r="V20" i="3" s="1"/>
  <c r="G12" i="3"/>
  <c r="W54" i="3"/>
  <c r="P25" i="3"/>
  <c r="P22" i="3"/>
  <c r="P24" i="3"/>
  <c r="F55" i="3"/>
  <c r="P21" i="3"/>
  <c r="P19" i="3"/>
  <c r="P23" i="3"/>
  <c r="G47" i="3"/>
  <c r="F133" i="3"/>
  <c r="F158" i="3" s="1"/>
  <c r="F27" i="3"/>
  <c r="Z7" i="3"/>
  <c r="AB7" i="3" s="1"/>
  <c r="G132" i="3"/>
  <c r="G157" i="3" s="1"/>
  <c r="F132" i="3"/>
  <c r="F157" i="3" s="1"/>
  <c r="AB55" i="3"/>
  <c r="AC55" i="3" s="1"/>
  <c r="AA7" i="3"/>
  <c r="V61" i="3"/>
  <c r="V54" i="3"/>
  <c r="W6" i="3"/>
  <c r="W10" i="3" s="1"/>
  <c r="X49" i="3"/>
  <c r="X51" i="3" s="1"/>
  <c r="AB58" i="3"/>
  <c r="AC58" i="3" s="1"/>
  <c r="AB57" i="3"/>
  <c r="Z49" i="3"/>
  <c r="Z51" i="3" s="1"/>
  <c r="Z61" i="3" s="1"/>
  <c r="AA48" i="3"/>
  <c r="AA49" i="3" s="1"/>
  <c r="AA51" i="3" s="1"/>
  <c r="AA61" i="3" s="1"/>
  <c r="AB47" i="3"/>
  <c r="AA44" i="3"/>
  <c r="AB44" i="3" s="1"/>
  <c r="AA43" i="3"/>
  <c r="AB43" i="3" s="1"/>
  <c r="W45" i="3"/>
  <c r="Z38" i="3"/>
  <c r="Z39" i="3"/>
  <c r="T34" i="3"/>
  <c r="X40" i="3"/>
  <c r="Z16" i="3"/>
  <c r="AA42" i="3"/>
  <c r="AB42" i="3" s="1"/>
  <c r="AB41" i="3"/>
  <c r="AC41" i="3" s="1"/>
  <c r="AB37" i="3"/>
  <c r="K22" i="3"/>
  <c r="K24" i="3"/>
  <c r="K20" i="3"/>
  <c r="K25" i="3"/>
  <c r="K21" i="3"/>
  <c r="K23" i="3"/>
  <c r="K19" i="3"/>
  <c r="F51" i="3"/>
  <c r="E45" i="3"/>
  <c r="E46" i="3" s="1"/>
  <c r="G19" i="3"/>
  <c r="F22" i="3"/>
  <c r="G20" i="3"/>
  <c r="F20" i="3"/>
  <c r="F19" i="3"/>
  <c r="F6" i="3"/>
  <c r="C133" i="3"/>
  <c r="D133" i="3"/>
  <c r="E133" i="3"/>
  <c r="E158" i="3" s="1"/>
  <c r="B133" i="3"/>
  <c r="C132" i="3"/>
  <c r="D132" i="3"/>
  <c r="E132" i="3"/>
  <c r="E157" i="3" s="1"/>
  <c r="B132" i="3"/>
  <c r="B134" i="3" s="1"/>
  <c r="C6" i="3"/>
  <c r="D13" i="3"/>
  <c r="C13" i="3"/>
  <c r="B13" i="3"/>
  <c r="E12" i="3"/>
  <c r="D12" i="3"/>
  <c r="C12" i="3"/>
  <c r="D6" i="3"/>
  <c r="E6" i="3" s="1"/>
  <c r="F159" i="3" l="1"/>
  <c r="G161" i="3"/>
  <c r="G182" i="3"/>
  <c r="E159" i="3"/>
  <c r="B206" i="3"/>
  <c r="X23" i="3"/>
  <c r="V23" i="3"/>
  <c r="X21" i="3"/>
  <c r="X19" i="3"/>
  <c r="AA13" i="3"/>
  <c r="AA14" i="3" s="1"/>
  <c r="X25" i="3"/>
  <c r="X24" i="3"/>
  <c r="F52" i="3"/>
  <c r="F73" i="3"/>
  <c r="V19" i="3"/>
  <c r="V25" i="3"/>
  <c r="Z14" i="3"/>
  <c r="G6" i="3"/>
  <c r="F11" i="3"/>
  <c r="G10" i="3" s="1"/>
  <c r="Z23" i="3"/>
  <c r="Z19" i="3"/>
  <c r="Z24" i="3"/>
  <c r="W19" i="3"/>
  <c r="W23" i="3"/>
  <c r="W22" i="3"/>
  <c r="W21" i="3"/>
  <c r="W24" i="3"/>
  <c r="W20" i="3"/>
  <c r="Z25" i="3"/>
  <c r="D134" i="3"/>
  <c r="D142" i="3" s="1"/>
  <c r="D185" i="3" s="1"/>
  <c r="E134" i="3"/>
  <c r="C134" i="3"/>
  <c r="C142" i="3" s="1"/>
  <c r="C185" i="3" s="1"/>
  <c r="B142" i="3"/>
  <c r="B185" i="3" s="1"/>
  <c r="V24" i="3"/>
  <c r="V21" i="3"/>
  <c r="V22" i="3"/>
  <c r="F134" i="3"/>
  <c r="F160" i="3" s="1"/>
  <c r="F164" i="3" s="1"/>
  <c r="F166" i="3" s="1"/>
  <c r="X6" i="3"/>
  <c r="X10" i="3" s="1"/>
  <c r="G133" i="3"/>
  <c r="G158" i="3" s="1"/>
  <c r="G159" i="3" s="1"/>
  <c r="G27" i="3"/>
  <c r="G51" i="3"/>
  <c r="AC7" i="3"/>
  <c r="Z54" i="3"/>
  <c r="X61" i="3"/>
  <c r="X54" i="3"/>
  <c r="F54" i="3" s="1"/>
  <c r="AA54" i="3"/>
  <c r="AC57" i="3"/>
  <c r="AB48" i="3"/>
  <c r="AB49" i="3" s="1"/>
  <c r="AB51" i="3" s="1"/>
  <c r="AB61" i="3" s="1"/>
  <c r="AC47" i="3"/>
  <c r="AC44" i="3"/>
  <c r="AC43" i="3"/>
  <c r="X22" i="3"/>
  <c r="Z40" i="3"/>
  <c r="Z45" i="3" s="1"/>
  <c r="Z21" i="3"/>
  <c r="AA39" i="3"/>
  <c r="AA16" i="3"/>
  <c r="AB16" i="3" s="1"/>
  <c r="AA38" i="3"/>
  <c r="Z20" i="3"/>
  <c r="X45" i="3"/>
  <c r="AC42" i="3"/>
  <c r="AC37" i="3"/>
  <c r="G30" i="3"/>
  <c r="F14" i="3"/>
  <c r="F34" i="3" s="1"/>
  <c r="E14" i="3"/>
  <c r="B14" i="3"/>
  <c r="D14" i="3"/>
  <c r="C14" i="3"/>
  <c r="F77" i="3" l="1"/>
  <c r="F80" i="3" s="1"/>
  <c r="F89" i="3" s="1"/>
  <c r="B192" i="3"/>
  <c r="B194" i="3" s="1"/>
  <c r="G184" i="3"/>
  <c r="E142" i="3"/>
  <c r="E185" i="3" s="1"/>
  <c r="E160" i="3"/>
  <c r="E164" i="3" s="1"/>
  <c r="AB13" i="3"/>
  <c r="AB32" i="3" s="1"/>
  <c r="AB34" i="3" s="1"/>
  <c r="AA32" i="3"/>
  <c r="AA34" i="3" s="1"/>
  <c r="AA24" i="3" s="1"/>
  <c r="G73" i="3"/>
  <c r="G77" i="3" s="1"/>
  <c r="G80" i="3" s="1"/>
  <c r="G89" i="3" s="1"/>
  <c r="G128" i="3" s="1"/>
  <c r="G11" i="3"/>
  <c r="F183" i="3"/>
  <c r="F68" i="3"/>
  <c r="F33" i="3"/>
  <c r="F67" i="3"/>
  <c r="F31" i="3"/>
  <c r="G67" i="3"/>
  <c r="G31" i="3"/>
  <c r="B195" i="3"/>
  <c r="F65" i="3"/>
  <c r="F66" i="3"/>
  <c r="F69" i="3"/>
  <c r="G134" i="3"/>
  <c r="G160" i="3" s="1"/>
  <c r="G164" i="3" s="1"/>
  <c r="Z6" i="3"/>
  <c r="AA6" i="3" s="1"/>
  <c r="AA10" i="3" s="1"/>
  <c r="G54" i="3"/>
  <c r="AB54" i="3"/>
  <c r="F25" i="3"/>
  <c r="F26" i="3"/>
  <c r="F24" i="3"/>
  <c r="AC16" i="3"/>
  <c r="AC48" i="3"/>
  <c r="AC49" i="3" s="1"/>
  <c r="AC51" i="3" s="1"/>
  <c r="AC61" i="3" s="1"/>
  <c r="Z22" i="3"/>
  <c r="AA40" i="3"/>
  <c r="AB40" i="3" s="1"/>
  <c r="AB38" i="3"/>
  <c r="AC38" i="3" s="1"/>
  <c r="AB39" i="3"/>
  <c r="AC39" i="3" s="1"/>
  <c r="F40" i="3"/>
  <c r="F37" i="3"/>
  <c r="F38" i="3"/>
  <c r="F39" i="3"/>
  <c r="F41" i="3"/>
  <c r="B207" i="3" l="1"/>
  <c r="AB14" i="3"/>
  <c r="AA19" i="3"/>
  <c r="AA25" i="3"/>
  <c r="AC13" i="3"/>
  <c r="AC32" i="3" s="1"/>
  <c r="AC34" i="3" s="1"/>
  <c r="AA21" i="3"/>
  <c r="AA20" i="3"/>
  <c r="H164" i="3"/>
  <c r="H166" i="3" s="1"/>
  <c r="G166" i="3"/>
  <c r="B196" i="3"/>
  <c r="B198" i="3" s="1"/>
  <c r="AA23" i="3"/>
  <c r="C183" i="3"/>
  <c r="C188" i="3"/>
  <c r="D183" i="3"/>
  <c r="D188" i="3"/>
  <c r="E183" i="3"/>
  <c r="E188" i="3"/>
  <c r="B183" i="3"/>
  <c r="B188" i="3"/>
  <c r="AB6" i="3"/>
  <c r="AB10" i="3" s="1"/>
  <c r="Z10" i="3"/>
  <c r="G14" i="3"/>
  <c r="G34" i="3" s="1"/>
  <c r="G66" i="3" s="1"/>
  <c r="F64" i="3"/>
  <c r="AB22" i="3"/>
  <c r="AB21" i="3"/>
  <c r="AC54" i="3"/>
  <c r="AA22" i="3"/>
  <c r="AC40" i="3"/>
  <c r="AC45" i="3" s="1"/>
  <c r="AB20" i="3"/>
  <c r="AB45" i="3"/>
  <c r="AB25" i="3"/>
  <c r="AB24" i="3"/>
  <c r="AB19" i="3"/>
  <c r="AB23" i="3"/>
  <c r="AA45" i="3"/>
  <c r="F45" i="3"/>
  <c r="F46" i="3" s="1"/>
  <c r="B166" i="3" l="1"/>
  <c r="B169" i="3" s="1"/>
  <c r="AC14" i="3"/>
  <c r="AC6" i="3"/>
  <c r="AC10" i="3" s="1"/>
  <c r="G39" i="3"/>
  <c r="G35" i="3"/>
  <c r="G68" i="3"/>
  <c r="G33" i="3"/>
  <c r="G26" i="3"/>
  <c r="G183" i="3"/>
  <c r="G40" i="3"/>
  <c r="G37" i="3"/>
  <c r="G38" i="3"/>
  <c r="G65" i="3"/>
  <c r="G41" i="3"/>
  <c r="G25" i="3"/>
  <c r="G24" i="3"/>
  <c r="G69" i="3"/>
  <c r="AC25" i="3"/>
  <c r="AC23" i="3"/>
  <c r="AC24" i="3"/>
  <c r="AC19" i="3"/>
  <c r="AC22" i="3"/>
  <c r="AC20" i="3"/>
  <c r="AC21" i="3"/>
  <c r="G64" i="3" l="1"/>
  <c r="G45" i="3"/>
  <c r="G46" i="3" s="1"/>
  <c r="F88" i="3"/>
  <c r="C88" i="3"/>
  <c r="C128" i="3" s="1"/>
  <c r="E88" i="3"/>
  <c r="D88" i="3"/>
  <c r="D128" i="3" s="1"/>
  <c r="G88" i="3"/>
  <c r="B88" i="3"/>
  <c r="B128" i="3" s="1"/>
  <c r="F128" i="3" l="1"/>
  <c r="F91" i="3"/>
  <c r="E91" i="3"/>
  <c r="E128" i="3"/>
  <c r="D91" i="3"/>
  <c r="C91" i="3"/>
  <c r="F96" i="3"/>
  <c r="F180" i="3" s="1"/>
  <c r="F181" i="3" s="1"/>
  <c r="F188" i="3" s="1"/>
  <c r="G91" i="3" l="1"/>
  <c r="F100" i="3"/>
  <c r="F104" i="3" s="1"/>
  <c r="G96" i="3"/>
  <c r="F136" i="3" l="1"/>
  <c r="F139" i="3" s="1"/>
  <c r="F186" i="3" s="1"/>
  <c r="F187" i="3" s="1"/>
  <c r="B170" i="3"/>
  <c r="B171" i="3" s="1"/>
  <c r="B173" i="3" s="1"/>
  <c r="G180" i="3"/>
  <c r="G181" i="3" s="1"/>
  <c r="G188" i="3" s="1"/>
  <c r="G100" i="3"/>
  <c r="F142" i="3" l="1"/>
  <c r="F185" i="3" s="1"/>
  <c r="G104" i="3"/>
  <c r="G136" i="3"/>
  <c r="G139" i="3" s="1"/>
  <c r="G142" i="3" l="1"/>
  <c r="G185" i="3" s="1"/>
  <c r="G186" i="3"/>
  <c r="G18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tc={C496D169-B13B-C744-B019-8C3C7511EA3F}</author>
    <author>tc={1FF6A2AC-DC3D-F74F-81B6-ED03941705EB}</author>
    <author>tc={C4A5012F-D014-1143-A92F-39F4097A46C9}</author>
    <author>tc={606807A6-69B5-384F-9683-08C44B100367}</author>
    <author>tc={FFC3BF23-66EE-394C-A1C6-0B533CE6A5D6}</author>
  </authors>
  <commentList>
    <comment ref="N5" authorId="0" shapeId="0" xr:uid="{C496D169-B13B-C744-B019-8C3C7511EA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following year’s first quarter! </t>
      </text>
    </comment>
    <comment ref="A84" authorId="1" shapeId="0" xr:uid="{1FF6A2AC-DC3D-F74F-81B6-ED03941705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Purchases of investments + maturities of investments </t>
      </text>
    </comment>
    <comment ref="B173" authorId="2" shapeId="0" xr:uid="{C4A5012F-D014-1143-A92F-39F4097A46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DCF </t>
      </text>
    </comment>
    <comment ref="A178" authorId="3" shapeId="0" xr:uid="{606807A6-69B5-384F-9683-08C44B10036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WRONG </t>
      </text>
    </comment>
    <comment ref="B198" authorId="4" shapeId="0" xr:uid="{FFC3BF23-66EE-394C-A1C6-0B533CE6A5D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EBITD multiple 
</t>
      </text>
    </comment>
  </commentList>
</comments>
</file>

<file path=xl/sharedStrings.xml><?xml version="1.0" encoding="utf-8"?>
<sst xmlns="http://schemas.openxmlformats.org/spreadsheetml/2006/main" count="294" uniqueCount="186">
  <si>
    <t>Income Statement</t>
  </si>
  <si>
    <t>Balance Sheet</t>
  </si>
  <si>
    <t>Funds Flow Statement</t>
  </si>
  <si>
    <t>F 2024</t>
  </si>
  <si>
    <t>Assets</t>
  </si>
  <si>
    <t>Total current assets</t>
  </si>
  <si>
    <t>Cash and cash equivalents</t>
  </si>
  <si>
    <t>Accounts receivable, net</t>
  </si>
  <si>
    <t>Other assets</t>
  </si>
  <si>
    <t>Total assets</t>
  </si>
  <si>
    <t>Current liabilities:</t>
  </si>
  <si>
    <t>Total current liabilities</t>
  </si>
  <si>
    <t>Total liabilities</t>
  </si>
  <si>
    <t>Additional paid-in capital</t>
  </si>
  <si>
    <t>Total revenue</t>
  </si>
  <si>
    <t>Total operating expenses</t>
  </si>
  <si>
    <t>Accounts payable</t>
  </si>
  <si>
    <t>Other liabilities</t>
  </si>
  <si>
    <t>Margins</t>
  </si>
  <si>
    <t>Operating Margin</t>
  </si>
  <si>
    <t>Gross Margin</t>
  </si>
  <si>
    <t>Net Income Margin</t>
  </si>
  <si>
    <t>User Metrics</t>
  </si>
  <si>
    <t>-</t>
  </si>
  <si>
    <t>F 2025</t>
  </si>
  <si>
    <t>Current assets:</t>
  </si>
  <si>
    <t>Inventory</t>
  </si>
  <si>
    <t>Leasehold improvements, property and equipment, net</t>
  </si>
  <si>
    <t>Operating lease assets</t>
  </si>
  <si>
    <t>Liabilities and shareholders' equity</t>
  </si>
  <si>
    <t>Accrued liabilities</t>
  </si>
  <si>
    <t>Unearned revenue</t>
  </si>
  <si>
    <t>Current operating lease liabilities</t>
  </si>
  <si>
    <t>Commitments and contingencies (Note 12)</t>
  </si>
  <si>
    <t>Long-term operating lease liabilities</t>
  </si>
  <si>
    <t>Shareholders' equity:</t>
  </si>
  <si>
    <t>Preferred stock, $ 0.01  par value,  600,000  shares authorized,  no  shares issued as of December 31, 2020 and 2019, respectively</t>
  </si>
  <si>
    <t>Common stock, $ 0.01  par value,  230,000  shares authorized,  36,704  and  36,323  shares issued as of December 31, 2020 and 2019, respectively</t>
  </si>
  <si>
    <t>Treasury stock, at cost,  8,703  and  8,568  common shares as of December 31, 2020 and 2019, respectively</t>
  </si>
  <si>
    <t>Accumulated other comprehensive loss</t>
  </si>
  <si>
    <t>Retained earnings</t>
  </si>
  <si>
    <t>Total shareholders' equity</t>
  </si>
  <si>
    <t>Total liabilities and shareholders' equity</t>
  </si>
  <si>
    <t>Net income</t>
  </si>
  <si>
    <t>Depreciation and amortization</t>
  </si>
  <si>
    <t>Food and beverage revenue</t>
  </si>
  <si>
    <t>Delivery service revenue</t>
  </si>
  <si>
    <t>Food, beverage and packaging costs</t>
  </si>
  <si>
    <t>Labor costs</t>
  </si>
  <si>
    <t>Occupancy costs</t>
  </si>
  <si>
    <t>Other operating costs</t>
  </si>
  <si>
    <t>General and administrative expenses</t>
  </si>
  <si>
    <t>Pre-opening costs</t>
  </si>
  <si>
    <t>Impairment, closure costs and asset disposals</t>
  </si>
  <si>
    <t>Income from operations</t>
  </si>
  <si>
    <t>Interest and other income, net</t>
  </si>
  <si>
    <t>Income before income taxes</t>
  </si>
  <si>
    <t>Benefit/(provision) for income taxes</t>
  </si>
  <si>
    <t>Earnings per share:</t>
  </si>
  <si>
    <t>Basic</t>
  </si>
  <si>
    <t>Diluted</t>
  </si>
  <si>
    <t>Weighted average common shares: outstanding</t>
  </si>
  <si>
    <t>Restaurant operating costs (exclusive of depreciation and amortization shown separately below):</t>
  </si>
  <si>
    <t>Beginning of period</t>
  </si>
  <si>
    <t>Chipotle Openings</t>
  </si>
  <si>
    <t>Chipotle permanant closures</t>
  </si>
  <si>
    <t>Chipotle relocations</t>
  </si>
  <si>
    <t>Total restaurants at end of period</t>
  </si>
  <si>
    <t>Revenue</t>
  </si>
  <si>
    <t>Costs</t>
  </si>
  <si>
    <t>Food and beverage cost margin</t>
  </si>
  <si>
    <t>Labor cost margin</t>
  </si>
  <si>
    <t>Occupancy cost margin</t>
  </si>
  <si>
    <t>Other operating cost margin</t>
  </si>
  <si>
    <t>General and Administrative cost margin</t>
  </si>
  <si>
    <t>Other comprehensive income (loss), net of income taxes:</t>
  </si>
  <si>
    <t>Foreign currency translation adjustments</t>
  </si>
  <si>
    <t>Comprehensive income</t>
  </si>
  <si>
    <t>Food and beverage revenue per store</t>
  </si>
  <si>
    <t>Delivery service revenue per store</t>
  </si>
  <si>
    <t>Total revenue per store</t>
  </si>
  <si>
    <t>Net change in cash</t>
  </si>
  <si>
    <t>Operating Income</t>
  </si>
  <si>
    <t xml:space="preserve">ROIC </t>
  </si>
  <si>
    <t>Income Taxes</t>
  </si>
  <si>
    <t>NOPAT</t>
  </si>
  <si>
    <t>NWC</t>
  </si>
  <si>
    <t xml:space="preserve">Chipotle </t>
  </si>
  <si>
    <t xml:space="preserve">12% change year/year according to 10K </t>
  </si>
  <si>
    <t xml:space="preserve">assumed growth </t>
  </si>
  <si>
    <t xml:space="preserve">Q1 </t>
  </si>
  <si>
    <t xml:space="preserve">Q2 </t>
  </si>
  <si>
    <t xml:space="preserve">Q3 </t>
  </si>
  <si>
    <t xml:space="preserve">Q4 </t>
  </si>
  <si>
    <t>Q1</t>
  </si>
  <si>
    <t>Q2</t>
  </si>
  <si>
    <t>Q3</t>
  </si>
  <si>
    <t>Q4</t>
  </si>
  <si>
    <t>Depreciation and Amortization</t>
  </si>
  <si>
    <t xml:space="preserve">Impairment, Closure Costs, and asset disposals </t>
  </si>
  <si>
    <t xml:space="preserve">Provision for Income Taxes </t>
  </si>
  <si>
    <t>Average restaurant sales</t>
  </si>
  <si>
    <t xml:space="preserve">Comparable Restaurant Sales Increase </t>
  </si>
  <si>
    <t xml:space="preserve">Effective Income Tax Rate </t>
  </si>
  <si>
    <t xml:space="preserve">Averages </t>
  </si>
  <si>
    <t xml:space="preserve">14.6% change year/year according to 10K (5% change estimated) </t>
  </si>
  <si>
    <t>DCF</t>
  </si>
  <si>
    <t>EBIT</t>
  </si>
  <si>
    <t>Tax rate</t>
  </si>
  <si>
    <t>Taxes</t>
  </si>
  <si>
    <t>Depreciation and amort</t>
  </si>
  <si>
    <t>Capital spending</t>
  </si>
  <si>
    <t>Change-net working capital</t>
  </si>
  <si>
    <t>Free cash flow</t>
  </si>
  <si>
    <t>Cost of capital</t>
  </si>
  <si>
    <t>NPV</t>
  </si>
  <si>
    <t>Assumed long term growth rate</t>
  </si>
  <si>
    <t>Net debt</t>
  </si>
  <si>
    <t>Equity Capitalization</t>
  </si>
  <si>
    <t>Shares outstanding</t>
  </si>
  <si>
    <t>Estimated stock price</t>
  </si>
  <si>
    <t>Current stock price</t>
  </si>
  <si>
    <t>Stock price</t>
  </si>
  <si>
    <t>Equity capitalization</t>
  </si>
  <si>
    <t>Total market value</t>
  </si>
  <si>
    <t>EBITD</t>
  </si>
  <si>
    <t>EBITD margin</t>
  </si>
  <si>
    <t>EBITD growth</t>
  </si>
  <si>
    <t>ROIC</t>
  </si>
  <si>
    <t>Invested capital</t>
  </si>
  <si>
    <t>TMV/invested capital</t>
  </si>
  <si>
    <t>TMV/EBITD</t>
  </si>
  <si>
    <t>Valuation</t>
  </si>
  <si>
    <t>EBITD multiple</t>
  </si>
  <si>
    <t>Net debt-2025</t>
  </si>
  <si>
    <t>Share price</t>
  </si>
  <si>
    <t>12 month trailing valuation</t>
  </si>
  <si>
    <t>Revenues</t>
  </si>
  <si>
    <t>Growth rate</t>
  </si>
  <si>
    <t>Market capitalization</t>
  </si>
  <si>
    <t>TMV/Invested capital</t>
  </si>
  <si>
    <t>Beta</t>
  </si>
  <si>
    <t>CAPM</t>
  </si>
  <si>
    <t>Risk Free Rate</t>
  </si>
  <si>
    <t xml:space="preserve">Market Risk Premium </t>
  </si>
  <si>
    <t>Cost of Equity</t>
  </si>
  <si>
    <t xml:space="preserve">Total </t>
  </si>
  <si>
    <t>10 year treasury</t>
  </si>
  <si>
    <t xml:space="preserve">Online </t>
  </si>
  <si>
    <t xml:space="preserve">Funds Flow </t>
  </si>
  <si>
    <t xml:space="preserve">Net Income </t>
  </si>
  <si>
    <t xml:space="preserve">Other </t>
  </si>
  <si>
    <t xml:space="preserve">Capital Spending </t>
  </si>
  <si>
    <t xml:space="preserve">Excess Cash Flow </t>
  </si>
  <si>
    <t xml:space="preserve">Acquisitions, net </t>
  </si>
  <si>
    <t xml:space="preserve">Dividends </t>
  </si>
  <si>
    <t xml:space="preserve">Change in Cash </t>
  </si>
  <si>
    <t xml:space="preserve">Dep and Amort. </t>
  </si>
  <si>
    <t xml:space="preserve">Changes in Working Capital </t>
  </si>
  <si>
    <t xml:space="preserve">Excess Cash Flow/Share </t>
  </si>
  <si>
    <t>Purchase of treasury shares</t>
  </si>
  <si>
    <t xml:space="preserve">other </t>
  </si>
  <si>
    <t xml:space="preserve">addition/reduction in debt </t>
  </si>
  <si>
    <t xml:space="preserve">PP&amp;E </t>
  </si>
  <si>
    <t xml:space="preserve">Other Assets </t>
  </si>
  <si>
    <t xml:space="preserve">Invested Capital </t>
  </si>
  <si>
    <t xml:space="preserve">NPV </t>
  </si>
  <si>
    <t xml:space="preserve">Year ended September 3 (** In thousands**) </t>
  </si>
  <si>
    <t>2025E EBITD</t>
  </si>
  <si>
    <t xml:space="preserve">2023 (December Year End) </t>
  </si>
  <si>
    <t xml:space="preserve">Valuation </t>
  </si>
  <si>
    <t>Chipotle 5% growth assumptionm</t>
  </si>
  <si>
    <t xml:space="preserve">Cost of Capital </t>
  </si>
  <si>
    <t xml:space="preserve">Target Price </t>
  </si>
  <si>
    <t>McDonalds (In thousands)</t>
  </si>
  <si>
    <t xml:space="preserve">El Polo Loco Holdings (in thousands) </t>
  </si>
  <si>
    <t xml:space="preserve">Marketable securities </t>
  </si>
  <si>
    <t xml:space="preserve">Funds Flow 2.0 </t>
  </si>
  <si>
    <t xml:space="preserve">Net Cash provided by operating activities </t>
  </si>
  <si>
    <t xml:space="preserve">Excess Cash Flow from Operations </t>
  </si>
  <si>
    <t xml:space="preserve">Investing Activities </t>
  </si>
  <si>
    <t xml:space="preserve">Change in marketable securities </t>
  </si>
  <si>
    <t xml:space="preserve">Debt, net </t>
  </si>
  <si>
    <t xml:space="preserve">Dividends,net </t>
  </si>
  <si>
    <t xml:space="preserve">share repurchases, net </t>
  </si>
  <si>
    <t xml:space="preserve">Net Change in Cash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</si>
</sst>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&quot;$&quot;* #,##0.00_);_(&quot;$&quot;* \(#,##0.00\);_(&quot;$&quot;* &quot;-&quot;??_);_(@_)"/>
    <numFmt numFmtId="168" formatCode="_(* #,##0_);_(* \(#,##0\);_(* &quot;-&quot;??_);_(@_)"/>
    <numFmt numFmtId="169" formatCode="0.0%"/>
    <numFmt numFmtId="178" formatCode="_(* #,##0.0_);_(* \(#,##0.0\);_(* &quot;-&quot;??_);_(@_)"/>
    <numFmt numFmtId="181" formatCode="_([$$-409]* #,##0_);_([$$-409]* \(#,##0\);_([$$-409]* &quot;-&quot;_);_(@_)"/>
    <numFmt numFmtId="183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1"/>
      <name val="Bookman Old Style"/>
      <family val="1"/>
    </font>
    <font>
      <sz val="12"/>
      <color theme="1"/>
      <name val="Bookman Old Style"/>
      <family val="1"/>
    </font>
    <font>
      <sz val="11"/>
      <color rgb="FFFF0000"/>
      <name val="Calibri"/>
      <family val="2"/>
      <scheme val="minor"/>
    </font>
    <font>
      <sz val="12"/>
      <name val="Bookman Old Style"/>
      <family val="1"/>
    </font>
    <font>
      <sz val="11"/>
      <color rgb="FF000000"/>
      <name val="Calibri"/>
      <family val="2"/>
      <scheme val="minor"/>
    </font>
    <font>
      <b/>
      <sz val="12"/>
      <color rgb="FFFF000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</cellStyleXfs>
  <cellXfs count="94">
    <xf numFmtId="0" fontId="0" fillId="0" borderId="0" xfId="0"/>
    <xf numFmtId="0" fontId="0" fillId="2" borderId="0" xfId="0" applyFill="1"/>
    <xf numFmtId="10" fontId="0" fillId="0" borderId="0" xfId="1" applyNumberFormat="1" applyFont="1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43" fontId="0" fillId="0" borderId="0" xfId="2" applyFont="1"/>
    <xf numFmtId="43" fontId="0" fillId="2" borderId="0" xfId="2" applyFont="1" applyFill="1"/>
    <xf numFmtId="3" fontId="0" fillId="0" borderId="0" xfId="0" applyNumberFormat="1"/>
    <xf numFmtId="43" fontId="0" fillId="0" borderId="0" xfId="2" applyFont="1" applyFill="1"/>
    <xf numFmtId="0" fontId="0" fillId="2" borderId="0" xfId="0" applyFill="1" applyAlignment="1">
      <alignment horizontal="right"/>
    </xf>
    <xf numFmtId="10" fontId="0" fillId="0" borderId="0" xfId="0" applyNumberFormat="1" applyAlignment="1">
      <alignment horizontal="right"/>
    </xf>
    <xf numFmtId="9" fontId="0" fillId="0" borderId="0" xfId="0" applyNumberFormat="1"/>
    <xf numFmtId="43" fontId="0" fillId="0" borderId="0" xfId="0" applyNumberFormat="1"/>
    <xf numFmtId="9" fontId="0" fillId="0" borderId="0" xfId="1" applyFont="1"/>
    <xf numFmtId="0" fontId="4" fillId="0" borderId="0" xfId="0" applyFont="1"/>
    <xf numFmtId="9" fontId="0" fillId="0" borderId="0" xfId="2" applyNumberFormat="1" applyFont="1" applyFill="1"/>
    <xf numFmtId="169" fontId="0" fillId="0" borderId="0" xfId="0" applyNumberFormat="1"/>
    <xf numFmtId="0" fontId="0" fillId="0" borderId="0" xfId="2" applyNumberFormat="1" applyFont="1" applyFill="1"/>
    <xf numFmtId="0" fontId="0" fillId="0" borderId="0" xfId="2" applyNumberFormat="1" applyFont="1"/>
    <xf numFmtId="0" fontId="0" fillId="0" borderId="0" xfId="1" applyNumberFormat="1" applyFont="1"/>
    <xf numFmtId="10" fontId="0" fillId="0" borderId="0" xfId="2" applyNumberFormat="1" applyFont="1"/>
    <xf numFmtId="2" fontId="0" fillId="0" borderId="0" xfId="0" applyNumberFormat="1" applyAlignment="1">
      <alignment horizontal="right"/>
    </xf>
    <xf numFmtId="3" fontId="0" fillId="0" borderId="0" xfId="2" applyNumberFormat="1" applyFont="1" applyFill="1"/>
    <xf numFmtId="10" fontId="0" fillId="2" borderId="0" xfId="0" applyNumberFormat="1" applyFill="1"/>
    <xf numFmtId="0" fontId="0" fillId="2" borderId="0" xfId="2" applyNumberFormat="1" applyFont="1" applyFill="1"/>
    <xf numFmtId="0" fontId="0" fillId="2" borderId="0" xfId="1" applyNumberFormat="1" applyFont="1" applyFill="1"/>
    <xf numFmtId="10" fontId="0" fillId="2" borderId="0" xfId="1" applyNumberFormat="1" applyFont="1" applyFill="1"/>
    <xf numFmtId="164" fontId="8" fillId="0" borderId="0" xfId="0" applyNumberFormat="1" applyFont="1"/>
    <xf numFmtId="3" fontId="8" fillId="0" borderId="0" xfId="0" applyNumberFormat="1" applyFont="1"/>
    <xf numFmtId="0" fontId="8" fillId="0" borderId="0" xfId="0" applyFont="1" applyAlignment="1">
      <alignment horizontal="left"/>
    </xf>
    <xf numFmtId="167" fontId="0" fillId="0" borderId="0" xfId="3" applyFont="1"/>
    <xf numFmtId="167" fontId="0" fillId="0" borderId="0" xfId="3" applyFont="1" applyFill="1"/>
    <xf numFmtId="43" fontId="9" fillId="0" borderId="0" xfId="0" applyNumberFormat="1" applyFont="1"/>
    <xf numFmtId="167" fontId="0" fillId="0" borderId="0" xfId="0" applyNumberFormat="1"/>
    <xf numFmtId="0" fontId="9" fillId="0" borderId="0" xfId="0" applyFont="1"/>
    <xf numFmtId="164" fontId="8" fillId="3" borderId="0" xfId="0" applyNumberFormat="1" applyFont="1" applyFill="1"/>
    <xf numFmtId="2" fontId="9" fillId="0" borderId="0" xfId="0" applyNumberFormat="1" applyFont="1"/>
    <xf numFmtId="10" fontId="9" fillId="0" borderId="0" xfId="0" applyNumberFormat="1" applyFont="1"/>
    <xf numFmtId="167" fontId="9" fillId="0" borderId="0" xfId="0" applyNumberFormat="1" applyFont="1"/>
    <xf numFmtId="0" fontId="9" fillId="0" borderId="0" xfId="0" applyFont="1" applyAlignment="1">
      <alignment horizontal="right"/>
    </xf>
    <xf numFmtId="9" fontId="9" fillId="0" borderId="0" xfId="0" applyNumberFormat="1" applyFont="1"/>
    <xf numFmtId="168" fontId="0" fillId="0" borderId="0" xfId="0" applyNumberFormat="1"/>
    <xf numFmtId="0" fontId="5" fillId="4" borderId="0" xfId="0" applyFont="1" applyFill="1"/>
    <xf numFmtId="0" fontId="0" fillId="4" borderId="0" xfId="0" applyFill="1"/>
    <xf numFmtId="0" fontId="6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1" fontId="0" fillId="4" borderId="0" xfId="0" applyNumberFormat="1" applyFill="1" applyAlignment="1">
      <alignment horizontal="right"/>
    </xf>
    <xf numFmtId="9" fontId="2" fillId="4" borderId="0" xfId="1" applyFont="1" applyFill="1" applyAlignment="1">
      <alignment horizontal="right"/>
    </xf>
    <xf numFmtId="168" fontId="2" fillId="4" borderId="0" xfId="2" applyNumberFormat="1" applyFont="1" applyFill="1" applyAlignment="1">
      <alignment horizontal="right"/>
    </xf>
    <xf numFmtId="168" fontId="0" fillId="4" borderId="0" xfId="2" applyNumberFormat="1" applyFont="1" applyFill="1"/>
    <xf numFmtId="43" fontId="0" fillId="4" borderId="0" xfId="0" applyNumberFormat="1" applyFill="1" applyAlignment="1">
      <alignment horizontal="right"/>
    </xf>
    <xf numFmtId="10" fontId="0" fillId="4" borderId="0" xfId="0" applyNumberFormat="1" applyFill="1" applyAlignment="1">
      <alignment horizontal="right"/>
    </xf>
    <xf numFmtId="10" fontId="0" fillId="4" borderId="0" xfId="0" applyNumberFormat="1" applyFill="1"/>
    <xf numFmtId="9" fontId="0" fillId="4" borderId="0" xfId="0" applyNumberFormat="1" applyFill="1"/>
    <xf numFmtId="169" fontId="0" fillId="4" borderId="0" xfId="0" applyNumberFormat="1" applyFill="1"/>
    <xf numFmtId="0" fontId="4" fillId="4" borderId="0" xfId="0" applyFont="1" applyFill="1"/>
    <xf numFmtId="165" fontId="0" fillId="4" borderId="0" xfId="0" applyNumberFormat="1" applyFill="1"/>
    <xf numFmtId="43" fontId="0" fillId="4" borderId="0" xfId="0" applyNumberFormat="1" applyFill="1"/>
    <xf numFmtId="43" fontId="0" fillId="4" borderId="0" xfId="2" applyFont="1" applyFill="1"/>
    <xf numFmtId="168" fontId="0" fillId="4" borderId="0" xfId="0" applyNumberFormat="1" applyFill="1"/>
    <xf numFmtId="168" fontId="2" fillId="4" borderId="0" xfId="2" applyNumberFormat="1" applyFont="1" applyFill="1"/>
    <xf numFmtId="168" fontId="2" fillId="4" borderId="0" xfId="0" applyNumberFormat="1" applyFont="1" applyFill="1"/>
    <xf numFmtId="9" fontId="0" fillId="4" borderId="0" xfId="1" applyFont="1" applyFill="1"/>
    <xf numFmtId="166" fontId="0" fillId="4" borderId="0" xfId="2" applyNumberFormat="1" applyFont="1" applyFill="1"/>
    <xf numFmtId="165" fontId="0" fillId="4" borderId="0" xfId="2" applyNumberFormat="1" applyFont="1" applyFill="1"/>
    <xf numFmtId="10" fontId="0" fillId="4" borderId="0" xfId="1" applyNumberFormat="1" applyFont="1" applyFill="1"/>
    <xf numFmtId="9" fontId="7" fillId="4" borderId="0" xfId="1" applyFont="1" applyFill="1"/>
    <xf numFmtId="181" fontId="0" fillId="4" borderId="0" xfId="0" applyNumberFormat="1" applyFill="1" applyAlignment="1">
      <alignment horizontal="right"/>
    </xf>
    <xf numFmtId="181" fontId="0" fillId="4" borderId="0" xfId="2" applyNumberFormat="1" applyFont="1" applyFill="1"/>
    <xf numFmtId="183" fontId="0" fillId="4" borderId="0" xfId="3" applyNumberFormat="1" applyFont="1" applyFill="1"/>
    <xf numFmtId="183" fontId="0" fillId="4" borderId="0" xfId="2" applyNumberFormat="1" applyFont="1" applyFill="1"/>
    <xf numFmtId="183" fontId="9" fillId="4" borderId="0" xfId="0" applyNumberFormat="1" applyFont="1" applyFill="1"/>
    <xf numFmtId="183" fontId="0" fillId="4" borderId="0" xfId="0" applyNumberFormat="1" applyFill="1"/>
    <xf numFmtId="0" fontId="7" fillId="4" borderId="0" xfId="0" applyFont="1" applyFill="1"/>
    <xf numFmtId="43" fontId="2" fillId="4" borderId="0" xfId="2" applyFont="1" applyFill="1"/>
    <xf numFmtId="0" fontId="8" fillId="4" borderId="0" xfId="0" applyFont="1" applyFill="1"/>
    <xf numFmtId="164" fontId="8" fillId="4" borderId="0" xfId="0" applyNumberFormat="1" applyFont="1" applyFill="1"/>
    <xf numFmtId="3" fontId="8" fillId="4" borderId="0" xfId="0" applyNumberFormat="1" applyFont="1" applyFill="1"/>
    <xf numFmtId="37" fontId="8" fillId="4" borderId="0" xfId="0" applyNumberFormat="1" applyFont="1" applyFill="1"/>
    <xf numFmtId="3" fontId="10" fillId="4" borderId="0" xfId="0" applyNumberFormat="1" applyFont="1" applyFill="1"/>
    <xf numFmtId="178" fontId="0" fillId="4" borderId="0" xfId="0" applyNumberFormat="1" applyFill="1"/>
    <xf numFmtId="0" fontId="8" fillId="4" borderId="0" xfId="0" applyFont="1" applyFill="1" applyAlignment="1">
      <alignment horizontal="left"/>
    </xf>
    <xf numFmtId="168" fontId="0" fillId="4" borderId="0" xfId="3" applyNumberFormat="1" applyFont="1" applyFill="1"/>
    <xf numFmtId="0" fontId="1" fillId="4" borderId="0" xfId="0" applyFont="1" applyFill="1"/>
    <xf numFmtId="168" fontId="9" fillId="4" borderId="0" xfId="0" applyNumberFormat="1" applyFont="1" applyFill="1"/>
    <xf numFmtId="9" fontId="9" fillId="4" borderId="0" xfId="1" applyFont="1" applyFill="1"/>
    <xf numFmtId="10" fontId="9" fillId="4" borderId="0" xfId="0" applyNumberFormat="1" applyFont="1" applyFill="1"/>
    <xf numFmtId="2" fontId="9" fillId="4" borderId="0" xfId="0" applyNumberFormat="1" applyFont="1" applyFill="1"/>
    <xf numFmtId="2" fontId="0" fillId="4" borderId="0" xfId="0" applyNumberFormat="1" applyFill="1"/>
    <xf numFmtId="1" fontId="0" fillId="4" borderId="0" xfId="0" applyNumberFormat="1" applyFill="1"/>
    <xf numFmtId="1" fontId="2" fillId="4" borderId="0" xfId="0" applyNumberFormat="1" applyFont="1" applyFill="1" applyAlignment="1">
      <alignment horizontal="right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, Shi Yuan" id="{320AA75C-E6A8-314D-9903-DAE15899B964}" userId="S::shaunge@bu.edu::feee090a-3bb8-4140-b2c4-d2c7364bb37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4-04-30T14:22:06.42" personId="{320AA75C-E6A8-314D-9903-DAE15899B964}" id="{C496D169-B13B-C744-B019-8C3C7511EA3F}">
    <text xml:space="preserve">The following year’s first quarter! </text>
  </threadedComment>
  <threadedComment ref="A84" dT="2024-05-07T19:20:04.24" personId="{320AA75C-E6A8-314D-9903-DAE15899B964}" id="{1FF6A2AC-DC3D-F74F-81B6-ED03941705EB}">
    <text xml:space="preserve">Purchases of investments + maturities of investments </text>
  </threadedComment>
  <threadedComment ref="B173" dT="2024-05-08T17:22:45.76" personId="{320AA75C-E6A8-314D-9903-DAE15899B964}" id="{C4A5012F-D014-1143-A92F-39F4097A46C9}">
    <text xml:space="preserve">Based on DCF </text>
  </threadedComment>
  <threadedComment ref="A178" dT="2024-05-07T22:59:39.46" personId="{320AA75C-E6A8-314D-9903-DAE15899B964}" id="{606807A6-69B5-384F-9683-08C44B100367}">
    <text xml:space="preserve">WRONG </text>
  </threadedComment>
  <threadedComment ref="B198" dT="2024-05-08T17:22:57.17" personId="{320AA75C-E6A8-314D-9903-DAE15899B964}" id="{FFC3BF23-66EE-394C-A1C6-0B533CE6A5D6}">
    <text xml:space="preserve">Based on EBITD multiple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E5ECA-C22C-49C1-86DE-B9C4627C58E9}">
  <dimension ref="A1:AC242"/>
  <sheetViews>
    <sheetView tabSelected="1" zoomScale="91" zoomScaleNormal="98" workbookViewId="0">
      <pane xSplit="1" ySplit="5" topLeftCell="B54" activePane="bottomRight" state="frozen"/>
      <selection pane="topRight" activeCell="B1" sqref="B1"/>
      <selection pane="bottomLeft" activeCell="A6" sqref="A6"/>
      <selection pane="bottomRight" activeCell="J68" sqref="J68"/>
    </sheetView>
  </sheetViews>
  <sheetFormatPr baseColWidth="10" defaultColWidth="8.83203125" defaultRowHeight="15" x14ac:dyDescent="0.2"/>
  <cols>
    <col min="1" max="1" width="45.83203125" style="44" customWidth="1"/>
    <col min="2" max="2" width="19.1640625" style="44" bestFit="1" customWidth="1"/>
    <col min="3" max="5" width="14.33203125" style="44" bestFit="1" customWidth="1"/>
    <col min="6" max="6" width="13.6640625" style="44" bestFit="1" customWidth="1"/>
    <col min="7" max="7" width="14.6640625" style="44" bestFit="1" customWidth="1"/>
    <col min="8" max="8" width="18.1640625" customWidth="1"/>
    <col min="9" max="19" width="14.33203125" bestFit="1" customWidth="1"/>
    <col min="20" max="20" width="14.33203125" style="1" bestFit="1" customWidth="1"/>
    <col min="21" max="21" width="12.6640625" bestFit="1" customWidth="1"/>
    <col min="22" max="24" width="12.1640625" bestFit="1" customWidth="1"/>
    <col min="26" max="29" width="12.1640625" bestFit="1" customWidth="1"/>
  </cols>
  <sheetData>
    <row r="1" spans="1:29" ht="28" x14ac:dyDescent="0.3">
      <c r="A1" s="43" t="s">
        <v>87</v>
      </c>
      <c r="R1" s="5"/>
      <c r="S1" s="5"/>
      <c r="T1" s="10"/>
    </row>
    <row r="2" spans="1:29" ht="16" x14ac:dyDescent="0.2">
      <c r="A2" s="45" t="s">
        <v>167</v>
      </c>
    </row>
    <row r="3" spans="1:29" x14ac:dyDescent="0.2">
      <c r="H3" s="5"/>
      <c r="R3" s="5"/>
      <c r="S3" s="5"/>
      <c r="T3" s="10"/>
    </row>
    <row r="4" spans="1:29" x14ac:dyDescent="0.2">
      <c r="A4" s="46" t="s">
        <v>22</v>
      </c>
      <c r="B4" s="46">
        <v>2020</v>
      </c>
      <c r="C4" s="46">
        <v>2021</v>
      </c>
      <c r="D4" s="46">
        <v>2022</v>
      </c>
      <c r="E4" s="46">
        <v>2023</v>
      </c>
      <c r="F4" s="47" t="s">
        <v>3</v>
      </c>
      <c r="G4" s="47" t="s">
        <v>24</v>
      </c>
      <c r="H4" s="5"/>
      <c r="L4" s="1">
        <v>2022</v>
      </c>
      <c r="Q4">
        <v>2023</v>
      </c>
      <c r="R4" s="5"/>
      <c r="S4" s="5"/>
      <c r="T4" s="10"/>
      <c r="V4">
        <v>2024</v>
      </c>
      <c r="AA4">
        <v>2025</v>
      </c>
    </row>
    <row r="5" spans="1:29" x14ac:dyDescent="0.2">
      <c r="A5" s="44" t="s">
        <v>68</v>
      </c>
      <c r="H5" s="5"/>
      <c r="K5" t="s">
        <v>90</v>
      </c>
      <c r="L5" t="s">
        <v>91</v>
      </c>
      <c r="M5" t="s">
        <v>92</v>
      </c>
      <c r="N5" t="s">
        <v>93</v>
      </c>
      <c r="P5" t="s">
        <v>94</v>
      </c>
      <c r="Q5" t="s">
        <v>95</v>
      </c>
      <c r="R5" s="5" t="s">
        <v>96</v>
      </c>
      <c r="S5" s="5" t="s">
        <v>93</v>
      </c>
      <c r="T5" s="10" t="s">
        <v>104</v>
      </c>
      <c r="U5" s="5" t="s">
        <v>90</v>
      </c>
      <c r="V5" s="5" t="s">
        <v>91</v>
      </c>
      <c r="W5" s="5" t="s">
        <v>96</v>
      </c>
      <c r="X5" s="5" t="s">
        <v>97</v>
      </c>
      <c r="Z5" s="5" t="s">
        <v>94</v>
      </c>
      <c r="AA5" s="5" t="s">
        <v>95</v>
      </c>
      <c r="AB5" s="5" t="s">
        <v>96</v>
      </c>
      <c r="AC5" s="5" t="s">
        <v>97</v>
      </c>
    </row>
    <row r="6" spans="1:29" x14ac:dyDescent="0.2">
      <c r="A6" s="44" t="s">
        <v>63</v>
      </c>
      <c r="B6" s="48">
        <v>2622</v>
      </c>
      <c r="C6" s="48">
        <f>B10</f>
        <v>2768</v>
      </c>
      <c r="D6" s="48">
        <f t="shared" ref="D6:E6" si="0">C10</f>
        <v>2966</v>
      </c>
      <c r="E6" s="48">
        <f t="shared" si="0"/>
        <v>3187</v>
      </c>
      <c r="F6" s="48">
        <f>E10</f>
        <v>3437</v>
      </c>
      <c r="G6" s="49">
        <f>F10</f>
        <v>3706.6109193599</v>
      </c>
      <c r="K6">
        <v>2966</v>
      </c>
      <c r="L6">
        <v>3014</v>
      </c>
      <c r="M6">
        <v>3052</v>
      </c>
      <c r="N6">
        <v>3090</v>
      </c>
      <c r="P6" s="4">
        <v>3187</v>
      </c>
      <c r="Q6" s="4">
        <f>P10</f>
        <v>3224</v>
      </c>
      <c r="R6" s="4">
        <f t="shared" ref="R6:S6" si="1">Q10</f>
        <v>3268</v>
      </c>
      <c r="S6" s="4">
        <f t="shared" si="1"/>
        <v>3321</v>
      </c>
      <c r="T6" s="10"/>
      <c r="U6" s="4">
        <f>S10</f>
        <v>3437</v>
      </c>
      <c r="V6" s="4">
        <f>AVERAGE(P6:U6)</f>
        <v>3287.4</v>
      </c>
      <c r="W6" s="4">
        <f>AVERAGE(Q6:V6)</f>
        <v>3307.4800000000005</v>
      </c>
      <c r="X6" s="4">
        <f>AVERAGE(R6:W6)</f>
        <v>3324.1760000000004</v>
      </c>
      <c r="Z6" s="4">
        <f t="shared" ref="Z6:AC6" si="2">AVERAGE(T6:Y6)</f>
        <v>3339.0140000000001</v>
      </c>
      <c r="AA6" s="4">
        <f t="shared" si="2"/>
        <v>3339.0140000000001</v>
      </c>
      <c r="AB6" s="4">
        <f t="shared" si="2"/>
        <v>3319.4168</v>
      </c>
      <c r="AC6" s="4">
        <f t="shared" si="2"/>
        <v>3325.8201600000002</v>
      </c>
    </row>
    <row r="7" spans="1:29" x14ac:dyDescent="0.2">
      <c r="A7" s="44" t="s">
        <v>64</v>
      </c>
      <c r="B7" s="48">
        <v>160</v>
      </c>
      <c r="C7" s="48">
        <v>215</v>
      </c>
      <c r="D7" s="48">
        <v>235</v>
      </c>
      <c r="E7" s="48">
        <v>210</v>
      </c>
      <c r="F7" s="48">
        <v>180</v>
      </c>
      <c r="G7" s="48">
        <v>180</v>
      </c>
      <c r="H7" s="3"/>
      <c r="I7" s="3"/>
      <c r="J7" s="3"/>
      <c r="K7" s="4">
        <v>51</v>
      </c>
      <c r="L7" s="4">
        <v>42</v>
      </c>
      <c r="M7" s="4">
        <v>43</v>
      </c>
      <c r="N7">
        <v>100</v>
      </c>
      <c r="O7" s="3"/>
      <c r="P7">
        <v>41</v>
      </c>
      <c r="Q7">
        <v>47</v>
      </c>
      <c r="R7" s="5">
        <v>62</v>
      </c>
      <c r="S7" s="5">
        <v>121</v>
      </c>
      <c r="T7" s="10"/>
      <c r="U7" s="5">
        <f>AVERAGE(P7:S7)</f>
        <v>67.75</v>
      </c>
      <c r="V7" s="5">
        <f t="shared" ref="V7:X7" si="3">AVERAGE(Q7:T7)</f>
        <v>76.666666666666671</v>
      </c>
      <c r="W7" s="5">
        <f t="shared" si="3"/>
        <v>83.583333333333329</v>
      </c>
      <c r="X7" s="5">
        <f t="shared" si="3"/>
        <v>88.472222222222229</v>
      </c>
      <c r="Z7" s="5">
        <f t="shared" ref="Z7:AC7" si="4">AVERAGE(U7:X7)</f>
        <v>79.118055555555557</v>
      </c>
      <c r="AA7" s="5">
        <f t="shared" si="4"/>
        <v>82.907407407407405</v>
      </c>
      <c r="AB7" s="5">
        <f t="shared" si="4"/>
        <v>83.724537037037024</v>
      </c>
      <c r="AC7" s="5">
        <f t="shared" si="4"/>
        <v>83.499228395061721</v>
      </c>
    </row>
    <row r="8" spans="1:29" x14ac:dyDescent="0.2">
      <c r="A8" s="44" t="s">
        <v>65</v>
      </c>
      <c r="B8" s="44">
        <v>-9</v>
      </c>
      <c r="C8" s="48">
        <v>-10</v>
      </c>
      <c r="D8" s="48">
        <v>-3</v>
      </c>
      <c r="E8" s="48">
        <v>-3</v>
      </c>
      <c r="F8" s="48">
        <v>-3</v>
      </c>
      <c r="G8" s="48">
        <v>-3</v>
      </c>
      <c r="H8" s="5"/>
      <c r="K8">
        <v>-1</v>
      </c>
      <c r="L8" s="4">
        <v>-1</v>
      </c>
      <c r="M8" s="4">
        <v>-1</v>
      </c>
      <c r="N8">
        <v>0</v>
      </c>
      <c r="P8">
        <v>0</v>
      </c>
      <c r="Q8">
        <v>0</v>
      </c>
      <c r="R8" s="5">
        <v>-7</v>
      </c>
      <c r="S8" s="5">
        <v>-2</v>
      </c>
      <c r="T8" s="10"/>
      <c r="U8" s="5">
        <v>-3</v>
      </c>
      <c r="V8" s="5">
        <v>-3</v>
      </c>
      <c r="W8" s="5">
        <v>-3</v>
      </c>
      <c r="X8" s="5">
        <v>-3</v>
      </c>
      <c r="Z8" s="5">
        <v>-3</v>
      </c>
      <c r="AA8" s="5">
        <v>-3</v>
      </c>
      <c r="AB8" s="5">
        <v>-3</v>
      </c>
      <c r="AC8" s="5">
        <v>-3</v>
      </c>
    </row>
    <row r="9" spans="1:29" x14ac:dyDescent="0.2">
      <c r="A9" s="44" t="s">
        <v>66</v>
      </c>
      <c r="B9" s="44">
        <v>-6</v>
      </c>
      <c r="C9" s="48">
        <v>-7</v>
      </c>
      <c r="D9" s="48">
        <v>-12</v>
      </c>
      <c r="E9" s="48">
        <v>-12</v>
      </c>
      <c r="F9" s="48">
        <v>-10</v>
      </c>
      <c r="G9" s="48">
        <v>-10</v>
      </c>
      <c r="H9" s="5"/>
      <c r="I9" s="5"/>
      <c r="J9" s="5"/>
      <c r="K9" s="5">
        <v>-2</v>
      </c>
      <c r="L9" s="22">
        <v>-3</v>
      </c>
      <c r="M9" s="22">
        <v>-4</v>
      </c>
      <c r="N9">
        <v>-3</v>
      </c>
      <c r="O9" s="5"/>
      <c r="P9">
        <v>-4</v>
      </c>
      <c r="Q9">
        <v>-3</v>
      </c>
      <c r="R9" s="5">
        <v>-2</v>
      </c>
      <c r="S9" s="5">
        <v>-3</v>
      </c>
      <c r="T9" s="10"/>
      <c r="U9" s="5">
        <v>-2</v>
      </c>
      <c r="V9" s="5">
        <v>-2</v>
      </c>
      <c r="W9" s="5">
        <v>-2</v>
      </c>
      <c r="X9" s="5">
        <v>-2</v>
      </c>
      <c r="Z9" s="5">
        <v>-2</v>
      </c>
      <c r="AA9" s="5">
        <v>-2</v>
      </c>
      <c r="AB9" s="5">
        <v>-2</v>
      </c>
      <c r="AC9" s="5">
        <v>-2</v>
      </c>
    </row>
    <row r="10" spans="1:29" x14ac:dyDescent="0.2">
      <c r="A10" s="46" t="s">
        <v>67</v>
      </c>
      <c r="B10" s="47">
        <v>2768</v>
      </c>
      <c r="C10" s="47">
        <v>2966</v>
      </c>
      <c r="D10" s="47">
        <v>3187</v>
      </c>
      <c r="E10" s="47">
        <v>3437</v>
      </c>
      <c r="F10" s="93">
        <f>E10*(1+E11)</f>
        <v>3706.6109193599</v>
      </c>
      <c r="G10" s="93">
        <f>F10*(1+F11)</f>
        <v>3997.3711107122613</v>
      </c>
      <c r="K10">
        <f>SUM(K6:K9)</f>
        <v>3014</v>
      </c>
      <c r="L10">
        <f t="shared" ref="L10" si="5">SUM(L6:L9)</f>
        <v>3052</v>
      </c>
      <c r="M10" s="4">
        <f>SUM(M6:M9)</f>
        <v>3090</v>
      </c>
      <c r="N10" s="4">
        <f>SUM(N6:N9)</f>
        <v>3187</v>
      </c>
      <c r="P10" s="4">
        <f t="shared" ref="P10:S10" si="6">SUM(P6:P9)</f>
        <v>3224</v>
      </c>
      <c r="Q10" s="4">
        <f t="shared" si="6"/>
        <v>3268</v>
      </c>
      <c r="R10" s="4">
        <f t="shared" si="6"/>
        <v>3321</v>
      </c>
      <c r="S10" s="4">
        <f t="shared" si="6"/>
        <v>3437</v>
      </c>
      <c r="U10" s="4">
        <f t="shared" ref="U10:X10" si="7">SUM(U6:U9)</f>
        <v>3499.75</v>
      </c>
      <c r="V10" s="4">
        <f t="shared" si="7"/>
        <v>3359.0666666666666</v>
      </c>
      <c r="W10" s="4">
        <f t="shared" si="7"/>
        <v>3386.063333333334</v>
      </c>
      <c r="X10" s="4">
        <f t="shared" si="7"/>
        <v>3407.6482222222226</v>
      </c>
      <c r="Z10" s="4">
        <f t="shared" ref="Z10:AC10" si="8">SUM(Z6:Z9)</f>
        <v>3413.1320555555558</v>
      </c>
      <c r="AA10" s="4">
        <f t="shared" si="8"/>
        <v>3416.9214074074075</v>
      </c>
      <c r="AB10" s="4">
        <f t="shared" si="8"/>
        <v>3398.1413370370369</v>
      </c>
      <c r="AC10" s="4">
        <f t="shared" si="8"/>
        <v>3404.3193883950621</v>
      </c>
    </row>
    <row r="11" spans="1:29" x14ac:dyDescent="0.2">
      <c r="A11" s="46"/>
      <c r="B11" s="47"/>
      <c r="C11" s="50">
        <f>C10/B10-1</f>
        <v>7.1531791907514464E-2</v>
      </c>
      <c r="D11" s="50">
        <f t="shared" ref="D11:F11" si="9">D10/C10-1</f>
        <v>7.4511126095751834E-2</v>
      </c>
      <c r="E11" s="50">
        <f t="shared" si="9"/>
        <v>7.8443677439598458E-2</v>
      </c>
      <c r="F11" s="50">
        <f t="shared" si="9"/>
        <v>7.8443677439598458E-2</v>
      </c>
      <c r="G11" s="50">
        <f>G10/F10-1</f>
        <v>7.8443677439598458E-2</v>
      </c>
      <c r="M11" s="4"/>
      <c r="N11" s="4"/>
      <c r="P11" s="4"/>
      <c r="Q11" s="4"/>
      <c r="R11" s="4"/>
      <c r="S11" s="4"/>
      <c r="U11" s="4"/>
      <c r="V11" s="4"/>
      <c r="W11" s="4"/>
      <c r="X11" s="4"/>
      <c r="Z11" s="4"/>
      <c r="AA11" s="4"/>
      <c r="AB11" s="4"/>
      <c r="AC11" s="4"/>
    </row>
    <row r="12" spans="1:29" x14ac:dyDescent="0.2">
      <c r="A12" s="46" t="s">
        <v>45</v>
      </c>
      <c r="B12" s="51">
        <f>5920.5*1000</f>
        <v>5920500</v>
      </c>
      <c r="C12" s="51">
        <f>7457.2*1000</f>
        <v>7457200</v>
      </c>
      <c r="D12" s="51">
        <f>8558*1000</f>
        <v>8558000</v>
      </c>
      <c r="E12" s="51">
        <f>9804.1*1000</f>
        <v>9804100</v>
      </c>
      <c r="F12" s="51">
        <f>SUM(U12:X12)</f>
        <v>11180998.1</v>
      </c>
      <c r="G12" s="51">
        <f>SUM(Z12:AC12)</f>
        <v>12746337.833999999</v>
      </c>
      <c r="H12" t="s">
        <v>105</v>
      </c>
      <c r="K12" s="8">
        <f>K30</f>
        <v>1998956</v>
      </c>
      <c r="L12" s="4">
        <v>2192802</v>
      </c>
      <c r="M12" s="4">
        <v>2202336</v>
      </c>
      <c r="N12">
        <v>2163907</v>
      </c>
      <c r="P12">
        <v>2351009</v>
      </c>
      <c r="Q12">
        <v>2497509</v>
      </c>
      <c r="R12" s="5">
        <v>2456039</v>
      </c>
      <c r="S12" s="5">
        <v>2499567</v>
      </c>
      <c r="U12" s="5">
        <v>2684447</v>
      </c>
      <c r="V12">
        <f>Q12*1.14</f>
        <v>2847160.26</v>
      </c>
      <c r="W12">
        <f t="shared" ref="W12:X12" si="10">R12*1.14</f>
        <v>2799884.46</v>
      </c>
      <c r="X12">
        <f t="shared" si="10"/>
        <v>2849506.38</v>
      </c>
      <c r="Z12">
        <f t="shared" ref="Z12:AC12" si="11">U12*1.14</f>
        <v>3060269.5799999996</v>
      </c>
      <c r="AA12">
        <f t="shared" si="11"/>
        <v>3245762.6963999993</v>
      </c>
      <c r="AB12">
        <f t="shared" si="11"/>
        <v>3191868.2843999998</v>
      </c>
      <c r="AC12">
        <f t="shared" si="11"/>
        <v>3248437.2731999997</v>
      </c>
    </row>
    <row r="13" spans="1:29" x14ac:dyDescent="0.2">
      <c r="A13" s="46" t="s">
        <v>46</v>
      </c>
      <c r="B13" s="51">
        <f>64.1*1000</f>
        <v>64099.999999999993</v>
      </c>
      <c r="C13" s="51">
        <f>89.9*1000</f>
        <v>89900</v>
      </c>
      <c r="D13" s="51">
        <f>76.7*1000</f>
        <v>76700</v>
      </c>
      <c r="E13" s="51">
        <v>67525</v>
      </c>
      <c r="F13" s="51">
        <f>E13*1.05</f>
        <v>70901.25</v>
      </c>
      <c r="G13" s="51">
        <f>F13*1.05</f>
        <v>74446.3125</v>
      </c>
      <c r="H13" t="s">
        <v>88</v>
      </c>
      <c r="K13" s="8">
        <f t="shared" ref="K13" si="12">K32</f>
        <v>21583</v>
      </c>
      <c r="L13" s="4">
        <v>20537</v>
      </c>
      <c r="M13" s="4">
        <v>17839</v>
      </c>
      <c r="N13">
        <v>16692</v>
      </c>
      <c r="P13">
        <v>17571</v>
      </c>
      <c r="Q13">
        <v>17292</v>
      </c>
      <c r="R13" s="5">
        <v>15909</v>
      </c>
      <c r="S13" s="5">
        <v>16753</v>
      </c>
      <c r="U13" s="5">
        <f>17401*1.05</f>
        <v>18271.05</v>
      </c>
      <c r="V13" s="5">
        <f t="shared" ref="V13:X13" si="13">17401*1.05</f>
        <v>18271.05</v>
      </c>
      <c r="W13" s="5">
        <f t="shared" si="13"/>
        <v>18271.05</v>
      </c>
      <c r="X13" s="5">
        <f t="shared" si="13"/>
        <v>18271.05</v>
      </c>
      <c r="Z13">
        <f t="shared" ref="Z13:AC13" si="14">AVERAGE(T13:Y13)</f>
        <v>18271.05</v>
      </c>
      <c r="AA13">
        <f t="shared" si="14"/>
        <v>18271.05</v>
      </c>
      <c r="AB13">
        <f t="shared" si="14"/>
        <v>18271.05</v>
      </c>
      <c r="AC13">
        <f t="shared" si="14"/>
        <v>18271.05</v>
      </c>
    </row>
    <row r="14" spans="1:29" x14ac:dyDescent="0.2">
      <c r="A14" s="44" t="s">
        <v>14</v>
      </c>
      <c r="B14" s="52">
        <f>SUM(B12:B13)</f>
        <v>5984600</v>
      </c>
      <c r="C14" s="52">
        <f t="shared" ref="C14:E14" si="15">SUM(C12:C13)</f>
        <v>7547100</v>
      </c>
      <c r="D14" s="52">
        <f t="shared" si="15"/>
        <v>8634700</v>
      </c>
      <c r="E14" s="52">
        <f t="shared" si="15"/>
        <v>9871625</v>
      </c>
      <c r="F14" s="52">
        <f>SUM(F12:F13)</f>
        <v>11251899.35</v>
      </c>
      <c r="G14" s="52">
        <f>SUM(G12:G13)</f>
        <v>12820784.146499999</v>
      </c>
      <c r="K14" s="8">
        <f>K34</f>
        <v>2020539</v>
      </c>
      <c r="L14">
        <f t="shared" ref="L14:AC14" si="16">L12+L13</f>
        <v>2213339</v>
      </c>
      <c r="M14" s="4">
        <f t="shared" si="16"/>
        <v>2220175</v>
      </c>
      <c r="N14" s="4">
        <f t="shared" si="16"/>
        <v>2180599</v>
      </c>
      <c r="P14" s="4">
        <f t="shared" si="16"/>
        <v>2368580</v>
      </c>
      <c r="Q14" s="4">
        <f t="shared" si="16"/>
        <v>2514801</v>
      </c>
      <c r="R14" s="4">
        <f t="shared" si="16"/>
        <v>2471948</v>
      </c>
      <c r="S14" s="4">
        <f t="shared" si="16"/>
        <v>2516320</v>
      </c>
      <c r="U14" s="4">
        <f t="shared" si="16"/>
        <v>2702718.05</v>
      </c>
      <c r="V14" s="4">
        <f t="shared" si="16"/>
        <v>2865431.3099999996</v>
      </c>
      <c r="W14" s="4">
        <f t="shared" si="16"/>
        <v>2818155.51</v>
      </c>
      <c r="X14" s="4">
        <f t="shared" si="16"/>
        <v>2867777.4299999997</v>
      </c>
      <c r="Z14" s="4">
        <f t="shared" si="16"/>
        <v>3078540.6299999994</v>
      </c>
      <c r="AA14" s="4">
        <f t="shared" si="16"/>
        <v>3264033.7463999991</v>
      </c>
      <c r="AB14" s="4">
        <f t="shared" si="16"/>
        <v>3210139.3343999996</v>
      </c>
      <c r="AC14" s="4">
        <f t="shared" si="16"/>
        <v>3266708.3231999995</v>
      </c>
    </row>
    <row r="15" spans="1:29" x14ac:dyDescent="0.2">
      <c r="A15" s="44" t="s">
        <v>101</v>
      </c>
      <c r="B15" s="48">
        <v>2.2000000000000002</v>
      </c>
      <c r="C15" s="48">
        <v>2.6</v>
      </c>
      <c r="D15" s="48">
        <v>2.8</v>
      </c>
      <c r="E15" s="48">
        <v>3</v>
      </c>
      <c r="F15" s="53">
        <v>3</v>
      </c>
      <c r="G15" s="48">
        <v>3</v>
      </c>
      <c r="K15" s="8">
        <v>2.7</v>
      </c>
      <c r="L15" s="4">
        <v>2.7</v>
      </c>
      <c r="M15" s="4">
        <v>2.8</v>
      </c>
      <c r="N15">
        <v>2.7</v>
      </c>
      <c r="P15">
        <v>2.8</v>
      </c>
      <c r="Q15">
        <v>2.9</v>
      </c>
      <c r="R15" s="5">
        <v>2.9</v>
      </c>
      <c r="S15" s="5">
        <v>3</v>
      </c>
      <c r="U15" s="5">
        <v>3</v>
      </c>
      <c r="V15" s="5">
        <v>3</v>
      </c>
      <c r="W15" s="5">
        <v>3</v>
      </c>
      <c r="X15" s="5">
        <v>3</v>
      </c>
      <c r="Z15" s="5">
        <v>3</v>
      </c>
      <c r="AA15" s="5">
        <v>3</v>
      </c>
      <c r="AB15" s="5">
        <v>3</v>
      </c>
      <c r="AC15" s="5">
        <v>3</v>
      </c>
    </row>
    <row r="16" spans="1:29" x14ac:dyDescent="0.2">
      <c r="A16" s="44" t="s">
        <v>102</v>
      </c>
      <c r="K16" s="14">
        <v>0.09</v>
      </c>
      <c r="L16" s="3">
        <v>0.10100000000000001</v>
      </c>
      <c r="M16" s="3">
        <v>7.5999999999999998E-2</v>
      </c>
      <c r="N16" s="3">
        <v>5.6000000000000001E-2</v>
      </c>
      <c r="P16" s="3">
        <v>0.109</v>
      </c>
      <c r="Q16" s="3">
        <v>7.3999999999999996E-2</v>
      </c>
      <c r="R16" s="12">
        <v>0.05</v>
      </c>
      <c r="S16" s="11">
        <v>8.14E-2</v>
      </c>
      <c r="U16" s="12">
        <v>7.0000000000000007E-2</v>
      </c>
      <c r="V16" s="3">
        <f>AVERAGE(P16:U16)</f>
        <v>7.6880000000000004E-2</v>
      </c>
      <c r="W16" s="3">
        <f t="shared" ref="W16:X16" si="17">AVERAGE(Q16:V16)</f>
        <v>7.0455999999999991E-2</v>
      </c>
      <c r="X16" s="3">
        <f t="shared" si="17"/>
        <v>6.9747200000000009E-2</v>
      </c>
      <c r="Z16" s="3">
        <f t="shared" ref="Z16:AC16" si="18">AVERAGE(T16:Y16)</f>
        <v>7.1770799999999996E-2</v>
      </c>
      <c r="AA16" s="3">
        <f t="shared" si="18"/>
        <v>7.1770799999999996E-2</v>
      </c>
      <c r="AB16" s="3">
        <f t="shared" si="18"/>
        <v>7.2124959999999988E-2</v>
      </c>
      <c r="AC16" s="3">
        <f t="shared" si="18"/>
        <v>7.1173952000000013E-2</v>
      </c>
    </row>
    <row r="17" spans="1:29" x14ac:dyDescent="0.2">
      <c r="N17" s="3"/>
    </row>
    <row r="18" spans="1:29" x14ac:dyDescent="0.2">
      <c r="A18" s="44" t="s">
        <v>69</v>
      </c>
      <c r="B18" s="48"/>
    </row>
    <row r="19" spans="1:29" x14ac:dyDescent="0.2">
      <c r="A19" s="48" t="s">
        <v>70</v>
      </c>
      <c r="B19" s="54">
        <v>0.32300000000000001</v>
      </c>
      <c r="C19" s="54">
        <v>0.30599999999999999</v>
      </c>
      <c r="D19" s="54">
        <v>0.30099999999999999</v>
      </c>
      <c r="E19" s="54">
        <v>0.29499999999999998</v>
      </c>
      <c r="F19" s="55">
        <f>0.29</f>
        <v>0.28999999999999998</v>
      </c>
      <c r="G19" s="55">
        <f>28.5%</f>
        <v>0.28499999999999998</v>
      </c>
      <c r="K19" s="3">
        <f t="shared" ref="K19:K24" si="19">K37/$K$34</f>
        <v>0.31027661430935011</v>
      </c>
      <c r="L19" s="3">
        <f>L37/L34</f>
        <v>0.30448476261431257</v>
      </c>
      <c r="M19" s="3">
        <f t="shared" ref="M19:AC19" si="20">M37/M34</f>
        <v>0.29841791750650287</v>
      </c>
      <c r="N19" s="3">
        <f t="shared" si="20"/>
        <v>0.29297041776135824</v>
      </c>
      <c r="P19" s="3">
        <f t="shared" si="20"/>
        <v>0.29239417710189225</v>
      </c>
      <c r="Q19" s="3">
        <f t="shared" si="20"/>
        <v>0.29372662091354346</v>
      </c>
      <c r="R19" s="3">
        <f t="shared" si="20"/>
        <v>0.29700705678274786</v>
      </c>
      <c r="S19" s="3">
        <f t="shared" si="20"/>
        <v>0.29692368220258153</v>
      </c>
      <c r="T19" s="24"/>
      <c r="U19" s="3">
        <f t="shared" si="20"/>
        <v>0.28834930758503069</v>
      </c>
      <c r="V19" s="3">
        <f t="shared" si="20"/>
        <v>0.26300002284821833</v>
      </c>
      <c r="W19" s="3">
        <f t="shared" si="20"/>
        <v>0.27193043367574843</v>
      </c>
      <c r="X19" s="3">
        <f t="shared" si="20"/>
        <v>0.26500500598472176</v>
      </c>
      <c r="Z19" s="3">
        <f t="shared" si="20"/>
        <v>0.2468622202332279</v>
      </c>
      <c r="AA19" s="3">
        <f t="shared" si="20"/>
        <v>0.23283318557542479</v>
      </c>
      <c r="AB19" s="3">
        <f t="shared" si="20"/>
        <v>0.23674217715600979</v>
      </c>
      <c r="AC19" s="3">
        <f t="shared" si="20"/>
        <v>0.23264255630130576</v>
      </c>
    </row>
    <row r="20" spans="1:29" x14ac:dyDescent="0.2">
      <c r="A20" s="48" t="s">
        <v>71</v>
      </c>
      <c r="B20" s="54">
        <v>0.26600000000000001</v>
      </c>
      <c r="C20" s="55">
        <v>0.254</v>
      </c>
      <c r="D20" s="55">
        <v>0.255</v>
      </c>
      <c r="E20" s="55">
        <v>0.247</v>
      </c>
      <c r="F20" s="56">
        <f>0.25</f>
        <v>0.25</v>
      </c>
      <c r="G20" s="56">
        <f>0.24</f>
        <v>0.24</v>
      </c>
      <c r="K20" s="3">
        <f t="shared" si="19"/>
        <v>0.26326638585050821</v>
      </c>
      <c r="L20" s="3">
        <f>L38/L34</f>
        <v>0.24845990605144536</v>
      </c>
      <c r="M20" s="3">
        <f t="shared" ref="M20:N20" si="21">M38/M34</f>
        <v>0.25096129809587081</v>
      </c>
      <c r="N20" s="3">
        <f t="shared" si="21"/>
        <v>0.25631214175554518</v>
      </c>
      <c r="P20" s="3">
        <f t="shared" ref="P20:S20" si="22">P38/P34</f>
        <v>0.24647425883862906</v>
      </c>
      <c r="Q20" s="3">
        <f t="shared" si="22"/>
        <v>0.24323117415652371</v>
      </c>
      <c r="R20" s="3">
        <f t="shared" si="22"/>
        <v>0.24931026057182432</v>
      </c>
      <c r="S20" s="3">
        <f t="shared" si="22"/>
        <v>0.25005881604883323</v>
      </c>
      <c r="T20" s="24"/>
      <c r="U20" s="3">
        <f t="shared" ref="U20:AC20" si="23">U38/U34</f>
        <v>0.24407368586241712</v>
      </c>
      <c r="V20" s="3">
        <f t="shared" si="23"/>
        <v>0.2215539935591756</v>
      </c>
      <c r="W20" s="3">
        <f t="shared" si="23"/>
        <v>0.22963561545970188</v>
      </c>
      <c r="X20" s="3">
        <f t="shared" si="23"/>
        <v>0.22351745494419351</v>
      </c>
      <c r="Z20" s="3">
        <f t="shared" si="23"/>
        <v>0.20821499195220955</v>
      </c>
      <c r="AA20" s="3">
        <f t="shared" si="23"/>
        <v>0.19638225652751792</v>
      </c>
      <c r="AB20" s="3">
        <f t="shared" si="23"/>
        <v>0.19967928046955247</v>
      </c>
      <c r="AC20" s="3">
        <f t="shared" si="23"/>
        <v>0.19622147099808757</v>
      </c>
    </row>
    <row r="21" spans="1:29" x14ac:dyDescent="0.2">
      <c r="A21" s="48" t="s">
        <v>72</v>
      </c>
      <c r="B21" s="54">
        <v>6.5000000000000002E-2</v>
      </c>
      <c r="C21" s="55">
        <v>5.5E-2</v>
      </c>
      <c r="D21" s="55">
        <v>5.2999999999999999E-2</v>
      </c>
      <c r="E21" s="55">
        <v>5.0999999999999997E-2</v>
      </c>
      <c r="F21" s="55">
        <v>5.0500000000000003E-2</v>
      </c>
      <c r="G21" s="56">
        <v>0.05</v>
      </c>
      <c r="K21" s="3">
        <f t="shared" si="19"/>
        <v>5.5446591231349658E-2</v>
      </c>
      <c r="L21" s="3">
        <f>L39/L34</f>
        <v>5.1469295937043531E-2</v>
      </c>
      <c r="M21" s="3">
        <f t="shared" ref="M21:N21" si="24">M39/M34</f>
        <v>5.2169761392683006E-2</v>
      </c>
      <c r="N21" s="3">
        <f t="shared" si="24"/>
        <v>5.4410737600081444E-2</v>
      </c>
      <c r="P21" s="3">
        <f t="shared" ref="P21:S21" si="25">P39/P34</f>
        <v>5.1478522996901095E-2</v>
      </c>
      <c r="Q21" s="3">
        <f t="shared" si="25"/>
        <v>4.9267118948974495E-2</v>
      </c>
      <c r="R21" s="3">
        <f t="shared" si="25"/>
        <v>5.1080767071151979E-2</v>
      </c>
      <c r="S21" s="3">
        <f t="shared" si="25"/>
        <v>5.2126518089909077E-2</v>
      </c>
      <c r="T21" s="24"/>
      <c r="U21" s="3">
        <f t="shared" ref="U21:AC21" si="26">U39/U34</f>
        <v>5.0224512999991117E-2</v>
      </c>
      <c r="V21" s="3">
        <f t="shared" si="26"/>
        <v>4.5632746296752097E-2</v>
      </c>
      <c r="W21" s="3">
        <f t="shared" si="26"/>
        <v>4.7274981642159278E-2</v>
      </c>
      <c r="X21" s="3">
        <f t="shared" si="26"/>
        <v>4.6026192137232913E-2</v>
      </c>
      <c r="Z21" s="3">
        <f t="shared" si="26"/>
        <v>4.2875144707770194E-2</v>
      </c>
      <c r="AA21" s="3">
        <f t="shared" si="26"/>
        <v>4.0438575472934037E-2</v>
      </c>
      <c r="AB21" s="3">
        <f t="shared" si="26"/>
        <v>4.1117490940520349E-2</v>
      </c>
      <c r="AC21" s="3">
        <f t="shared" si="26"/>
        <v>4.0405466892343339E-2</v>
      </c>
    </row>
    <row r="22" spans="1:29" x14ac:dyDescent="0.2">
      <c r="A22" s="48" t="s">
        <v>73</v>
      </c>
      <c r="B22" s="54">
        <v>0.17199999999999999</v>
      </c>
      <c r="C22" s="55">
        <v>0.159</v>
      </c>
      <c r="D22" s="55">
        <v>0.152</v>
      </c>
      <c r="E22" s="55">
        <v>0.14499999999999999</v>
      </c>
      <c r="F22" s="56">
        <f>0.14</f>
        <v>0.14000000000000001</v>
      </c>
      <c r="G22" s="57">
        <v>0.13500000000000001</v>
      </c>
      <c r="K22" s="3">
        <f t="shared" si="19"/>
        <v>0.16366672457200776</v>
      </c>
      <c r="L22" s="3">
        <f>L40/L34</f>
        <v>0.14343984360281006</v>
      </c>
      <c r="M22" s="3">
        <f t="shared" ref="M22:N22" si="27">M40/M34</f>
        <v>0.14507189748555857</v>
      </c>
      <c r="N22" s="3">
        <f t="shared" si="27"/>
        <v>0.15667438167219191</v>
      </c>
      <c r="P22" s="3">
        <f t="shared" ref="P22:S22" si="28">P40/P34</f>
        <v>0.15334335340161614</v>
      </c>
      <c r="Q22" s="3">
        <f t="shared" si="28"/>
        <v>0.13905951206477171</v>
      </c>
      <c r="R22" s="3">
        <f t="shared" si="28"/>
        <v>0.13971491309687745</v>
      </c>
      <c r="S22" s="3">
        <f t="shared" si="28"/>
        <v>0.14722531315571946</v>
      </c>
      <c r="T22" s="24"/>
      <c r="U22" s="3">
        <f t="shared" ref="U22:AC22" si="29">U40/U34</f>
        <v>0.14278116311502351</v>
      </c>
      <c r="V22" s="3">
        <f t="shared" si="29"/>
        <v>0.12964187056363255</v>
      </c>
      <c r="W22" s="3">
        <f t="shared" si="29"/>
        <v>0.13435257073517565</v>
      </c>
      <c r="X22" s="3">
        <f t="shared" si="29"/>
        <v>0.13078182160391716</v>
      </c>
      <c r="Z22" s="3">
        <f t="shared" si="29"/>
        <v>0.12182823010200131</v>
      </c>
      <c r="AA22" s="3">
        <f t="shared" si="29"/>
        <v>0.11490480350077796</v>
      </c>
      <c r="AB22" s="3">
        <f t="shared" si="29"/>
        <v>0.11683391815143762</v>
      </c>
      <c r="AC22" s="3">
        <f t="shared" si="29"/>
        <v>0.11481072662238964</v>
      </c>
    </row>
    <row r="23" spans="1:29" x14ac:dyDescent="0.2">
      <c r="A23" s="44" t="s">
        <v>74</v>
      </c>
      <c r="B23" s="54">
        <v>7.8E-2</v>
      </c>
      <c r="C23" s="56">
        <v>0.08</v>
      </c>
      <c r="D23" s="55">
        <v>6.5000000000000002E-2</v>
      </c>
      <c r="E23" s="55">
        <v>6.4000000000000001E-2</v>
      </c>
      <c r="F23" s="57">
        <v>6.2E-2</v>
      </c>
      <c r="G23" s="57">
        <v>0.06</v>
      </c>
      <c r="H23" s="5"/>
      <c r="I23" s="5"/>
      <c r="J23" s="5"/>
      <c r="K23" s="3">
        <f t="shared" si="19"/>
        <v>7.2951821271452819E-2</v>
      </c>
      <c r="L23" s="3">
        <f>L41/L34</f>
        <v>6.3623331084845108E-2</v>
      </c>
      <c r="M23" s="3">
        <f>M41/M34</f>
        <v>6.3461664058013442E-2</v>
      </c>
      <c r="N23" s="3">
        <f>N41/N34</f>
        <v>6.1943071605554255E-2</v>
      </c>
      <c r="O23" s="5"/>
      <c r="P23" s="3">
        <f t="shared" ref="P23:AC23" si="30">P41/P34</f>
        <v>6.2628241393577588E-2</v>
      </c>
      <c r="Q23" s="3">
        <f t="shared" si="30"/>
        <v>6.2229973663920128E-2</v>
      </c>
      <c r="R23" s="3">
        <f t="shared" si="30"/>
        <v>6.4524415562139656E-2</v>
      </c>
      <c r="S23" s="3">
        <f t="shared" si="30"/>
        <v>6.7259728492401596E-2</v>
      </c>
      <c r="T23" s="24"/>
      <c r="U23" s="3">
        <f t="shared" si="30"/>
        <v>7.573520049980606E-2</v>
      </c>
      <c r="V23" s="3">
        <f t="shared" si="30"/>
        <v>6.3344914033203623E-2</v>
      </c>
      <c r="W23" s="3">
        <f t="shared" si="30"/>
        <v>6.8508550828694337E-2</v>
      </c>
      <c r="X23" s="3">
        <f t="shared" si="30"/>
        <v>6.53081103996275E-2</v>
      </c>
      <c r="Z23" s="3">
        <f t="shared" si="30"/>
        <v>6.0836983333885715E-2</v>
      </c>
      <c r="AA23" s="3">
        <f t="shared" si="30"/>
        <v>5.7379653383353282E-2</v>
      </c>
      <c r="AB23" s="3">
        <f t="shared" si="30"/>
        <v>5.8342989350337909E-2</v>
      </c>
      <c r="AC23" s="3">
        <f t="shared" si="30"/>
        <v>5.7332674505979606E-2</v>
      </c>
    </row>
    <row r="24" spans="1:29" x14ac:dyDescent="0.2">
      <c r="A24" s="44" t="s">
        <v>98</v>
      </c>
      <c r="B24" s="54">
        <f>B42/B34</f>
        <v>3.9857742344811729E-2</v>
      </c>
      <c r="C24" s="54">
        <f t="shared" ref="C24:G24" si="31">C42/C34</f>
        <v>3.3742538983055785E-2</v>
      </c>
      <c r="D24" s="54">
        <f t="shared" si="31"/>
        <v>3.3218015039864955E-2</v>
      </c>
      <c r="E24" s="54">
        <f t="shared" si="31"/>
        <v>3.2354675495451672E-2</v>
      </c>
      <c r="F24" s="54">
        <f t="shared" si="31"/>
        <v>2.8953501081575177E-2</v>
      </c>
      <c r="G24" s="54">
        <f t="shared" si="31"/>
        <v>2.591865784517676E-2</v>
      </c>
      <c r="K24" s="3">
        <f t="shared" si="19"/>
        <v>3.5468258717104691E-2</v>
      </c>
      <c r="L24" s="17">
        <f>L42/L34</f>
        <v>3.1505792831554497E-2</v>
      </c>
      <c r="M24" s="3">
        <f>M42/M34</f>
        <v>3.2166833695542019E-2</v>
      </c>
      <c r="N24" s="3">
        <f>N42/N34</f>
        <v>3.394113268877038E-2</v>
      </c>
      <c r="P24" s="3">
        <f t="shared" ref="P24:AC24" si="32">P42/P34</f>
        <v>3.2333718937084664E-2</v>
      </c>
      <c r="Q24" s="3">
        <f t="shared" si="32"/>
        <v>3.1322955573820754E-2</v>
      </c>
      <c r="R24" s="3">
        <f t="shared" si="32"/>
        <v>3.1774940249552172E-2</v>
      </c>
      <c r="S24" s="3">
        <f t="shared" si="32"/>
        <v>3.3975011127360587E-2</v>
      </c>
      <c r="T24" s="24"/>
      <c r="U24" s="3">
        <f t="shared" si="32"/>
        <v>3.0809653244742118E-2</v>
      </c>
      <c r="V24" s="3">
        <f t="shared" si="32"/>
        <v>2.8458455701037208E-2</v>
      </c>
      <c r="W24" s="3">
        <f>W42/W34</f>
        <v>2.9236986641663364E-2</v>
      </c>
      <c r="X24" s="3">
        <f>X42/X34</f>
        <v>2.8583132582921545E-2</v>
      </c>
      <c r="Z24" s="3">
        <f t="shared" si="32"/>
        <v>2.6626272754438202E-2</v>
      </c>
      <c r="AA24" s="3">
        <f t="shared" si="32"/>
        <v>2.5113117347639938E-2</v>
      </c>
      <c r="AB24" s="3">
        <f t="shared" si="32"/>
        <v>2.5534736645729073E-2</v>
      </c>
      <c r="AC24" s="3">
        <f t="shared" si="32"/>
        <v>2.509255629523233E-2</v>
      </c>
    </row>
    <row r="25" spans="1:29" x14ac:dyDescent="0.2">
      <c r="A25" s="44" t="s">
        <v>99</v>
      </c>
      <c r="B25" s="55">
        <f>B44/B34</f>
        <v>5.1092514596548424E-3</v>
      </c>
      <c r="C25" s="55">
        <f t="shared" ref="C25:G25" si="33">C44/C34</f>
        <v>2.5560943524903269E-3</v>
      </c>
      <c r="D25" s="55">
        <f t="shared" si="33"/>
        <v>2.4481588835311486E-3</v>
      </c>
      <c r="E25" s="55">
        <f t="shared" si="33"/>
        <v>3.8868886039201758E-3</v>
      </c>
      <c r="F25" s="55">
        <f t="shared" si="33"/>
        <v>3.4782927559692403E-3</v>
      </c>
      <c r="G25" s="55">
        <f t="shared" si="33"/>
        <v>3.1137056473178339E-3</v>
      </c>
      <c r="H25" s="6"/>
      <c r="I25" s="6"/>
      <c r="J25" s="6"/>
      <c r="K25" s="21">
        <f>K44/$K$34</f>
        <v>2.1330941892237667E-3</v>
      </c>
      <c r="L25" s="21">
        <f>L44/L34</f>
        <v>2.1149042238897881E-3</v>
      </c>
      <c r="M25" s="21">
        <f>M44/M34</f>
        <v>2.8659902935579402E-3</v>
      </c>
      <c r="N25" s="21">
        <f>N44/N34</f>
        <v>2.6529407745303009E-3</v>
      </c>
      <c r="O25" s="6"/>
      <c r="P25" s="21">
        <f t="shared" ref="P25:AC25" si="34">P44/P34</f>
        <v>3.5299631002541606E-3</v>
      </c>
      <c r="Q25" s="21">
        <f t="shared" si="34"/>
        <v>6.4577674336856079E-3</v>
      </c>
      <c r="R25" s="21">
        <f t="shared" si="34"/>
        <v>2.9292687386627872E-3</v>
      </c>
      <c r="S25" s="21">
        <f t="shared" si="34"/>
        <v>2.5942646404272908E-3</v>
      </c>
      <c r="T25" s="24"/>
      <c r="U25" s="21">
        <f t="shared" si="34"/>
        <v>2.0278712940180201E-3</v>
      </c>
      <c r="V25" s="21">
        <f t="shared" si="34"/>
        <v>2.6298833176356968E-3</v>
      </c>
      <c r="W25" s="21">
        <f t="shared" si="34"/>
        <v>2.3090901041156529E-3</v>
      </c>
      <c r="X25" s="21">
        <f t="shared" si="34"/>
        <v>2.4484335592249921E-3</v>
      </c>
      <c r="Z25" s="21">
        <f t="shared" si="34"/>
        <v>2.2808087804902549E-3</v>
      </c>
      <c r="AA25" s="21">
        <f t="shared" si="34"/>
        <v>2.1511917601171535E-3</v>
      </c>
      <c r="AB25" s="21">
        <f t="shared" si="34"/>
        <v>2.1873077049200376E-3</v>
      </c>
      <c r="AC25" s="21">
        <f t="shared" si="34"/>
        <v>2.149430498625547E-3</v>
      </c>
    </row>
    <row r="26" spans="1:29" x14ac:dyDescent="0.2">
      <c r="A26" s="44" t="s">
        <v>100</v>
      </c>
      <c r="B26" s="55">
        <f t="shared" ref="B26:G26" si="35">B50/B34</f>
        <v>1.0357358528524886E-2</v>
      </c>
      <c r="C26" s="55">
        <f t="shared" si="35"/>
        <v>-2.1171022733220256E-2</v>
      </c>
      <c r="D26" s="55">
        <f t="shared" si="35"/>
        <v>-3.2708903613023435E-2</v>
      </c>
      <c r="E26" s="55">
        <f t="shared" si="35"/>
        <v>-3.968627733826436E-2</v>
      </c>
      <c r="F26" s="55">
        <f t="shared" si="35"/>
        <v>-4.6307983549461813E-2</v>
      </c>
      <c r="G26" s="55">
        <f t="shared" si="35"/>
        <v>-5.4052870415822823E-2</v>
      </c>
      <c r="K26">
        <v>-31.7</v>
      </c>
      <c r="L26">
        <v>-88.2</v>
      </c>
      <c r="M26">
        <v>-82.8</v>
      </c>
      <c r="N26">
        <v>-82.8</v>
      </c>
      <c r="O26" s="6"/>
      <c r="P26">
        <v>-82.8</v>
      </c>
      <c r="Q26">
        <v>-82.8</v>
      </c>
      <c r="R26">
        <v>-82.8</v>
      </c>
      <c r="S26">
        <v>-82.8</v>
      </c>
      <c r="U26">
        <v>-82.8</v>
      </c>
      <c r="V26">
        <v>-82.8</v>
      </c>
      <c r="W26">
        <v>-82.8</v>
      </c>
      <c r="X26">
        <v>-82.8</v>
      </c>
      <c r="Z26">
        <v>-82.8</v>
      </c>
      <c r="AA26">
        <v>-82.8</v>
      </c>
      <c r="AB26">
        <v>-82.8</v>
      </c>
      <c r="AC26">
        <v>-82.8</v>
      </c>
    </row>
    <row r="27" spans="1:29" x14ac:dyDescent="0.2">
      <c r="A27" s="44" t="s">
        <v>103</v>
      </c>
      <c r="B27" s="55">
        <f t="shared" ref="B27:G27" si="36">B50/B49</f>
        <v>0.21099049972598635</v>
      </c>
      <c r="C27" s="55">
        <f t="shared" si="36"/>
        <v>-0.19658744307996304</v>
      </c>
      <c r="D27" s="55">
        <f t="shared" si="36"/>
        <v>-0.23903731683722221</v>
      </c>
      <c r="E27" s="55">
        <f t="shared" si="36"/>
        <v>-0.24175720423127098</v>
      </c>
      <c r="F27" s="55">
        <f t="shared" si="36"/>
        <v>-0.23132164145869816</v>
      </c>
      <c r="G27" s="55">
        <f t="shared" si="36"/>
        <v>-0.22133653463314287</v>
      </c>
      <c r="K27" s="3">
        <v>0.16700000000000001</v>
      </c>
      <c r="L27">
        <v>25.3</v>
      </c>
      <c r="M27">
        <v>24.4</v>
      </c>
      <c r="N27">
        <v>24.4</v>
      </c>
      <c r="O27" s="6"/>
      <c r="P27">
        <v>24.4</v>
      </c>
      <c r="Q27">
        <v>24.4</v>
      </c>
      <c r="R27">
        <v>24.4</v>
      </c>
      <c r="S27">
        <v>24.4</v>
      </c>
      <c r="U27">
        <v>24.4</v>
      </c>
      <c r="V27">
        <v>24.4</v>
      </c>
      <c r="W27">
        <v>24.4</v>
      </c>
      <c r="X27">
        <v>24.4</v>
      </c>
      <c r="Z27">
        <v>24.4</v>
      </c>
      <c r="AA27">
        <v>24.4</v>
      </c>
      <c r="AB27">
        <v>24.4</v>
      </c>
      <c r="AC27">
        <v>24.4</v>
      </c>
    </row>
    <row r="29" spans="1:29" x14ac:dyDescent="0.2">
      <c r="A29" s="58" t="s">
        <v>0</v>
      </c>
      <c r="F29" s="48"/>
      <c r="H29" s="6"/>
      <c r="I29" s="6"/>
      <c r="J29" s="6"/>
      <c r="K29" s="6"/>
      <c r="L29" s="6"/>
      <c r="M29" s="6"/>
      <c r="N29" s="6"/>
      <c r="O29" s="9"/>
      <c r="P29" s="9"/>
      <c r="Q29" s="9"/>
      <c r="R29" s="9"/>
      <c r="S29" s="9"/>
      <c r="T29" s="7"/>
    </row>
    <row r="30" spans="1:29" x14ac:dyDescent="0.2">
      <c r="A30" s="44" t="s">
        <v>45</v>
      </c>
      <c r="B30" s="59">
        <v>5920545</v>
      </c>
      <c r="C30" s="59">
        <v>7457169</v>
      </c>
      <c r="D30" s="59">
        <v>8558001</v>
      </c>
      <c r="E30" s="59">
        <v>9804124</v>
      </c>
      <c r="F30" s="60">
        <f>F12</f>
        <v>11180998.1</v>
      </c>
      <c r="G30" s="60">
        <f t="shared" ref="G30" si="37">G12</f>
        <v>12746337.833999999</v>
      </c>
      <c r="H30" s="6"/>
      <c r="I30" s="6"/>
      <c r="J30" s="6"/>
      <c r="K30" s="8">
        <v>1998956</v>
      </c>
      <c r="L30" s="6">
        <v>2192802</v>
      </c>
      <c r="M30" s="6">
        <v>2202336</v>
      </c>
      <c r="N30" s="6">
        <v>2163907</v>
      </c>
      <c r="O30" s="9"/>
      <c r="P30" s="9">
        <f>P12</f>
        <v>2351009</v>
      </c>
      <c r="Q30" s="9">
        <f t="shared" ref="Q30:S30" si="38">Q12</f>
        <v>2497509</v>
      </c>
      <c r="R30" s="9">
        <f t="shared" si="38"/>
        <v>2456039</v>
      </c>
      <c r="S30" s="9">
        <f t="shared" si="38"/>
        <v>2499567</v>
      </c>
      <c r="T30" s="7">
        <f>AVERAGE(P30:S30)</f>
        <v>2451031</v>
      </c>
      <c r="U30">
        <v>2684447</v>
      </c>
      <c r="V30">
        <f>V12</f>
        <v>2847160.26</v>
      </c>
      <c r="W30">
        <f t="shared" ref="W30:X30" si="39">W12</f>
        <v>2799884.46</v>
      </c>
      <c r="X30">
        <f t="shared" si="39"/>
        <v>2849506.38</v>
      </c>
      <c r="Z30">
        <f t="shared" ref="Z30:AC30" si="40">Z12</f>
        <v>3060269.5799999996</v>
      </c>
      <c r="AA30">
        <f t="shared" si="40"/>
        <v>3245762.6963999993</v>
      </c>
      <c r="AB30">
        <f t="shared" si="40"/>
        <v>3191868.2843999998</v>
      </c>
      <c r="AC30">
        <f t="shared" si="40"/>
        <v>3248437.2731999997</v>
      </c>
    </row>
    <row r="31" spans="1:29" x14ac:dyDescent="0.2">
      <c r="B31" s="47"/>
      <c r="C31" s="50">
        <f>C30/B30-1</f>
        <v>0.25954097131260712</v>
      </c>
      <c r="D31" s="50">
        <f t="shared" ref="D31" si="41">D30/C30-1</f>
        <v>0.14762063190468133</v>
      </c>
      <c r="E31" s="50">
        <f t="shared" ref="E31" si="42">E30/D30-1</f>
        <v>0.14560912063459686</v>
      </c>
      <c r="F31" s="50">
        <f t="shared" ref="F31" si="43">F30/E30-1</f>
        <v>0.1404382584308399</v>
      </c>
      <c r="G31" s="50">
        <f>G30/F30-1</f>
        <v>0.1399999999999999</v>
      </c>
      <c r="H31" s="6"/>
      <c r="I31" s="6"/>
      <c r="J31" s="6"/>
      <c r="K31" s="8"/>
      <c r="L31" s="6"/>
      <c r="M31" s="6"/>
      <c r="N31" s="6"/>
      <c r="O31" s="9"/>
      <c r="P31" s="9"/>
      <c r="Q31" s="9"/>
      <c r="R31" s="9"/>
      <c r="S31" s="9"/>
      <c r="T31" s="7"/>
    </row>
    <row r="32" spans="1:29" x14ac:dyDescent="0.2">
      <c r="A32" s="44" t="s">
        <v>46</v>
      </c>
      <c r="B32" s="61">
        <v>64089</v>
      </c>
      <c r="C32" s="61">
        <v>89892</v>
      </c>
      <c r="D32" s="61">
        <v>76651</v>
      </c>
      <c r="E32" s="61">
        <v>67525</v>
      </c>
      <c r="F32" s="60">
        <f>E32*1.05</f>
        <v>70901.25</v>
      </c>
      <c r="G32" s="60">
        <f>F32*1.05</f>
        <v>74446.3125</v>
      </c>
      <c r="H32" s="6"/>
      <c r="I32" s="6"/>
      <c r="J32" s="6"/>
      <c r="K32">
        <v>21583</v>
      </c>
      <c r="L32" s="6">
        <v>20537</v>
      </c>
      <c r="M32" s="6">
        <v>17839</v>
      </c>
      <c r="N32" s="6">
        <v>16692</v>
      </c>
      <c r="O32" s="9"/>
      <c r="P32" s="9">
        <v>17571</v>
      </c>
      <c r="Q32" s="9">
        <v>17292</v>
      </c>
      <c r="R32" s="9">
        <v>15909</v>
      </c>
      <c r="S32" s="9">
        <f>E32-SUM(P32:R32)</f>
        <v>16753</v>
      </c>
      <c r="T32" s="7">
        <f t="shared" ref="T32:T58" si="44">AVERAGE(P32:S32)</f>
        <v>16881.25</v>
      </c>
      <c r="U32" s="9">
        <v>17401</v>
      </c>
      <c r="V32">
        <f>V13</f>
        <v>18271.05</v>
      </c>
      <c r="W32">
        <f t="shared" ref="W32:X32" si="45">W13</f>
        <v>18271.05</v>
      </c>
      <c r="X32">
        <f t="shared" si="45"/>
        <v>18271.05</v>
      </c>
      <c r="Z32">
        <f t="shared" ref="Z32:AC32" si="46">Z13</f>
        <v>18271.05</v>
      </c>
      <c r="AA32">
        <f t="shared" si="46"/>
        <v>18271.05</v>
      </c>
      <c r="AB32">
        <f t="shared" si="46"/>
        <v>18271.05</v>
      </c>
      <c r="AC32">
        <f t="shared" si="46"/>
        <v>18271.05</v>
      </c>
    </row>
    <row r="33" spans="1:29" x14ac:dyDescent="0.2">
      <c r="B33" s="47"/>
      <c r="C33" s="50">
        <f>C32/B32-1</f>
        <v>0.4026119926976548</v>
      </c>
      <c r="D33" s="50">
        <f t="shared" ref="D33" si="47">D32/C32-1</f>
        <v>-0.14729898099942151</v>
      </c>
      <c r="E33" s="50">
        <f t="shared" ref="E33" si="48">E32/D32-1</f>
        <v>-0.11905911207942488</v>
      </c>
      <c r="F33" s="50">
        <f t="shared" ref="F33" si="49">F32/E32-1</f>
        <v>5.0000000000000044E-2</v>
      </c>
      <c r="G33" s="50">
        <f>G32/F32-1</f>
        <v>5.0000000000000044E-2</v>
      </c>
      <c r="H33" s="6" t="s">
        <v>171</v>
      </c>
      <c r="I33" s="6"/>
      <c r="J33" s="6"/>
      <c r="L33" s="6"/>
      <c r="M33" s="6"/>
      <c r="N33" s="6"/>
      <c r="O33" s="9"/>
      <c r="P33" s="9"/>
      <c r="Q33" s="9"/>
      <c r="R33" s="9"/>
      <c r="S33" s="9"/>
      <c r="T33" s="7"/>
      <c r="U33" s="9"/>
    </row>
    <row r="34" spans="1:29" x14ac:dyDescent="0.2">
      <c r="A34" s="44" t="s">
        <v>14</v>
      </c>
      <c r="B34" s="61">
        <v>5984634</v>
      </c>
      <c r="C34" s="61">
        <v>7547061</v>
      </c>
      <c r="D34" s="61">
        <v>8634652</v>
      </c>
      <c r="E34" s="61">
        <v>9871649</v>
      </c>
      <c r="F34" s="60">
        <f>F14</f>
        <v>11251899.35</v>
      </c>
      <c r="G34" s="60">
        <f>G14</f>
        <v>12820784.146499999</v>
      </c>
      <c r="H34" s="9"/>
      <c r="I34" s="9"/>
      <c r="J34" s="9"/>
      <c r="K34">
        <f>SUM(K30:K32)</f>
        <v>2020539</v>
      </c>
      <c r="L34" s="9">
        <f>SUM(L30:L32)</f>
        <v>2213339</v>
      </c>
      <c r="M34" s="9">
        <f t="shared" ref="M34:N34" si="50">SUM(M30:M32)</f>
        <v>2220175</v>
      </c>
      <c r="N34" s="9">
        <f t="shared" si="50"/>
        <v>2180599</v>
      </c>
      <c r="O34" s="9"/>
      <c r="P34" s="9">
        <f t="shared" ref="P34" si="51">SUM(P30:P32)</f>
        <v>2368580</v>
      </c>
      <c r="Q34" s="9">
        <f t="shared" ref="Q34:R34" si="52">SUM(Q30:Q32)</f>
        <v>2514801</v>
      </c>
      <c r="R34" s="9">
        <f t="shared" si="52"/>
        <v>2471948</v>
      </c>
      <c r="S34" s="9">
        <f t="shared" ref="S34" si="53">SUM(S30:S32)</f>
        <v>2516320</v>
      </c>
      <c r="T34" s="7">
        <f t="shared" si="44"/>
        <v>2467912.25</v>
      </c>
      <c r="U34" s="9">
        <f t="shared" ref="U34" si="54">SUM(U30:U32)</f>
        <v>2701848</v>
      </c>
      <c r="V34" s="9">
        <f t="shared" ref="V34" si="55">SUM(V30:V32)</f>
        <v>2865431.3099999996</v>
      </c>
      <c r="W34" s="9">
        <f t="shared" ref="W34:X34" si="56">SUM(W30:W32)</f>
        <v>2818155.51</v>
      </c>
      <c r="X34" s="9">
        <f t="shared" si="56"/>
        <v>2867777.4299999997</v>
      </c>
      <c r="Y34" s="9"/>
      <c r="Z34" s="9">
        <f t="shared" ref="Z34:AA34" si="57">SUM(Z30:Z32)</f>
        <v>3078540.6299999994</v>
      </c>
      <c r="AA34" s="9">
        <f t="shared" si="57"/>
        <v>3264033.7463999991</v>
      </c>
      <c r="AB34" s="9">
        <f t="shared" ref="AB34" si="58">SUM(AB30:AB32)</f>
        <v>3210139.3343999996</v>
      </c>
      <c r="AC34" s="9">
        <f t="shared" ref="AC34" si="59">SUM(AC30:AC32)</f>
        <v>3266708.3231999995</v>
      </c>
    </row>
    <row r="35" spans="1:29" x14ac:dyDescent="0.2">
      <c r="B35" s="47"/>
      <c r="C35" s="50">
        <f>C34/B34-1</f>
        <v>0.26107310823017738</v>
      </c>
      <c r="D35" s="50">
        <f t="shared" ref="D35" si="60">D34/C34-1</f>
        <v>0.14410788517543449</v>
      </c>
      <c r="E35" s="50">
        <f t="shared" ref="E35" si="61">E34/D34-1</f>
        <v>0.14325962412845361</v>
      </c>
      <c r="F35" s="50">
        <v>0.14000000000000001</v>
      </c>
      <c r="G35" s="50">
        <f>G34/F34-1</f>
        <v>0.13943288574652946</v>
      </c>
      <c r="H35" s="9"/>
      <c r="I35" s="9"/>
      <c r="J35" s="9"/>
      <c r="L35" s="9"/>
      <c r="M35" s="9"/>
      <c r="N35" s="9"/>
      <c r="O35" s="9"/>
      <c r="P35" s="9"/>
      <c r="Q35" s="9"/>
      <c r="R35" s="9"/>
      <c r="S35" s="9"/>
      <c r="T35" s="7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44" t="s">
        <v>62</v>
      </c>
      <c r="B36" s="61"/>
      <c r="C36" s="61"/>
      <c r="D36" s="61"/>
      <c r="E36" s="61"/>
      <c r="F36" s="61"/>
      <c r="G36" s="61"/>
      <c r="H36" s="9"/>
      <c r="I36" s="9"/>
      <c r="J36" s="9"/>
      <c r="K36" s="9"/>
      <c r="L36" s="9"/>
      <c r="M36" s="9"/>
      <c r="N36" s="9"/>
      <c r="O36" s="18"/>
      <c r="P36" s="18"/>
      <c r="Q36" s="18"/>
      <c r="R36" s="18"/>
      <c r="S36" s="18"/>
      <c r="T36" s="7"/>
    </row>
    <row r="37" spans="1:29" x14ac:dyDescent="0.2">
      <c r="A37" s="48" t="s">
        <v>47</v>
      </c>
      <c r="B37" s="52">
        <v>1932766</v>
      </c>
      <c r="C37" s="52">
        <v>2308631</v>
      </c>
      <c r="D37" s="52">
        <v>2602245</v>
      </c>
      <c r="E37" s="52">
        <v>2912564</v>
      </c>
      <c r="F37" s="62">
        <f>F34*F19</f>
        <v>3263050.8114999998</v>
      </c>
      <c r="G37" s="62">
        <f>G34*G19</f>
        <v>3653923.4817524995</v>
      </c>
      <c r="H37" s="9"/>
      <c r="I37" s="9"/>
      <c r="J37" s="9"/>
      <c r="K37" s="9">
        <v>626926</v>
      </c>
      <c r="L37" s="9">
        <v>673928</v>
      </c>
      <c r="M37" s="9">
        <v>662540</v>
      </c>
      <c r="N37" s="9">
        <v>638851</v>
      </c>
      <c r="O37" s="18"/>
      <c r="P37" s="18">
        <v>692559</v>
      </c>
      <c r="Q37" s="18">
        <v>738664</v>
      </c>
      <c r="R37" s="18">
        <v>734186</v>
      </c>
      <c r="S37" s="18">
        <v>747155</v>
      </c>
      <c r="T37" s="7">
        <f t="shared" si="44"/>
        <v>728141</v>
      </c>
      <c r="U37" s="18">
        <v>779076</v>
      </c>
      <c r="V37" s="13">
        <f t="shared" ref="V37:V44" si="62">AVERAGE(T37:U37)</f>
        <v>753608.5</v>
      </c>
      <c r="W37" s="13">
        <f t="shared" ref="W37:X37" si="63">AVERAGE(U37:V37)</f>
        <v>766342.25</v>
      </c>
      <c r="X37" s="13">
        <f t="shared" si="63"/>
        <v>759975.375</v>
      </c>
      <c r="Z37" s="13">
        <f t="shared" ref="Z37:AC37" si="64">AVERAGE(X37:Y37)</f>
        <v>759975.375</v>
      </c>
      <c r="AA37" s="13">
        <f t="shared" si="64"/>
        <v>759975.375</v>
      </c>
      <c r="AB37" s="13">
        <f t="shared" si="64"/>
        <v>759975.375</v>
      </c>
      <c r="AC37" s="13">
        <f t="shared" si="64"/>
        <v>759975.375</v>
      </c>
    </row>
    <row r="38" spans="1:29" x14ac:dyDescent="0.2">
      <c r="A38" s="48" t="s">
        <v>48</v>
      </c>
      <c r="B38" s="52">
        <v>1593013</v>
      </c>
      <c r="C38" s="52">
        <v>1917761</v>
      </c>
      <c r="D38" s="52">
        <v>2197958</v>
      </c>
      <c r="E38" s="52">
        <v>2440982</v>
      </c>
      <c r="F38" s="62">
        <f>F34*F20</f>
        <v>2812974.8374999999</v>
      </c>
      <c r="G38" s="62">
        <f>G34*G20</f>
        <v>3076988.1951599997</v>
      </c>
      <c r="H38" s="9"/>
      <c r="I38" s="9"/>
      <c r="J38" s="9"/>
      <c r="K38" s="18">
        <v>531940</v>
      </c>
      <c r="L38" s="23">
        <v>549926</v>
      </c>
      <c r="M38" s="18">
        <v>557178</v>
      </c>
      <c r="N38" s="18">
        <v>558914</v>
      </c>
      <c r="O38" s="18"/>
      <c r="P38" s="18">
        <v>583794</v>
      </c>
      <c r="Q38" s="18">
        <v>611678</v>
      </c>
      <c r="R38" s="18">
        <v>616282</v>
      </c>
      <c r="S38" s="18">
        <v>629228</v>
      </c>
      <c r="T38" s="7">
        <f t="shared" si="44"/>
        <v>610245.5</v>
      </c>
      <c r="U38" s="18">
        <v>659450</v>
      </c>
      <c r="V38" s="13">
        <f t="shared" si="62"/>
        <v>634847.75</v>
      </c>
      <c r="W38" s="13">
        <f t="shared" ref="W38:X38" si="65">AVERAGE(U38:V38)</f>
        <v>647148.875</v>
      </c>
      <c r="X38" s="13">
        <f t="shared" si="65"/>
        <v>640998.3125</v>
      </c>
      <c r="Z38" s="13">
        <f t="shared" ref="Z38:AC38" si="66">AVERAGE(X38:Y38)</f>
        <v>640998.3125</v>
      </c>
      <c r="AA38" s="13">
        <f t="shared" si="66"/>
        <v>640998.3125</v>
      </c>
      <c r="AB38" s="13">
        <f t="shared" si="66"/>
        <v>640998.3125</v>
      </c>
      <c r="AC38" s="13">
        <f t="shared" si="66"/>
        <v>640998.3125</v>
      </c>
    </row>
    <row r="39" spans="1:29" x14ac:dyDescent="0.2">
      <c r="A39" s="48" t="s">
        <v>49</v>
      </c>
      <c r="B39" s="52">
        <v>387762</v>
      </c>
      <c r="C39" s="52">
        <v>416606</v>
      </c>
      <c r="D39" s="52">
        <v>460425</v>
      </c>
      <c r="E39" s="52">
        <v>503264</v>
      </c>
      <c r="F39" s="62">
        <f>F34*F21</f>
        <v>568220.91717500007</v>
      </c>
      <c r="G39" s="62">
        <f>G34*G21</f>
        <v>641039.20732499997</v>
      </c>
      <c r="H39" s="9"/>
      <c r="I39" s="9"/>
      <c r="J39" s="9"/>
      <c r="K39" s="18">
        <v>112032</v>
      </c>
      <c r="L39" s="18">
        <v>113919</v>
      </c>
      <c r="M39" s="18">
        <v>115826</v>
      </c>
      <c r="N39" s="18">
        <v>118648</v>
      </c>
      <c r="O39" s="18"/>
      <c r="P39" s="18">
        <v>121931</v>
      </c>
      <c r="Q39" s="18">
        <v>123897</v>
      </c>
      <c r="R39" s="18">
        <v>126269</v>
      </c>
      <c r="S39" s="18">
        <v>131167</v>
      </c>
      <c r="T39" s="7">
        <f t="shared" si="44"/>
        <v>125816</v>
      </c>
      <c r="U39" s="18">
        <v>135699</v>
      </c>
      <c r="V39" s="13">
        <f t="shared" si="62"/>
        <v>130757.5</v>
      </c>
      <c r="W39" s="13">
        <f t="shared" ref="W39:X39" si="67">AVERAGE(U39:V39)</f>
        <v>133228.25</v>
      </c>
      <c r="X39" s="13">
        <f t="shared" si="67"/>
        <v>131992.875</v>
      </c>
      <c r="Z39" s="13">
        <f t="shared" ref="Z39:AC39" si="68">AVERAGE(X39:Y39)</f>
        <v>131992.875</v>
      </c>
      <c r="AA39" s="13">
        <f t="shared" si="68"/>
        <v>131992.875</v>
      </c>
      <c r="AB39" s="13">
        <f t="shared" si="68"/>
        <v>131992.875</v>
      </c>
      <c r="AC39" s="13">
        <f t="shared" si="68"/>
        <v>131992.875</v>
      </c>
    </row>
    <row r="40" spans="1:29" x14ac:dyDescent="0.2">
      <c r="A40" s="48" t="s">
        <v>50</v>
      </c>
      <c r="B40" s="52">
        <v>1030012</v>
      </c>
      <c r="C40" s="52">
        <v>1197054</v>
      </c>
      <c r="D40" s="52">
        <v>1311905</v>
      </c>
      <c r="E40" s="52">
        <v>1428747</v>
      </c>
      <c r="F40" s="62">
        <f>F22*F34</f>
        <v>1575265.909</v>
      </c>
      <c r="G40" s="62">
        <f>G22*G34</f>
        <v>1730805.8597774999</v>
      </c>
      <c r="H40" s="9"/>
      <c r="I40" s="9"/>
      <c r="J40" s="9"/>
      <c r="K40" s="18">
        <v>330695</v>
      </c>
      <c r="L40" s="18">
        <v>317481</v>
      </c>
      <c r="M40" s="18">
        <v>322085</v>
      </c>
      <c r="N40" s="18">
        <v>341644</v>
      </c>
      <c r="O40" s="18"/>
      <c r="P40" s="18">
        <v>363206</v>
      </c>
      <c r="Q40" s="18">
        <v>349707</v>
      </c>
      <c r="R40" s="18">
        <v>345368</v>
      </c>
      <c r="S40" s="18">
        <v>370466</v>
      </c>
      <c r="T40" s="7">
        <f t="shared" si="44"/>
        <v>357186.75</v>
      </c>
      <c r="U40" s="18">
        <v>385773</v>
      </c>
      <c r="V40" s="13">
        <f t="shared" si="62"/>
        <v>371479.875</v>
      </c>
      <c r="W40" s="13">
        <f t="shared" ref="W40:X40" si="69">AVERAGE(U40:V40)</f>
        <v>378626.4375</v>
      </c>
      <c r="X40" s="13">
        <f t="shared" si="69"/>
        <v>375053.15625</v>
      </c>
      <c r="Z40" s="13">
        <f t="shared" ref="Z40:AC40" si="70">AVERAGE(X40:Y40)</f>
        <v>375053.15625</v>
      </c>
      <c r="AA40" s="13">
        <f t="shared" si="70"/>
        <v>375053.15625</v>
      </c>
      <c r="AB40" s="13">
        <f t="shared" si="70"/>
        <v>375053.15625</v>
      </c>
      <c r="AC40" s="13">
        <f t="shared" si="70"/>
        <v>375053.15625</v>
      </c>
    </row>
    <row r="41" spans="1:29" x14ac:dyDescent="0.2">
      <c r="A41" s="44" t="s">
        <v>51</v>
      </c>
      <c r="B41" s="52">
        <v>466291</v>
      </c>
      <c r="C41" s="52">
        <v>606854</v>
      </c>
      <c r="D41" s="52">
        <v>564191</v>
      </c>
      <c r="E41" s="52">
        <v>633584</v>
      </c>
      <c r="F41" s="62">
        <f>F34*F23</f>
        <v>697617.75969999994</v>
      </c>
      <c r="G41" s="62">
        <f>G34*G23</f>
        <v>769247.04878999991</v>
      </c>
      <c r="H41" s="9"/>
      <c r="I41" s="9"/>
      <c r="J41" s="9"/>
      <c r="K41" s="18">
        <v>147402</v>
      </c>
      <c r="L41" s="23">
        <v>140820</v>
      </c>
      <c r="M41" s="18">
        <v>140896</v>
      </c>
      <c r="N41" s="18">
        <v>135073</v>
      </c>
      <c r="O41" s="18"/>
      <c r="P41" s="18">
        <v>148340</v>
      </c>
      <c r="Q41" s="18">
        <v>156496</v>
      </c>
      <c r="R41" s="18">
        <v>159501</v>
      </c>
      <c r="S41" s="18">
        <v>169247</v>
      </c>
      <c r="T41" s="7">
        <f t="shared" si="44"/>
        <v>158396</v>
      </c>
      <c r="U41" s="18">
        <v>204625</v>
      </c>
      <c r="V41" s="13">
        <f t="shared" si="62"/>
        <v>181510.5</v>
      </c>
      <c r="W41" s="13">
        <f t="shared" ref="W41:X41" si="71">AVERAGE(U41:V41)</f>
        <v>193067.75</v>
      </c>
      <c r="X41" s="13">
        <f t="shared" si="71"/>
        <v>187289.125</v>
      </c>
      <c r="Z41" s="13">
        <f t="shared" ref="Z41:AC44" si="72">AVERAGE(X41:Y41)</f>
        <v>187289.125</v>
      </c>
      <c r="AA41" s="13">
        <f t="shared" si="72"/>
        <v>187289.125</v>
      </c>
      <c r="AB41" s="13">
        <f t="shared" si="72"/>
        <v>187289.125</v>
      </c>
      <c r="AC41" s="13">
        <f t="shared" si="72"/>
        <v>187289.125</v>
      </c>
    </row>
    <row r="42" spans="1:29" x14ac:dyDescent="0.2">
      <c r="A42" s="44" t="s">
        <v>44</v>
      </c>
      <c r="B42" s="52">
        <v>238534</v>
      </c>
      <c r="C42" s="52">
        <v>254657</v>
      </c>
      <c r="D42" s="52">
        <v>286826</v>
      </c>
      <c r="E42" s="52">
        <v>319394</v>
      </c>
      <c r="F42" s="62">
        <f t="shared" ref="F42:G44" si="73">E42*1.02</f>
        <v>325781.88</v>
      </c>
      <c r="G42" s="62">
        <f t="shared" si="73"/>
        <v>332297.51760000002</v>
      </c>
      <c r="H42" s="9"/>
      <c r="I42" s="16"/>
      <c r="J42" s="9"/>
      <c r="K42" s="18">
        <v>71665</v>
      </c>
      <c r="L42" s="18">
        <v>69733</v>
      </c>
      <c r="M42" s="18">
        <v>71416</v>
      </c>
      <c r="N42" s="18">
        <v>74012</v>
      </c>
      <c r="O42" s="18"/>
      <c r="P42" s="18">
        <v>76585</v>
      </c>
      <c r="Q42" s="18">
        <v>78771</v>
      </c>
      <c r="R42" s="18">
        <v>78546</v>
      </c>
      <c r="S42" s="18">
        <v>85492</v>
      </c>
      <c r="T42" s="7">
        <f t="shared" si="44"/>
        <v>79848.5</v>
      </c>
      <c r="U42" s="18">
        <v>83243</v>
      </c>
      <c r="V42" s="13">
        <f t="shared" si="62"/>
        <v>81545.75</v>
      </c>
      <c r="W42" s="13">
        <f t="shared" ref="W42:X44" si="74">AVERAGE(U42:V42)</f>
        <v>82394.375</v>
      </c>
      <c r="X42" s="13">
        <f t="shared" si="74"/>
        <v>81970.0625</v>
      </c>
      <c r="Z42" s="13">
        <f>AVERAGE(X42:Y42)</f>
        <v>81970.0625</v>
      </c>
      <c r="AA42" s="13">
        <f t="shared" si="72"/>
        <v>81970.0625</v>
      </c>
      <c r="AB42" s="13">
        <f t="shared" si="72"/>
        <v>81970.0625</v>
      </c>
      <c r="AC42" s="13">
        <f t="shared" si="72"/>
        <v>81970.0625</v>
      </c>
    </row>
    <row r="43" spans="1:29" x14ac:dyDescent="0.2">
      <c r="A43" s="44" t="s">
        <v>52</v>
      </c>
      <c r="B43" s="52">
        <v>15515</v>
      </c>
      <c r="C43" s="52">
        <v>21264</v>
      </c>
      <c r="D43" s="52">
        <v>29560</v>
      </c>
      <c r="E43" s="52">
        <v>36931</v>
      </c>
      <c r="F43" s="62">
        <f t="shared" si="73"/>
        <v>37669.620000000003</v>
      </c>
      <c r="G43" s="62">
        <f t="shared" si="73"/>
        <v>38423.012400000007</v>
      </c>
      <c r="H43" s="9"/>
      <c r="I43" s="9"/>
      <c r="J43" s="9"/>
      <c r="K43" s="18">
        <v>5348</v>
      </c>
      <c r="L43" s="18">
        <v>5253</v>
      </c>
      <c r="M43" s="18">
        <v>7618</v>
      </c>
      <c r="N43" s="18">
        <v>11341</v>
      </c>
      <c r="O43" s="18"/>
      <c r="P43" s="18">
        <v>6198</v>
      </c>
      <c r="Q43" s="18">
        <v>7538</v>
      </c>
      <c r="R43" s="18">
        <v>9605</v>
      </c>
      <c r="S43" s="18">
        <v>13590</v>
      </c>
      <c r="T43" s="7">
        <f t="shared" si="44"/>
        <v>9232.75</v>
      </c>
      <c r="U43" s="18">
        <v>7211</v>
      </c>
      <c r="V43" s="13">
        <f t="shared" si="62"/>
        <v>8221.875</v>
      </c>
      <c r="W43" s="13">
        <f t="shared" si="74"/>
        <v>7716.4375</v>
      </c>
      <c r="X43" s="13">
        <f t="shared" si="74"/>
        <v>7969.15625</v>
      </c>
      <c r="Z43" s="13">
        <f>AVERAGE(X43:Y43)</f>
        <v>7969.15625</v>
      </c>
      <c r="AA43" s="13">
        <f t="shared" si="72"/>
        <v>7969.15625</v>
      </c>
      <c r="AB43" s="13">
        <f t="shared" si="72"/>
        <v>7969.15625</v>
      </c>
      <c r="AC43" s="13">
        <f t="shared" si="72"/>
        <v>7969.15625</v>
      </c>
    </row>
    <row r="44" spans="1:29" x14ac:dyDescent="0.2">
      <c r="A44" s="44" t="s">
        <v>53</v>
      </c>
      <c r="B44" s="52">
        <v>30577</v>
      </c>
      <c r="C44" s="52">
        <v>19291</v>
      </c>
      <c r="D44" s="52">
        <v>21139</v>
      </c>
      <c r="E44" s="52">
        <v>38370</v>
      </c>
      <c r="F44" s="62">
        <f t="shared" si="73"/>
        <v>39137.4</v>
      </c>
      <c r="G44" s="62">
        <f t="shared" si="73"/>
        <v>39920.148000000001</v>
      </c>
      <c r="H44" s="16">
        <v>0.03</v>
      </c>
      <c r="I44" s="9" t="s">
        <v>89</v>
      </c>
      <c r="K44" s="18">
        <v>4310</v>
      </c>
      <c r="L44" s="18">
        <v>4681</v>
      </c>
      <c r="M44" s="18">
        <v>6363</v>
      </c>
      <c r="N44" s="18">
        <v>5785</v>
      </c>
      <c r="O44" s="18"/>
      <c r="P44" s="18">
        <v>8361</v>
      </c>
      <c r="Q44" s="18">
        <v>16240</v>
      </c>
      <c r="R44" s="18">
        <v>7241</v>
      </c>
      <c r="S44" s="18">
        <v>6528</v>
      </c>
      <c r="T44" s="7">
        <f t="shared" si="44"/>
        <v>9592.5</v>
      </c>
      <c r="U44" s="18">
        <v>5479</v>
      </c>
      <c r="V44" s="13">
        <f t="shared" si="62"/>
        <v>7535.75</v>
      </c>
      <c r="W44" s="13">
        <f t="shared" si="74"/>
        <v>6507.375</v>
      </c>
      <c r="X44" s="13">
        <f t="shared" si="74"/>
        <v>7021.5625</v>
      </c>
      <c r="Z44" s="13">
        <f>AVERAGE(X44:Y44)</f>
        <v>7021.5625</v>
      </c>
      <c r="AA44" s="13">
        <f t="shared" si="72"/>
        <v>7021.5625</v>
      </c>
      <c r="AB44" s="13">
        <f t="shared" si="72"/>
        <v>7021.5625</v>
      </c>
      <c r="AC44" s="13">
        <f t="shared" si="72"/>
        <v>7021.5625</v>
      </c>
    </row>
    <row r="45" spans="1:29" x14ac:dyDescent="0.2">
      <c r="A45" s="46" t="s">
        <v>15</v>
      </c>
      <c r="B45" s="63">
        <v>5694470</v>
      </c>
      <c r="C45" s="63">
        <v>6742118</v>
      </c>
      <c r="D45" s="63">
        <v>7474249</v>
      </c>
      <c r="E45" s="63">
        <f>SUM(E37:E44)</f>
        <v>8313836</v>
      </c>
      <c r="F45" s="64">
        <f>SUM(F37:F44)</f>
        <v>9319719.1348750014</v>
      </c>
      <c r="G45" s="64">
        <f>SUM(G37:G44)</f>
        <v>10282644.470805001</v>
      </c>
      <c r="H45" s="16">
        <v>0.03</v>
      </c>
      <c r="I45" s="9" t="s">
        <v>89</v>
      </c>
      <c r="K45" s="9">
        <f>SUM(K37:K44)</f>
        <v>1830318</v>
      </c>
      <c r="L45" s="9">
        <f>SUM(L37:L44)</f>
        <v>1875741</v>
      </c>
      <c r="M45" s="9">
        <f>SUM(M37:M44)</f>
        <v>1883922</v>
      </c>
      <c r="N45" s="9">
        <f>SUM(N37:N44)</f>
        <v>1884268</v>
      </c>
      <c r="O45" s="9"/>
      <c r="P45" s="9">
        <f>SUM(P37:P44)</f>
        <v>2000974</v>
      </c>
      <c r="Q45" s="9">
        <f>SUM(Q37:Q44)</f>
        <v>2082991</v>
      </c>
      <c r="R45" s="9">
        <f>SUM(R37:R44)</f>
        <v>2076998</v>
      </c>
      <c r="S45" s="9">
        <f>SUM(S37:S44)</f>
        <v>2152873</v>
      </c>
      <c r="T45" s="7">
        <f t="shared" si="44"/>
        <v>2078459</v>
      </c>
      <c r="U45" s="9">
        <f>SUM(U37:U44)</f>
        <v>2260556</v>
      </c>
      <c r="V45" s="9">
        <f>SUM(V37:V44)</f>
        <v>2169507.5</v>
      </c>
      <c r="W45" s="9">
        <f>SUM(W37:W44)</f>
        <v>2215031.75</v>
      </c>
      <c r="X45" s="9">
        <f>SUM(X37:X44)</f>
        <v>2192269.625</v>
      </c>
      <c r="Y45" s="9"/>
      <c r="Z45" s="9">
        <f>SUM(Z37:Z44)</f>
        <v>2192269.625</v>
      </c>
      <c r="AA45" s="9">
        <f>SUM(AA37:AA44)</f>
        <v>2192269.625</v>
      </c>
      <c r="AB45" s="9">
        <f>SUM(AB37:AB44)</f>
        <v>2192269.625</v>
      </c>
      <c r="AC45" s="9">
        <f>SUM(AC37:AC44)</f>
        <v>2192269.625</v>
      </c>
    </row>
    <row r="46" spans="1:29" x14ac:dyDescent="0.2">
      <c r="B46" s="61"/>
      <c r="C46" s="65">
        <f>C45/B45-1</f>
        <v>0.1839763841059836</v>
      </c>
      <c r="D46" s="65">
        <f t="shared" ref="D46:F46" si="75">D45/C45-1</f>
        <v>0.1085906535602017</v>
      </c>
      <c r="E46" s="65">
        <f t="shared" si="75"/>
        <v>0.11233061676163048</v>
      </c>
      <c r="F46" s="65">
        <f t="shared" si="75"/>
        <v>0.12098905184983222</v>
      </c>
      <c r="G46" s="65">
        <f>G45/F45-1</f>
        <v>0.10332128275482777</v>
      </c>
      <c r="H46" s="16"/>
      <c r="I46" s="9"/>
      <c r="K46" s="9"/>
      <c r="L46" s="9"/>
      <c r="M46" s="9"/>
      <c r="N46" s="9"/>
      <c r="O46" s="9"/>
      <c r="P46" s="9"/>
      <c r="Q46" s="9"/>
      <c r="R46" s="9"/>
      <c r="S46" s="9"/>
      <c r="T46" s="7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44" t="s">
        <v>54</v>
      </c>
      <c r="B47" s="52">
        <v>290164</v>
      </c>
      <c r="C47" s="52">
        <v>804943</v>
      </c>
      <c r="D47" s="52">
        <v>1160403</v>
      </c>
      <c r="E47" s="52">
        <v>1557813</v>
      </c>
      <c r="F47" s="62">
        <f t="shared" ref="F47:G48" si="76">E47*1.03</f>
        <v>1604547.3900000001</v>
      </c>
      <c r="G47" s="62">
        <f t="shared" si="76"/>
        <v>1652683.8117000002</v>
      </c>
      <c r="H47" s="16">
        <v>0.03</v>
      </c>
      <c r="I47" s="9" t="s">
        <v>89</v>
      </c>
      <c r="K47" s="18">
        <v>190221</v>
      </c>
      <c r="L47" s="18">
        <v>337598</v>
      </c>
      <c r="M47" s="18">
        <v>336253</v>
      </c>
      <c r="N47" s="18">
        <v>296331</v>
      </c>
      <c r="O47" s="18"/>
      <c r="P47" s="18">
        <v>367606</v>
      </c>
      <c r="Q47" s="18">
        <v>431810</v>
      </c>
      <c r="R47" s="18">
        <v>394950</v>
      </c>
      <c r="S47" s="18">
        <v>363447</v>
      </c>
      <c r="T47" s="7">
        <f t="shared" si="44"/>
        <v>389453.25</v>
      </c>
      <c r="U47" s="18">
        <v>441292</v>
      </c>
      <c r="V47" s="13">
        <f>AVERAGE(T47:U47)</f>
        <v>415372.625</v>
      </c>
      <c r="W47" s="13">
        <f t="shared" ref="W47:X48" si="77">AVERAGE(U47:V47)</f>
        <v>428332.3125</v>
      </c>
      <c r="X47" s="13">
        <f t="shared" si="77"/>
        <v>421852.46875</v>
      </c>
      <c r="Z47" s="13">
        <f t="shared" ref="Z47:AC48" si="78">AVERAGE(X47:Y47)</f>
        <v>421852.46875</v>
      </c>
      <c r="AA47" s="13">
        <f t="shared" si="78"/>
        <v>421852.46875</v>
      </c>
      <c r="AB47" s="13">
        <f t="shared" si="78"/>
        <v>421852.46875</v>
      </c>
      <c r="AC47" s="13">
        <f t="shared" si="78"/>
        <v>421852.46875</v>
      </c>
    </row>
    <row r="48" spans="1:29" x14ac:dyDescent="0.2">
      <c r="A48" s="44" t="s">
        <v>55</v>
      </c>
      <c r="B48" s="52">
        <v>3617</v>
      </c>
      <c r="C48" s="52">
        <v>7820</v>
      </c>
      <c r="D48" s="52">
        <v>21128</v>
      </c>
      <c r="E48" s="52">
        <v>62693</v>
      </c>
      <c r="F48" s="62">
        <f t="shared" si="76"/>
        <v>64573.79</v>
      </c>
      <c r="G48" s="62">
        <f t="shared" si="76"/>
        <v>66511.003700000001</v>
      </c>
      <c r="H48" s="16">
        <v>0.03</v>
      </c>
      <c r="I48" s="9" t="s">
        <v>89</v>
      </c>
      <c r="K48" s="18">
        <v>-213</v>
      </c>
      <c r="L48" s="18">
        <v>10572</v>
      </c>
      <c r="M48" s="18">
        <v>3712</v>
      </c>
      <c r="N48" s="18">
        <v>7057</v>
      </c>
      <c r="O48" s="18"/>
      <c r="P48" s="18">
        <v>8949</v>
      </c>
      <c r="Q48" s="18">
        <v>16446</v>
      </c>
      <c r="R48" s="18">
        <v>18392</v>
      </c>
      <c r="S48" s="18">
        <v>18906</v>
      </c>
      <c r="T48" s="7">
        <f t="shared" si="44"/>
        <v>15673.25</v>
      </c>
      <c r="U48" s="18">
        <v>19364</v>
      </c>
      <c r="V48" s="13">
        <f>AVERAGE(T48:U48)</f>
        <v>17518.625</v>
      </c>
      <c r="W48" s="13">
        <f t="shared" si="77"/>
        <v>18441.3125</v>
      </c>
      <c r="X48" s="13">
        <f t="shared" si="77"/>
        <v>17979.96875</v>
      </c>
      <c r="Z48" s="13">
        <f t="shared" si="78"/>
        <v>17979.96875</v>
      </c>
      <c r="AA48" s="13">
        <f t="shared" si="78"/>
        <v>17979.96875</v>
      </c>
      <c r="AB48" s="13">
        <f t="shared" si="78"/>
        <v>17979.96875</v>
      </c>
      <c r="AC48" s="13">
        <f t="shared" si="78"/>
        <v>17979.96875</v>
      </c>
    </row>
    <row r="49" spans="1:29" x14ac:dyDescent="0.2">
      <c r="A49" s="44" t="s">
        <v>56</v>
      </c>
      <c r="B49" s="52">
        <v>293781</v>
      </c>
      <c r="C49" s="52">
        <v>812763</v>
      </c>
      <c r="D49" s="52">
        <v>1181531</v>
      </c>
      <c r="E49" s="52">
        <v>1620506</v>
      </c>
      <c r="F49" s="62">
        <f>E49*1.39</f>
        <v>2252503.34</v>
      </c>
      <c r="G49" s="62">
        <f>F49*1.39</f>
        <v>3130979.6425999994</v>
      </c>
      <c r="H49" s="16">
        <v>0.33</v>
      </c>
      <c r="I49" s="9" t="s">
        <v>89</v>
      </c>
      <c r="K49" s="18">
        <f>K47+K48</f>
        <v>190008</v>
      </c>
      <c r="L49" s="18">
        <f>L47+L48</f>
        <v>348170</v>
      </c>
      <c r="M49" s="18">
        <f t="shared" ref="M49:N49" si="79">M47+M48</f>
        <v>339965</v>
      </c>
      <c r="N49" s="18">
        <f t="shared" si="79"/>
        <v>303388</v>
      </c>
      <c r="O49" s="18"/>
      <c r="P49" s="18">
        <f t="shared" ref="P49" si="80">P47+P48</f>
        <v>376555</v>
      </c>
      <c r="Q49" s="18">
        <f t="shared" ref="Q49" si="81">Q47+Q48</f>
        <v>448256</v>
      </c>
      <c r="R49" s="18">
        <f t="shared" ref="R49" si="82">R47+R48</f>
        <v>413342</v>
      </c>
      <c r="S49" s="18">
        <f t="shared" ref="S49" si="83">S47+S48</f>
        <v>382353</v>
      </c>
      <c r="T49" s="7">
        <f t="shared" si="44"/>
        <v>405126.5</v>
      </c>
      <c r="U49" s="18">
        <f t="shared" ref="U49" si="84">U47+U48</f>
        <v>460656</v>
      </c>
      <c r="V49" s="18">
        <f t="shared" ref="V49" si="85">V47+V48</f>
        <v>432891.25</v>
      </c>
      <c r="W49" s="18">
        <f t="shared" ref="W49" si="86">W47+W48</f>
        <v>446773.625</v>
      </c>
      <c r="X49" s="18">
        <f t="shared" ref="X49" si="87">X47+X48</f>
        <v>439832.4375</v>
      </c>
      <c r="Z49" s="18">
        <f t="shared" ref="Z49" si="88">Z47+Z48</f>
        <v>439832.4375</v>
      </c>
      <c r="AA49" s="18">
        <f t="shared" ref="AA49" si="89">AA47+AA48</f>
        <v>439832.4375</v>
      </c>
      <c r="AB49" s="18">
        <f t="shared" ref="AB49" si="90">AB47+AB48</f>
        <v>439832.4375</v>
      </c>
      <c r="AC49" s="18">
        <f t="shared" ref="AC49" si="91">AC47+AC48</f>
        <v>439832.4375</v>
      </c>
    </row>
    <row r="50" spans="1:29" x14ac:dyDescent="0.2">
      <c r="A50" s="44" t="s">
        <v>57</v>
      </c>
      <c r="B50" s="52">
        <v>61985</v>
      </c>
      <c r="C50" s="52">
        <v>-159779</v>
      </c>
      <c r="D50" s="52">
        <v>-282430</v>
      </c>
      <c r="E50" s="52">
        <v>-391769</v>
      </c>
      <c r="F50" s="62">
        <f>E50*1.33</f>
        <v>-521052.77</v>
      </c>
      <c r="G50" s="62">
        <f>F50*1.33</f>
        <v>-693000.18410000007</v>
      </c>
      <c r="H50" s="16">
        <v>0.33</v>
      </c>
      <c r="I50" s="9" t="s">
        <v>89</v>
      </c>
      <c r="K50" s="18">
        <v>-31714</v>
      </c>
      <c r="L50" s="18">
        <v>-88228</v>
      </c>
      <c r="M50" s="18">
        <v>-82827</v>
      </c>
      <c r="N50" s="18">
        <v>-79661</v>
      </c>
      <c r="O50" s="18"/>
      <c r="P50" s="18">
        <v>-84911</v>
      </c>
      <c r="Q50" s="18">
        <v>-106466</v>
      </c>
      <c r="R50" s="18">
        <v>-100125</v>
      </c>
      <c r="S50" s="18">
        <v>-100267</v>
      </c>
      <c r="T50" s="7">
        <f t="shared" si="44"/>
        <v>-97942.25</v>
      </c>
      <c r="U50" s="18">
        <v>-101369</v>
      </c>
      <c r="V50" s="13">
        <f>AVERAGE(T50:U50)</f>
        <v>-99655.625</v>
      </c>
      <c r="W50" s="13">
        <f t="shared" ref="W50:X50" si="92">AVERAGE(U50:V50)</f>
        <v>-100512.3125</v>
      </c>
      <c r="X50" s="13">
        <f t="shared" si="92"/>
        <v>-100083.96875</v>
      </c>
      <c r="Z50" s="13">
        <f t="shared" ref="Z50:AC50" si="93">AVERAGE(X50:Y50)</f>
        <v>-100083.96875</v>
      </c>
      <c r="AA50" s="13">
        <f t="shared" si="93"/>
        <v>-100083.96875</v>
      </c>
      <c r="AB50" s="13">
        <f t="shared" si="93"/>
        <v>-100083.96875</v>
      </c>
      <c r="AC50" s="13">
        <f t="shared" si="93"/>
        <v>-100083.96875</v>
      </c>
    </row>
    <row r="51" spans="1:29" ht="16" customHeight="1" x14ac:dyDescent="0.2">
      <c r="A51" s="44" t="s">
        <v>43</v>
      </c>
      <c r="B51" s="52">
        <v>355766</v>
      </c>
      <c r="C51" s="52">
        <v>652984</v>
      </c>
      <c r="D51" s="62">
        <v>899101</v>
      </c>
      <c r="E51" s="52">
        <v>1228737</v>
      </c>
      <c r="F51" s="62">
        <f>F49+F50</f>
        <v>1731450.5699999998</v>
      </c>
      <c r="G51" s="62">
        <f>G49+G50</f>
        <v>2437979.4584999993</v>
      </c>
      <c r="H51" s="16">
        <v>0.33</v>
      </c>
      <c r="I51" s="9" t="s">
        <v>89</v>
      </c>
      <c r="J51" s="9"/>
      <c r="K51" s="18">
        <f>SUM(K49:K50)</f>
        <v>158294</v>
      </c>
      <c r="L51" s="18">
        <f>SUM(L49:L50)</f>
        <v>259942</v>
      </c>
      <c r="M51" s="18">
        <f>SUM(M49:M50)</f>
        <v>257138</v>
      </c>
      <c r="N51" s="18">
        <f>SUM(N49:N50)</f>
        <v>223727</v>
      </c>
      <c r="O51" s="18"/>
      <c r="P51" s="18">
        <f>SUM(P49:P50)</f>
        <v>291644</v>
      </c>
      <c r="Q51" s="18">
        <f>SUM(Q49:Q50)</f>
        <v>341790</v>
      </c>
      <c r="R51" s="18">
        <f>SUM(R49:R50)</f>
        <v>313217</v>
      </c>
      <c r="S51" s="18">
        <f>SUM(S49:S50)</f>
        <v>282086</v>
      </c>
      <c r="T51" s="7">
        <f t="shared" si="44"/>
        <v>307184.25</v>
      </c>
      <c r="U51" s="18">
        <f>SUM(U49:U50)</f>
        <v>359287</v>
      </c>
      <c r="V51" s="18">
        <f>SUM(V49:V50)</f>
        <v>333235.625</v>
      </c>
      <c r="W51" s="18">
        <f>SUM(W49:W50)</f>
        <v>346261.3125</v>
      </c>
      <c r="X51" s="18">
        <f>SUM(X49:X50)</f>
        <v>339748.46875</v>
      </c>
      <c r="Y51" s="18"/>
      <c r="Z51" s="18">
        <f>SUM(Z49:Z50)</f>
        <v>339748.46875</v>
      </c>
      <c r="AA51" s="18">
        <f>SUM(AA49:AA50)</f>
        <v>339748.46875</v>
      </c>
      <c r="AB51" s="18">
        <f>SUM(AB49:AB50)</f>
        <v>339748.46875</v>
      </c>
      <c r="AC51" s="18">
        <f>SUM(AC49:AC50)</f>
        <v>339748.46875</v>
      </c>
    </row>
    <row r="52" spans="1:29" ht="16" customHeight="1" x14ac:dyDescent="0.2">
      <c r="B52" s="47"/>
      <c r="C52" s="50">
        <f>C51/B51-1</f>
        <v>0.83543115418561631</v>
      </c>
      <c r="D52" s="50">
        <f t="shared" ref="D52" si="94">D51/C51-1</f>
        <v>0.37691122600247473</v>
      </c>
      <c r="E52" s="50">
        <f t="shared" ref="E52" si="95">E51/D51-1</f>
        <v>0.36662844330058575</v>
      </c>
      <c r="F52" s="50">
        <f t="shared" ref="F52" si="96">F51/E51-1</f>
        <v>0.40913032650599757</v>
      </c>
      <c r="G52" s="50">
        <f>G51/F51-1</f>
        <v>0.40805605469869088</v>
      </c>
      <c r="H52" s="9"/>
      <c r="I52" s="9"/>
      <c r="J52" s="9"/>
      <c r="K52" s="18"/>
      <c r="L52" s="18"/>
      <c r="M52" s="18"/>
      <c r="N52" s="18"/>
      <c r="O52" s="18"/>
      <c r="P52" s="18"/>
      <c r="Q52" s="18"/>
      <c r="R52" s="18"/>
      <c r="S52" s="18"/>
      <c r="T52" s="7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x14ac:dyDescent="0.2">
      <c r="A53" s="44" t="s">
        <v>58</v>
      </c>
      <c r="B53" s="61"/>
      <c r="C53" s="61"/>
      <c r="D53" s="61"/>
      <c r="E53" s="61"/>
      <c r="F53" s="61"/>
      <c r="G53" s="61"/>
      <c r="H53" s="9"/>
      <c r="I53" s="9"/>
      <c r="J53" s="9"/>
      <c r="K53" s="18"/>
      <c r="L53" s="18"/>
      <c r="M53" s="18"/>
      <c r="N53" s="18"/>
      <c r="O53" s="19"/>
      <c r="P53" s="19"/>
      <c r="Q53" s="19"/>
      <c r="R53" s="19"/>
      <c r="S53" s="19"/>
      <c r="T53" s="7"/>
    </row>
    <row r="54" spans="1:29" x14ac:dyDescent="0.2">
      <c r="A54" s="44" t="s">
        <v>59</v>
      </c>
      <c r="B54" s="66">
        <v>12.74</v>
      </c>
      <c r="C54" s="66">
        <v>23.21</v>
      </c>
      <c r="D54" s="66">
        <v>32.28</v>
      </c>
      <c r="E54" s="66">
        <v>44.59</v>
      </c>
      <c r="F54" s="66">
        <f>SUM(U54:X54)</f>
        <v>50.229098026891123</v>
      </c>
      <c r="G54" s="66">
        <f>SUM(U54:X54)</f>
        <v>50.229098026891123</v>
      </c>
      <c r="H54" s="9"/>
      <c r="I54" s="9"/>
      <c r="J54" s="9"/>
      <c r="K54" s="18">
        <v>5.64</v>
      </c>
      <c r="L54" s="18">
        <v>9.32</v>
      </c>
      <c r="M54" s="18">
        <v>9.26</v>
      </c>
      <c r="N54" s="18">
        <v>8.08</v>
      </c>
      <c r="O54" s="19"/>
      <c r="P54" s="19">
        <v>10.56</v>
      </c>
      <c r="Q54" s="19">
        <v>12.38</v>
      </c>
      <c r="R54" s="19">
        <v>11.37</v>
      </c>
      <c r="S54" s="19">
        <v>10.28</v>
      </c>
      <c r="T54" s="7">
        <f t="shared" si="44"/>
        <v>11.147500000000001</v>
      </c>
      <c r="U54" s="19">
        <v>13.09</v>
      </c>
      <c r="V54">
        <f>V51/V57</f>
        <v>12.142385403002478</v>
      </c>
      <c r="W54">
        <f t="shared" ref="W54:X54" si="97">W51/W57</f>
        <v>12.617013281591605</v>
      </c>
      <c r="X54">
        <f t="shared" si="97"/>
        <v>12.379699342297041</v>
      </c>
      <c r="Z54">
        <f t="shared" ref="Z54:AC54" si="98">Z51/Z57</f>
        <v>12.379699342297041</v>
      </c>
      <c r="AA54">
        <f t="shared" si="98"/>
        <v>12.379699342297041</v>
      </c>
      <c r="AB54">
        <f t="shared" si="98"/>
        <v>12.379699342297041</v>
      </c>
      <c r="AC54">
        <f t="shared" si="98"/>
        <v>12.379699342297041</v>
      </c>
    </row>
    <row r="55" spans="1:29" x14ac:dyDescent="0.2">
      <c r="A55" s="44" t="s">
        <v>60</v>
      </c>
      <c r="B55" s="66">
        <v>12.52</v>
      </c>
      <c r="C55" s="66">
        <v>22.9</v>
      </c>
      <c r="D55" s="66">
        <v>32.04</v>
      </c>
      <c r="E55" s="66">
        <v>44.34</v>
      </c>
      <c r="F55" s="66">
        <f>SUM(U55:X55)</f>
        <v>49.877187499999998</v>
      </c>
      <c r="G55" s="66">
        <f>SUM(U55:Y55)</f>
        <v>49.877187499999998</v>
      </c>
      <c r="H55" s="9"/>
      <c r="I55" s="9"/>
      <c r="J55" s="9"/>
      <c r="K55" s="18">
        <v>5.59</v>
      </c>
      <c r="L55" s="18">
        <v>9.25</v>
      </c>
      <c r="M55" s="18">
        <v>9.1999999999999993</v>
      </c>
      <c r="N55" s="18">
        <v>8.02</v>
      </c>
      <c r="O55" s="19"/>
      <c r="P55" s="19">
        <v>10.5</v>
      </c>
      <c r="Q55" s="19">
        <v>12.32</v>
      </c>
      <c r="R55" s="19">
        <v>11.32</v>
      </c>
      <c r="S55" s="19">
        <v>10.210000000000001</v>
      </c>
      <c r="T55" s="7">
        <f t="shared" si="44"/>
        <v>11.0875</v>
      </c>
      <c r="U55" s="19">
        <v>13.01</v>
      </c>
      <c r="V55" s="13">
        <f>AVERAGE(T55:U55)</f>
        <v>12.04875</v>
      </c>
      <c r="W55" s="13">
        <f t="shared" ref="W55:X55" si="99">AVERAGE(U55:V55)</f>
        <v>12.529375</v>
      </c>
      <c r="X55" s="13">
        <f t="shared" si="99"/>
        <v>12.2890625</v>
      </c>
      <c r="Z55" s="13">
        <f t="shared" ref="Z55:AC55" si="100">AVERAGE(X55:Y55)</f>
        <v>12.2890625</v>
      </c>
      <c r="AA55" s="13">
        <f t="shared" si="100"/>
        <v>12.2890625</v>
      </c>
      <c r="AB55" s="13">
        <f t="shared" si="100"/>
        <v>12.2890625</v>
      </c>
      <c r="AC55" s="13">
        <f t="shared" si="100"/>
        <v>12.2890625</v>
      </c>
    </row>
    <row r="56" spans="1:29" x14ac:dyDescent="0.2">
      <c r="A56" s="44" t="s">
        <v>61</v>
      </c>
      <c r="B56" s="61"/>
      <c r="C56" s="61"/>
      <c r="D56" s="61"/>
      <c r="E56" s="61"/>
      <c r="F56" s="61"/>
      <c r="G56" s="61"/>
      <c r="H56" s="6"/>
      <c r="I56" s="6"/>
      <c r="J56" s="6"/>
      <c r="K56" s="19"/>
      <c r="L56" s="19"/>
      <c r="M56" s="19"/>
      <c r="N56" s="19"/>
      <c r="O56" s="19"/>
      <c r="P56" s="19"/>
      <c r="Q56" s="19"/>
      <c r="R56" s="19"/>
      <c r="S56" s="19"/>
      <c r="T56" s="7"/>
    </row>
    <row r="57" spans="1:29" x14ac:dyDescent="0.2">
      <c r="A57" s="44" t="s">
        <v>59</v>
      </c>
      <c r="B57" s="61">
        <v>27917</v>
      </c>
      <c r="C57" s="61">
        <v>28132</v>
      </c>
      <c r="D57" s="61">
        <v>27851</v>
      </c>
      <c r="E57" s="61">
        <v>27555</v>
      </c>
      <c r="F57" s="60">
        <f>AVERAGE(U57:X57)</f>
        <v>27444</v>
      </c>
      <c r="G57" s="60">
        <f>AVERAGE(U57:Y57)</f>
        <v>27444</v>
      </c>
      <c r="H57" s="6"/>
      <c r="I57" s="6"/>
      <c r="J57" s="6"/>
      <c r="K57" s="19">
        <v>28043</v>
      </c>
      <c r="L57" s="19">
        <v>27905</v>
      </c>
      <c r="M57" s="19">
        <v>27773</v>
      </c>
      <c r="N57" s="19">
        <v>27684</v>
      </c>
      <c r="O57" s="19"/>
      <c r="P57" s="19">
        <v>27624</v>
      </c>
      <c r="Q57" s="19">
        <v>27604</v>
      </c>
      <c r="R57" s="19">
        <v>27550</v>
      </c>
      <c r="S57" s="19">
        <v>27440</v>
      </c>
      <c r="T57" s="7">
        <f t="shared" si="44"/>
        <v>27554.5</v>
      </c>
      <c r="U57" s="19">
        <v>27444</v>
      </c>
      <c r="V57">
        <f>U57</f>
        <v>27444</v>
      </c>
      <c r="W57">
        <f t="shared" ref="W57:X57" si="101">V57</f>
        <v>27444</v>
      </c>
      <c r="X57">
        <f t="shared" si="101"/>
        <v>27444</v>
      </c>
      <c r="Z57">
        <f>X57</f>
        <v>27444</v>
      </c>
      <c r="AA57">
        <f t="shared" ref="AA57:AC57" si="102">Z57</f>
        <v>27444</v>
      </c>
      <c r="AB57">
        <f t="shared" si="102"/>
        <v>27444</v>
      </c>
      <c r="AC57">
        <f t="shared" si="102"/>
        <v>27444</v>
      </c>
    </row>
    <row r="58" spans="1:29" x14ac:dyDescent="0.2">
      <c r="A58" s="44" t="s">
        <v>60</v>
      </c>
      <c r="B58" s="61">
        <v>28416</v>
      </c>
      <c r="C58" s="61">
        <v>28511</v>
      </c>
      <c r="D58" s="61">
        <v>28062</v>
      </c>
      <c r="E58" s="61">
        <v>27710</v>
      </c>
      <c r="F58" s="60">
        <f>AVERAGE(U58:X58)</f>
        <v>27647.9765625</v>
      </c>
      <c r="G58" s="60">
        <f>AVERAGE(U58:Y58)</f>
        <v>27647.9765625</v>
      </c>
      <c r="H58" s="6"/>
      <c r="I58" s="6"/>
      <c r="J58" s="6"/>
      <c r="K58" s="19">
        <v>28301</v>
      </c>
      <c r="L58" s="19">
        <v>28092</v>
      </c>
      <c r="M58" s="19">
        <v>27956</v>
      </c>
      <c r="N58" s="19">
        <v>27899</v>
      </c>
      <c r="O58" s="19"/>
      <c r="P58" s="19">
        <v>27788</v>
      </c>
      <c r="Q58" s="19">
        <v>27747</v>
      </c>
      <c r="R58" s="19">
        <v>27681</v>
      </c>
      <c r="S58" s="19">
        <v>27621</v>
      </c>
      <c r="T58" s="7">
        <f t="shared" si="44"/>
        <v>27709.25</v>
      </c>
      <c r="U58" s="19">
        <v>27624</v>
      </c>
      <c r="V58" s="13">
        <f>AVERAGE(T58:U58)</f>
        <v>27666.625</v>
      </c>
      <c r="W58" s="13">
        <f t="shared" ref="W58:X58" si="103">AVERAGE(U58:V58)</f>
        <v>27645.3125</v>
      </c>
      <c r="X58" s="13">
        <f t="shared" si="103"/>
        <v>27655.96875</v>
      </c>
      <c r="Z58" s="13">
        <f t="shared" ref="Z58:AC58" si="104">AVERAGE(X58:Y58)</f>
        <v>27655.96875</v>
      </c>
      <c r="AA58" s="13">
        <f t="shared" si="104"/>
        <v>27655.96875</v>
      </c>
      <c r="AB58" s="13">
        <f t="shared" si="104"/>
        <v>27655.96875</v>
      </c>
      <c r="AC58" s="13">
        <f t="shared" si="104"/>
        <v>27655.96875</v>
      </c>
    </row>
    <row r="59" spans="1:29" x14ac:dyDescent="0.2">
      <c r="A59" s="44" t="s">
        <v>75</v>
      </c>
      <c r="B59" s="61"/>
      <c r="E59" s="61"/>
      <c r="F59" s="61"/>
      <c r="G59" s="61"/>
      <c r="H59" s="6"/>
      <c r="I59" s="6"/>
      <c r="J59" s="6"/>
      <c r="K59" s="19"/>
      <c r="L59" s="19"/>
      <c r="M59" s="19"/>
      <c r="N59" s="19"/>
      <c r="O59" s="19"/>
      <c r="P59" s="19"/>
      <c r="Q59" s="19"/>
      <c r="R59" s="19"/>
      <c r="S59" s="19"/>
      <c r="T59" s="7"/>
    </row>
    <row r="60" spans="1:29" x14ac:dyDescent="0.2">
      <c r="A60" s="44" t="s">
        <v>76</v>
      </c>
      <c r="B60" s="61"/>
      <c r="C60" s="61"/>
      <c r="D60" s="67">
        <v>-2534</v>
      </c>
      <c r="E60" s="67">
        <v>1231</v>
      </c>
      <c r="F60" s="67"/>
      <c r="G60" s="67"/>
      <c r="H60" s="6"/>
      <c r="I60" s="6"/>
      <c r="J60" s="6"/>
      <c r="K60" s="19">
        <v>195</v>
      </c>
      <c r="L60" s="19">
        <v>-1480</v>
      </c>
      <c r="M60" s="19">
        <v>-2257</v>
      </c>
      <c r="N60" s="19"/>
      <c r="O60" s="19"/>
      <c r="P60" s="19">
        <v>457</v>
      </c>
      <c r="Q60" s="19">
        <v>479</v>
      </c>
      <c r="R60" s="19">
        <v>-1128</v>
      </c>
      <c r="S60" s="19">
        <v>0</v>
      </c>
      <c r="T60" s="7">
        <f>AVERAGE(P60:S60)</f>
        <v>-48</v>
      </c>
    </row>
    <row r="61" spans="1:29" x14ac:dyDescent="0.2">
      <c r="A61" s="44" t="s">
        <v>77</v>
      </c>
      <c r="D61" s="59">
        <v>896567</v>
      </c>
      <c r="E61" s="59">
        <v>1229968</v>
      </c>
      <c r="F61" s="67"/>
      <c r="G61" s="67"/>
      <c r="H61" s="6"/>
      <c r="I61" s="6"/>
      <c r="J61" s="6"/>
      <c r="K61" s="19">
        <v>158489</v>
      </c>
      <c r="L61" s="19">
        <f>L51+L60</f>
        <v>258462</v>
      </c>
      <c r="M61" s="19">
        <f>M51+M60</f>
        <v>254881</v>
      </c>
      <c r="N61" s="19"/>
      <c r="O61" s="19"/>
      <c r="P61" s="19">
        <f t="shared" ref="P61:Q61" si="105">P51+P60</f>
        <v>292101</v>
      </c>
      <c r="Q61" s="19">
        <f t="shared" si="105"/>
        <v>342269</v>
      </c>
      <c r="R61" s="19">
        <f>R51+R60</f>
        <v>312089</v>
      </c>
      <c r="S61" s="19">
        <f>S51+S60</f>
        <v>282086</v>
      </c>
      <c r="T61" s="25">
        <f>AVERAGE(P61:R61)</f>
        <v>315486.33333333331</v>
      </c>
      <c r="U61" s="19">
        <f>U51+U60</f>
        <v>359287</v>
      </c>
      <c r="V61" s="19">
        <f t="shared" ref="V61:X61" si="106">V51+V60</f>
        <v>333235.625</v>
      </c>
      <c r="W61" s="19">
        <f t="shared" si="106"/>
        <v>346261.3125</v>
      </c>
      <c r="X61" s="19">
        <f t="shared" si="106"/>
        <v>339748.46875</v>
      </c>
      <c r="Z61" s="19">
        <f t="shared" ref="Z61:AC61" si="107">Z51+Z60</f>
        <v>339748.46875</v>
      </c>
      <c r="AA61" s="19">
        <f t="shared" si="107"/>
        <v>339748.46875</v>
      </c>
      <c r="AB61" s="19">
        <f t="shared" si="107"/>
        <v>339748.46875</v>
      </c>
      <c r="AC61" s="19">
        <f t="shared" si="107"/>
        <v>339748.46875</v>
      </c>
    </row>
    <row r="62" spans="1:29" x14ac:dyDescent="0.2">
      <c r="A62" s="46"/>
      <c r="D62" s="59"/>
      <c r="G62" s="68"/>
      <c r="H62" s="6"/>
      <c r="I62" s="6"/>
      <c r="J62" s="6"/>
      <c r="K62" s="19"/>
      <c r="L62" s="19"/>
      <c r="M62" s="19"/>
      <c r="N62" s="19"/>
      <c r="O62" s="19"/>
      <c r="P62" s="19"/>
      <c r="Q62" s="19"/>
      <c r="R62" s="19"/>
      <c r="S62" s="19"/>
      <c r="T62" s="25"/>
    </row>
    <row r="63" spans="1:29" x14ac:dyDescent="0.2">
      <c r="A63" s="46" t="s">
        <v>18</v>
      </c>
      <c r="D63" s="59"/>
      <c r="G63" s="68"/>
      <c r="H63" s="6"/>
      <c r="I63" s="6"/>
      <c r="J63" s="6"/>
      <c r="K63" s="19"/>
      <c r="L63" s="19"/>
      <c r="M63" s="19"/>
      <c r="N63" s="19"/>
      <c r="O63" s="18"/>
      <c r="P63" s="18"/>
      <c r="Q63" s="18"/>
      <c r="R63" s="18"/>
      <c r="S63" s="18"/>
      <c r="T63" s="25"/>
    </row>
    <row r="64" spans="1:29" x14ac:dyDescent="0.2">
      <c r="A64" s="44" t="s">
        <v>20</v>
      </c>
      <c r="B64" s="69">
        <f t="shared" ref="B64:G64" si="108">((B34-B37-B38-B39)/B34)*100%</f>
        <v>0.34606844796189706</v>
      </c>
      <c r="C64" s="69">
        <f t="shared" si="108"/>
        <v>0.38479389526598501</v>
      </c>
      <c r="D64" s="69">
        <f t="shared" si="108"/>
        <v>0.39075390646895786</v>
      </c>
      <c r="E64" s="69">
        <f t="shared" si="108"/>
        <v>0.40670398633500848</v>
      </c>
      <c r="F64" s="69">
        <f t="shared" si="108"/>
        <v>0.40949999999999992</v>
      </c>
      <c r="G64" s="69">
        <f t="shared" si="108"/>
        <v>0.42499999999999993</v>
      </c>
      <c r="H64" s="6"/>
      <c r="I64" s="6"/>
      <c r="J64" s="6"/>
      <c r="K64" s="19"/>
      <c r="L64" s="19"/>
      <c r="M64" s="19"/>
      <c r="N64" s="19"/>
      <c r="O64" s="18"/>
      <c r="P64" s="18"/>
      <c r="Q64" s="18"/>
      <c r="R64" s="18"/>
      <c r="S64" s="18"/>
      <c r="T64" s="25"/>
    </row>
    <row r="65" spans="1:20" x14ac:dyDescent="0.2">
      <c r="A65" s="44" t="s">
        <v>19</v>
      </c>
      <c r="B65" s="69">
        <f t="shared" ref="B65:G65" si="109">(B47/B34)*100%</f>
        <v>4.8484836332514235E-2</v>
      </c>
      <c r="C65" s="69">
        <f t="shared" si="109"/>
        <v>0.10665648521987565</v>
      </c>
      <c r="D65" s="69">
        <f t="shared" si="109"/>
        <v>0.13438908713402695</v>
      </c>
      <c r="E65" s="69">
        <f t="shared" si="109"/>
        <v>0.15780676561737558</v>
      </c>
      <c r="F65" s="69">
        <f t="shared" si="109"/>
        <v>0.14260235895195775</v>
      </c>
      <c r="G65" s="69">
        <f t="shared" si="109"/>
        <v>0.12890660920698627</v>
      </c>
      <c r="H65" s="6"/>
      <c r="I65" s="6"/>
      <c r="J65" s="6"/>
      <c r="K65" s="19"/>
      <c r="L65" s="19"/>
      <c r="M65" s="19"/>
      <c r="N65" s="19"/>
      <c r="O65" s="18"/>
      <c r="P65" s="18"/>
      <c r="Q65" s="18"/>
      <c r="R65" s="18"/>
      <c r="S65" s="18"/>
      <c r="T65" s="25"/>
    </row>
    <row r="66" spans="1:20" x14ac:dyDescent="0.2">
      <c r="A66" s="44" t="s">
        <v>21</v>
      </c>
      <c r="B66" s="69">
        <f t="shared" ref="B66:G66" si="110">(B51/B34)*100%</f>
        <v>5.9446576014506487E-2</v>
      </c>
      <c r="C66" s="69">
        <f t="shared" si="110"/>
        <v>8.6521627425563408E-2</v>
      </c>
      <c r="D66" s="69">
        <f t="shared" si="110"/>
        <v>0.1041270684678433</v>
      </c>
      <c r="E66" s="69">
        <f t="shared" si="110"/>
        <v>0.12447130160320732</v>
      </c>
      <c r="F66" s="69">
        <f t="shared" si="110"/>
        <v>0.15388073747744641</v>
      </c>
      <c r="G66" s="69">
        <f t="shared" si="110"/>
        <v>0.1901583733601469</v>
      </c>
      <c r="H66" s="9"/>
      <c r="I66" s="9"/>
      <c r="J66" s="9"/>
      <c r="K66" s="18"/>
      <c r="L66" s="18"/>
      <c r="M66" s="18"/>
      <c r="N66" s="18"/>
      <c r="O66" s="18"/>
      <c r="P66" s="18"/>
      <c r="Q66" s="18"/>
      <c r="R66" s="18"/>
      <c r="S66" s="18"/>
      <c r="T66" s="25"/>
    </row>
    <row r="67" spans="1:20" x14ac:dyDescent="0.2">
      <c r="A67" s="44" t="s">
        <v>78</v>
      </c>
      <c r="B67" s="70">
        <f t="shared" ref="B67:G67" si="111">B30/B10</f>
        <v>2138.9252167630057</v>
      </c>
      <c r="C67" s="70">
        <f t="shared" si="111"/>
        <v>2514.2174645987861</v>
      </c>
      <c r="D67" s="70">
        <f t="shared" si="111"/>
        <v>2685.2842798870411</v>
      </c>
      <c r="E67" s="70">
        <f t="shared" si="111"/>
        <v>2852.5237125400058</v>
      </c>
      <c r="F67" s="70">
        <f t="shared" si="111"/>
        <v>3016.5016893466827</v>
      </c>
      <c r="G67" s="70">
        <f t="shared" si="111"/>
        <v>3188.6801302591157</v>
      </c>
      <c r="H67" s="9"/>
      <c r="I67" s="9"/>
      <c r="J67" s="9"/>
      <c r="K67" s="18"/>
      <c r="L67" s="18"/>
      <c r="M67" s="18"/>
      <c r="N67" s="18"/>
      <c r="O67" s="18"/>
      <c r="P67" s="18"/>
      <c r="Q67" s="18"/>
      <c r="R67" s="18"/>
      <c r="S67" s="18"/>
      <c r="T67" s="25"/>
    </row>
    <row r="68" spans="1:20" x14ac:dyDescent="0.2">
      <c r="A68" s="44" t="s">
        <v>79</v>
      </c>
      <c r="B68" s="70">
        <f t="shared" ref="B68:G68" si="112">B32/B10</f>
        <v>23.153540462427745</v>
      </c>
      <c r="C68" s="70">
        <f t="shared" si="112"/>
        <v>30.307484828051248</v>
      </c>
      <c r="D68" s="70">
        <f t="shared" si="112"/>
        <v>24.051145277690619</v>
      </c>
      <c r="E68" s="70">
        <f t="shared" si="112"/>
        <v>19.646494035496072</v>
      </c>
      <c r="F68" s="70">
        <f t="shared" si="112"/>
        <v>19.128322756963129</v>
      </c>
      <c r="G68" s="70">
        <f t="shared" si="112"/>
        <v>18.623818113984161</v>
      </c>
      <c r="H68" s="9"/>
      <c r="I68" s="9"/>
      <c r="J68" s="9"/>
      <c r="K68" s="18"/>
      <c r="L68" s="18"/>
      <c r="M68" s="18"/>
      <c r="N68" s="18"/>
      <c r="O68" s="18"/>
      <c r="P68" s="18"/>
      <c r="Q68" s="18"/>
      <c r="R68" s="18"/>
      <c r="S68" s="18"/>
      <c r="T68" s="25"/>
    </row>
    <row r="69" spans="1:20" x14ac:dyDescent="0.2">
      <c r="A69" s="44" t="s">
        <v>80</v>
      </c>
      <c r="B69" s="71">
        <f t="shared" ref="B69:G69" si="113">B34/B10</f>
        <v>2162.0787572254335</v>
      </c>
      <c r="C69" s="71">
        <f t="shared" si="113"/>
        <v>2544.5249494268373</v>
      </c>
      <c r="D69" s="71">
        <f t="shared" si="113"/>
        <v>2709.3354251647315</v>
      </c>
      <c r="E69" s="71">
        <f t="shared" si="113"/>
        <v>2872.1702065755021</v>
      </c>
      <c r="F69" s="71">
        <f t="shared" si="113"/>
        <v>3035.6300121036461</v>
      </c>
      <c r="G69" s="71">
        <f t="shared" si="113"/>
        <v>3207.3039483731</v>
      </c>
      <c r="H69" s="9"/>
      <c r="I69" s="9"/>
      <c r="J69" s="9"/>
      <c r="K69" s="18"/>
      <c r="L69" s="18"/>
      <c r="M69" s="18"/>
      <c r="N69" s="18"/>
      <c r="O69" s="18"/>
      <c r="P69" s="18"/>
      <c r="Q69" s="18"/>
      <c r="R69" s="18"/>
      <c r="S69" s="18"/>
      <c r="T69" s="25"/>
    </row>
    <row r="70" spans="1:20" x14ac:dyDescent="0.2">
      <c r="H70" s="9"/>
      <c r="I70" s="9"/>
      <c r="J70" s="9"/>
      <c r="K70" s="18"/>
      <c r="L70" s="18"/>
      <c r="M70" s="18"/>
      <c r="N70" s="18"/>
      <c r="O70" s="18"/>
      <c r="P70" s="18"/>
      <c r="Q70" s="18"/>
      <c r="R70" s="18"/>
      <c r="S70" s="18"/>
      <c r="T70" s="25"/>
    </row>
    <row r="71" spans="1:20" x14ac:dyDescent="0.2">
      <c r="A71" s="46"/>
      <c r="B71" s="68"/>
      <c r="C71" s="68"/>
      <c r="D71" s="68"/>
      <c r="E71" s="68"/>
      <c r="F71" s="68"/>
      <c r="G71" s="68"/>
      <c r="H71" s="9"/>
      <c r="I71" s="9"/>
      <c r="J71" s="9"/>
      <c r="K71" s="18"/>
      <c r="L71" s="18"/>
      <c r="M71" s="18"/>
      <c r="N71" s="18"/>
    </row>
    <row r="72" spans="1:20" x14ac:dyDescent="0.2">
      <c r="A72" s="58" t="s">
        <v>2</v>
      </c>
      <c r="F72" s="48"/>
      <c r="G72" s="48"/>
      <c r="H72" s="9"/>
      <c r="I72" s="9"/>
      <c r="J72" s="9"/>
      <c r="K72" s="18"/>
      <c r="L72" s="18"/>
      <c r="M72" s="18"/>
      <c r="N72" s="18"/>
    </row>
    <row r="73" spans="1:20" x14ac:dyDescent="0.2">
      <c r="A73" s="44" t="s">
        <v>150</v>
      </c>
      <c r="B73" s="72">
        <v>355766</v>
      </c>
      <c r="C73" s="72">
        <f>652984</f>
        <v>652984</v>
      </c>
      <c r="D73" s="72">
        <v>899101</v>
      </c>
      <c r="E73" s="72">
        <v>1228737</v>
      </c>
      <c r="F73" s="72">
        <f>F51</f>
        <v>1731450.5699999998</v>
      </c>
      <c r="G73" s="72">
        <f>G51</f>
        <v>2437979.4584999993</v>
      </c>
      <c r="H73" s="9"/>
      <c r="I73" s="9"/>
      <c r="J73" s="9"/>
      <c r="K73" s="18"/>
      <c r="L73" s="18"/>
      <c r="M73" s="18"/>
      <c r="N73" s="18"/>
    </row>
    <row r="74" spans="1:20" x14ac:dyDescent="0.2">
      <c r="A74" s="44" t="s">
        <v>157</v>
      </c>
      <c r="B74" s="72">
        <v>238534</v>
      </c>
      <c r="C74" s="72">
        <v>254657</v>
      </c>
      <c r="D74" s="72">
        <v>286826</v>
      </c>
      <c r="E74" s="72">
        <v>319394</v>
      </c>
      <c r="F74" s="72">
        <f t="shared" ref="F74:G74" si="114">E74*1.03</f>
        <v>328975.82</v>
      </c>
      <c r="G74" s="72">
        <f t="shared" si="114"/>
        <v>338845.09460000001</v>
      </c>
      <c r="O74" s="20"/>
      <c r="P74" s="20"/>
      <c r="Q74" s="20"/>
      <c r="R74" s="20"/>
      <c r="S74" s="20"/>
      <c r="T74" s="26"/>
    </row>
    <row r="75" spans="1:20" x14ac:dyDescent="0.2">
      <c r="A75" s="44" t="s">
        <v>151</v>
      </c>
      <c r="B75" s="73">
        <v>3643</v>
      </c>
      <c r="C75" s="73">
        <v>-4599</v>
      </c>
      <c r="D75" s="73">
        <v>-16202</v>
      </c>
      <c r="E75" s="73">
        <v>-13080</v>
      </c>
      <c r="F75" s="73">
        <v>-13200</v>
      </c>
      <c r="G75" s="73">
        <v>-13200</v>
      </c>
      <c r="O75" s="20"/>
      <c r="P75" s="20"/>
      <c r="Q75" s="20"/>
      <c r="R75" s="20"/>
      <c r="S75" s="20"/>
      <c r="T75" s="26"/>
    </row>
    <row r="76" spans="1:20" x14ac:dyDescent="0.2">
      <c r="A76" s="44" t="s">
        <v>158</v>
      </c>
      <c r="B76" s="74">
        <v>-338648</v>
      </c>
      <c r="C76" s="74">
        <f>-1687+-6392+-26826+223837+3993+21440+44555+10997+34387+193379+-207164+-3984</f>
        <v>286535</v>
      </c>
      <c r="D76" s="74">
        <v>78641</v>
      </c>
      <c r="E76" s="74">
        <v>95320</v>
      </c>
      <c r="F76" s="74">
        <v>81840.5</v>
      </c>
      <c r="G76" s="74">
        <v>94892.63</v>
      </c>
      <c r="O76" s="20"/>
      <c r="P76" s="20"/>
      <c r="Q76" s="20"/>
      <c r="R76" s="20"/>
      <c r="S76" s="20"/>
      <c r="T76" s="26"/>
    </row>
    <row r="77" spans="1:20" x14ac:dyDescent="0.2">
      <c r="A77" s="44" t="s">
        <v>178</v>
      </c>
      <c r="B77" s="74">
        <v>663847</v>
      </c>
      <c r="C77" s="74">
        <v>1282081</v>
      </c>
      <c r="D77" s="74">
        <v>1323179</v>
      </c>
      <c r="E77" s="74">
        <v>1783477</v>
      </c>
      <c r="F77" s="74">
        <f>SUM(F73:F75)-F76</f>
        <v>1965385.89</v>
      </c>
      <c r="G77" s="74">
        <f>SUM(G73:G75)-G76</f>
        <v>2668731.9230999993</v>
      </c>
      <c r="O77" s="20"/>
      <c r="P77" s="20"/>
      <c r="Q77" s="20"/>
      <c r="R77" s="20"/>
      <c r="S77" s="20"/>
      <c r="T77" s="26"/>
    </row>
    <row r="78" spans="1:20" x14ac:dyDescent="0.2">
      <c r="A78" s="46" t="s">
        <v>180</v>
      </c>
      <c r="B78" s="74"/>
      <c r="C78" s="74"/>
      <c r="D78" s="74"/>
      <c r="E78" s="74"/>
      <c r="F78" s="74"/>
      <c r="G78" s="74"/>
      <c r="O78" s="20"/>
      <c r="P78" s="20"/>
      <c r="Q78" s="20"/>
      <c r="R78" s="20"/>
      <c r="S78" s="20"/>
      <c r="T78" s="26"/>
    </row>
    <row r="79" spans="1:20" x14ac:dyDescent="0.2">
      <c r="A79" s="44" t="s">
        <v>152</v>
      </c>
      <c r="B79" s="73">
        <v>-373352</v>
      </c>
      <c r="C79" s="73">
        <v>-442475</v>
      </c>
      <c r="D79" s="73">
        <v>-479164</v>
      </c>
      <c r="E79" s="73">
        <v>-560731</v>
      </c>
      <c r="F79" s="73">
        <v>-650000</v>
      </c>
      <c r="G79" s="73">
        <v>-760000</v>
      </c>
      <c r="O79" s="20"/>
      <c r="P79" s="20"/>
      <c r="Q79" s="20"/>
      <c r="R79" s="20"/>
      <c r="S79" s="20"/>
      <c r="T79" s="26"/>
    </row>
    <row r="80" spans="1:20" x14ac:dyDescent="0.2">
      <c r="A80" s="44" t="s">
        <v>179</v>
      </c>
      <c r="B80" s="75">
        <f>B79+B77</f>
        <v>290495</v>
      </c>
      <c r="C80" s="75">
        <f t="shared" ref="C80:G80" si="115">C79+C77</f>
        <v>839606</v>
      </c>
      <c r="D80" s="75">
        <f t="shared" si="115"/>
        <v>844015</v>
      </c>
      <c r="E80" s="75">
        <f t="shared" si="115"/>
        <v>1222746</v>
      </c>
      <c r="F80" s="75">
        <f t="shared" si="115"/>
        <v>1315385.8899999999</v>
      </c>
      <c r="G80" s="75">
        <f t="shared" si="115"/>
        <v>1908731.9230999993</v>
      </c>
      <c r="J80" s="2"/>
      <c r="K80" s="20"/>
      <c r="L80" s="20"/>
      <c r="M80" s="20"/>
      <c r="N80" s="20"/>
      <c r="R80" s="5"/>
      <c r="S80" s="5"/>
      <c r="T80" s="10"/>
    </row>
    <row r="81" spans="1:20" x14ac:dyDescent="0.2">
      <c r="A81" s="44" t="s">
        <v>154</v>
      </c>
      <c r="B81" s="75">
        <v>0</v>
      </c>
      <c r="C81" s="75">
        <v>0</v>
      </c>
      <c r="D81" s="75">
        <v>0</v>
      </c>
      <c r="E81" s="75">
        <v>0</v>
      </c>
      <c r="F81" s="75">
        <v>0</v>
      </c>
      <c r="G81" s="75">
        <v>0</v>
      </c>
      <c r="J81" s="2"/>
      <c r="K81" s="20"/>
      <c r="L81" s="20"/>
      <c r="M81" s="20"/>
      <c r="N81" s="20"/>
      <c r="R81" s="5"/>
      <c r="S81" s="5"/>
      <c r="T81" s="10"/>
    </row>
    <row r="82" spans="1:20" x14ac:dyDescent="0.2">
      <c r="A82" s="44" t="s">
        <v>183</v>
      </c>
      <c r="B82" s="75">
        <v>0</v>
      </c>
      <c r="C82" s="75">
        <v>0</v>
      </c>
      <c r="D82" s="75">
        <v>0</v>
      </c>
      <c r="E82" s="75">
        <v>0</v>
      </c>
      <c r="F82" s="75">
        <v>0</v>
      </c>
      <c r="G82" s="75">
        <v>0</v>
      </c>
      <c r="J82" s="2"/>
      <c r="K82" s="20"/>
      <c r="L82" s="20"/>
      <c r="M82" s="20"/>
      <c r="N82" s="20"/>
      <c r="O82" s="4"/>
      <c r="P82" s="4"/>
      <c r="Q82" s="4"/>
      <c r="R82" s="5"/>
      <c r="S82" s="5"/>
      <c r="T82" s="10"/>
    </row>
    <row r="83" spans="1:20" x14ac:dyDescent="0.2">
      <c r="A83" s="44" t="s">
        <v>182</v>
      </c>
      <c r="B83" s="75">
        <v>0</v>
      </c>
      <c r="C83" s="75">
        <v>0</v>
      </c>
      <c r="D83" s="75">
        <v>0</v>
      </c>
      <c r="E83" s="75">
        <v>0</v>
      </c>
      <c r="F83" s="75">
        <v>0</v>
      </c>
      <c r="G83" s="75">
        <v>0</v>
      </c>
      <c r="J83" s="2"/>
      <c r="K83" s="20"/>
      <c r="L83" s="20"/>
      <c r="M83" s="20"/>
      <c r="N83" s="20"/>
      <c r="O83" s="2"/>
      <c r="P83" s="2"/>
      <c r="Q83" s="2"/>
      <c r="R83" s="2"/>
      <c r="S83" s="2"/>
      <c r="T83" s="27"/>
    </row>
    <row r="84" spans="1:20" x14ac:dyDescent="0.2">
      <c r="A84" s="44" t="s">
        <v>181</v>
      </c>
      <c r="B84" s="73">
        <f>-468418+419078</f>
        <v>-49340</v>
      </c>
      <c r="C84" s="73">
        <f>-429350+345748</f>
        <v>-83602</v>
      </c>
      <c r="D84" s="73">
        <f>-614416+263548</f>
        <v>-350868</v>
      </c>
      <c r="E84" s="73">
        <f>-1115131+729853</f>
        <v>-385278</v>
      </c>
      <c r="F84" s="73">
        <v>-400000</v>
      </c>
      <c r="G84" s="73">
        <v>-400000</v>
      </c>
      <c r="J84" s="2"/>
      <c r="K84" s="20"/>
      <c r="L84" s="20"/>
      <c r="M84" s="20"/>
      <c r="N84" s="20"/>
      <c r="O84" s="2"/>
      <c r="P84" s="2"/>
      <c r="Q84" s="2"/>
      <c r="R84" s="2"/>
      <c r="S84" s="2"/>
      <c r="T84" s="27"/>
    </row>
    <row r="85" spans="1:20" x14ac:dyDescent="0.2">
      <c r="A85" s="44" t="s">
        <v>184</v>
      </c>
      <c r="B85" s="73">
        <v>-64401</v>
      </c>
      <c r="C85" s="73">
        <v>-466462</v>
      </c>
      <c r="D85" s="73">
        <v>-830140</v>
      </c>
      <c r="E85" s="73">
        <v>-592349</v>
      </c>
      <c r="F85" s="73">
        <v>-600000</v>
      </c>
      <c r="G85" s="73">
        <v>-600000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7"/>
    </row>
    <row r="86" spans="1:20" x14ac:dyDescent="0.2">
      <c r="A86" s="44" t="s">
        <v>161</v>
      </c>
      <c r="B86" s="73">
        <f>-1895+1076</f>
        <v>-819</v>
      </c>
      <c r="C86" s="75">
        <f>-2274+-1039</f>
        <v>-3313</v>
      </c>
      <c r="D86" s="75">
        <f>-294+-1007</f>
        <v>-1301</v>
      </c>
      <c r="E86" s="73">
        <f>843+381</f>
        <v>1224</v>
      </c>
      <c r="F86" s="73">
        <v>1000</v>
      </c>
      <c r="G86" s="73">
        <v>1000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7"/>
    </row>
    <row r="87" spans="1:20" x14ac:dyDescent="0.2">
      <c r="B87" s="75"/>
      <c r="C87" s="75"/>
      <c r="D87" s="75"/>
      <c r="E87" s="75"/>
      <c r="F87" s="75"/>
      <c r="G87" s="75"/>
      <c r="J87" s="2"/>
      <c r="K87" s="2"/>
      <c r="L87" s="2"/>
      <c r="M87" s="2"/>
      <c r="N87" s="2"/>
      <c r="O87" s="2"/>
      <c r="P87" s="2"/>
      <c r="Q87" s="2"/>
      <c r="R87" s="2"/>
      <c r="S87" s="2"/>
      <c r="T87" s="27"/>
    </row>
    <row r="88" spans="1:20" x14ac:dyDescent="0.2">
      <c r="A88" s="44" t="s">
        <v>146</v>
      </c>
      <c r="B88" s="75">
        <f t="shared" ref="B88:G88" si="116">SUM(B81:B87)</f>
        <v>-114560</v>
      </c>
      <c r="C88" s="75">
        <f t="shared" si="116"/>
        <v>-553377</v>
      </c>
      <c r="D88" s="75">
        <f t="shared" si="116"/>
        <v>-1182309</v>
      </c>
      <c r="E88" s="75">
        <f t="shared" si="116"/>
        <v>-976403</v>
      </c>
      <c r="F88" s="75">
        <f t="shared" si="116"/>
        <v>-999000</v>
      </c>
      <c r="G88" s="75">
        <f t="shared" si="116"/>
        <v>-999000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7"/>
    </row>
    <row r="89" spans="1:20" x14ac:dyDescent="0.2">
      <c r="A89" s="44" t="s">
        <v>185</v>
      </c>
      <c r="B89" s="75">
        <f>SUM(B80:B86)</f>
        <v>175935</v>
      </c>
      <c r="C89" s="75">
        <f t="shared" ref="C89:G89" si="117">SUM(C80:C86)</f>
        <v>286229</v>
      </c>
      <c r="D89" s="75">
        <f t="shared" si="117"/>
        <v>-338294</v>
      </c>
      <c r="E89" s="75">
        <f t="shared" si="117"/>
        <v>246343</v>
      </c>
      <c r="F89" s="75">
        <f t="shared" si="117"/>
        <v>316385.8899999999</v>
      </c>
      <c r="G89" s="75">
        <f t="shared" si="117"/>
        <v>909731.92309999932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7"/>
    </row>
    <row r="90" spans="1:20" x14ac:dyDescent="0.2">
      <c r="B90" s="75"/>
      <c r="C90" s="75"/>
      <c r="D90" s="75"/>
      <c r="E90" s="75"/>
      <c r="F90" s="75"/>
      <c r="G90" s="75"/>
      <c r="J90" s="2"/>
      <c r="K90" s="2"/>
      <c r="L90" s="2"/>
      <c r="M90" s="2"/>
      <c r="N90" s="2"/>
      <c r="O90" s="2"/>
      <c r="P90" s="2"/>
      <c r="Q90" s="2"/>
      <c r="R90" s="2"/>
      <c r="S90" s="2"/>
      <c r="T90" s="27"/>
    </row>
    <row r="91" spans="1:20" x14ac:dyDescent="0.2">
      <c r="B91" s="75"/>
      <c r="C91" s="75">
        <f>C89+B96</f>
        <v>894216</v>
      </c>
      <c r="D91" s="75">
        <f>D89+C96</f>
        <v>477080</v>
      </c>
      <c r="E91" s="75">
        <f>E89+D96</f>
        <v>630343</v>
      </c>
      <c r="F91" s="75">
        <f>F89+E96</f>
        <v>876994.8899999999</v>
      </c>
      <c r="G91" s="75">
        <f>G89+F96</f>
        <v>1786726.8130999992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7"/>
    </row>
    <row r="92" spans="1:20" x14ac:dyDescent="0.2">
      <c r="J92" s="2"/>
      <c r="K92" s="2"/>
      <c r="L92" s="2"/>
      <c r="M92" s="2"/>
      <c r="N92" s="2"/>
    </row>
    <row r="93" spans="1:20" x14ac:dyDescent="0.2">
      <c r="A93" s="76" t="s">
        <v>1</v>
      </c>
      <c r="F93" s="48"/>
      <c r="G93" s="48"/>
      <c r="J93" s="2"/>
      <c r="K93" s="2"/>
      <c r="L93" s="2"/>
      <c r="M93" s="2"/>
      <c r="N93" s="2"/>
      <c r="O93" s="2"/>
      <c r="P93" s="2"/>
      <c r="Q93" s="2"/>
      <c r="R93" s="2"/>
      <c r="S93" s="2"/>
      <c r="T93" s="27"/>
    </row>
    <row r="94" spans="1:20" x14ac:dyDescent="0.2">
      <c r="A94" s="46" t="s">
        <v>4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7"/>
    </row>
    <row r="95" spans="1:20" x14ac:dyDescent="0.2">
      <c r="A95" s="44" t="s">
        <v>25</v>
      </c>
      <c r="O95" s="2"/>
      <c r="P95" s="2"/>
      <c r="Q95" s="2"/>
      <c r="R95" s="2"/>
      <c r="S95" s="2"/>
      <c r="T95" s="27"/>
    </row>
    <row r="96" spans="1:20" x14ac:dyDescent="0.2">
      <c r="A96" s="44" t="s">
        <v>6</v>
      </c>
      <c r="B96" s="62">
        <v>607987</v>
      </c>
      <c r="C96" s="62">
        <v>815374</v>
      </c>
      <c r="D96" s="62">
        <v>384000</v>
      </c>
      <c r="E96" s="62">
        <v>560609</v>
      </c>
      <c r="F96" s="62">
        <f>F89+E96</f>
        <v>876994.8899999999</v>
      </c>
      <c r="G96" s="62">
        <f>G89+F96</f>
        <v>1786726.8130999992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7"/>
    </row>
    <row r="97" spans="1:20" x14ac:dyDescent="0.2">
      <c r="A97" s="44" t="s">
        <v>7</v>
      </c>
      <c r="B97" s="62">
        <v>104500</v>
      </c>
      <c r="C97" s="52">
        <v>99599</v>
      </c>
      <c r="D97" s="52">
        <v>106880</v>
      </c>
      <c r="E97" s="52">
        <v>115535</v>
      </c>
      <c r="F97" s="52">
        <f>E97*1.08</f>
        <v>124777.8</v>
      </c>
      <c r="G97" s="52">
        <f>F97*1.08</f>
        <v>134760.024</v>
      </c>
      <c r="H97" s="2"/>
      <c r="I97" s="2"/>
      <c r="J97" s="2"/>
      <c r="K97" s="2"/>
      <c r="L97" s="2"/>
      <c r="M97" s="2"/>
      <c r="N97" s="2"/>
    </row>
    <row r="98" spans="1:20" x14ac:dyDescent="0.2">
      <c r="A98" s="44" t="s">
        <v>26</v>
      </c>
      <c r="B98" s="52">
        <v>26445</v>
      </c>
      <c r="C98" s="52">
        <v>32826</v>
      </c>
      <c r="D98" s="52">
        <v>35668</v>
      </c>
      <c r="E98" s="52">
        <v>39309</v>
      </c>
      <c r="F98" s="52">
        <f>E98*1.1</f>
        <v>43239.9</v>
      </c>
      <c r="G98" s="52">
        <f>F98*1.1</f>
        <v>47563.890000000007</v>
      </c>
      <c r="H98" s="2"/>
      <c r="I98" s="2"/>
      <c r="J98" s="2"/>
      <c r="K98" s="2"/>
      <c r="L98" s="2"/>
      <c r="M98" s="2"/>
      <c r="N98" s="2"/>
    </row>
    <row r="99" spans="1:20" x14ac:dyDescent="0.2">
      <c r="A99" s="44" t="s">
        <v>151</v>
      </c>
      <c r="B99" s="52">
        <v>681305</v>
      </c>
      <c r="C99" s="52">
        <v>433765</v>
      </c>
      <c r="D99" s="52">
        <v>649289</v>
      </c>
      <c r="E99" s="52">
        <v>905260</v>
      </c>
      <c r="F99" s="52">
        <v>1160372.8999999999</v>
      </c>
      <c r="G99" s="52">
        <v>1489492.1950000001</v>
      </c>
      <c r="H99" s="2"/>
      <c r="I99" s="2"/>
      <c r="J99" s="2"/>
      <c r="K99" s="2"/>
      <c r="L99" s="2"/>
      <c r="M99" s="2"/>
      <c r="N99" s="2"/>
    </row>
    <row r="100" spans="1:20" x14ac:dyDescent="0.2">
      <c r="A100" s="46" t="s">
        <v>5</v>
      </c>
      <c r="B100" s="63">
        <v>1420237</v>
      </c>
      <c r="C100" s="63">
        <v>1381564</v>
      </c>
      <c r="D100" s="63">
        <v>1175837</v>
      </c>
      <c r="E100" s="63">
        <v>1620713</v>
      </c>
      <c r="F100" s="63">
        <f>SUM(F96:F99)</f>
        <v>2205385.4899999998</v>
      </c>
      <c r="G100" s="63">
        <f>SUM(G96:G99)</f>
        <v>3458542.9220999992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7"/>
    </row>
    <row r="101" spans="1:20" x14ac:dyDescent="0.2">
      <c r="A101" s="44" t="s">
        <v>27</v>
      </c>
      <c r="B101" s="52">
        <v>1584311</v>
      </c>
      <c r="C101" s="52">
        <v>1769278</v>
      </c>
      <c r="D101" s="52">
        <v>1951147</v>
      </c>
      <c r="E101" s="52">
        <v>2170038</v>
      </c>
      <c r="F101" s="52">
        <f>E101*1.1</f>
        <v>2387041.8000000003</v>
      </c>
      <c r="G101" s="52">
        <f>F101*1.1</f>
        <v>2625745.9800000004</v>
      </c>
      <c r="H101" s="2"/>
      <c r="I101" s="2"/>
      <c r="J101" s="2"/>
      <c r="K101" s="2"/>
      <c r="L101" s="2"/>
      <c r="M101" s="2"/>
      <c r="N101" s="2"/>
    </row>
    <row r="102" spans="1:20" x14ac:dyDescent="0.2">
      <c r="A102" s="44" t="s">
        <v>28</v>
      </c>
      <c r="B102" s="52">
        <v>2767185</v>
      </c>
      <c r="C102" s="52">
        <v>3118294</v>
      </c>
      <c r="D102" s="52">
        <v>3302402</v>
      </c>
      <c r="E102" s="52">
        <v>3578548</v>
      </c>
      <c r="F102" s="52">
        <f>E102*1.07</f>
        <v>3829046.3600000003</v>
      </c>
      <c r="G102" s="52">
        <f>F102*1.07</f>
        <v>4097079.6052000006</v>
      </c>
    </row>
    <row r="103" spans="1:20" x14ac:dyDescent="0.2">
      <c r="A103" s="44" t="s">
        <v>8</v>
      </c>
      <c r="B103" s="52">
        <v>59047</v>
      </c>
      <c r="C103" s="52">
        <v>56716</v>
      </c>
      <c r="D103" s="52">
        <v>63158</v>
      </c>
      <c r="E103" s="52">
        <v>63082</v>
      </c>
      <c r="F103" s="52">
        <f>E103</f>
        <v>63082</v>
      </c>
      <c r="G103" s="52">
        <f>F103</f>
        <v>63082</v>
      </c>
    </row>
    <row r="104" spans="1:20" x14ac:dyDescent="0.2">
      <c r="A104" s="46" t="s">
        <v>9</v>
      </c>
      <c r="B104" s="63">
        <v>5982896</v>
      </c>
      <c r="C104" s="63">
        <v>6652958</v>
      </c>
      <c r="D104" s="63">
        <v>6927504</v>
      </c>
      <c r="E104" s="63">
        <v>8044362</v>
      </c>
      <c r="F104" s="63">
        <f>SUM(F100+SUM(F101:F103))</f>
        <v>8484555.6500000004</v>
      </c>
      <c r="G104" s="63">
        <f>SUM(G100+SUM(G101:G103))</f>
        <v>10244450.507300001</v>
      </c>
    </row>
    <row r="105" spans="1:20" x14ac:dyDescent="0.2">
      <c r="A105" s="46" t="s">
        <v>29</v>
      </c>
      <c r="B105" s="61"/>
      <c r="C105" s="61"/>
      <c r="D105" s="61"/>
      <c r="E105" s="61"/>
      <c r="F105" s="61"/>
      <c r="G105" s="61"/>
    </row>
    <row r="106" spans="1:20" x14ac:dyDescent="0.2">
      <c r="A106" s="44" t="s">
        <v>10</v>
      </c>
      <c r="B106" s="61"/>
      <c r="D106" s="61"/>
      <c r="E106" s="61"/>
      <c r="F106" s="61"/>
      <c r="G106" s="61"/>
    </row>
    <row r="107" spans="1:20" x14ac:dyDescent="0.2">
      <c r="A107" s="44" t="s">
        <v>16</v>
      </c>
      <c r="B107" s="67">
        <v>121990</v>
      </c>
      <c r="C107" s="59">
        <v>163161</v>
      </c>
      <c r="D107" s="67">
        <v>184566</v>
      </c>
      <c r="E107" s="67">
        <v>197646</v>
      </c>
      <c r="F107" s="67">
        <f>E107*1.08</f>
        <v>213457.68000000002</v>
      </c>
      <c r="G107" s="67">
        <f t="shared" ref="G107" si="118">F107*1.08</f>
        <v>230534.29440000004</v>
      </c>
    </row>
    <row r="108" spans="1:20" x14ac:dyDescent="0.2">
      <c r="A108" s="44" t="s">
        <v>30</v>
      </c>
      <c r="B108" s="52">
        <v>164649</v>
      </c>
      <c r="C108" s="52">
        <v>173052</v>
      </c>
      <c r="D108" s="52">
        <v>147539</v>
      </c>
      <c r="E108" s="52">
        <v>147688</v>
      </c>
      <c r="F108" s="52">
        <f>E108*1.05</f>
        <v>155072.4</v>
      </c>
      <c r="G108" s="52">
        <f>F108*1.05</f>
        <v>162826.01999999999</v>
      </c>
    </row>
    <row r="109" spans="1:20" x14ac:dyDescent="0.2">
      <c r="A109" s="44" t="s">
        <v>31</v>
      </c>
      <c r="B109" s="52">
        <v>127750</v>
      </c>
      <c r="C109" s="52">
        <v>156351</v>
      </c>
      <c r="D109" s="52">
        <v>183071</v>
      </c>
      <c r="E109" s="52">
        <v>209680</v>
      </c>
      <c r="F109" s="52">
        <f>E109*1.13</f>
        <v>236938.39999999997</v>
      </c>
      <c r="G109" s="52">
        <f>F109*1.11</f>
        <v>263001.62400000001</v>
      </c>
    </row>
    <row r="110" spans="1:20" x14ac:dyDescent="0.2">
      <c r="A110" s="44" t="s">
        <v>11</v>
      </c>
      <c r="B110" s="52">
        <f>SUM(B107:B109)</f>
        <v>414389</v>
      </c>
      <c r="C110" s="67">
        <f t="shared" ref="C110:G110" si="119">SUM(C107:C109)</f>
        <v>492564</v>
      </c>
      <c r="D110" s="67">
        <f t="shared" si="119"/>
        <v>515176</v>
      </c>
      <c r="E110" s="67">
        <f t="shared" si="119"/>
        <v>555014</v>
      </c>
      <c r="F110" s="67">
        <f t="shared" si="119"/>
        <v>605468.48</v>
      </c>
      <c r="G110" s="67">
        <f t="shared" si="119"/>
        <v>656361.9384000001</v>
      </c>
    </row>
    <row r="111" spans="1:20" x14ac:dyDescent="0.2">
      <c r="A111" s="44" t="s">
        <v>32</v>
      </c>
      <c r="B111" s="52">
        <v>204756</v>
      </c>
      <c r="C111" s="52">
        <v>218713</v>
      </c>
      <c r="D111" s="52">
        <v>236248</v>
      </c>
      <c r="E111" s="52">
        <v>248074</v>
      </c>
      <c r="F111" s="52">
        <f>E111*1.05</f>
        <v>260477.7</v>
      </c>
      <c r="G111" s="52">
        <f>F111*1.05</f>
        <v>273501.58500000002</v>
      </c>
    </row>
    <row r="112" spans="1:20" x14ac:dyDescent="0.2">
      <c r="A112" s="44" t="s">
        <v>151</v>
      </c>
      <c r="B112" s="52">
        <v>203054</v>
      </c>
      <c r="C112" s="52">
        <v>162405</v>
      </c>
      <c r="D112" s="52">
        <v>170456</v>
      </c>
      <c r="E112" s="52">
        <v>227537</v>
      </c>
      <c r="F112" s="52">
        <v>295798.10000000003</v>
      </c>
      <c r="G112" s="52">
        <v>384537.53000000009</v>
      </c>
    </row>
    <row r="113" spans="1:7" x14ac:dyDescent="0.2">
      <c r="A113" s="46" t="s">
        <v>11</v>
      </c>
      <c r="B113" s="63">
        <v>822199</v>
      </c>
      <c r="C113" s="63">
        <v>873682</v>
      </c>
      <c r="D113" s="63">
        <v>921880</v>
      </c>
      <c r="E113" s="63">
        <v>1030625</v>
      </c>
      <c r="F113" s="63">
        <f>SUM(F107:F111)</f>
        <v>1471414.66</v>
      </c>
      <c r="G113" s="63">
        <f>SUM(G107:G111)</f>
        <v>1586225.4618000002</v>
      </c>
    </row>
    <row r="114" spans="1:7" x14ac:dyDescent="0.2">
      <c r="A114" s="44" t="s">
        <v>33</v>
      </c>
      <c r="B114" s="61"/>
      <c r="C114" s="61"/>
      <c r="D114" s="61"/>
      <c r="E114" s="61"/>
      <c r="F114" s="61"/>
      <c r="G114" s="61"/>
    </row>
    <row r="115" spans="1:7" x14ac:dyDescent="0.2">
      <c r="A115" s="44" t="s">
        <v>34</v>
      </c>
      <c r="B115" s="52">
        <v>2952296</v>
      </c>
      <c r="C115" s="52">
        <v>3301601</v>
      </c>
      <c r="D115" s="52">
        <v>3495162</v>
      </c>
      <c r="E115" s="52">
        <v>3803551</v>
      </c>
      <c r="F115" s="52">
        <f>E115*1.1</f>
        <v>4183906.1000000006</v>
      </c>
      <c r="G115" s="52">
        <f>F115*1.1</f>
        <v>4602296.7100000009</v>
      </c>
    </row>
    <row r="116" spans="1:7" x14ac:dyDescent="0.2">
      <c r="A116" s="44" t="s">
        <v>17</v>
      </c>
      <c r="B116" s="52">
        <v>188266</v>
      </c>
      <c r="C116" s="52">
        <v>180609</v>
      </c>
      <c r="D116" s="52">
        <v>137467</v>
      </c>
      <c r="E116" s="52">
        <v>127953</v>
      </c>
      <c r="F116" s="52">
        <v>119042.1</v>
      </c>
      <c r="G116" s="52">
        <v>111022.29000000001</v>
      </c>
    </row>
    <row r="117" spans="1:7" x14ac:dyDescent="0.2">
      <c r="A117" s="46" t="s">
        <v>12</v>
      </c>
      <c r="B117" s="63">
        <v>3962761</v>
      </c>
      <c r="C117" s="63">
        <v>4355584</v>
      </c>
      <c r="D117" s="63">
        <v>4559481</v>
      </c>
      <c r="E117" s="63">
        <v>4982155</v>
      </c>
      <c r="F117" s="63">
        <f>F113+SUM(F115:F116)</f>
        <v>5774362.8600000003</v>
      </c>
      <c r="G117" s="63">
        <f>G113+SUM(G115:G116)</f>
        <v>6299544.4618000016</v>
      </c>
    </row>
    <row r="118" spans="1:7" x14ac:dyDescent="0.2">
      <c r="A118" s="44" t="s">
        <v>35</v>
      </c>
      <c r="B118" s="61"/>
      <c r="C118" s="61"/>
      <c r="D118" s="61"/>
      <c r="E118" s="61"/>
      <c r="F118" s="61"/>
      <c r="G118" s="61"/>
    </row>
    <row r="119" spans="1:7" x14ac:dyDescent="0.2">
      <c r="A119" s="44" t="s">
        <v>36</v>
      </c>
      <c r="B119" s="61" t="s">
        <v>23</v>
      </c>
      <c r="C119" s="61" t="s">
        <v>23</v>
      </c>
      <c r="D119" s="61" t="s">
        <v>23</v>
      </c>
      <c r="E119" s="61" t="s">
        <v>23</v>
      </c>
      <c r="F119" s="61"/>
      <c r="G119" s="61"/>
    </row>
    <row r="120" spans="1:7" x14ac:dyDescent="0.2">
      <c r="A120" s="44" t="s">
        <v>37</v>
      </c>
      <c r="B120" s="52">
        <v>367</v>
      </c>
      <c r="C120" s="52">
        <v>371</v>
      </c>
      <c r="D120" s="52">
        <v>373</v>
      </c>
      <c r="E120" s="52">
        <v>375</v>
      </c>
      <c r="F120" s="52">
        <f>E120*1.01</f>
        <v>378.75</v>
      </c>
      <c r="G120" s="52">
        <f>F120*1.01</f>
        <v>382.53750000000002</v>
      </c>
    </row>
    <row r="121" spans="1:7" x14ac:dyDescent="0.2">
      <c r="A121" s="44" t="s">
        <v>13</v>
      </c>
      <c r="B121" s="52">
        <v>1549909</v>
      </c>
      <c r="C121" s="52">
        <v>1729312</v>
      </c>
      <c r="D121" s="52">
        <v>1829304</v>
      </c>
      <c r="E121" s="52">
        <v>1956160</v>
      </c>
      <c r="F121" s="52">
        <f>E121*1.06</f>
        <v>2073529.6</v>
      </c>
      <c r="G121" s="52">
        <f>F121*1.06</f>
        <v>2197941.3760000002</v>
      </c>
    </row>
    <row r="122" spans="1:7" x14ac:dyDescent="0.2">
      <c r="A122" s="44" t="s">
        <v>38</v>
      </c>
      <c r="B122" s="52">
        <v>-2802075</v>
      </c>
      <c r="C122" s="52">
        <v>-3356102</v>
      </c>
      <c r="D122" s="52">
        <v>-4282014</v>
      </c>
      <c r="E122" s="52">
        <v>-4944656</v>
      </c>
      <c r="F122" s="52">
        <f>E122*1.15</f>
        <v>-5686354.3999999994</v>
      </c>
      <c r="G122" s="52">
        <f>F122*1.15</f>
        <v>-6539307.5599999987</v>
      </c>
    </row>
    <row r="123" spans="1:7" x14ac:dyDescent="0.2">
      <c r="A123" s="44" t="s">
        <v>39</v>
      </c>
      <c r="B123" s="52">
        <v>-4229</v>
      </c>
      <c r="C123" s="52">
        <v>-5354</v>
      </c>
      <c r="D123" s="52">
        <v>-7888</v>
      </c>
      <c r="E123" s="52">
        <v>-6657</v>
      </c>
      <c r="F123" s="52">
        <f>E123*0.9</f>
        <v>-5991.3</v>
      </c>
      <c r="G123" s="52">
        <f>F123*0.85</f>
        <v>-5092.6050000000005</v>
      </c>
    </row>
    <row r="124" spans="1:7" x14ac:dyDescent="0.2">
      <c r="A124" s="44" t="s">
        <v>40</v>
      </c>
      <c r="B124" s="52">
        <v>3276163</v>
      </c>
      <c r="C124" s="52">
        <v>3929147</v>
      </c>
      <c r="D124" s="52">
        <v>4828248</v>
      </c>
      <c r="E124" s="52">
        <v>6056985</v>
      </c>
      <c r="F124" s="52">
        <f>E124*1.2</f>
        <v>7268382</v>
      </c>
      <c r="G124" s="52">
        <f>F124*1.25</f>
        <v>9085477.5</v>
      </c>
    </row>
    <row r="125" spans="1:7" x14ac:dyDescent="0.2">
      <c r="A125" s="46" t="s">
        <v>41</v>
      </c>
      <c r="B125" s="63">
        <v>2020135</v>
      </c>
      <c r="C125" s="64">
        <v>2297374</v>
      </c>
      <c r="D125" s="64">
        <v>2368023</v>
      </c>
      <c r="E125" s="64">
        <v>3062207</v>
      </c>
      <c r="F125" s="63">
        <f>SUM(F121:F124)</f>
        <v>3649565.9000000008</v>
      </c>
      <c r="G125" s="63">
        <f>SUM(G121:G124)</f>
        <v>4739018.7110000011</v>
      </c>
    </row>
    <row r="126" spans="1:7" x14ac:dyDescent="0.2">
      <c r="A126" s="46" t="s">
        <v>42</v>
      </c>
      <c r="B126" s="63">
        <f>B125+B117</f>
        <v>5982896</v>
      </c>
      <c r="C126" s="64">
        <v>6652958</v>
      </c>
      <c r="D126" s="64">
        <f>D125+D117</f>
        <v>6927504</v>
      </c>
      <c r="E126" s="64">
        <f>E117+E125</f>
        <v>8044362</v>
      </c>
      <c r="F126" s="63">
        <f>F117+F125-1036603.47</f>
        <v>8387325.2900000019</v>
      </c>
      <c r="G126" s="63">
        <f>G117+G125-1155809.53</f>
        <v>9882753.6428000033</v>
      </c>
    </row>
    <row r="128" spans="1:7" x14ac:dyDescent="0.2">
      <c r="A128" s="46" t="s">
        <v>81</v>
      </c>
      <c r="B128" s="77">
        <f t="shared" ref="B128:G128" si="120">B89</f>
        <v>175935</v>
      </c>
      <c r="C128" s="77">
        <f t="shared" si="120"/>
        <v>286229</v>
      </c>
      <c r="D128" s="77">
        <f t="shared" si="120"/>
        <v>-338294</v>
      </c>
      <c r="E128" s="77">
        <f t="shared" si="120"/>
        <v>246343</v>
      </c>
      <c r="F128" s="77">
        <f t="shared" si="120"/>
        <v>316385.8899999999</v>
      </c>
      <c r="G128" s="77">
        <f t="shared" si="120"/>
        <v>909731.92309999932</v>
      </c>
    </row>
    <row r="131" spans="1:7" x14ac:dyDescent="0.2">
      <c r="A131" s="46" t="s">
        <v>83</v>
      </c>
    </row>
    <row r="132" spans="1:7" x14ac:dyDescent="0.2">
      <c r="A132" s="44" t="s">
        <v>82</v>
      </c>
      <c r="B132" s="62">
        <f t="shared" ref="B132:G132" si="121">B49</f>
        <v>293781</v>
      </c>
      <c r="C132" s="62">
        <f t="shared" si="121"/>
        <v>812763</v>
      </c>
      <c r="D132" s="62">
        <f t="shared" si="121"/>
        <v>1181531</v>
      </c>
      <c r="E132" s="62">
        <f t="shared" si="121"/>
        <v>1620506</v>
      </c>
      <c r="F132" s="62">
        <f t="shared" si="121"/>
        <v>2252503.34</v>
      </c>
      <c r="G132" s="62">
        <f t="shared" si="121"/>
        <v>3130979.6425999994</v>
      </c>
    </row>
    <row r="133" spans="1:7" x14ac:dyDescent="0.2">
      <c r="A133" s="44" t="s">
        <v>84</v>
      </c>
      <c r="B133" s="65">
        <f t="shared" ref="B133:G133" si="122">B50/B49</f>
        <v>0.21099049972598635</v>
      </c>
      <c r="C133" s="65">
        <f t="shared" si="122"/>
        <v>-0.19658744307996304</v>
      </c>
      <c r="D133" s="65">
        <f t="shared" si="122"/>
        <v>-0.23903731683722221</v>
      </c>
      <c r="E133" s="65">
        <f t="shared" si="122"/>
        <v>-0.24175720423127098</v>
      </c>
      <c r="F133" s="65">
        <f t="shared" si="122"/>
        <v>-0.23132164145869816</v>
      </c>
      <c r="G133" s="65">
        <f t="shared" si="122"/>
        <v>-0.22133653463314287</v>
      </c>
    </row>
    <row r="134" spans="1:7" x14ac:dyDescent="0.2">
      <c r="A134" s="44" t="s">
        <v>85</v>
      </c>
      <c r="B134" s="62">
        <f>B132*(1+B133)</f>
        <v>355766</v>
      </c>
      <c r="C134" s="62">
        <f t="shared" ref="C134:G134" si="123">C132*(1+C133)</f>
        <v>652984</v>
      </c>
      <c r="D134" s="62">
        <f t="shared" si="123"/>
        <v>899101</v>
      </c>
      <c r="E134" s="62">
        <f t="shared" si="123"/>
        <v>1228737</v>
      </c>
      <c r="F134" s="62">
        <f t="shared" si="123"/>
        <v>1731450.5699999998</v>
      </c>
      <c r="G134" s="62">
        <f t="shared" si="123"/>
        <v>2437979.4584999993</v>
      </c>
    </row>
    <row r="135" spans="1:7" x14ac:dyDescent="0.2">
      <c r="A135" s="46" t="s">
        <v>165</v>
      </c>
      <c r="B135" s="60"/>
      <c r="C135" s="60"/>
      <c r="D135" s="60"/>
      <c r="E135" s="60"/>
      <c r="F135" s="60"/>
      <c r="G135" s="60"/>
    </row>
    <row r="136" spans="1:7" x14ac:dyDescent="0.2">
      <c r="A136" s="44" t="s">
        <v>86</v>
      </c>
      <c r="B136" s="62">
        <f t="shared" ref="B136:G136" si="124">B100-B113-B96</f>
        <v>-9949</v>
      </c>
      <c r="C136" s="62">
        <f t="shared" si="124"/>
        <v>-307492</v>
      </c>
      <c r="D136" s="62">
        <f t="shared" si="124"/>
        <v>-130043</v>
      </c>
      <c r="E136" s="62">
        <f t="shared" si="124"/>
        <v>29479</v>
      </c>
      <c r="F136" s="62">
        <f t="shared" si="124"/>
        <v>-143024.06000000006</v>
      </c>
      <c r="G136" s="62">
        <f t="shared" si="124"/>
        <v>85590.647199999774</v>
      </c>
    </row>
    <row r="137" spans="1:7" x14ac:dyDescent="0.2">
      <c r="A137" s="44" t="s">
        <v>163</v>
      </c>
      <c r="B137" s="62">
        <f t="shared" ref="B137:G137" si="125">B101</f>
        <v>1584311</v>
      </c>
      <c r="C137" s="62">
        <f t="shared" si="125"/>
        <v>1769278</v>
      </c>
      <c r="D137" s="62">
        <f t="shared" si="125"/>
        <v>1951147</v>
      </c>
      <c r="E137" s="62">
        <f t="shared" si="125"/>
        <v>2170038</v>
      </c>
      <c r="F137" s="62">
        <f t="shared" si="125"/>
        <v>2387041.8000000003</v>
      </c>
      <c r="G137" s="62">
        <f t="shared" si="125"/>
        <v>2625745.9800000004</v>
      </c>
    </row>
    <row r="138" spans="1:7" x14ac:dyDescent="0.2">
      <c r="A138" s="44" t="s">
        <v>164</v>
      </c>
      <c r="B138" s="62">
        <f t="shared" ref="B138:G138" si="126">SUM(B101:B103)-B101</f>
        <v>2826232</v>
      </c>
      <c r="C138" s="62">
        <f t="shared" si="126"/>
        <v>3175010</v>
      </c>
      <c r="D138" s="62">
        <f t="shared" si="126"/>
        <v>3365560</v>
      </c>
      <c r="E138" s="62">
        <f t="shared" si="126"/>
        <v>3641630</v>
      </c>
      <c r="F138" s="62">
        <f t="shared" si="126"/>
        <v>3892128.36</v>
      </c>
      <c r="G138" s="62">
        <f t="shared" si="126"/>
        <v>4160161.6052000001</v>
      </c>
    </row>
    <row r="139" spans="1:7" x14ac:dyDescent="0.2">
      <c r="A139" s="44" t="s">
        <v>146</v>
      </c>
      <c r="B139" s="62">
        <f>SUM(B136:B138)</f>
        <v>4400594</v>
      </c>
      <c r="C139" s="62">
        <f t="shared" ref="C139:G139" si="127">SUM(C136:C138)</f>
        <v>4636796</v>
      </c>
      <c r="D139" s="62">
        <f t="shared" si="127"/>
        <v>5186664</v>
      </c>
      <c r="E139" s="62">
        <f t="shared" si="127"/>
        <v>5841147</v>
      </c>
      <c r="F139" s="62">
        <f t="shared" si="127"/>
        <v>6136146.0999999996</v>
      </c>
      <c r="G139" s="62">
        <f t="shared" si="127"/>
        <v>6871498.2324000001</v>
      </c>
    </row>
    <row r="141" spans="1:7" x14ac:dyDescent="0.2">
      <c r="B141" s="60"/>
      <c r="C141" s="60"/>
      <c r="D141" s="60"/>
      <c r="E141" s="60"/>
      <c r="F141" s="60"/>
      <c r="G141" s="60"/>
    </row>
    <row r="142" spans="1:7" x14ac:dyDescent="0.2">
      <c r="A142" s="44" t="s">
        <v>83</v>
      </c>
      <c r="B142" s="55">
        <f>B134/B139</f>
        <v>8.084499501658185E-2</v>
      </c>
      <c r="C142" s="55">
        <f t="shared" ref="C142:G142" si="128">C134/C139</f>
        <v>0.14082655350806894</v>
      </c>
      <c r="D142" s="55">
        <f t="shared" si="128"/>
        <v>0.17334861097614959</v>
      </c>
      <c r="E142" s="55">
        <f t="shared" si="128"/>
        <v>0.21035885588909164</v>
      </c>
      <c r="F142" s="55">
        <f t="shared" si="128"/>
        <v>0.28217231822430044</v>
      </c>
      <c r="G142" s="55">
        <f t="shared" si="128"/>
        <v>0.35479590855522769</v>
      </c>
    </row>
    <row r="143" spans="1:7" ht="16" x14ac:dyDescent="0.2">
      <c r="A143" s="78" t="s">
        <v>114</v>
      </c>
    </row>
    <row r="146" spans="1:8" ht="16" x14ac:dyDescent="0.2">
      <c r="A146" s="78" t="s">
        <v>141</v>
      </c>
      <c r="B146" s="60">
        <v>1.3</v>
      </c>
      <c r="C146" s="60"/>
      <c r="D146" s="60"/>
      <c r="E146" s="60"/>
      <c r="F146" s="60"/>
      <c r="G146" s="60"/>
    </row>
    <row r="147" spans="1:8" ht="16" x14ac:dyDescent="0.2">
      <c r="A147" s="78"/>
      <c r="B147" s="56"/>
      <c r="C147" s="56"/>
      <c r="D147" s="56"/>
      <c r="E147" s="56"/>
      <c r="F147" s="56"/>
      <c r="G147" s="56"/>
    </row>
    <row r="148" spans="1:8" ht="16" x14ac:dyDescent="0.2">
      <c r="A148" s="78" t="s">
        <v>142</v>
      </c>
      <c r="B148" s="60"/>
      <c r="C148" s="60"/>
      <c r="D148" s="60"/>
      <c r="E148" s="60"/>
      <c r="F148" s="60"/>
      <c r="G148" s="60"/>
    </row>
    <row r="149" spans="1:8" ht="16" x14ac:dyDescent="0.2">
      <c r="A149" s="78"/>
      <c r="B149" s="60"/>
      <c r="C149" s="60"/>
      <c r="D149" s="60"/>
      <c r="E149" s="60"/>
      <c r="F149" s="60"/>
      <c r="G149" s="60"/>
    </row>
    <row r="150" spans="1:8" ht="16" x14ac:dyDescent="0.2">
      <c r="A150" s="78" t="s">
        <v>143</v>
      </c>
      <c r="B150" s="55">
        <v>0.04</v>
      </c>
      <c r="C150" s="60" t="s">
        <v>147</v>
      </c>
      <c r="D150" s="60"/>
      <c r="E150" s="60"/>
      <c r="F150" s="60"/>
      <c r="G150" s="60"/>
    </row>
    <row r="151" spans="1:8" ht="16" x14ac:dyDescent="0.2">
      <c r="A151" s="78" t="s">
        <v>144</v>
      </c>
      <c r="B151" s="55">
        <v>4.4999999999999998E-2</v>
      </c>
      <c r="C151" s="60" t="s">
        <v>148</v>
      </c>
      <c r="D151" s="60"/>
      <c r="E151" s="60"/>
      <c r="F151" s="60"/>
      <c r="G151" s="60"/>
    </row>
    <row r="152" spans="1:8" ht="16" x14ac:dyDescent="0.2">
      <c r="A152" s="78" t="s">
        <v>145</v>
      </c>
      <c r="B152" s="55">
        <f>B150+B146*B151</f>
        <v>9.8500000000000004E-2</v>
      </c>
      <c r="C152" s="60"/>
      <c r="D152" s="60"/>
      <c r="E152" s="60"/>
      <c r="F152" s="60"/>
      <c r="G152" s="60"/>
    </row>
    <row r="153" spans="1:8" ht="16" x14ac:dyDescent="0.2">
      <c r="A153" s="78" t="s">
        <v>146</v>
      </c>
      <c r="B153" s="55">
        <f>B152</f>
        <v>9.8500000000000004E-2</v>
      </c>
      <c r="C153" s="60"/>
      <c r="D153" s="60"/>
      <c r="E153" s="60"/>
      <c r="F153" s="60"/>
      <c r="G153" s="60"/>
    </row>
    <row r="154" spans="1:8" ht="16" x14ac:dyDescent="0.2">
      <c r="A154" s="78"/>
      <c r="B154" s="60"/>
      <c r="C154" s="60"/>
      <c r="D154" s="60"/>
      <c r="E154" s="60"/>
      <c r="F154" s="60"/>
      <c r="G154" s="60"/>
    </row>
    <row r="155" spans="1:8" ht="16" x14ac:dyDescent="0.2">
      <c r="A155" s="78" t="s">
        <v>106</v>
      </c>
    </row>
    <row r="156" spans="1:8" ht="16" x14ac:dyDescent="0.2">
      <c r="A156" s="78"/>
    </row>
    <row r="157" spans="1:8" ht="16" x14ac:dyDescent="0.2">
      <c r="A157" s="79" t="s">
        <v>107</v>
      </c>
      <c r="B157" s="60"/>
      <c r="C157" s="60"/>
      <c r="D157" s="60"/>
      <c r="E157" s="62">
        <f t="shared" ref="E157:G158" si="129">E132</f>
        <v>1620506</v>
      </c>
      <c r="F157" s="62">
        <f t="shared" si="129"/>
        <v>2252503.34</v>
      </c>
      <c r="G157" s="62">
        <f t="shared" si="129"/>
        <v>3130979.6425999994</v>
      </c>
    </row>
    <row r="158" spans="1:8" ht="16" x14ac:dyDescent="0.2">
      <c r="A158" s="80" t="s">
        <v>108</v>
      </c>
      <c r="B158" s="56"/>
      <c r="C158" s="56"/>
      <c r="D158" s="56"/>
      <c r="E158" s="56">
        <f t="shared" si="129"/>
        <v>-0.24175720423127098</v>
      </c>
      <c r="F158" s="56">
        <f t="shared" si="129"/>
        <v>-0.23132164145869816</v>
      </c>
      <c r="G158" s="56">
        <f t="shared" si="129"/>
        <v>-0.22133653463314287</v>
      </c>
    </row>
    <row r="159" spans="1:8" ht="16" x14ac:dyDescent="0.2">
      <c r="A159" s="80" t="s">
        <v>109</v>
      </c>
      <c r="B159" s="60"/>
      <c r="C159" s="60"/>
      <c r="D159" s="60"/>
      <c r="E159" s="62">
        <f t="shared" ref="E159:G159" si="130">E158*E157</f>
        <v>-391769</v>
      </c>
      <c r="F159" s="62">
        <f t="shared" si="130"/>
        <v>-521052.77</v>
      </c>
      <c r="G159" s="62">
        <f t="shared" si="130"/>
        <v>-693000.18410000007</v>
      </c>
      <c r="H159" s="42"/>
    </row>
    <row r="160" spans="1:8" ht="16" x14ac:dyDescent="0.2">
      <c r="A160" s="79" t="s">
        <v>85</v>
      </c>
      <c r="B160" s="60"/>
      <c r="C160" s="60"/>
      <c r="D160" s="60"/>
      <c r="E160" s="62">
        <f t="shared" ref="E160:G160" si="131">E134</f>
        <v>1228737</v>
      </c>
      <c r="F160" s="62">
        <f t="shared" si="131"/>
        <v>1731450.5699999998</v>
      </c>
      <c r="G160" s="62">
        <f t="shared" si="131"/>
        <v>2437979.4584999993</v>
      </c>
      <c r="H160" s="42"/>
    </row>
    <row r="161" spans="1:8" ht="16" x14ac:dyDescent="0.2">
      <c r="A161" s="79" t="s">
        <v>110</v>
      </c>
      <c r="B161" s="60"/>
      <c r="C161" s="60"/>
      <c r="D161" s="60"/>
      <c r="E161" s="62">
        <f>E42</f>
        <v>319394</v>
      </c>
      <c r="F161" s="62">
        <f>F42</f>
        <v>325781.88</v>
      </c>
      <c r="G161" s="62">
        <f>G42</f>
        <v>332297.51760000002</v>
      </c>
      <c r="H161" s="42"/>
    </row>
    <row r="162" spans="1:8" ht="16" x14ac:dyDescent="0.2">
      <c r="A162" s="79" t="s">
        <v>111</v>
      </c>
      <c r="B162" s="60"/>
      <c r="C162" s="60"/>
      <c r="D162" s="60"/>
      <c r="E162" s="62">
        <f>E79</f>
        <v>-560731</v>
      </c>
      <c r="F162" s="62">
        <f>F79</f>
        <v>-650000</v>
      </c>
      <c r="G162" s="62">
        <f>G79</f>
        <v>-760000</v>
      </c>
      <c r="H162" s="42"/>
    </row>
    <row r="163" spans="1:8" ht="16" x14ac:dyDescent="0.2">
      <c r="A163" s="81" t="s">
        <v>112</v>
      </c>
      <c r="B163" s="60"/>
      <c r="C163" s="60"/>
      <c r="D163" s="60"/>
      <c r="E163" s="62">
        <f>E76</f>
        <v>95320</v>
      </c>
      <c r="F163" s="62">
        <f>F76</f>
        <v>81840.5</v>
      </c>
      <c r="G163" s="62">
        <f>G76</f>
        <v>94892.63</v>
      </c>
      <c r="H163" s="42"/>
    </row>
    <row r="164" spans="1:8" ht="16" x14ac:dyDescent="0.2">
      <c r="A164" s="79" t="s">
        <v>113</v>
      </c>
      <c r="B164" s="60"/>
      <c r="C164" s="60"/>
      <c r="D164" s="60"/>
      <c r="E164" s="62">
        <f t="shared" ref="E164:G164" si="132">SUM(E160:E163)</f>
        <v>1082720</v>
      </c>
      <c r="F164" s="62">
        <f t="shared" si="132"/>
        <v>1489072.9499999997</v>
      </c>
      <c r="G164" s="62">
        <f t="shared" si="132"/>
        <v>2105169.606099999</v>
      </c>
      <c r="H164" s="42">
        <f>G164*(1+B168)/(B153-B168)</f>
        <v>79036192.229017526</v>
      </c>
    </row>
    <row r="165" spans="1:8" ht="16" x14ac:dyDescent="0.2">
      <c r="A165" s="79" t="s">
        <v>172</v>
      </c>
      <c r="E165" s="55">
        <f>$B$153</f>
        <v>9.8500000000000004E-2</v>
      </c>
      <c r="F165" s="55">
        <f t="shared" ref="F165:H165" si="133">$B$153</f>
        <v>9.8500000000000004E-2</v>
      </c>
      <c r="G165" s="55">
        <f t="shared" si="133"/>
        <v>9.8500000000000004E-2</v>
      </c>
      <c r="H165" s="3">
        <f t="shared" si="133"/>
        <v>9.8500000000000004E-2</v>
      </c>
    </row>
    <row r="166" spans="1:8" ht="16" x14ac:dyDescent="0.2">
      <c r="A166" s="80" t="s">
        <v>166</v>
      </c>
      <c r="B166" s="62">
        <f>SUM(F166:H166)</f>
        <v>68597790.772904024</v>
      </c>
      <c r="C166" s="62"/>
      <c r="D166" s="62"/>
      <c r="E166" s="62"/>
      <c r="F166" s="62">
        <f>F164/(1+B153)</f>
        <v>1355551.1606736456</v>
      </c>
      <c r="G166" s="62">
        <f>G164/(1+G165)^2</f>
        <v>1744564.250294552</v>
      </c>
      <c r="H166" s="42">
        <f>H164/(1+H165)^2</f>
        <v>65497675.361935824</v>
      </c>
    </row>
    <row r="167" spans="1:8" ht="16" x14ac:dyDescent="0.2">
      <c r="A167" s="79"/>
    </row>
    <row r="168" spans="1:8" ht="16" x14ac:dyDescent="0.2">
      <c r="A168" s="79" t="s">
        <v>116</v>
      </c>
      <c r="B168" s="56">
        <v>7.0000000000000007E-2</v>
      </c>
    </row>
    <row r="169" spans="1:8" ht="16" x14ac:dyDescent="0.2">
      <c r="A169" s="82" t="s">
        <v>115</v>
      </c>
      <c r="B169" s="62">
        <f>B166</f>
        <v>68597790.772904024</v>
      </c>
      <c r="C169" s="60"/>
      <c r="D169" s="60"/>
      <c r="E169" s="60"/>
      <c r="F169" s="60"/>
      <c r="G169" s="60"/>
    </row>
    <row r="170" spans="1:8" ht="16" x14ac:dyDescent="0.2">
      <c r="A170" s="80" t="s">
        <v>117</v>
      </c>
      <c r="B170" s="62">
        <f>-G96</f>
        <v>-1786726.8130999992</v>
      </c>
      <c r="C170" s="60"/>
      <c r="D170" s="60"/>
      <c r="E170" s="60"/>
      <c r="F170" s="60"/>
      <c r="G170" s="60"/>
    </row>
    <row r="171" spans="1:8" ht="16" x14ac:dyDescent="0.2">
      <c r="A171" s="80" t="s">
        <v>118</v>
      </c>
      <c r="B171" s="62">
        <f>B169-B170</f>
        <v>70384517.586004019</v>
      </c>
      <c r="C171" s="60"/>
      <c r="D171" s="60"/>
      <c r="E171" s="60"/>
      <c r="F171" s="60"/>
      <c r="G171" s="60"/>
    </row>
    <row r="172" spans="1:8" ht="16" x14ac:dyDescent="0.2">
      <c r="A172" s="80" t="s">
        <v>119</v>
      </c>
      <c r="B172" s="62">
        <f>G58</f>
        <v>27647.9765625</v>
      </c>
      <c r="C172" s="60"/>
      <c r="D172" s="60"/>
      <c r="E172" s="60"/>
      <c r="F172" s="60"/>
      <c r="G172" s="60"/>
    </row>
    <row r="173" spans="1:8" ht="16" x14ac:dyDescent="0.2">
      <c r="A173" s="80" t="s">
        <v>120</v>
      </c>
      <c r="B173" s="62">
        <f>B171/B172</f>
        <v>2545.7384712004282</v>
      </c>
    </row>
    <row r="174" spans="1:8" ht="16" x14ac:dyDescent="0.2">
      <c r="A174" s="79" t="s">
        <v>121</v>
      </c>
      <c r="B174" s="62">
        <v>3189.17</v>
      </c>
    </row>
    <row r="176" spans="1:8" ht="16" x14ac:dyDescent="0.2">
      <c r="A176" s="80"/>
    </row>
    <row r="177" spans="1:7" ht="16" x14ac:dyDescent="0.2">
      <c r="A177" s="80" t="s">
        <v>132</v>
      </c>
    </row>
    <row r="178" spans="1:7" ht="16" x14ac:dyDescent="0.2">
      <c r="A178" s="79" t="s">
        <v>122</v>
      </c>
      <c r="B178" s="44">
        <v>1387</v>
      </c>
      <c r="C178" s="44">
        <v>1748</v>
      </c>
      <c r="D178" s="44">
        <v>1387</v>
      </c>
      <c r="E178" s="44">
        <v>2286</v>
      </c>
      <c r="F178" s="44">
        <v>3100</v>
      </c>
      <c r="G178" s="44">
        <v>3200</v>
      </c>
    </row>
    <row r="179" spans="1:7" ht="16" x14ac:dyDescent="0.2">
      <c r="A179" s="79" t="s">
        <v>123</v>
      </c>
      <c r="B179" s="62">
        <f t="shared" ref="B179:G179" si="134">B178*B58</f>
        <v>39412992</v>
      </c>
      <c r="C179" s="62">
        <f t="shared" si="134"/>
        <v>49837228</v>
      </c>
      <c r="D179" s="62">
        <f t="shared" si="134"/>
        <v>38921994</v>
      </c>
      <c r="E179" s="62">
        <f t="shared" si="134"/>
        <v>63345060</v>
      </c>
      <c r="F179" s="62">
        <f t="shared" si="134"/>
        <v>85708727.34375</v>
      </c>
      <c r="G179" s="62">
        <f t="shared" si="134"/>
        <v>88473525</v>
      </c>
    </row>
    <row r="180" spans="1:7" ht="16" x14ac:dyDescent="0.2">
      <c r="A180" s="79" t="s">
        <v>117</v>
      </c>
      <c r="B180" s="62">
        <f t="shared" ref="B180:G180" si="135">-B96</f>
        <v>-607987</v>
      </c>
      <c r="C180" s="62">
        <f t="shared" si="135"/>
        <v>-815374</v>
      </c>
      <c r="D180" s="62">
        <f t="shared" si="135"/>
        <v>-384000</v>
      </c>
      <c r="E180" s="62">
        <f t="shared" si="135"/>
        <v>-560609</v>
      </c>
      <c r="F180" s="62">
        <f t="shared" si="135"/>
        <v>-876994.8899999999</v>
      </c>
      <c r="G180" s="62">
        <f t="shared" si="135"/>
        <v>-1786726.8130999992</v>
      </c>
    </row>
    <row r="181" spans="1:7" ht="16" x14ac:dyDescent="0.2">
      <c r="A181" s="79" t="s">
        <v>124</v>
      </c>
      <c r="B181" s="62">
        <f>SUM(B179:B180)</f>
        <v>38805005</v>
      </c>
      <c r="C181" s="62">
        <f t="shared" ref="C181:G181" si="136">SUM(C179:C180)</f>
        <v>49021854</v>
      </c>
      <c r="D181" s="62">
        <f t="shared" si="136"/>
        <v>38537994</v>
      </c>
      <c r="E181" s="62">
        <f t="shared" si="136"/>
        <v>62784451</v>
      </c>
      <c r="F181" s="62">
        <f t="shared" si="136"/>
        <v>84831732.453749999</v>
      </c>
      <c r="G181" s="62">
        <f t="shared" si="136"/>
        <v>86686798.186900005</v>
      </c>
    </row>
    <row r="182" spans="1:7" ht="16" x14ac:dyDescent="0.2">
      <c r="A182" s="79" t="s">
        <v>125</v>
      </c>
      <c r="B182" s="62">
        <f t="shared" ref="B182:G182" si="137">B49+B42</f>
        <v>532315</v>
      </c>
      <c r="C182" s="62">
        <f t="shared" si="137"/>
        <v>1067420</v>
      </c>
      <c r="D182" s="62">
        <f t="shared" si="137"/>
        <v>1468357</v>
      </c>
      <c r="E182" s="62">
        <f t="shared" si="137"/>
        <v>1939900</v>
      </c>
      <c r="F182" s="62">
        <f t="shared" si="137"/>
        <v>2578285.2199999997</v>
      </c>
      <c r="G182" s="62">
        <f t="shared" si="137"/>
        <v>3463277.1601999993</v>
      </c>
    </row>
    <row r="183" spans="1:7" ht="16" x14ac:dyDescent="0.2">
      <c r="A183" s="79" t="s">
        <v>126</v>
      </c>
      <c r="B183" s="68">
        <f t="shared" ref="B183:G183" si="138">B182/B34</f>
        <v>8.8946959830793329E-2</v>
      </c>
      <c r="C183" s="68">
        <f t="shared" si="138"/>
        <v>0.14143518914183945</v>
      </c>
      <c r="D183" s="68">
        <f t="shared" si="138"/>
        <v>0.17005398712073166</v>
      </c>
      <c r="E183" s="68">
        <f t="shared" si="138"/>
        <v>0.19651225443692336</v>
      </c>
      <c r="F183" s="68">
        <f t="shared" si="138"/>
        <v>0.2291422221084834</v>
      </c>
      <c r="G183" s="68">
        <f t="shared" si="138"/>
        <v>0.27012990162114647</v>
      </c>
    </row>
    <row r="184" spans="1:7" ht="16" x14ac:dyDescent="0.2">
      <c r="A184" s="79" t="s">
        <v>127</v>
      </c>
      <c r="B184" s="55">
        <v>0.08</v>
      </c>
      <c r="C184" s="55">
        <f>(C182-B182)/B182</f>
        <v>1.0052412575260889</v>
      </c>
      <c r="D184" s="55">
        <f t="shared" ref="D184:G184" si="139">(D182-C182)/C182</f>
        <v>0.37561316070525191</v>
      </c>
      <c r="E184" s="55">
        <f t="shared" si="139"/>
        <v>0.3211364811146063</v>
      </c>
      <c r="F184" s="55">
        <f t="shared" si="139"/>
        <v>0.32908150935615227</v>
      </c>
      <c r="G184" s="55">
        <f t="shared" si="139"/>
        <v>0.34324826956111537</v>
      </c>
    </row>
    <row r="185" spans="1:7" ht="16" x14ac:dyDescent="0.2">
      <c r="A185" s="79" t="s">
        <v>128</v>
      </c>
      <c r="B185" s="55">
        <f>B142</f>
        <v>8.084499501658185E-2</v>
      </c>
      <c r="C185" s="55">
        <f t="shared" ref="C185:G185" si="140">C142</f>
        <v>0.14082655350806894</v>
      </c>
      <c r="D185" s="55">
        <f t="shared" si="140"/>
        <v>0.17334861097614959</v>
      </c>
      <c r="E185" s="55">
        <f t="shared" si="140"/>
        <v>0.21035885588909164</v>
      </c>
      <c r="F185" s="55">
        <f t="shared" si="140"/>
        <v>0.28217231822430044</v>
      </c>
      <c r="G185" s="55">
        <f t="shared" si="140"/>
        <v>0.35479590855522769</v>
      </c>
    </row>
    <row r="186" spans="1:7" ht="16" x14ac:dyDescent="0.2">
      <c r="A186" s="79" t="s">
        <v>129</v>
      </c>
      <c r="B186" s="62">
        <f>B139</f>
        <v>4400594</v>
      </c>
      <c r="C186" s="62">
        <f t="shared" ref="C186:G186" si="141">C139</f>
        <v>4636796</v>
      </c>
      <c r="D186" s="62">
        <f t="shared" si="141"/>
        <v>5186664</v>
      </c>
      <c r="E186" s="62">
        <f t="shared" si="141"/>
        <v>5841147</v>
      </c>
      <c r="F186" s="62">
        <f t="shared" si="141"/>
        <v>6136146.0999999996</v>
      </c>
      <c r="G186" s="62">
        <f t="shared" si="141"/>
        <v>6871498.2324000001</v>
      </c>
    </row>
    <row r="187" spans="1:7" ht="16" x14ac:dyDescent="0.2">
      <c r="A187" s="79" t="s">
        <v>130</v>
      </c>
      <c r="B187" s="83">
        <f>B181/B186</f>
        <v>8.8181288707842622</v>
      </c>
      <c r="C187" s="83">
        <f t="shared" ref="C187:G187" si="142">C181/C186</f>
        <v>10.572355134881931</v>
      </c>
      <c r="D187" s="83">
        <f t="shared" si="142"/>
        <v>7.4302083188731718</v>
      </c>
      <c r="E187" s="83">
        <f t="shared" si="142"/>
        <v>10.748651078289932</v>
      </c>
      <c r="F187" s="83">
        <f t="shared" si="142"/>
        <v>13.824920572499082</v>
      </c>
      <c r="G187" s="83">
        <f t="shared" si="142"/>
        <v>12.615414463495105</v>
      </c>
    </row>
    <row r="188" spans="1:7" ht="16" x14ac:dyDescent="0.2">
      <c r="A188" s="80" t="s">
        <v>131</v>
      </c>
      <c r="B188" s="83">
        <f>B181/B182</f>
        <v>72.898575091815943</v>
      </c>
      <c r="C188" s="83">
        <f t="shared" ref="C188:G188" si="143">C181/C182</f>
        <v>45.925553203050349</v>
      </c>
      <c r="D188" s="83">
        <f t="shared" si="143"/>
        <v>26.245656880445289</v>
      </c>
      <c r="E188" s="83">
        <f t="shared" si="143"/>
        <v>32.364787360173203</v>
      </c>
      <c r="F188" s="83">
        <f t="shared" si="143"/>
        <v>32.90238480820598</v>
      </c>
      <c r="G188" s="83">
        <f t="shared" si="143"/>
        <v>25.030280331907932</v>
      </c>
    </row>
    <row r="189" spans="1:7" ht="16" x14ac:dyDescent="0.2">
      <c r="A189" s="80"/>
    </row>
    <row r="190" spans="1:7" ht="16" x14ac:dyDescent="0.2">
      <c r="A190" s="79" t="s">
        <v>173</v>
      </c>
    </row>
    <row r="191" spans="1:7" ht="16" x14ac:dyDescent="0.2">
      <c r="A191" s="80"/>
    </row>
    <row r="192" spans="1:7" ht="16" x14ac:dyDescent="0.2">
      <c r="A192" s="79" t="s">
        <v>168</v>
      </c>
      <c r="B192" s="62">
        <f>G182</f>
        <v>3463277.1601999993</v>
      </c>
    </row>
    <row r="193" spans="1:2" ht="16" x14ac:dyDescent="0.2">
      <c r="A193" s="80" t="s">
        <v>133</v>
      </c>
      <c r="B193" s="62">
        <v>25</v>
      </c>
    </row>
    <row r="194" spans="1:2" ht="16" x14ac:dyDescent="0.2">
      <c r="A194" s="80" t="s">
        <v>124</v>
      </c>
      <c r="B194" s="62">
        <f>B192*B193</f>
        <v>86581929.00499998</v>
      </c>
    </row>
    <row r="195" spans="1:2" ht="16" x14ac:dyDescent="0.2">
      <c r="A195" s="80" t="s">
        <v>134</v>
      </c>
      <c r="B195" s="62">
        <f t="shared" ref="B195" si="144">G182</f>
        <v>3463277.1601999993</v>
      </c>
    </row>
    <row r="196" spans="1:2" ht="16" x14ac:dyDescent="0.2">
      <c r="A196" s="79" t="s">
        <v>123</v>
      </c>
      <c r="B196" s="62">
        <f>B194-B195</f>
        <v>83118651.844799981</v>
      </c>
    </row>
    <row r="197" spans="1:2" ht="16" x14ac:dyDescent="0.2">
      <c r="A197" s="80" t="s">
        <v>119</v>
      </c>
      <c r="B197" s="62">
        <f>G58</f>
        <v>27647.9765625</v>
      </c>
    </row>
    <row r="198" spans="1:2" ht="16" x14ac:dyDescent="0.2">
      <c r="A198" s="80" t="s">
        <v>135</v>
      </c>
      <c r="B198" s="60">
        <f>B196/B197</f>
        <v>3006.3195278289177</v>
      </c>
    </row>
    <row r="199" spans="1:2" ht="16" x14ac:dyDescent="0.2">
      <c r="A199" s="80"/>
    </row>
    <row r="200" spans="1:2" ht="16" x14ac:dyDescent="0.2">
      <c r="A200" s="80" t="s">
        <v>136</v>
      </c>
    </row>
    <row r="201" spans="1:2" ht="16" x14ac:dyDescent="0.2">
      <c r="A201" s="80"/>
    </row>
    <row r="202" spans="1:2" ht="16" x14ac:dyDescent="0.2">
      <c r="A202" s="84" t="s">
        <v>169</v>
      </c>
    </row>
    <row r="203" spans="1:2" ht="16" x14ac:dyDescent="0.2">
      <c r="A203" s="80"/>
    </row>
    <row r="204" spans="1:2" ht="16" x14ac:dyDescent="0.2">
      <c r="A204" s="80" t="s">
        <v>125</v>
      </c>
      <c r="B204" s="62">
        <f>E49</f>
        <v>1620506</v>
      </c>
    </row>
    <row r="205" spans="1:2" ht="16" x14ac:dyDescent="0.2">
      <c r="A205" s="80" t="s">
        <v>137</v>
      </c>
      <c r="B205" s="62">
        <f>E34</f>
        <v>9871649</v>
      </c>
    </row>
    <row r="206" spans="1:2" ht="16" x14ac:dyDescent="0.2">
      <c r="A206" s="80" t="s">
        <v>126</v>
      </c>
      <c r="B206" s="65">
        <f>B204/B205</f>
        <v>0.16415757894147168</v>
      </c>
    </row>
    <row r="207" spans="1:2" ht="16" x14ac:dyDescent="0.2">
      <c r="A207" s="80" t="s">
        <v>128</v>
      </c>
      <c r="B207" s="55">
        <f>E142</f>
        <v>0.21035885588909164</v>
      </c>
    </row>
    <row r="208" spans="1:2" ht="16" x14ac:dyDescent="0.2">
      <c r="A208" s="80" t="s">
        <v>138</v>
      </c>
      <c r="B208" s="55">
        <f>E184</f>
        <v>0.3211364811146063</v>
      </c>
    </row>
    <row r="209" spans="1:2" ht="16" x14ac:dyDescent="0.2">
      <c r="A209" s="80" t="s">
        <v>117</v>
      </c>
      <c r="B209" s="62">
        <f>E180</f>
        <v>-560609</v>
      </c>
    </row>
    <row r="210" spans="1:2" ht="16" x14ac:dyDescent="0.2">
      <c r="A210" s="80" t="s">
        <v>139</v>
      </c>
      <c r="B210" s="62">
        <f>E179</f>
        <v>63345060</v>
      </c>
    </row>
    <row r="211" spans="1:2" ht="16" x14ac:dyDescent="0.2">
      <c r="A211" s="80" t="s">
        <v>124</v>
      </c>
      <c r="B211" s="85">
        <f>B210+B209</f>
        <v>62784451</v>
      </c>
    </row>
    <row r="212" spans="1:2" ht="16" x14ac:dyDescent="0.2">
      <c r="A212" s="80" t="s">
        <v>131</v>
      </c>
      <c r="B212" s="62">
        <f>B211/B204</f>
        <v>38.743732513177982</v>
      </c>
    </row>
    <row r="213" spans="1:2" ht="16" x14ac:dyDescent="0.2">
      <c r="A213" s="80" t="s">
        <v>129</v>
      </c>
      <c r="B213" s="62">
        <f>E186</f>
        <v>5841147</v>
      </c>
    </row>
    <row r="214" spans="1:2" ht="16" x14ac:dyDescent="0.2">
      <c r="A214" s="80" t="s">
        <v>140</v>
      </c>
      <c r="B214" s="60">
        <f>B211/B213</f>
        <v>10.748651078289932</v>
      </c>
    </row>
    <row r="218" spans="1:2" ht="16" x14ac:dyDescent="0.2">
      <c r="A218" s="86" t="s">
        <v>174</v>
      </c>
    </row>
    <row r="219" spans="1:2" ht="16" x14ac:dyDescent="0.2">
      <c r="A219" s="80" t="s">
        <v>125</v>
      </c>
      <c r="B219" s="87">
        <f>13.625*1000000</f>
        <v>13625000</v>
      </c>
    </row>
    <row r="220" spans="1:2" ht="16" x14ac:dyDescent="0.2">
      <c r="A220" s="80" t="s">
        <v>137</v>
      </c>
      <c r="B220" s="87">
        <f>25.49*1000000</f>
        <v>25490000</v>
      </c>
    </row>
    <row r="221" spans="1:2" ht="16" x14ac:dyDescent="0.2">
      <c r="A221" s="80" t="s">
        <v>126</v>
      </c>
      <c r="B221" s="88">
        <f>B219/B220</f>
        <v>0.53452334248724986</v>
      </c>
    </row>
    <row r="222" spans="1:2" ht="16" x14ac:dyDescent="0.2">
      <c r="A222" s="80" t="s">
        <v>128</v>
      </c>
      <c r="B222" s="89">
        <v>0.185</v>
      </c>
    </row>
    <row r="223" spans="1:2" ht="16" x14ac:dyDescent="0.2">
      <c r="A223" s="80" t="s">
        <v>138</v>
      </c>
      <c r="B223" s="89">
        <v>0.04</v>
      </c>
    </row>
    <row r="224" spans="1:2" ht="16" x14ac:dyDescent="0.2">
      <c r="A224" s="80" t="s">
        <v>117</v>
      </c>
      <c r="B224" s="87">
        <f>0.213*1000000</f>
        <v>213000</v>
      </c>
    </row>
    <row r="225" spans="1:2" ht="16" x14ac:dyDescent="0.2">
      <c r="A225" s="80" t="s">
        <v>139</v>
      </c>
      <c r="B225" s="87">
        <f>192.87*1000000</f>
        <v>192870000</v>
      </c>
    </row>
    <row r="226" spans="1:2" ht="16" x14ac:dyDescent="0.2">
      <c r="A226" s="80" t="s">
        <v>124</v>
      </c>
      <c r="B226" s="87">
        <f>SUM(B224:B225)</f>
        <v>193083000</v>
      </c>
    </row>
    <row r="227" spans="1:2" ht="16" x14ac:dyDescent="0.2">
      <c r="A227" s="80" t="s">
        <v>131</v>
      </c>
      <c r="B227" s="90">
        <f>B226/B219</f>
        <v>14.171229357798165</v>
      </c>
    </row>
    <row r="228" spans="1:2" ht="16" x14ac:dyDescent="0.2">
      <c r="A228" s="80" t="s">
        <v>129</v>
      </c>
      <c r="B228" s="87">
        <f>(7986.4-6859-4579.3+2192.4+13514.4+9738.4)*1000</f>
        <v>21993300</v>
      </c>
    </row>
    <row r="229" spans="1:2" ht="16" x14ac:dyDescent="0.2">
      <c r="A229" s="80" t="s">
        <v>140</v>
      </c>
      <c r="B229" s="90">
        <f>B226/B228</f>
        <v>8.779173657432036</v>
      </c>
    </row>
    <row r="231" spans="1:2" ht="16" x14ac:dyDescent="0.2">
      <c r="A231" s="80" t="s">
        <v>175</v>
      </c>
    </row>
    <row r="232" spans="1:2" ht="16" x14ac:dyDescent="0.2">
      <c r="A232" s="80" t="s">
        <v>125</v>
      </c>
      <c r="B232" s="44">
        <v>34878</v>
      </c>
    </row>
    <row r="233" spans="1:2" ht="16" x14ac:dyDescent="0.2">
      <c r="A233" s="80" t="s">
        <v>137</v>
      </c>
      <c r="B233" s="44">
        <v>468664</v>
      </c>
    </row>
    <row r="234" spans="1:2" ht="16" x14ac:dyDescent="0.2">
      <c r="A234" s="80" t="s">
        <v>126</v>
      </c>
      <c r="B234" s="65">
        <f>B232/B233</f>
        <v>7.4420053599166994E-2</v>
      </c>
    </row>
    <row r="235" spans="1:2" ht="16" x14ac:dyDescent="0.2">
      <c r="A235" s="80" t="s">
        <v>128</v>
      </c>
      <c r="B235" s="56">
        <v>7.0000000000000007E-2</v>
      </c>
    </row>
    <row r="236" spans="1:2" ht="16" x14ac:dyDescent="0.2">
      <c r="A236" s="80" t="s">
        <v>138</v>
      </c>
      <c r="B236" s="56">
        <v>0.03</v>
      </c>
    </row>
    <row r="237" spans="1:2" ht="16" x14ac:dyDescent="0.2">
      <c r="A237" s="80" t="s">
        <v>117</v>
      </c>
      <c r="B237" s="44">
        <f>0.27 * 1000000</f>
        <v>270000</v>
      </c>
    </row>
    <row r="238" spans="1:2" ht="16" x14ac:dyDescent="0.2">
      <c r="A238" s="80" t="s">
        <v>139</v>
      </c>
      <c r="B238" s="44">
        <f>0.31*1000000</f>
        <v>310000</v>
      </c>
    </row>
    <row r="239" spans="1:2" ht="16" x14ac:dyDescent="0.2">
      <c r="A239" s="80" t="s">
        <v>124</v>
      </c>
      <c r="B239" s="44">
        <f>SUM(B237:B238)</f>
        <v>580000</v>
      </c>
    </row>
    <row r="240" spans="1:2" ht="16" x14ac:dyDescent="0.2">
      <c r="A240" s="80" t="s">
        <v>131</v>
      </c>
      <c r="B240" s="91">
        <f>B239/B232</f>
        <v>16.629393887264179</v>
      </c>
    </row>
    <row r="241" spans="1:2" ht="16" x14ac:dyDescent="0.2">
      <c r="A241" s="80" t="s">
        <v>129</v>
      </c>
      <c r="B241" s="92">
        <f>(25134-72581-7288+84027+3043)</f>
        <v>32335</v>
      </c>
    </row>
    <row r="242" spans="1:2" ht="16" x14ac:dyDescent="0.2">
      <c r="A242" s="80" t="s">
        <v>140</v>
      </c>
      <c r="B242" s="91">
        <f>B239/B241</f>
        <v>17.937219730941703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81AEC-0564-E44A-96AD-AFE132FAE3B0}">
  <dimension ref="A2:B28"/>
  <sheetViews>
    <sheetView workbookViewId="0">
      <selection activeCell="B20" sqref="B20"/>
    </sheetView>
  </sheetViews>
  <sheetFormatPr baseColWidth="10" defaultRowHeight="15" x14ac:dyDescent="0.2"/>
  <cols>
    <col min="1" max="1" width="29" bestFit="1" customWidth="1"/>
    <col min="2" max="2" width="14.6640625" bestFit="1" customWidth="1"/>
  </cols>
  <sheetData>
    <row r="2" spans="1:2" x14ac:dyDescent="0.2">
      <c r="A2" t="s">
        <v>170</v>
      </c>
    </row>
    <row r="4" spans="1:2" ht="16" x14ac:dyDescent="0.2">
      <c r="A4" s="29" t="s">
        <v>132</v>
      </c>
      <c r="B4" s="35"/>
    </row>
    <row r="5" spans="1:2" ht="16" x14ac:dyDescent="0.2">
      <c r="A5" s="29"/>
      <c r="B5" s="35"/>
    </row>
    <row r="6" spans="1:2" ht="16" x14ac:dyDescent="0.2">
      <c r="A6" s="36" t="s">
        <v>168</v>
      </c>
      <c r="B6" s="33">
        <v>2444854.69</v>
      </c>
    </row>
    <row r="7" spans="1:2" ht="16" x14ac:dyDescent="0.2">
      <c r="A7" s="29" t="s">
        <v>133</v>
      </c>
      <c r="B7" s="35">
        <v>160.8108225</v>
      </c>
    </row>
    <row r="8" spans="1:2" ht="16" x14ac:dyDescent="0.2">
      <c r="A8" s="29" t="s">
        <v>124</v>
      </c>
      <c r="B8" s="33">
        <v>85602013</v>
      </c>
    </row>
    <row r="9" spans="1:2" ht="16" x14ac:dyDescent="0.2">
      <c r="A9" s="29" t="s">
        <v>134</v>
      </c>
      <c r="B9" s="33">
        <v>-1290854.54</v>
      </c>
    </row>
    <row r="10" spans="1:2" ht="16" x14ac:dyDescent="0.2">
      <c r="A10" s="28" t="s">
        <v>123</v>
      </c>
      <c r="B10" s="33">
        <v>86210000</v>
      </c>
    </row>
    <row r="11" spans="1:2" ht="16" x14ac:dyDescent="0.2">
      <c r="A11" s="29" t="s">
        <v>119</v>
      </c>
      <c r="B11" s="33">
        <v>27917</v>
      </c>
    </row>
    <row r="12" spans="1:2" ht="16" x14ac:dyDescent="0.2">
      <c r="A12" s="29" t="s">
        <v>135</v>
      </c>
      <c r="B12" s="37">
        <v>3088.08</v>
      </c>
    </row>
    <row r="13" spans="1:2" ht="16" x14ac:dyDescent="0.2">
      <c r="A13" s="29"/>
      <c r="B13" s="35"/>
    </row>
    <row r="14" spans="1:2" ht="16" x14ac:dyDescent="0.2">
      <c r="A14" s="29" t="s">
        <v>136</v>
      </c>
      <c r="B14" s="35"/>
    </row>
    <row r="15" spans="1:2" ht="16" x14ac:dyDescent="0.2">
      <c r="A15" s="29"/>
      <c r="B15" s="35"/>
    </row>
    <row r="16" spans="1:2" ht="16" x14ac:dyDescent="0.2">
      <c r="A16" s="30" t="s">
        <v>169</v>
      </c>
      <c r="B16" s="35"/>
    </row>
    <row r="17" spans="1:2" ht="16" x14ac:dyDescent="0.2">
      <c r="A17" s="29"/>
      <c r="B17" s="35"/>
    </row>
    <row r="18" spans="1:2" ht="16" x14ac:dyDescent="0.2">
      <c r="A18" s="29" t="s">
        <v>125</v>
      </c>
      <c r="B18" s="33">
        <v>1933523.21</v>
      </c>
    </row>
    <row r="19" spans="1:2" ht="16" x14ac:dyDescent="0.2">
      <c r="A19" s="29" t="s">
        <v>137</v>
      </c>
      <c r="B19" s="33">
        <v>9871649</v>
      </c>
    </row>
    <row r="20" spans="1:2" ht="16" x14ac:dyDescent="0.2">
      <c r="A20" s="29" t="s">
        <v>126</v>
      </c>
      <c r="B20" s="35">
        <v>0.195866284</v>
      </c>
    </row>
    <row r="21" spans="1:2" ht="16" x14ac:dyDescent="0.2">
      <c r="A21" s="29" t="s">
        <v>128</v>
      </c>
      <c r="B21" s="38">
        <v>0.19040000000000001</v>
      </c>
    </row>
    <row r="22" spans="1:2" ht="16" x14ac:dyDescent="0.2">
      <c r="A22" s="29" t="s">
        <v>138</v>
      </c>
      <c r="B22" s="38">
        <v>0.08</v>
      </c>
    </row>
    <row r="23" spans="1:2" ht="16" x14ac:dyDescent="0.2">
      <c r="A23" s="29" t="s">
        <v>117</v>
      </c>
      <c r="B23" s="33">
        <v>-560609</v>
      </c>
    </row>
    <row r="24" spans="1:2" ht="16" x14ac:dyDescent="0.2">
      <c r="A24" s="29" t="s">
        <v>139</v>
      </c>
      <c r="B24" s="35">
        <v>86210000</v>
      </c>
    </row>
    <row r="25" spans="1:2" ht="16" x14ac:dyDescent="0.2">
      <c r="A25" s="29" t="s">
        <v>124</v>
      </c>
      <c r="B25" s="39">
        <v>85602013</v>
      </c>
    </row>
    <row r="26" spans="1:2" ht="16" x14ac:dyDescent="0.2">
      <c r="A26" s="29" t="s">
        <v>131</v>
      </c>
      <c r="B26" s="35">
        <v>44.272555179999998</v>
      </c>
    </row>
    <row r="27" spans="1:2" ht="16" x14ac:dyDescent="0.2">
      <c r="A27" s="29" t="s">
        <v>129</v>
      </c>
      <c r="B27" s="33">
        <v>-560731</v>
      </c>
    </row>
    <row r="28" spans="1:2" ht="16" x14ac:dyDescent="0.2">
      <c r="A28" s="29" t="s">
        <v>140</v>
      </c>
      <c r="B28" s="33">
        <v>152.66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711F-6764-E449-BA6D-C9514CEC230C}">
  <dimension ref="A3:I20"/>
  <sheetViews>
    <sheetView workbookViewId="0">
      <selection activeCell="I26" sqref="I26"/>
    </sheetView>
  </sheetViews>
  <sheetFormatPr baseColWidth="10" defaultRowHeight="15" x14ac:dyDescent="0.2"/>
  <cols>
    <col min="1" max="1" width="22.33203125" bestFit="1" customWidth="1"/>
    <col min="4" max="4" width="12.6640625" bestFit="1" customWidth="1"/>
    <col min="5" max="7" width="13.6640625" bestFit="1" customWidth="1"/>
    <col min="8" max="8" width="12.6640625" bestFit="1" customWidth="1"/>
    <col min="9" max="9" width="12.1640625" bestFit="1" customWidth="1"/>
  </cols>
  <sheetData>
    <row r="3" spans="1:9" x14ac:dyDescent="0.2">
      <c r="A3" t="s">
        <v>149</v>
      </c>
      <c r="D3">
        <v>2020</v>
      </c>
      <c r="E3">
        <v>2021</v>
      </c>
      <c r="F3">
        <v>2022</v>
      </c>
      <c r="G3">
        <v>2023</v>
      </c>
      <c r="H3">
        <v>2024</v>
      </c>
      <c r="I3">
        <v>2025</v>
      </c>
    </row>
    <row r="5" spans="1:9" x14ac:dyDescent="0.2">
      <c r="A5" t="s">
        <v>150</v>
      </c>
      <c r="D5" s="31">
        <v>355766</v>
      </c>
      <c r="E5" s="31">
        <f>652984</f>
        <v>652984</v>
      </c>
      <c r="F5" s="31">
        <v>899101</v>
      </c>
      <c r="G5" s="32">
        <v>1228737</v>
      </c>
      <c r="H5" s="31">
        <f>H3+H4</f>
        <v>2024</v>
      </c>
      <c r="I5" s="31">
        <f>I3+I4</f>
        <v>2025</v>
      </c>
    </row>
    <row r="6" spans="1:9" x14ac:dyDescent="0.2">
      <c r="A6" t="s">
        <v>157</v>
      </c>
      <c r="D6" s="32">
        <v>238534</v>
      </c>
      <c r="E6" s="32">
        <v>254657</v>
      </c>
      <c r="F6" s="32">
        <v>286826</v>
      </c>
      <c r="G6" s="32">
        <v>319394</v>
      </c>
      <c r="H6" s="31">
        <f t="shared" ref="H6:I6" si="0">G6*1.03</f>
        <v>328975.82</v>
      </c>
      <c r="I6" s="31">
        <f t="shared" si="0"/>
        <v>338845.09460000001</v>
      </c>
    </row>
    <row r="7" spans="1:9" x14ac:dyDescent="0.2">
      <c r="A7" t="s">
        <v>151</v>
      </c>
      <c r="D7" s="9">
        <v>3643</v>
      </c>
      <c r="E7" s="9">
        <v>-4599</v>
      </c>
      <c r="F7" s="9">
        <v>-16202</v>
      </c>
      <c r="G7" s="9">
        <v>-13080</v>
      </c>
      <c r="H7" s="9">
        <f>AVERAGE(D7:G7)</f>
        <v>-7559.5</v>
      </c>
      <c r="I7" s="9">
        <f>AVERAGE(E7:H7)</f>
        <v>-10360.125</v>
      </c>
    </row>
    <row r="8" spans="1:9" x14ac:dyDescent="0.2">
      <c r="A8" t="s">
        <v>158</v>
      </c>
      <c r="D8" s="33">
        <v>-338648</v>
      </c>
      <c r="E8" s="33">
        <v>197425</v>
      </c>
      <c r="F8" s="33">
        <v>78641</v>
      </c>
      <c r="G8" s="33">
        <v>95320</v>
      </c>
      <c r="H8" s="33">
        <v>8184.5</v>
      </c>
      <c r="I8" s="33">
        <v>94892.63</v>
      </c>
    </row>
    <row r="9" spans="1:9" x14ac:dyDescent="0.2">
      <c r="A9" t="s">
        <v>146</v>
      </c>
      <c r="D9" s="34">
        <f>SUM(D5:D8)</f>
        <v>259295</v>
      </c>
      <c r="E9" s="34">
        <f t="shared" ref="E9:I9" si="1">SUM(E5:E8)</f>
        <v>1100467</v>
      </c>
      <c r="F9" s="34">
        <f t="shared" si="1"/>
        <v>1248366</v>
      </c>
      <c r="G9" s="34">
        <f t="shared" si="1"/>
        <v>1630371</v>
      </c>
      <c r="H9" s="34">
        <f t="shared" si="1"/>
        <v>331624.82</v>
      </c>
      <c r="I9" s="34">
        <f t="shared" si="1"/>
        <v>425402.59960000002</v>
      </c>
    </row>
    <row r="10" spans="1:9" x14ac:dyDescent="0.2">
      <c r="A10" t="s">
        <v>152</v>
      </c>
      <c r="D10" s="9">
        <v>-373352</v>
      </c>
      <c r="E10" s="9">
        <v>-442475</v>
      </c>
      <c r="F10" s="9">
        <v>-479164</v>
      </c>
      <c r="G10" s="9">
        <v>-560731</v>
      </c>
      <c r="H10" s="9">
        <f t="shared" ref="H10:I10" si="2">AVERAGE(D10:G10)</f>
        <v>-463930.5</v>
      </c>
      <c r="I10" s="9">
        <f t="shared" si="2"/>
        <v>-486575.125</v>
      </c>
    </row>
    <row r="11" spans="1:9" x14ac:dyDescent="0.2">
      <c r="A11" t="s">
        <v>153</v>
      </c>
      <c r="D11" s="34">
        <f>+D9-D10</f>
        <v>632647</v>
      </c>
      <c r="E11" s="34">
        <f t="shared" ref="E11:I11" si="3">+E9-E10</f>
        <v>1542942</v>
      </c>
      <c r="F11" s="34">
        <f t="shared" si="3"/>
        <v>1727530</v>
      </c>
      <c r="G11" s="34">
        <f t="shared" si="3"/>
        <v>2191102</v>
      </c>
      <c r="H11" s="34">
        <f t="shared" si="3"/>
        <v>795555.32000000007</v>
      </c>
      <c r="I11" s="34">
        <f t="shared" si="3"/>
        <v>911977.72460000007</v>
      </c>
    </row>
    <row r="12" spans="1:9" x14ac:dyDescent="0.2">
      <c r="A12" t="s">
        <v>159</v>
      </c>
      <c r="D12" s="31">
        <f>'Financial Model '!B58/'Funds Flow Statement '!D11</f>
        <v>4.4916043227898023E-2</v>
      </c>
      <c r="E12" s="31">
        <f>'Financial Model '!C58/'Funds Flow Statement '!E11</f>
        <v>1.8478335543396965E-2</v>
      </c>
      <c r="F12" s="31">
        <f>'Financial Model '!D58/'Funds Flow Statement '!F11</f>
        <v>1.6244001551347878E-2</v>
      </c>
      <c r="G12" s="31">
        <f>'Financial Model '!E58/'Funds Flow Statement '!G11</f>
        <v>1.2646604311437807E-2</v>
      </c>
      <c r="H12" s="31">
        <f>'Financial Model '!F58/'Funds Flow Statement '!H11</f>
        <v>3.4753053455163871E-2</v>
      </c>
      <c r="I12" s="31">
        <f>'Financial Model '!G58/'Funds Flow Statement '!I11</f>
        <v>3.0316504248638968E-2</v>
      </c>
    </row>
    <row r="14" spans="1:9" x14ac:dyDescent="0.2">
      <c r="A14" t="s">
        <v>154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155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160</v>
      </c>
      <c r="D16" s="9">
        <v>-54401</v>
      </c>
      <c r="E16" s="9">
        <v>-466462</v>
      </c>
      <c r="F16" s="9">
        <v>-830140</v>
      </c>
      <c r="G16" s="9">
        <v>-592349</v>
      </c>
      <c r="H16" s="9">
        <f t="shared" ref="H16" si="4">AVERAGE(D16:G16)</f>
        <v>-485838</v>
      </c>
      <c r="I16" s="9">
        <f>AVERAGE(D16:H16)</f>
        <v>-485838</v>
      </c>
    </row>
    <row r="17" spans="1:9" x14ac:dyDescent="0.2">
      <c r="A17" t="s">
        <v>161</v>
      </c>
      <c r="D17" s="9">
        <v>-1895</v>
      </c>
      <c r="E17" s="9">
        <v>-2274</v>
      </c>
      <c r="F17" s="9">
        <v>-294</v>
      </c>
      <c r="G17" s="9">
        <v>843</v>
      </c>
      <c r="H17" s="9">
        <f t="shared" ref="H17:I17" si="5">AVERAGE(D17:G17)</f>
        <v>-905</v>
      </c>
      <c r="I17" s="9">
        <f t="shared" si="5"/>
        <v>-657.5</v>
      </c>
    </row>
    <row r="18" spans="1:9" x14ac:dyDescent="0.2">
      <c r="A18" t="s">
        <v>162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146</v>
      </c>
      <c r="D19">
        <f>SUM(D14:D18)</f>
        <v>-56296</v>
      </c>
      <c r="E19">
        <f t="shared" ref="E19:I19" si="6">SUM(E14:E18)</f>
        <v>-468736</v>
      </c>
      <c r="F19">
        <f t="shared" si="6"/>
        <v>-830434</v>
      </c>
      <c r="G19">
        <f t="shared" si="6"/>
        <v>-591506</v>
      </c>
      <c r="H19">
        <f t="shared" si="6"/>
        <v>-486743</v>
      </c>
      <c r="I19">
        <f t="shared" si="6"/>
        <v>-486495.5</v>
      </c>
    </row>
    <row r="20" spans="1:9" x14ac:dyDescent="0.2">
      <c r="A20" t="s">
        <v>156</v>
      </c>
      <c r="D20" s="34">
        <f>D11+D19</f>
        <v>576351</v>
      </c>
      <c r="E20" s="34">
        <f t="shared" ref="E20:I20" si="7">E11+E19</f>
        <v>1074206</v>
      </c>
      <c r="F20" s="34">
        <f t="shared" si="7"/>
        <v>897096</v>
      </c>
      <c r="G20" s="34">
        <f t="shared" si="7"/>
        <v>1599596</v>
      </c>
      <c r="H20" s="34">
        <f t="shared" si="7"/>
        <v>308812.32000000007</v>
      </c>
      <c r="I20" s="34">
        <f t="shared" si="7"/>
        <v>425482.22460000007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5B19-8436-DB41-915D-388D88D5352F}">
  <dimension ref="A1:G29"/>
  <sheetViews>
    <sheetView workbookViewId="0">
      <selection activeCell="G31" sqref="G31"/>
    </sheetView>
  </sheetViews>
  <sheetFormatPr baseColWidth="10" defaultRowHeight="15" x14ac:dyDescent="0.2"/>
  <cols>
    <col min="1" max="1" width="22.33203125" bestFit="1" customWidth="1"/>
    <col min="2" max="2" width="12.1640625" bestFit="1" customWidth="1"/>
    <col min="3" max="7" width="13.6640625" bestFit="1" customWidth="1"/>
  </cols>
  <sheetData>
    <row r="1" spans="1:7" x14ac:dyDescent="0.2">
      <c r="A1" t="s">
        <v>177</v>
      </c>
    </row>
    <row r="5" spans="1:7" x14ac:dyDescent="0.2">
      <c r="A5" s="15" t="s">
        <v>2</v>
      </c>
      <c r="B5" s="35">
        <v>2020</v>
      </c>
      <c r="C5" s="35">
        <v>2021</v>
      </c>
      <c r="D5" s="35">
        <v>2022</v>
      </c>
      <c r="E5" s="35">
        <v>2023</v>
      </c>
      <c r="F5" s="40">
        <v>2024</v>
      </c>
      <c r="G5" s="40">
        <v>2025</v>
      </c>
    </row>
    <row r="6" spans="1:7" x14ac:dyDescent="0.2">
      <c r="A6" s="35" t="s">
        <v>150</v>
      </c>
      <c r="B6" s="39">
        <v>355766</v>
      </c>
      <c r="C6" s="39">
        <v>652984</v>
      </c>
      <c r="D6" s="39">
        <v>899101</v>
      </c>
      <c r="E6" s="39">
        <v>1228737</v>
      </c>
      <c r="F6" s="33">
        <v>1634220.21</v>
      </c>
      <c r="G6" s="33">
        <v>2173512.88</v>
      </c>
    </row>
    <row r="7" spans="1:7" x14ac:dyDescent="0.2">
      <c r="A7" s="35" t="s">
        <v>157</v>
      </c>
      <c r="B7" s="39">
        <v>238534</v>
      </c>
      <c r="C7" s="39">
        <v>254657</v>
      </c>
      <c r="D7" s="39">
        <v>286826</v>
      </c>
      <c r="E7" s="39">
        <v>319394</v>
      </c>
      <c r="F7" s="39">
        <v>328975.82</v>
      </c>
      <c r="G7" s="39">
        <v>338845.09</v>
      </c>
    </row>
    <row r="8" spans="1:7" x14ac:dyDescent="0.2">
      <c r="A8" s="35"/>
      <c r="B8" s="39"/>
      <c r="C8" s="41">
        <v>7.0000000000000007E-2</v>
      </c>
      <c r="D8" s="41">
        <v>0.13</v>
      </c>
      <c r="E8" s="41">
        <v>0.11</v>
      </c>
      <c r="F8" s="41">
        <v>0.03</v>
      </c>
      <c r="G8" s="41">
        <v>0.03</v>
      </c>
    </row>
    <row r="9" spans="1:7" x14ac:dyDescent="0.2">
      <c r="A9" s="35" t="s">
        <v>151</v>
      </c>
      <c r="B9" s="33">
        <v>3643</v>
      </c>
      <c r="C9" s="33">
        <v>-4599</v>
      </c>
      <c r="D9" s="33">
        <v>-16202</v>
      </c>
      <c r="E9" s="33">
        <v>-13080</v>
      </c>
      <c r="F9" s="33">
        <v>-13200</v>
      </c>
      <c r="G9" s="33">
        <v>-13200</v>
      </c>
    </row>
    <row r="10" spans="1:7" x14ac:dyDescent="0.2">
      <c r="A10" s="35"/>
      <c r="B10" s="33"/>
      <c r="C10" s="33">
        <v>-2.2599999999999998</v>
      </c>
      <c r="D10" s="33">
        <v>-4.5199999999999996</v>
      </c>
      <c r="E10" s="33">
        <v>-1.81</v>
      </c>
      <c r="F10" s="33">
        <v>-2.0099999999999998</v>
      </c>
      <c r="G10" s="33">
        <v>-2</v>
      </c>
    </row>
    <row r="11" spans="1:7" x14ac:dyDescent="0.2">
      <c r="A11" s="35" t="s">
        <v>158</v>
      </c>
      <c r="B11" s="33">
        <v>-338648</v>
      </c>
      <c r="C11" s="33">
        <v>286535</v>
      </c>
      <c r="D11" s="33">
        <v>78641</v>
      </c>
      <c r="E11" s="33">
        <v>95320</v>
      </c>
      <c r="F11" s="33">
        <v>81840.5</v>
      </c>
      <c r="G11" s="33">
        <v>94892.63</v>
      </c>
    </row>
    <row r="12" spans="1:7" x14ac:dyDescent="0.2">
      <c r="A12" s="35" t="s">
        <v>146</v>
      </c>
      <c r="B12" s="39">
        <v>259295</v>
      </c>
      <c r="C12" s="39">
        <v>1189574.81</v>
      </c>
      <c r="D12" s="39">
        <v>1248361.6000000001</v>
      </c>
      <c r="E12" s="39">
        <v>1630369.31</v>
      </c>
      <c r="F12" s="39">
        <v>2031834.55</v>
      </c>
      <c r="G12" s="39">
        <v>2594048.63</v>
      </c>
    </row>
    <row r="13" spans="1:7" x14ac:dyDescent="0.2">
      <c r="A13" s="35"/>
      <c r="B13" s="39"/>
      <c r="C13" s="41">
        <v>3.59</v>
      </c>
      <c r="D13" s="41">
        <v>0.05</v>
      </c>
      <c r="E13" s="41">
        <v>0.31</v>
      </c>
      <c r="F13" s="41">
        <v>0.25</v>
      </c>
      <c r="G13" s="41">
        <v>0.28000000000000003</v>
      </c>
    </row>
    <row r="14" spans="1:7" x14ac:dyDescent="0.2">
      <c r="A14" s="35" t="s">
        <v>152</v>
      </c>
      <c r="B14" s="33">
        <v>-373352</v>
      </c>
      <c r="C14" s="33">
        <v>-442475</v>
      </c>
      <c r="D14" s="33">
        <v>-479164</v>
      </c>
      <c r="E14" s="33">
        <v>-560731</v>
      </c>
      <c r="F14" s="33">
        <v>-650000</v>
      </c>
      <c r="G14" s="33">
        <v>-760000</v>
      </c>
    </row>
    <row r="15" spans="1:7" x14ac:dyDescent="0.2">
      <c r="A15" s="35"/>
      <c r="B15" s="33"/>
      <c r="C15" s="33">
        <v>-0.19</v>
      </c>
      <c r="D15" s="33">
        <v>-0.08</v>
      </c>
      <c r="E15" s="33">
        <v>-0.17</v>
      </c>
      <c r="F15" s="33">
        <v>-0.16</v>
      </c>
      <c r="G15" s="33">
        <v>-0.17</v>
      </c>
    </row>
    <row r="16" spans="1:7" x14ac:dyDescent="0.2">
      <c r="A16" s="35" t="s">
        <v>153</v>
      </c>
      <c r="B16" s="39">
        <v>632647</v>
      </c>
      <c r="C16" s="39">
        <v>1632049.81</v>
      </c>
      <c r="D16" s="39">
        <v>1727525.6</v>
      </c>
      <c r="E16" s="39">
        <v>2191100.31</v>
      </c>
      <c r="F16" s="39">
        <v>2681834.5499999998</v>
      </c>
      <c r="G16" s="39">
        <v>3354048.63</v>
      </c>
    </row>
    <row r="17" spans="1:7" x14ac:dyDescent="0.2">
      <c r="A17" s="35" t="s">
        <v>159</v>
      </c>
      <c r="B17" s="39">
        <v>0.04</v>
      </c>
      <c r="C17" s="39">
        <v>0.02</v>
      </c>
      <c r="D17" s="39">
        <v>0.02</v>
      </c>
      <c r="E17" s="39">
        <v>0.01</v>
      </c>
      <c r="F17" s="39">
        <v>0.01</v>
      </c>
      <c r="G17" s="39">
        <v>0.01</v>
      </c>
    </row>
    <row r="18" spans="1:7" x14ac:dyDescent="0.2">
      <c r="A18" s="35" t="s">
        <v>154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</row>
    <row r="19" spans="1:7" x14ac:dyDescent="0.2">
      <c r="A19" s="35" t="s">
        <v>155</v>
      </c>
      <c r="B19" s="35">
        <v>0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</row>
    <row r="20" spans="1:7" x14ac:dyDescent="0.2">
      <c r="A20" s="35" t="s">
        <v>160</v>
      </c>
      <c r="B20" s="33">
        <v>-54401</v>
      </c>
      <c r="C20" s="33">
        <v>-466462</v>
      </c>
      <c r="D20" s="33">
        <v>-830140</v>
      </c>
      <c r="E20" s="33">
        <v>-592349</v>
      </c>
      <c r="F20" s="33">
        <v>-600000</v>
      </c>
      <c r="G20" s="33">
        <v>-600000</v>
      </c>
    </row>
    <row r="21" spans="1:7" x14ac:dyDescent="0.2">
      <c r="A21" s="35"/>
      <c r="B21" s="33"/>
      <c r="C21" s="33">
        <v>-9.57</v>
      </c>
      <c r="D21" s="33">
        <v>-2.78</v>
      </c>
      <c r="E21" s="33">
        <v>-1.71</v>
      </c>
      <c r="F21" s="33">
        <v>-2.0099999999999998</v>
      </c>
      <c r="G21" s="33">
        <v>-2</v>
      </c>
    </row>
    <row r="22" spans="1:7" x14ac:dyDescent="0.2">
      <c r="A22" s="35" t="s">
        <v>176</v>
      </c>
      <c r="B22" s="33">
        <v>-49340</v>
      </c>
      <c r="C22" s="33">
        <v>-83602</v>
      </c>
      <c r="D22" s="33">
        <v>-350868</v>
      </c>
      <c r="E22" s="33">
        <v>-385278</v>
      </c>
      <c r="F22" s="33">
        <v>-400000</v>
      </c>
      <c r="G22" s="33">
        <v>-400000</v>
      </c>
    </row>
    <row r="23" spans="1:7" x14ac:dyDescent="0.2">
      <c r="A23" s="35"/>
      <c r="B23" s="33"/>
      <c r="C23" s="33">
        <v>-2.69</v>
      </c>
      <c r="D23" s="33">
        <v>-5.2</v>
      </c>
      <c r="E23" s="33">
        <v>-2.1</v>
      </c>
      <c r="F23" s="33">
        <v>-2.04</v>
      </c>
      <c r="G23" s="33">
        <v>-2</v>
      </c>
    </row>
    <row r="24" spans="1:7" x14ac:dyDescent="0.2">
      <c r="A24" s="35" t="s">
        <v>161</v>
      </c>
      <c r="B24" s="33">
        <v>-1895</v>
      </c>
      <c r="C24" s="33">
        <v>-2274</v>
      </c>
      <c r="D24" s="33">
        <v>-294</v>
      </c>
      <c r="E24" s="33">
        <v>843</v>
      </c>
      <c r="F24" s="33">
        <v>-905</v>
      </c>
      <c r="G24" s="33">
        <v>-657.5</v>
      </c>
    </row>
    <row r="25" spans="1:7" x14ac:dyDescent="0.2">
      <c r="A25" s="35" t="s">
        <v>162</v>
      </c>
      <c r="B25" s="35">
        <v>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</row>
    <row r="26" spans="1:7" x14ac:dyDescent="0.2">
      <c r="A26" s="35" t="s">
        <v>146</v>
      </c>
      <c r="B26" s="35">
        <v>-105636</v>
      </c>
      <c r="C26" s="35">
        <v>-552350.26890000002</v>
      </c>
      <c r="D26" s="35">
        <v>-1181309.977</v>
      </c>
      <c r="E26" s="35">
        <v>-976787.81160000002</v>
      </c>
      <c r="F26" s="35">
        <v>-1000909.051</v>
      </c>
      <c r="G26" s="35">
        <v>-1000661.5</v>
      </c>
    </row>
    <row r="27" spans="1:7" x14ac:dyDescent="0.2">
      <c r="A27" s="35" t="s">
        <v>156</v>
      </c>
      <c r="B27" s="39">
        <v>527011</v>
      </c>
      <c r="C27" s="39">
        <v>1079699.54</v>
      </c>
      <c r="D27" s="39">
        <v>546215.63</v>
      </c>
      <c r="E27" s="39">
        <v>1214312.49</v>
      </c>
      <c r="F27" s="39">
        <v>1680925.5</v>
      </c>
      <c r="G27" s="39">
        <v>2353387.13</v>
      </c>
    </row>
    <row r="28" spans="1:7" x14ac:dyDescent="0.2">
      <c r="A28" s="35"/>
      <c r="B28" s="35"/>
      <c r="C28" s="35"/>
      <c r="D28" s="35"/>
      <c r="E28" s="35"/>
      <c r="F28" s="35"/>
      <c r="G28" s="35"/>
    </row>
    <row r="29" spans="1:7" x14ac:dyDescent="0.2">
      <c r="A29" s="35"/>
      <c r="B29" s="39"/>
      <c r="C29" s="39">
        <v>1687686.54</v>
      </c>
      <c r="D29" s="39">
        <v>1361589.63</v>
      </c>
      <c r="E29" s="39">
        <v>1598312.49</v>
      </c>
      <c r="F29" s="39">
        <v>2241534.5</v>
      </c>
      <c r="G29" s="39">
        <v>4594921.63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Model </vt:lpstr>
      <vt:lpstr>Valuation </vt:lpstr>
      <vt:lpstr>Funds Flow Statement </vt:lpstr>
      <vt:lpstr>Funds Flow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Chau</dc:creator>
  <cp:lastModifiedBy>Kong, Nam</cp:lastModifiedBy>
  <dcterms:created xsi:type="dcterms:W3CDTF">2024-02-08T20:14:31Z</dcterms:created>
  <dcterms:modified xsi:type="dcterms:W3CDTF">2024-06-27T13:08:17Z</dcterms:modified>
</cp:coreProperties>
</file>