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/Retail - Restaurants/"/>
    </mc:Choice>
  </mc:AlternateContent>
  <xr:revisionPtr revIDLastSave="0" documentId="13_ncr:1_{5E8C5FA3-0642-784D-9BF0-0507BCE6DB5A}" xr6:coauthVersionLast="47" xr6:coauthVersionMax="47" xr10:uidLastSave="{00000000-0000-0000-0000-000000000000}"/>
  <bookViews>
    <workbookView xWindow="10640" yWindow="500" windowWidth="18160" windowHeight="16400" xr2:uid="{D5DE7AD7-4B63-1B4F-9173-DD01489BB208}"/>
  </bookViews>
  <sheets>
    <sheet name="Valuation &amp; Forecasting" sheetId="4" r:id="rId1"/>
    <sheet name="Statement of Income" sheetId="1" r:id="rId2"/>
    <sheet name="Balance Sheet" sheetId="2" r:id="rId3"/>
    <sheet name="Statement of Cash Flows 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3" i="4" l="1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C213" i="4"/>
  <c r="U212" i="4"/>
  <c r="V55" i="4"/>
  <c r="W55" i="4"/>
  <c r="X55" i="4"/>
  <c r="Y55" i="4" s="1"/>
  <c r="Z55" i="4" s="1"/>
  <c r="U55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B110" i="4"/>
  <c r="AO8" i="4"/>
  <c r="AM6" i="4"/>
  <c r="AR6" i="4"/>
  <c r="AR10" i="4" s="1"/>
  <c r="AS6" i="4" s="1"/>
  <c r="AS10" i="4" s="1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K27" i="1"/>
  <c r="T11" i="4"/>
  <c r="S11" i="4"/>
  <c r="R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T6" i="4"/>
  <c r="S6" i="4"/>
  <c r="R6" i="4"/>
  <c r="V32" i="4"/>
  <c r="W32" i="4"/>
  <c r="X32" i="4"/>
  <c r="Y32" i="4"/>
  <c r="Z32" i="4"/>
  <c r="U32" i="4"/>
  <c r="T172" i="4"/>
  <c r="U216" i="4"/>
  <c r="U27" i="1"/>
  <c r="V27" i="1"/>
  <c r="U46" i="1"/>
  <c r="U48" i="1" s="1"/>
  <c r="V46" i="1"/>
  <c r="V48" i="1"/>
  <c r="U43" i="1"/>
  <c r="V43" i="1"/>
  <c r="U44" i="1"/>
  <c r="V44" i="1"/>
  <c r="V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C62" i="1"/>
  <c r="U203" i="4"/>
  <c r="U202" i="4" s="1"/>
  <c r="V203" i="4"/>
  <c r="V202" i="4" s="1"/>
  <c r="W203" i="4"/>
  <c r="W202" i="4" s="1"/>
  <c r="X203" i="4"/>
  <c r="X202" i="4" s="1"/>
  <c r="Y203" i="4"/>
  <c r="Y202" i="4" s="1"/>
  <c r="Y204" i="4" s="1"/>
  <c r="Z203" i="4"/>
  <c r="Z202" i="4" s="1"/>
  <c r="V216" i="4"/>
  <c r="W216" i="4"/>
  <c r="X216" i="4"/>
  <c r="Y216" i="4"/>
  <c r="Z216" i="4"/>
  <c r="C19" i="1"/>
  <c r="J54" i="4"/>
  <c r="K54" i="4"/>
  <c r="L54" i="4"/>
  <c r="M54" i="4"/>
  <c r="N54" i="4"/>
  <c r="O54" i="4"/>
  <c r="C54" i="4"/>
  <c r="D54" i="4"/>
  <c r="E54" i="4"/>
  <c r="F54" i="4"/>
  <c r="G54" i="4"/>
  <c r="H54" i="4"/>
  <c r="I54" i="4"/>
  <c r="B54" i="4"/>
  <c r="AZ91" i="4"/>
  <c r="AY91" i="4"/>
  <c r="AX91" i="4"/>
  <c r="AW91" i="4"/>
  <c r="AZ90" i="4"/>
  <c r="AY90" i="4"/>
  <c r="AX90" i="4"/>
  <c r="AW90" i="4"/>
  <c r="AZ89" i="4"/>
  <c r="AY89" i="4"/>
  <c r="AX89" i="4"/>
  <c r="AW89" i="4"/>
  <c r="AZ83" i="4"/>
  <c r="AY83" i="4"/>
  <c r="AX83" i="4"/>
  <c r="AW83" i="4"/>
  <c r="AZ79" i="4"/>
  <c r="AY79" i="4"/>
  <c r="AX79" i="4"/>
  <c r="AW79" i="4"/>
  <c r="AZ78" i="4"/>
  <c r="AY78" i="4"/>
  <c r="AX78" i="4"/>
  <c r="AZ77" i="4"/>
  <c r="AY77" i="4"/>
  <c r="AX77" i="4"/>
  <c r="AW77" i="4"/>
  <c r="AZ74" i="4"/>
  <c r="AY74" i="4"/>
  <c r="AX74" i="4"/>
  <c r="AW74" i="4"/>
  <c r="AZ73" i="4"/>
  <c r="AY73" i="4"/>
  <c r="AX73" i="4"/>
  <c r="AW73" i="4"/>
  <c r="AZ72" i="4"/>
  <c r="AY72" i="4"/>
  <c r="AX72" i="4"/>
  <c r="AW72" i="4"/>
  <c r="AZ71" i="4"/>
  <c r="AY71" i="4"/>
  <c r="AX71" i="4"/>
  <c r="AW71" i="4"/>
  <c r="AZ70" i="4"/>
  <c r="AY70" i="4"/>
  <c r="AX70" i="4"/>
  <c r="AW70" i="4"/>
  <c r="AZ69" i="4"/>
  <c r="AY69" i="4"/>
  <c r="AX69" i="4"/>
  <c r="AW69" i="4"/>
  <c r="AZ68" i="4"/>
  <c r="AY68" i="4"/>
  <c r="AX68" i="4"/>
  <c r="AW68" i="4"/>
  <c r="AZ67" i="4"/>
  <c r="AY67" i="4"/>
  <c r="AX67" i="4"/>
  <c r="AW67" i="4"/>
  <c r="AZ63" i="4"/>
  <c r="AY63" i="4"/>
  <c r="AX63" i="4"/>
  <c r="AW63" i="4"/>
  <c r="AZ62" i="4"/>
  <c r="AY62" i="4"/>
  <c r="AX62" i="4"/>
  <c r="AW62" i="4"/>
  <c r="AU91" i="4"/>
  <c r="AT91" i="4"/>
  <c r="AS91" i="4"/>
  <c r="AR91" i="4"/>
  <c r="AU90" i="4"/>
  <c r="AT90" i="4"/>
  <c r="AS90" i="4"/>
  <c r="AR90" i="4"/>
  <c r="AU89" i="4"/>
  <c r="AT89" i="4"/>
  <c r="AS89" i="4"/>
  <c r="AR89" i="4"/>
  <c r="AU83" i="4"/>
  <c r="AT83" i="4"/>
  <c r="AS83" i="4"/>
  <c r="AR83" i="4"/>
  <c r="AU79" i="4"/>
  <c r="AT79" i="4"/>
  <c r="AS79" i="4"/>
  <c r="AR79" i="4"/>
  <c r="AU77" i="4"/>
  <c r="AT77" i="4"/>
  <c r="AS77" i="4"/>
  <c r="AR77" i="4"/>
  <c r="AU74" i="4"/>
  <c r="AT74" i="4"/>
  <c r="AS74" i="4"/>
  <c r="AR74" i="4"/>
  <c r="AU73" i="4"/>
  <c r="AT73" i="4"/>
  <c r="AS73" i="4"/>
  <c r="AR73" i="4"/>
  <c r="AU72" i="4"/>
  <c r="AT72" i="4"/>
  <c r="AS72" i="4"/>
  <c r="AR72" i="4"/>
  <c r="AU71" i="4"/>
  <c r="AT71" i="4"/>
  <c r="AS71" i="4"/>
  <c r="AR71" i="4"/>
  <c r="AU70" i="4"/>
  <c r="AT70" i="4"/>
  <c r="AS70" i="4"/>
  <c r="AR70" i="4"/>
  <c r="AU69" i="4"/>
  <c r="AT69" i="4"/>
  <c r="AS69" i="4"/>
  <c r="AR69" i="4"/>
  <c r="AU68" i="4"/>
  <c r="AT68" i="4"/>
  <c r="AS68" i="4"/>
  <c r="AR68" i="4"/>
  <c r="AU67" i="4"/>
  <c r="AT67" i="4"/>
  <c r="AS67" i="4"/>
  <c r="AR67" i="4"/>
  <c r="AU63" i="4"/>
  <c r="AT63" i="4"/>
  <c r="AS63" i="4"/>
  <c r="AR63" i="4"/>
  <c r="AU62" i="4"/>
  <c r="AT62" i="4"/>
  <c r="AS62" i="4"/>
  <c r="AR62" i="4"/>
  <c r="AP91" i="4"/>
  <c r="AO91" i="4"/>
  <c r="AN91" i="4"/>
  <c r="AM91" i="4"/>
  <c r="AP90" i="4"/>
  <c r="AO90" i="4"/>
  <c r="AN90" i="4"/>
  <c r="AM90" i="4"/>
  <c r="AP89" i="4"/>
  <c r="AO89" i="4"/>
  <c r="AN89" i="4"/>
  <c r="AM89" i="4"/>
  <c r="AP83" i="4"/>
  <c r="AO83" i="4"/>
  <c r="AN83" i="4"/>
  <c r="AM83" i="4"/>
  <c r="AP79" i="4"/>
  <c r="AO79" i="4"/>
  <c r="AN79" i="4"/>
  <c r="AM79" i="4"/>
  <c r="AP77" i="4"/>
  <c r="AO77" i="4"/>
  <c r="AN77" i="4"/>
  <c r="AM77" i="4"/>
  <c r="AP74" i="4"/>
  <c r="AO74" i="4"/>
  <c r="AN74" i="4"/>
  <c r="AM74" i="4"/>
  <c r="AP73" i="4"/>
  <c r="AO73" i="4"/>
  <c r="AN73" i="4"/>
  <c r="AM73" i="4"/>
  <c r="AP72" i="4"/>
  <c r="AO72" i="4"/>
  <c r="AN72" i="4"/>
  <c r="AM72" i="4"/>
  <c r="AP71" i="4"/>
  <c r="AO71" i="4"/>
  <c r="AN71" i="4"/>
  <c r="AM71" i="4"/>
  <c r="AP70" i="4"/>
  <c r="AO70" i="4"/>
  <c r="AN70" i="4"/>
  <c r="AM70" i="4"/>
  <c r="AP69" i="4"/>
  <c r="AO69" i="4"/>
  <c r="AN69" i="4"/>
  <c r="AM69" i="4"/>
  <c r="AP68" i="4"/>
  <c r="AO68" i="4"/>
  <c r="AN68" i="4"/>
  <c r="AM68" i="4"/>
  <c r="AP67" i="4"/>
  <c r="AO67" i="4"/>
  <c r="AN67" i="4"/>
  <c r="AM67" i="4"/>
  <c r="AP63" i="4"/>
  <c r="AO63" i="4"/>
  <c r="AN63" i="4"/>
  <c r="AM63" i="4"/>
  <c r="AP62" i="4"/>
  <c r="AO62" i="4"/>
  <c r="AN62" i="4"/>
  <c r="AM62" i="4"/>
  <c r="AI62" i="4"/>
  <c r="AJ62" i="4"/>
  <c r="AK62" i="4"/>
  <c r="AI63" i="4"/>
  <c r="AJ63" i="4"/>
  <c r="AK63" i="4"/>
  <c r="AI67" i="4"/>
  <c r="AJ67" i="4"/>
  <c r="AK67" i="4"/>
  <c r="AI68" i="4"/>
  <c r="AJ68" i="4"/>
  <c r="AK68" i="4"/>
  <c r="AI69" i="4"/>
  <c r="AJ69" i="4"/>
  <c r="AK69" i="4"/>
  <c r="AI70" i="4"/>
  <c r="AJ70" i="4"/>
  <c r="AK70" i="4"/>
  <c r="AI71" i="4"/>
  <c r="AJ71" i="4"/>
  <c r="AK71" i="4"/>
  <c r="AI72" i="4"/>
  <c r="AJ72" i="4"/>
  <c r="AK72" i="4"/>
  <c r="AI73" i="4"/>
  <c r="AJ73" i="4"/>
  <c r="AK73" i="4"/>
  <c r="AI74" i="4"/>
  <c r="AJ74" i="4"/>
  <c r="AK74" i="4"/>
  <c r="AI77" i="4"/>
  <c r="AJ77" i="4"/>
  <c r="AK77" i="4"/>
  <c r="AI79" i="4"/>
  <c r="AJ79" i="4"/>
  <c r="AK79" i="4"/>
  <c r="AI83" i="4"/>
  <c r="AJ83" i="4"/>
  <c r="AK83" i="4"/>
  <c r="AI89" i="4"/>
  <c r="AJ89" i="4"/>
  <c r="AK89" i="4"/>
  <c r="AI90" i="4"/>
  <c r="AJ90" i="4"/>
  <c r="AK90" i="4"/>
  <c r="AI91" i="4"/>
  <c r="AJ91" i="4"/>
  <c r="AK91" i="4"/>
  <c r="AH63" i="4"/>
  <c r="AH67" i="4"/>
  <c r="AH68" i="4"/>
  <c r="AH69" i="4"/>
  <c r="AH70" i="4"/>
  <c r="AH71" i="4"/>
  <c r="AH72" i="4"/>
  <c r="AH73" i="4"/>
  <c r="AH74" i="4"/>
  <c r="AH77" i="4"/>
  <c r="AH79" i="4"/>
  <c r="AH83" i="4"/>
  <c r="AH89" i="4"/>
  <c r="AH90" i="4"/>
  <c r="AH91" i="4"/>
  <c r="AH62" i="4"/>
  <c r="AZ54" i="4"/>
  <c r="AY54" i="4"/>
  <c r="AX54" i="4"/>
  <c r="AW54" i="4"/>
  <c r="AZ48" i="4"/>
  <c r="AY48" i="4"/>
  <c r="AY50" i="4" s="1"/>
  <c r="AX48" i="4"/>
  <c r="AX56" i="4" s="1"/>
  <c r="AW48" i="4"/>
  <c r="AU48" i="4"/>
  <c r="AU50" i="4" s="1"/>
  <c r="AT48" i="4"/>
  <c r="AT50" i="4" s="1"/>
  <c r="AS48" i="4"/>
  <c r="AS50" i="4" s="1"/>
  <c r="AZ43" i="4"/>
  <c r="AZ44" i="4" s="1"/>
  <c r="AY43" i="4"/>
  <c r="AY44" i="4" s="1"/>
  <c r="AX43" i="4"/>
  <c r="AX44" i="4" s="1"/>
  <c r="AW43" i="4"/>
  <c r="AW44" i="4" s="1"/>
  <c r="AU43" i="4"/>
  <c r="AT43" i="4"/>
  <c r="AS43" i="4"/>
  <c r="AR43" i="4"/>
  <c r="AP43" i="4"/>
  <c r="AO43" i="4"/>
  <c r="AN43" i="4"/>
  <c r="AM43" i="4"/>
  <c r="AK43" i="4"/>
  <c r="AJ43" i="4"/>
  <c r="AI43" i="4"/>
  <c r="AH43" i="4"/>
  <c r="AF43" i="4"/>
  <c r="AE43" i="4"/>
  <c r="AD43" i="4"/>
  <c r="AC43" i="4"/>
  <c r="AF32" i="4"/>
  <c r="AF44" i="4" s="1"/>
  <c r="AF46" i="4" s="1"/>
  <c r="AF48" i="4" s="1"/>
  <c r="AF56" i="4" s="1"/>
  <c r="AE32" i="4"/>
  <c r="AE54" i="4" s="1"/>
  <c r="AD32" i="4"/>
  <c r="AD44" i="4" s="1"/>
  <c r="AD46" i="4" s="1"/>
  <c r="AD48" i="4" s="1"/>
  <c r="AD56" i="4" s="1"/>
  <c r="AC32" i="4"/>
  <c r="AC54" i="4" s="1"/>
  <c r="AO32" i="4"/>
  <c r="AK32" i="4"/>
  <c r="AK54" i="4" s="1"/>
  <c r="AJ32" i="4"/>
  <c r="AJ64" i="4" s="1"/>
  <c r="AI32" i="4"/>
  <c r="AI54" i="4" s="1"/>
  <c r="AH32" i="4"/>
  <c r="AH4" i="4"/>
  <c r="AC4" i="4" s="1"/>
  <c r="AU32" i="4"/>
  <c r="AZ64" i="4" s="1"/>
  <c r="AT32" i="4"/>
  <c r="AY64" i="4" s="1"/>
  <c r="AS32" i="4"/>
  <c r="AR32" i="4"/>
  <c r="AW64" i="4" s="1"/>
  <c r="AN32" i="4"/>
  <c r="AN44" i="4" s="1"/>
  <c r="AP32" i="4"/>
  <c r="AM32" i="4"/>
  <c r="AM64" i="4" s="1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O72" i="4"/>
  <c r="U57" i="4"/>
  <c r="V57" i="4"/>
  <c r="U58" i="4"/>
  <c r="V58" i="4"/>
  <c r="P57" i="4"/>
  <c r="Q57" i="4"/>
  <c r="R57" i="4"/>
  <c r="S57" i="4"/>
  <c r="P58" i="4"/>
  <c r="Q58" i="4"/>
  <c r="R58" i="4"/>
  <c r="S58" i="4"/>
  <c r="T58" i="4"/>
  <c r="T57" i="4"/>
  <c r="L202" i="4"/>
  <c r="M202" i="4"/>
  <c r="N202" i="4"/>
  <c r="O202" i="4"/>
  <c r="P202" i="4"/>
  <c r="Q202" i="4"/>
  <c r="R202" i="4"/>
  <c r="S202" i="4"/>
  <c r="T202" i="4"/>
  <c r="L203" i="4"/>
  <c r="M203" i="4"/>
  <c r="N203" i="4"/>
  <c r="O203" i="4"/>
  <c r="P203" i="4"/>
  <c r="Q203" i="4"/>
  <c r="R203" i="4"/>
  <c r="S203" i="4"/>
  <c r="T203" i="4"/>
  <c r="L216" i="4"/>
  <c r="M216" i="4"/>
  <c r="N216" i="4"/>
  <c r="O216" i="4"/>
  <c r="P216" i="4"/>
  <c r="Q216" i="4"/>
  <c r="R216" i="4"/>
  <c r="S216" i="4"/>
  <c r="T216" i="4"/>
  <c r="D216" i="4"/>
  <c r="E216" i="4"/>
  <c r="F216" i="4"/>
  <c r="G216" i="4"/>
  <c r="H216" i="4"/>
  <c r="I216" i="4"/>
  <c r="J216" i="4"/>
  <c r="K216" i="4"/>
  <c r="C216" i="4"/>
  <c r="I203" i="4"/>
  <c r="J203" i="4"/>
  <c r="K203" i="4"/>
  <c r="D202" i="4"/>
  <c r="E202" i="4"/>
  <c r="F202" i="4"/>
  <c r="G202" i="4"/>
  <c r="H202" i="4"/>
  <c r="I202" i="4"/>
  <c r="I204" i="4" s="1"/>
  <c r="J202" i="4"/>
  <c r="K202" i="4"/>
  <c r="C202" i="4"/>
  <c r="C164" i="4"/>
  <c r="C161" i="4" s="1"/>
  <c r="D164" i="4"/>
  <c r="E164" i="4"/>
  <c r="E161" i="4" s="1"/>
  <c r="F164" i="4"/>
  <c r="F161" i="4" s="1"/>
  <c r="G164" i="4"/>
  <c r="G161" i="4" s="1"/>
  <c r="H164" i="4"/>
  <c r="I164" i="4"/>
  <c r="I161" i="4" s="1"/>
  <c r="J164" i="4"/>
  <c r="J161" i="4" s="1"/>
  <c r="K164" i="4"/>
  <c r="K161" i="4" s="1"/>
  <c r="L164" i="4"/>
  <c r="M164" i="4"/>
  <c r="M161" i="4" s="1"/>
  <c r="N164" i="4"/>
  <c r="N161" i="4" s="1"/>
  <c r="O164" i="4"/>
  <c r="O161" i="4" s="1"/>
  <c r="P164" i="4"/>
  <c r="Q164" i="4"/>
  <c r="Q161" i="4" s="1"/>
  <c r="R164" i="4"/>
  <c r="R161" i="4" s="1"/>
  <c r="S164" i="4"/>
  <c r="S161" i="4" s="1"/>
  <c r="T164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B172" i="4"/>
  <c r="B171" i="4"/>
  <c r="H155" i="4"/>
  <c r="G155" i="4"/>
  <c r="F155" i="4"/>
  <c r="E155" i="4"/>
  <c r="B155" i="4"/>
  <c r="D149" i="4"/>
  <c r="D155" i="4" s="1"/>
  <c r="C149" i="4"/>
  <c r="C155" i="4" s="1"/>
  <c r="H141" i="4"/>
  <c r="H146" i="4" s="1"/>
  <c r="G141" i="4"/>
  <c r="G146" i="4" s="1"/>
  <c r="F141" i="4"/>
  <c r="F146" i="4" s="1"/>
  <c r="E141" i="4"/>
  <c r="E146" i="4" s="1"/>
  <c r="D141" i="4"/>
  <c r="D146" i="4" s="1"/>
  <c r="C141" i="4"/>
  <c r="C146" i="4" s="1"/>
  <c r="B141" i="4"/>
  <c r="B146" i="4" s="1"/>
  <c r="T125" i="4"/>
  <c r="T170" i="4" s="1"/>
  <c r="S125" i="4"/>
  <c r="S170" i="4" s="1"/>
  <c r="R125" i="4"/>
  <c r="R170" i="4" s="1"/>
  <c r="Q125" i="4"/>
  <c r="Q170" i="4" s="1"/>
  <c r="P125" i="4"/>
  <c r="P170" i="4" s="1"/>
  <c r="O125" i="4"/>
  <c r="O170" i="4" s="1"/>
  <c r="N125" i="4"/>
  <c r="N170" i="4" s="1"/>
  <c r="M125" i="4"/>
  <c r="M170" i="4" s="1"/>
  <c r="L125" i="4"/>
  <c r="L170" i="4" s="1"/>
  <c r="K125" i="4"/>
  <c r="K170" i="4" s="1"/>
  <c r="J125" i="4"/>
  <c r="J170" i="4" s="1"/>
  <c r="I125" i="4"/>
  <c r="I170" i="4" s="1"/>
  <c r="H125" i="4"/>
  <c r="G125" i="4"/>
  <c r="F125" i="4"/>
  <c r="E125" i="4"/>
  <c r="E133" i="4" s="1"/>
  <c r="D125" i="4"/>
  <c r="C119" i="4"/>
  <c r="C125" i="4" s="1"/>
  <c r="C133" i="4" s="1"/>
  <c r="B119" i="4"/>
  <c r="B125" i="4" s="1"/>
  <c r="B164" i="4"/>
  <c r="B161" i="4" s="1"/>
  <c r="B40" i="2"/>
  <c r="B26" i="2"/>
  <c r="B31" i="2" s="1"/>
  <c r="B4" i="2"/>
  <c r="B10" i="2" s="1"/>
  <c r="B18" i="2" s="1"/>
  <c r="C4" i="2"/>
  <c r="C10" i="2" s="1"/>
  <c r="C18" i="2" s="1"/>
  <c r="B38" i="3"/>
  <c r="B58" i="3" s="1"/>
  <c r="B8" i="3"/>
  <c r="B7" i="3"/>
  <c r="B45" i="3"/>
  <c r="C45" i="3"/>
  <c r="B46" i="3"/>
  <c r="C46" i="3"/>
  <c r="C51" i="3" s="1"/>
  <c r="C53" i="3" s="1"/>
  <c r="B47" i="3"/>
  <c r="C47" i="3"/>
  <c r="B48" i="3"/>
  <c r="C48" i="3"/>
  <c r="B49" i="3"/>
  <c r="C49" i="3"/>
  <c r="B50" i="3"/>
  <c r="C50" i="3"/>
  <c r="B52" i="3"/>
  <c r="C52" i="3"/>
  <c r="B55" i="3"/>
  <c r="C55" i="3"/>
  <c r="B56" i="3"/>
  <c r="C56" i="3"/>
  <c r="B57" i="3"/>
  <c r="C57" i="3"/>
  <c r="C58" i="3"/>
  <c r="C38" i="3"/>
  <c r="C39" i="3"/>
  <c r="B33" i="3"/>
  <c r="C33" i="3"/>
  <c r="B26" i="3"/>
  <c r="C26" i="3"/>
  <c r="C7" i="3"/>
  <c r="C2" i="3"/>
  <c r="B2" i="3" s="1"/>
  <c r="C34" i="2"/>
  <c r="C40" i="2" s="1"/>
  <c r="D34" i="2"/>
  <c r="D40" i="2" s="1"/>
  <c r="C26" i="2"/>
  <c r="C31" i="2" s="1"/>
  <c r="D26" i="2"/>
  <c r="D31" i="2" s="1"/>
  <c r="D10" i="2"/>
  <c r="D18" i="2" s="1"/>
  <c r="D38" i="3"/>
  <c r="D7" i="3"/>
  <c r="D48" i="3" s="1"/>
  <c r="D45" i="3"/>
  <c r="E45" i="3"/>
  <c r="D46" i="3"/>
  <c r="E46" i="3"/>
  <c r="D47" i="3"/>
  <c r="E47" i="3"/>
  <c r="D49" i="3"/>
  <c r="E49" i="3"/>
  <c r="D50" i="3"/>
  <c r="E50" i="3"/>
  <c r="D52" i="3"/>
  <c r="E52" i="3"/>
  <c r="D55" i="3"/>
  <c r="E55" i="3"/>
  <c r="D56" i="3"/>
  <c r="E56" i="3"/>
  <c r="D57" i="3"/>
  <c r="E57" i="3"/>
  <c r="D58" i="3"/>
  <c r="E58" i="3"/>
  <c r="D39" i="3"/>
  <c r="E39" i="3"/>
  <c r="D33" i="3"/>
  <c r="E33" i="3"/>
  <c r="D26" i="3"/>
  <c r="E7" i="3"/>
  <c r="E48" i="3" s="1"/>
  <c r="E40" i="2"/>
  <c r="F40" i="2"/>
  <c r="E26" i="2"/>
  <c r="E31" i="2" s="1"/>
  <c r="F26" i="2"/>
  <c r="F31" i="2" s="1"/>
  <c r="E10" i="2"/>
  <c r="E18" i="2" s="1"/>
  <c r="F10" i="2"/>
  <c r="F18" i="2" s="1"/>
  <c r="F39" i="3"/>
  <c r="G39" i="3"/>
  <c r="R58" i="3"/>
  <c r="S58" i="3"/>
  <c r="T58" i="3"/>
  <c r="K58" i="3"/>
  <c r="L58" i="3"/>
  <c r="M58" i="3"/>
  <c r="N58" i="3"/>
  <c r="O58" i="3"/>
  <c r="P58" i="3"/>
  <c r="Q58" i="3"/>
  <c r="F58" i="3"/>
  <c r="G58" i="3"/>
  <c r="H58" i="3"/>
  <c r="I58" i="3"/>
  <c r="J58" i="3"/>
  <c r="F33" i="3"/>
  <c r="F7" i="3"/>
  <c r="F26" i="3" s="1"/>
  <c r="F45" i="3"/>
  <c r="G45" i="3"/>
  <c r="F46" i="3"/>
  <c r="G46" i="3"/>
  <c r="F47" i="3"/>
  <c r="G47" i="3"/>
  <c r="F49" i="3"/>
  <c r="G49" i="3"/>
  <c r="F50" i="3"/>
  <c r="G50" i="3"/>
  <c r="F52" i="3"/>
  <c r="G52" i="3"/>
  <c r="F55" i="3"/>
  <c r="G55" i="3"/>
  <c r="F56" i="3"/>
  <c r="G56" i="3"/>
  <c r="F57" i="3"/>
  <c r="G57" i="3"/>
  <c r="G33" i="3"/>
  <c r="G7" i="3"/>
  <c r="G26" i="3" s="1"/>
  <c r="G10" i="2"/>
  <c r="G18" i="2" s="1"/>
  <c r="G40" i="2"/>
  <c r="H40" i="2"/>
  <c r="G26" i="2"/>
  <c r="G31" i="2" s="1"/>
  <c r="H26" i="2"/>
  <c r="H31" i="2" s="1"/>
  <c r="I10" i="2"/>
  <c r="J10" i="2"/>
  <c r="K10" i="2"/>
  <c r="L10" i="2"/>
  <c r="M10" i="2"/>
  <c r="N10" i="2"/>
  <c r="O10" i="2"/>
  <c r="P10" i="2"/>
  <c r="Q10" i="2"/>
  <c r="R10" i="2"/>
  <c r="S10" i="2"/>
  <c r="T10" i="2"/>
  <c r="H10" i="2"/>
  <c r="H18" i="2" s="1"/>
  <c r="H45" i="3"/>
  <c r="I45" i="3"/>
  <c r="H46" i="3"/>
  <c r="I46" i="3"/>
  <c r="H47" i="3"/>
  <c r="I47" i="3"/>
  <c r="H48" i="3"/>
  <c r="I48" i="3"/>
  <c r="H49" i="3"/>
  <c r="I49" i="3"/>
  <c r="H50" i="3"/>
  <c r="I50" i="3"/>
  <c r="H52" i="3"/>
  <c r="I52" i="3"/>
  <c r="H55" i="3"/>
  <c r="I55" i="3"/>
  <c r="H56" i="3"/>
  <c r="I56" i="3"/>
  <c r="H57" i="3"/>
  <c r="I57" i="3"/>
  <c r="AX50" i="4" l="1"/>
  <c r="F156" i="4"/>
  <c r="AI75" i="4"/>
  <c r="AJ75" i="4"/>
  <c r="U29" i="4"/>
  <c r="G170" i="4"/>
  <c r="G173" i="4" s="1"/>
  <c r="G205" i="4" s="1"/>
  <c r="D170" i="4"/>
  <c r="D173" i="4" s="1"/>
  <c r="D205" i="4" s="1"/>
  <c r="H170" i="4"/>
  <c r="H173" i="4" s="1"/>
  <c r="H205" i="4" s="1"/>
  <c r="Q204" i="4"/>
  <c r="M204" i="4"/>
  <c r="AS44" i="4"/>
  <c r="AS76" i="4" s="1"/>
  <c r="AO64" i="4"/>
  <c r="AK75" i="4"/>
  <c r="AU75" i="4"/>
  <c r="K173" i="4"/>
  <c r="K205" i="4" s="1"/>
  <c r="AP64" i="4"/>
  <c r="AH75" i="4"/>
  <c r="AM75" i="4"/>
  <c r="AR75" i="4"/>
  <c r="AX80" i="4"/>
  <c r="V204" i="4"/>
  <c r="W204" i="4"/>
  <c r="Z204" i="4"/>
  <c r="AN75" i="4"/>
  <c r="AS75" i="4"/>
  <c r="AX82" i="4"/>
  <c r="S173" i="4"/>
  <c r="AO75" i="4"/>
  <c r="AZ80" i="4"/>
  <c r="AD54" i="4"/>
  <c r="AI86" i="4" s="1"/>
  <c r="X204" i="4"/>
  <c r="U204" i="4"/>
  <c r="AY82" i="4"/>
  <c r="AT44" i="4"/>
  <c r="AY76" i="4" s="1"/>
  <c r="AZ50" i="4"/>
  <c r="AZ82" i="4" s="1"/>
  <c r="AN54" i="4"/>
  <c r="AN86" i="4" s="1"/>
  <c r="AN55" i="4"/>
  <c r="AS54" i="4"/>
  <c r="AS56" i="4"/>
  <c r="AX55" i="4"/>
  <c r="AI64" i="4"/>
  <c r="AN64" i="4"/>
  <c r="AS64" i="4"/>
  <c r="AX64" i="4"/>
  <c r="AX75" i="4"/>
  <c r="AH44" i="4"/>
  <c r="AP44" i="4"/>
  <c r="AP46" i="4" s="1"/>
  <c r="AW50" i="4"/>
  <c r="AD55" i="4"/>
  <c r="AO54" i="4"/>
  <c r="AT54" i="4"/>
  <c r="AT56" i="4"/>
  <c r="AY55" i="4"/>
  <c r="AY56" i="4"/>
  <c r="AT64" i="4"/>
  <c r="AT75" i="4"/>
  <c r="AY75" i="4"/>
  <c r="AY80" i="4"/>
  <c r="AF54" i="4"/>
  <c r="AK86" i="4" s="1"/>
  <c r="AJ54" i="4"/>
  <c r="AJ86" i="4" s="1"/>
  <c r="AP54" i="4"/>
  <c r="AP86" i="4" s="1"/>
  <c r="AU54" i="4"/>
  <c r="AU56" i="4"/>
  <c r="AZ55" i="4"/>
  <c r="AZ56" i="4"/>
  <c r="AH64" i="4"/>
  <c r="AK64" i="4"/>
  <c r="AP75" i="4"/>
  <c r="AU64" i="4"/>
  <c r="AZ75" i="4"/>
  <c r="AI44" i="4"/>
  <c r="AN76" i="4" s="1"/>
  <c r="AF55" i="4"/>
  <c r="AM54" i="4"/>
  <c r="AR54" i="4"/>
  <c r="AW55" i="4"/>
  <c r="AW56" i="4"/>
  <c r="AR64" i="4"/>
  <c r="AW75" i="4"/>
  <c r="AH54" i="4"/>
  <c r="AH86" i="4" s="1"/>
  <c r="AD50" i="4"/>
  <c r="AF50" i="4"/>
  <c r="R204" i="4"/>
  <c r="N204" i="4"/>
  <c r="S204" i="4"/>
  <c r="O204" i="4"/>
  <c r="AJ44" i="4"/>
  <c r="AM44" i="4"/>
  <c r="AM46" i="4" s="1"/>
  <c r="AU44" i="4"/>
  <c r="D133" i="4"/>
  <c r="AK44" i="4"/>
  <c r="AR44" i="4"/>
  <c r="AW76" i="4" s="1"/>
  <c r="N173" i="4"/>
  <c r="N205" i="4" s="1"/>
  <c r="B156" i="4"/>
  <c r="AO44" i="4"/>
  <c r="AE44" i="4"/>
  <c r="AC44" i="4"/>
  <c r="J173" i="4"/>
  <c r="J205" i="4" s="1"/>
  <c r="O173" i="4"/>
  <c r="O205" i="4" s="1"/>
  <c r="E170" i="4"/>
  <c r="E173" i="4" s="1"/>
  <c r="E205" i="4" s="1"/>
  <c r="J204" i="4"/>
  <c r="P173" i="4"/>
  <c r="P205" i="4" s="1"/>
  <c r="T204" i="4"/>
  <c r="P204" i="4"/>
  <c r="L204" i="4"/>
  <c r="AN46" i="4"/>
  <c r="B133" i="4"/>
  <c r="B170" i="4"/>
  <c r="B173" i="4" s="1"/>
  <c r="B205" i="4" s="1"/>
  <c r="C156" i="4"/>
  <c r="C170" i="4"/>
  <c r="C173" i="4" s="1"/>
  <c r="C205" i="4" s="1"/>
  <c r="F133" i="4"/>
  <c r="F170" i="4"/>
  <c r="F173" i="4" s="1"/>
  <c r="F205" i="4" s="1"/>
  <c r="R173" i="4"/>
  <c r="R205" i="4" s="1"/>
  <c r="G133" i="4"/>
  <c r="Q173" i="4"/>
  <c r="I173" i="4"/>
  <c r="H133" i="4"/>
  <c r="E156" i="4"/>
  <c r="T161" i="4"/>
  <c r="P161" i="4"/>
  <c r="L161" i="4"/>
  <c r="H161" i="4"/>
  <c r="D161" i="4"/>
  <c r="L173" i="4"/>
  <c r="L205" i="4" s="1"/>
  <c r="T173" i="4"/>
  <c r="M173" i="4"/>
  <c r="G156" i="4"/>
  <c r="K204" i="4"/>
  <c r="D156" i="4"/>
  <c r="H156" i="4"/>
  <c r="B41" i="2"/>
  <c r="D41" i="2"/>
  <c r="B39" i="3"/>
  <c r="B51" i="3"/>
  <c r="B53" i="3" s="1"/>
  <c r="B59" i="3" s="1"/>
  <c r="C59" i="3"/>
  <c r="C54" i="3"/>
  <c r="B54" i="3"/>
  <c r="E26" i="3"/>
  <c r="E51" i="3"/>
  <c r="E53" i="3" s="1"/>
  <c r="E54" i="3" s="1"/>
  <c r="C41" i="2"/>
  <c r="D51" i="3"/>
  <c r="D53" i="3" s="1"/>
  <c r="D59" i="3" s="1"/>
  <c r="F48" i="3"/>
  <c r="F51" i="3" s="1"/>
  <c r="F53" i="3" s="1"/>
  <c r="F54" i="3" s="1"/>
  <c r="G48" i="3"/>
  <c r="G51" i="3" s="1"/>
  <c r="G53" i="3" s="1"/>
  <c r="G59" i="3" s="1"/>
  <c r="E41" i="2"/>
  <c r="F41" i="2"/>
  <c r="H41" i="2"/>
  <c r="G41" i="2"/>
  <c r="H51" i="3"/>
  <c r="H53" i="3" s="1"/>
  <c r="H54" i="3" s="1"/>
  <c r="I51" i="3"/>
  <c r="I53" i="3" s="1"/>
  <c r="I54" i="3" s="1"/>
  <c r="AT86" i="4" l="1"/>
  <c r="N215" i="4"/>
  <c r="K215" i="4"/>
  <c r="O215" i="4"/>
  <c r="T215" i="4"/>
  <c r="M215" i="4"/>
  <c r="M205" i="4"/>
  <c r="Q215" i="4"/>
  <c r="Q205" i="4"/>
  <c r="AM86" i="4"/>
  <c r="AZ88" i="4"/>
  <c r="S215" i="4"/>
  <c r="S205" i="4"/>
  <c r="I215" i="4"/>
  <c r="I205" i="4"/>
  <c r="AI46" i="4"/>
  <c r="AI78" i="4" s="1"/>
  <c r="AX76" i="4"/>
  <c r="AS55" i="4"/>
  <c r="AS87" i="4" s="1"/>
  <c r="T205" i="4"/>
  <c r="U173" i="4"/>
  <c r="P215" i="4"/>
  <c r="J215" i="4"/>
  <c r="AR86" i="4"/>
  <c r="AU86" i="4"/>
  <c r="AY88" i="4"/>
  <c r="AO86" i="4"/>
  <c r="AU78" i="4"/>
  <c r="AP48" i="4"/>
  <c r="AC46" i="4"/>
  <c r="AC55" i="4"/>
  <c r="AJ76" i="4"/>
  <c r="AJ55" i="4"/>
  <c r="AP76" i="4"/>
  <c r="AP55" i="4"/>
  <c r="AN48" i="4"/>
  <c r="AS78" i="4"/>
  <c r="AN78" i="4"/>
  <c r="AH55" i="4"/>
  <c r="AH87" i="4" s="1"/>
  <c r="AH76" i="4"/>
  <c r="AM48" i="4"/>
  <c r="AK55" i="4"/>
  <c r="AK87" i="4" s="1"/>
  <c r="AK76" i="4"/>
  <c r="AW86" i="4"/>
  <c r="AE46" i="4"/>
  <c r="AE55" i="4"/>
  <c r="AO76" i="4"/>
  <c r="AO55" i="4"/>
  <c r="AZ86" i="4"/>
  <c r="AI48" i="4"/>
  <c r="AK46" i="4"/>
  <c r="AU76" i="4"/>
  <c r="AU55" i="4"/>
  <c r="AZ87" i="4" s="1"/>
  <c r="AS86" i="4"/>
  <c r="AT76" i="4"/>
  <c r="AT55" i="4"/>
  <c r="AT87" i="4" s="1"/>
  <c r="R215" i="4"/>
  <c r="AH46" i="4"/>
  <c r="AJ46" i="4"/>
  <c r="AO46" i="4"/>
  <c r="AR46" i="4"/>
  <c r="AR76" i="4"/>
  <c r="AR55" i="4"/>
  <c r="AM76" i="4"/>
  <c r="AM55" i="4"/>
  <c r="AI76" i="4"/>
  <c r="AI55" i="4"/>
  <c r="AI87" i="4" s="1"/>
  <c r="AY86" i="4"/>
  <c r="AX86" i="4"/>
  <c r="AX88" i="4"/>
  <c r="AZ76" i="4"/>
  <c r="L215" i="4"/>
  <c r="H59" i="3"/>
  <c r="E59" i="3"/>
  <c r="D54" i="3"/>
  <c r="G54" i="3"/>
  <c r="F59" i="3"/>
  <c r="I59" i="3"/>
  <c r="AR87" i="4" l="1"/>
  <c r="AJ87" i="4"/>
  <c r="AX87" i="4"/>
  <c r="V173" i="4"/>
  <c r="U205" i="4"/>
  <c r="U215" i="4"/>
  <c r="AU87" i="4"/>
  <c r="AK78" i="4"/>
  <c r="AK48" i="4"/>
  <c r="AE48" i="4"/>
  <c r="AE56" i="4" s="1"/>
  <c r="AN80" i="4"/>
  <c r="AN56" i="4"/>
  <c r="AS80" i="4"/>
  <c r="AP56" i="4"/>
  <c r="AU80" i="4"/>
  <c r="AJ78" i="4"/>
  <c r="AJ48" i="4"/>
  <c r="AJ50" i="4" s="1"/>
  <c r="AM56" i="4"/>
  <c r="AN50" i="4"/>
  <c r="AP78" i="4"/>
  <c r="AW87" i="4"/>
  <c r="AH78" i="4"/>
  <c r="AH48" i="4"/>
  <c r="AM80" i="4" s="1"/>
  <c r="AI80" i="4"/>
  <c r="AI56" i="4"/>
  <c r="AI88" i="4" s="1"/>
  <c r="AM78" i="4"/>
  <c r="AP87" i="4"/>
  <c r="AT78" i="4"/>
  <c r="AO78" i="4"/>
  <c r="AO48" i="4"/>
  <c r="AO50" i="4" s="1"/>
  <c r="AO87" i="4"/>
  <c r="AN87" i="4"/>
  <c r="AM87" i="4"/>
  <c r="AW78" i="4"/>
  <c r="AR78" i="4"/>
  <c r="AR48" i="4"/>
  <c r="AR50" i="4" s="1"/>
  <c r="AY87" i="4"/>
  <c r="AI50" i="4"/>
  <c r="AI82" i="4" s="1"/>
  <c r="AM50" i="4"/>
  <c r="AC48" i="4"/>
  <c r="AC56" i="4" s="1"/>
  <c r="AP50" i="4"/>
  <c r="D203" i="4"/>
  <c r="E203" i="4"/>
  <c r="F203" i="4"/>
  <c r="F204" i="4" s="1"/>
  <c r="G203" i="4"/>
  <c r="G204" i="4" s="1"/>
  <c r="H203" i="4"/>
  <c r="H204" i="4" s="1"/>
  <c r="C203" i="4"/>
  <c r="R23" i="1"/>
  <c r="S23" i="1"/>
  <c r="T23" i="1"/>
  <c r="N23" i="1"/>
  <c r="O23" i="1"/>
  <c r="P23" i="1"/>
  <c r="Q23" i="1"/>
  <c r="C23" i="1"/>
  <c r="D23" i="1"/>
  <c r="E23" i="1"/>
  <c r="F23" i="1"/>
  <c r="G23" i="1"/>
  <c r="H23" i="1"/>
  <c r="I23" i="1"/>
  <c r="J23" i="1"/>
  <c r="K23" i="1"/>
  <c r="L23" i="1"/>
  <c r="M23" i="1"/>
  <c r="B23" i="1"/>
  <c r="R62" i="4"/>
  <c r="S62" i="4"/>
  <c r="T62" i="4"/>
  <c r="U62" i="4"/>
  <c r="V62" i="4"/>
  <c r="R63" i="4"/>
  <c r="S63" i="4"/>
  <c r="T63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7" i="4"/>
  <c r="S77" i="4"/>
  <c r="T77" i="4"/>
  <c r="R79" i="4"/>
  <c r="S79" i="4"/>
  <c r="T79" i="4"/>
  <c r="R83" i="4"/>
  <c r="S83" i="4"/>
  <c r="T83" i="4"/>
  <c r="U83" i="4"/>
  <c r="V83" i="4"/>
  <c r="R89" i="4"/>
  <c r="S89" i="4"/>
  <c r="T89" i="4"/>
  <c r="U89" i="4"/>
  <c r="V89" i="4"/>
  <c r="R90" i="4"/>
  <c r="S90" i="4"/>
  <c r="T90" i="4"/>
  <c r="U90" i="4"/>
  <c r="V90" i="4"/>
  <c r="Q62" i="4"/>
  <c r="Q63" i="4"/>
  <c r="D64" i="4"/>
  <c r="E64" i="4"/>
  <c r="F64" i="4"/>
  <c r="G64" i="4"/>
  <c r="H64" i="4"/>
  <c r="I64" i="4"/>
  <c r="J64" i="4"/>
  <c r="K64" i="4"/>
  <c r="L64" i="4"/>
  <c r="M64" i="4"/>
  <c r="N64" i="4"/>
  <c r="O64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D72" i="4"/>
  <c r="E72" i="4"/>
  <c r="F72" i="4"/>
  <c r="G72" i="4"/>
  <c r="H72" i="4"/>
  <c r="I72" i="4"/>
  <c r="J72" i="4"/>
  <c r="K72" i="4"/>
  <c r="L72" i="4"/>
  <c r="M72" i="4"/>
  <c r="N72" i="4"/>
  <c r="P72" i="4"/>
  <c r="Q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J77" i="4"/>
  <c r="K77" i="4"/>
  <c r="L77" i="4"/>
  <c r="M77" i="4"/>
  <c r="N77" i="4"/>
  <c r="O77" i="4"/>
  <c r="P77" i="4"/>
  <c r="Q77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D91" i="4"/>
  <c r="E91" i="4"/>
  <c r="F91" i="4"/>
  <c r="G91" i="4"/>
  <c r="H91" i="4"/>
  <c r="I91" i="4"/>
  <c r="J91" i="4"/>
  <c r="K91" i="4"/>
  <c r="L91" i="4"/>
  <c r="M91" i="4"/>
  <c r="N91" i="4"/>
  <c r="O91" i="4"/>
  <c r="C64" i="4"/>
  <c r="C67" i="4"/>
  <c r="C68" i="4"/>
  <c r="C69" i="4"/>
  <c r="C70" i="4"/>
  <c r="C71" i="4"/>
  <c r="C72" i="4"/>
  <c r="C73" i="4"/>
  <c r="C74" i="4"/>
  <c r="C79" i="4"/>
  <c r="C83" i="4"/>
  <c r="C89" i="4"/>
  <c r="C90" i="4"/>
  <c r="C91" i="4"/>
  <c r="P4" i="4"/>
  <c r="O4" i="4" s="1"/>
  <c r="N4" i="4" s="1"/>
  <c r="M4" i="4" s="1"/>
  <c r="L4" i="4" s="1"/>
  <c r="K4" i="4" s="1"/>
  <c r="J4" i="4" s="1"/>
  <c r="I4" i="4" s="1"/>
  <c r="H4" i="4" s="1"/>
  <c r="G4" i="4" s="1"/>
  <c r="F4" i="4" s="1"/>
  <c r="E4" i="4" s="1"/>
  <c r="D4" i="4" s="1"/>
  <c r="C4" i="4" s="1"/>
  <c r="B4" i="4" s="1"/>
  <c r="V77" i="4"/>
  <c r="H45" i="4"/>
  <c r="H77" i="4" s="1"/>
  <c r="F45" i="4"/>
  <c r="E45" i="4"/>
  <c r="D45" i="4"/>
  <c r="C45" i="4"/>
  <c r="B45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V74" i="4"/>
  <c r="U73" i="4"/>
  <c r="V72" i="4"/>
  <c r="T32" i="4"/>
  <c r="S32" i="4"/>
  <c r="R32" i="4"/>
  <c r="Q32" i="4"/>
  <c r="P32" i="4"/>
  <c r="V63" i="4"/>
  <c r="P54" i="4" l="1"/>
  <c r="P19" i="4"/>
  <c r="P21" i="4"/>
  <c r="P23" i="4"/>
  <c r="P25" i="4"/>
  <c r="P20" i="4"/>
  <c r="P22" i="4"/>
  <c r="P24" i="4"/>
  <c r="P26" i="4"/>
  <c r="R29" i="4"/>
  <c r="R20" i="4"/>
  <c r="R22" i="4"/>
  <c r="R24" i="4"/>
  <c r="R26" i="4"/>
  <c r="R19" i="4"/>
  <c r="R21" i="4"/>
  <c r="R23" i="4"/>
  <c r="R25" i="4"/>
  <c r="Q20" i="4"/>
  <c r="Q22" i="4"/>
  <c r="Q24" i="4"/>
  <c r="Q26" i="4"/>
  <c r="Q19" i="4"/>
  <c r="Q21" i="4"/>
  <c r="Q23" i="4"/>
  <c r="Q25" i="4"/>
  <c r="S19" i="4"/>
  <c r="S21" i="4"/>
  <c r="S23" i="4"/>
  <c r="S25" i="4"/>
  <c r="S20" i="4"/>
  <c r="S22" i="4"/>
  <c r="S24" i="4"/>
  <c r="S26" i="4"/>
  <c r="T20" i="4"/>
  <c r="T24" i="4"/>
  <c r="T21" i="4"/>
  <c r="T25" i="4"/>
  <c r="T22" i="4"/>
  <c r="T26" i="4"/>
  <c r="T23" i="4"/>
  <c r="T19" i="4"/>
  <c r="O44" i="4"/>
  <c r="O160" i="4" s="1"/>
  <c r="C44" i="4"/>
  <c r="C160" i="4" s="1"/>
  <c r="C162" i="4" s="1"/>
  <c r="C175" i="4" s="1"/>
  <c r="C212" i="4" s="1"/>
  <c r="G44" i="4"/>
  <c r="G160" i="4" s="1"/>
  <c r="G162" i="4" s="1"/>
  <c r="G175" i="4" s="1"/>
  <c r="G212" i="4" s="1"/>
  <c r="K44" i="4"/>
  <c r="K160" i="4" s="1"/>
  <c r="K162" i="4" s="1"/>
  <c r="K175" i="4" s="1"/>
  <c r="K212" i="4" s="1"/>
  <c r="D44" i="4"/>
  <c r="D160" i="4" s="1"/>
  <c r="D162" i="4" s="1"/>
  <c r="D175" i="4" s="1"/>
  <c r="D212" i="4" s="1"/>
  <c r="H44" i="4"/>
  <c r="H160" i="4" s="1"/>
  <c r="L44" i="4"/>
  <c r="L160" i="4" s="1"/>
  <c r="L162" i="4" s="1"/>
  <c r="L175" i="4" s="1"/>
  <c r="L212" i="4" s="1"/>
  <c r="E44" i="4"/>
  <c r="E160" i="4" s="1"/>
  <c r="E162" i="4" s="1"/>
  <c r="E175" i="4" s="1"/>
  <c r="E212" i="4" s="1"/>
  <c r="I44" i="4"/>
  <c r="I160" i="4" s="1"/>
  <c r="M44" i="4"/>
  <c r="M160" i="4" s="1"/>
  <c r="M162" i="4" s="1"/>
  <c r="M175" i="4" s="1"/>
  <c r="M212" i="4" s="1"/>
  <c r="B44" i="4"/>
  <c r="B55" i="4" s="1"/>
  <c r="F44" i="4"/>
  <c r="F160" i="4" s="1"/>
  <c r="J44" i="4"/>
  <c r="AE50" i="4"/>
  <c r="AJ82" i="4" s="1"/>
  <c r="T54" i="4"/>
  <c r="U54" i="4" s="1"/>
  <c r="V54" i="4" s="1"/>
  <c r="W54" i="4" s="1"/>
  <c r="X54" i="4" s="1"/>
  <c r="Y54" i="4" s="1"/>
  <c r="Z54" i="4" s="1"/>
  <c r="T29" i="4"/>
  <c r="O162" i="4"/>
  <c r="O175" i="4" s="1"/>
  <c r="O212" i="4" s="1"/>
  <c r="H162" i="4"/>
  <c r="H175" i="4" s="1"/>
  <c r="H212" i="4" s="1"/>
  <c r="S54" i="4"/>
  <c r="S29" i="4"/>
  <c r="I162" i="4"/>
  <c r="I175" i="4" s="1"/>
  <c r="I212" i="4" s="1"/>
  <c r="W173" i="4"/>
  <c r="V205" i="4"/>
  <c r="V215" i="4"/>
  <c r="AH50" i="4"/>
  <c r="AM82" i="4" s="1"/>
  <c r="AR82" i="4"/>
  <c r="AW82" i="4"/>
  <c r="AU82" i="4"/>
  <c r="AO82" i="4"/>
  <c r="AT82" i="4"/>
  <c r="AN88" i="4"/>
  <c r="AS88" i="4"/>
  <c r="AK56" i="4"/>
  <c r="AK88" i="4" s="1"/>
  <c r="AK80" i="4"/>
  <c r="T59" i="4"/>
  <c r="Q59" i="4"/>
  <c r="Q54" i="4"/>
  <c r="Q86" i="4" s="1"/>
  <c r="U59" i="4"/>
  <c r="AO80" i="4"/>
  <c r="AO56" i="4"/>
  <c r="AT80" i="4"/>
  <c r="AH56" i="4"/>
  <c r="AH88" i="4" s="1"/>
  <c r="AH80" i="4"/>
  <c r="AJ80" i="4"/>
  <c r="AJ56" i="4"/>
  <c r="AJ88" i="4" s="1"/>
  <c r="AU88" i="4"/>
  <c r="R59" i="4"/>
  <c r="R54" i="4"/>
  <c r="AC50" i="4"/>
  <c r="AR80" i="4"/>
  <c r="AR56" i="4"/>
  <c r="AW80" i="4"/>
  <c r="AN82" i="4"/>
  <c r="AS82" i="4"/>
  <c r="AP80" i="4"/>
  <c r="AK50" i="4"/>
  <c r="AK82" i="4" s="1"/>
  <c r="G215" i="4"/>
  <c r="S59" i="4"/>
  <c r="F215" i="4"/>
  <c r="C86" i="4"/>
  <c r="P44" i="4"/>
  <c r="P160" i="4" s="1"/>
  <c r="P59" i="4"/>
  <c r="P91" i="4" s="1"/>
  <c r="F55" i="4"/>
  <c r="J55" i="4"/>
  <c r="J160" i="4"/>
  <c r="H215" i="4"/>
  <c r="U71" i="4"/>
  <c r="B160" i="4"/>
  <c r="Q44" i="4"/>
  <c r="T64" i="4"/>
  <c r="V73" i="4"/>
  <c r="D76" i="4"/>
  <c r="H76" i="4"/>
  <c r="L76" i="4"/>
  <c r="P75" i="4"/>
  <c r="T75" i="4"/>
  <c r="E77" i="4"/>
  <c r="F86" i="4"/>
  <c r="J86" i="4"/>
  <c r="N86" i="4"/>
  <c r="C77" i="4"/>
  <c r="E76" i="4"/>
  <c r="I76" i="4"/>
  <c r="M76" i="4"/>
  <c r="Q75" i="4"/>
  <c r="F77" i="4"/>
  <c r="G86" i="4"/>
  <c r="K86" i="4"/>
  <c r="O86" i="4"/>
  <c r="R64" i="4"/>
  <c r="N75" i="4"/>
  <c r="R75" i="4"/>
  <c r="D86" i="4"/>
  <c r="H86" i="4"/>
  <c r="L86" i="4"/>
  <c r="G76" i="4"/>
  <c r="K76" i="4"/>
  <c r="S75" i="4"/>
  <c r="D77" i="4"/>
  <c r="E86" i="4"/>
  <c r="I86" i="4"/>
  <c r="M86" i="4"/>
  <c r="C204" i="4"/>
  <c r="C215" i="4" s="1"/>
  <c r="E204" i="4"/>
  <c r="D204" i="4"/>
  <c r="D215" i="4" s="1"/>
  <c r="C76" i="4"/>
  <c r="N44" i="4"/>
  <c r="C75" i="4"/>
  <c r="G77" i="4"/>
  <c r="O75" i="4"/>
  <c r="K75" i="4"/>
  <c r="G75" i="4"/>
  <c r="Q64" i="4"/>
  <c r="U74" i="4"/>
  <c r="U64" i="4"/>
  <c r="R44" i="4"/>
  <c r="R160" i="4" s="1"/>
  <c r="J75" i="4"/>
  <c r="F75" i="4"/>
  <c r="P64" i="4"/>
  <c r="U77" i="4"/>
  <c r="U63" i="4"/>
  <c r="I77" i="4"/>
  <c r="M75" i="4"/>
  <c r="I75" i="4"/>
  <c r="E75" i="4"/>
  <c r="U72" i="4"/>
  <c r="S64" i="4"/>
  <c r="J76" i="4"/>
  <c r="F76" i="4"/>
  <c r="L75" i="4"/>
  <c r="H75" i="4"/>
  <c r="D75" i="4"/>
  <c r="S44" i="4"/>
  <c r="S160" i="4" s="1"/>
  <c r="I46" i="4"/>
  <c r="I55" i="4"/>
  <c r="C46" i="4"/>
  <c r="C55" i="4"/>
  <c r="C87" i="4" s="1"/>
  <c r="G55" i="4"/>
  <c r="G46" i="4"/>
  <c r="K46" i="4"/>
  <c r="K55" i="4"/>
  <c r="O55" i="4"/>
  <c r="O46" i="4"/>
  <c r="Q46" i="4"/>
  <c r="E55" i="4"/>
  <c r="E46" i="4"/>
  <c r="M55" i="4"/>
  <c r="M46" i="4"/>
  <c r="D46" i="4"/>
  <c r="D55" i="4"/>
  <c r="H46" i="4"/>
  <c r="H55" i="4"/>
  <c r="L46" i="4"/>
  <c r="L55" i="4"/>
  <c r="P86" i="4"/>
  <c r="U68" i="4"/>
  <c r="B46" i="4"/>
  <c r="B27" i="4" s="1"/>
  <c r="J46" i="4"/>
  <c r="T44" i="4"/>
  <c r="U70" i="4"/>
  <c r="F46" i="4"/>
  <c r="U69" i="4"/>
  <c r="D27" i="4" l="1"/>
  <c r="D206" i="4"/>
  <c r="D207" i="4" s="1"/>
  <c r="F206" i="4"/>
  <c r="F207" i="4" s="1"/>
  <c r="F27" i="4"/>
  <c r="L27" i="4"/>
  <c r="L206" i="4"/>
  <c r="L207" i="4" s="1"/>
  <c r="M27" i="4"/>
  <c r="M206" i="4"/>
  <c r="M207" i="4" s="1"/>
  <c r="Q27" i="4"/>
  <c r="Q206" i="4"/>
  <c r="Q207" i="4" s="1"/>
  <c r="K206" i="4"/>
  <c r="K207" i="4" s="1"/>
  <c r="K27" i="4"/>
  <c r="C206" i="4"/>
  <c r="C207" i="4" s="1"/>
  <c r="C27" i="4"/>
  <c r="H27" i="4"/>
  <c r="H206" i="4"/>
  <c r="H207" i="4" s="1"/>
  <c r="O206" i="4"/>
  <c r="O207" i="4" s="1"/>
  <c r="O27" i="4"/>
  <c r="G206" i="4"/>
  <c r="G207" i="4" s="1"/>
  <c r="G27" i="4"/>
  <c r="J206" i="4"/>
  <c r="J207" i="4" s="1"/>
  <c r="J27" i="4"/>
  <c r="E27" i="4"/>
  <c r="E206" i="4"/>
  <c r="E207" i="4" s="1"/>
  <c r="I27" i="4"/>
  <c r="I206" i="4"/>
  <c r="I207" i="4" s="1"/>
  <c r="U91" i="4"/>
  <c r="S46" i="4"/>
  <c r="T86" i="4"/>
  <c r="R91" i="4"/>
  <c r="S162" i="4"/>
  <c r="S175" i="4" s="1"/>
  <c r="S212" i="4" s="1"/>
  <c r="J162" i="4"/>
  <c r="J175" i="4" s="1"/>
  <c r="J212" i="4" s="1"/>
  <c r="F162" i="4"/>
  <c r="F175" i="4" s="1"/>
  <c r="F212" i="4" s="1"/>
  <c r="R162" i="4"/>
  <c r="R175" i="4" s="1"/>
  <c r="R212" i="4" s="1"/>
  <c r="B162" i="4"/>
  <c r="B175" i="4" s="1"/>
  <c r="P162" i="4"/>
  <c r="P175" i="4" s="1"/>
  <c r="P212" i="4" s="1"/>
  <c r="AH82" i="4"/>
  <c r="X173" i="4"/>
  <c r="W205" i="4"/>
  <c r="W215" i="4"/>
  <c r="AM88" i="4"/>
  <c r="AO88" i="4"/>
  <c r="AT88" i="4"/>
  <c r="AR88" i="4"/>
  <c r="AW88" i="4"/>
  <c r="S91" i="4"/>
  <c r="AP88" i="4"/>
  <c r="G87" i="4"/>
  <c r="AP82" i="4"/>
  <c r="S55" i="4"/>
  <c r="M165" i="4"/>
  <c r="M166" i="4" s="1"/>
  <c r="I165" i="4"/>
  <c r="I166" i="4" s="1"/>
  <c r="Q76" i="4"/>
  <c r="Q160" i="4"/>
  <c r="L165" i="4"/>
  <c r="L166" i="4" s="1"/>
  <c r="K87" i="4"/>
  <c r="P55" i="4"/>
  <c r="K165" i="4"/>
  <c r="K166" i="4" s="1"/>
  <c r="J165" i="4"/>
  <c r="J166" i="4" s="1"/>
  <c r="Q165" i="4"/>
  <c r="Q166" i="4" s="1"/>
  <c r="E215" i="4"/>
  <c r="D165" i="4"/>
  <c r="D166" i="4" s="1"/>
  <c r="F165" i="4"/>
  <c r="F166" i="4" s="1"/>
  <c r="T76" i="4"/>
  <c r="T160" i="4"/>
  <c r="E165" i="4"/>
  <c r="E166" i="4" s="1"/>
  <c r="S165" i="4"/>
  <c r="S166" i="4" s="1"/>
  <c r="C165" i="4"/>
  <c r="C166" i="4" s="1"/>
  <c r="T91" i="4"/>
  <c r="H165" i="4"/>
  <c r="H166" i="4" s="1"/>
  <c r="P46" i="4"/>
  <c r="O165" i="4"/>
  <c r="O166" i="4" s="1"/>
  <c r="G165" i="4"/>
  <c r="G166" i="4" s="1"/>
  <c r="V64" i="4"/>
  <c r="V59" i="4"/>
  <c r="V91" i="4" s="1"/>
  <c r="P76" i="4"/>
  <c r="Q91" i="4"/>
  <c r="O76" i="4"/>
  <c r="N160" i="4"/>
  <c r="B48" i="4"/>
  <c r="B165" i="4"/>
  <c r="B166" i="4" s="1"/>
  <c r="Q55" i="4"/>
  <c r="Q87" i="4" s="1"/>
  <c r="N46" i="4"/>
  <c r="R86" i="4"/>
  <c r="I87" i="4"/>
  <c r="L87" i="4"/>
  <c r="D87" i="4"/>
  <c r="M48" i="4"/>
  <c r="M78" i="4"/>
  <c r="S86" i="4"/>
  <c r="F48" i="4"/>
  <c r="F78" i="4"/>
  <c r="D48" i="4"/>
  <c r="D78" i="4"/>
  <c r="H87" i="4"/>
  <c r="P87" i="4"/>
  <c r="E48" i="4"/>
  <c r="E78" i="4"/>
  <c r="I48" i="4"/>
  <c r="I78" i="4"/>
  <c r="N55" i="4"/>
  <c r="N87" i="4" s="1"/>
  <c r="N76" i="4"/>
  <c r="J87" i="4"/>
  <c r="J48" i="4"/>
  <c r="J78" i="4"/>
  <c r="O48" i="4"/>
  <c r="G48" i="4"/>
  <c r="G78" i="4"/>
  <c r="L48" i="4"/>
  <c r="L78" i="4"/>
  <c r="M87" i="4"/>
  <c r="Q48" i="4"/>
  <c r="R55" i="4"/>
  <c r="R76" i="4"/>
  <c r="U67" i="4"/>
  <c r="R46" i="4"/>
  <c r="H48" i="4"/>
  <c r="H78" i="4"/>
  <c r="E87" i="4"/>
  <c r="S48" i="4"/>
  <c r="K48" i="4"/>
  <c r="K78" i="4"/>
  <c r="C48" i="4"/>
  <c r="C78" i="4"/>
  <c r="S76" i="4"/>
  <c r="F87" i="4"/>
  <c r="U86" i="4"/>
  <c r="T46" i="4"/>
  <c r="T55" i="4"/>
  <c r="V70" i="4"/>
  <c r="V71" i="4"/>
  <c r="V69" i="4"/>
  <c r="N206" i="4" l="1"/>
  <c r="N207" i="4" s="1"/>
  <c r="N27" i="4"/>
  <c r="P78" i="4"/>
  <c r="P27" i="4"/>
  <c r="P206" i="4"/>
  <c r="P207" i="4" s="1"/>
  <c r="S206" i="4"/>
  <c r="S207" i="4" s="1"/>
  <c r="S27" i="4"/>
  <c r="T27" i="4"/>
  <c r="T206" i="4"/>
  <c r="T207" i="4" s="1"/>
  <c r="R206" i="4"/>
  <c r="R207" i="4" s="1"/>
  <c r="R27" i="4"/>
  <c r="I50" i="4"/>
  <c r="J82" i="4" s="1"/>
  <c r="L50" i="4"/>
  <c r="E56" i="4"/>
  <c r="D56" i="4"/>
  <c r="E88" i="4" s="1"/>
  <c r="G50" i="4"/>
  <c r="S50" i="4"/>
  <c r="Q56" i="4"/>
  <c r="J50" i="4"/>
  <c r="M50" i="4"/>
  <c r="M82" i="4" s="1"/>
  <c r="B50" i="4"/>
  <c r="C208" i="4"/>
  <c r="N162" i="4"/>
  <c r="N175" i="4" s="1"/>
  <c r="N212" i="4" s="1"/>
  <c r="T162" i="4"/>
  <c r="T175" i="4" s="1"/>
  <c r="T212" i="4" s="1"/>
  <c r="Q162" i="4"/>
  <c r="Q175" i="4" s="1"/>
  <c r="Q212" i="4" s="1"/>
  <c r="Y173" i="4"/>
  <c r="X205" i="4"/>
  <c r="X215" i="4"/>
  <c r="T87" i="4"/>
  <c r="H80" i="4"/>
  <c r="E50" i="4"/>
  <c r="S56" i="4"/>
  <c r="J56" i="4"/>
  <c r="Q210" i="4"/>
  <c r="P165" i="4"/>
  <c r="P166" i="4" s="1"/>
  <c r="E208" i="4"/>
  <c r="E210" i="4"/>
  <c r="Q208" i="4"/>
  <c r="K208" i="4"/>
  <c r="L210" i="4"/>
  <c r="L208" i="4"/>
  <c r="P48" i="4"/>
  <c r="Q78" i="4"/>
  <c r="D208" i="4"/>
  <c r="F210" i="4"/>
  <c r="F208" i="4"/>
  <c r="M210" i="4"/>
  <c r="M208" i="4"/>
  <c r="O208" i="4"/>
  <c r="S208" i="4"/>
  <c r="I208" i="4"/>
  <c r="I210" i="4"/>
  <c r="R165" i="4"/>
  <c r="R166" i="4" s="1"/>
  <c r="D211" i="4"/>
  <c r="G210" i="4"/>
  <c r="G208" i="4"/>
  <c r="T78" i="4"/>
  <c r="T165" i="4"/>
  <c r="T166" i="4" s="1"/>
  <c r="D210" i="4"/>
  <c r="H210" i="4"/>
  <c r="H208" i="4"/>
  <c r="K210" i="4"/>
  <c r="J210" i="4"/>
  <c r="J208" i="4"/>
  <c r="N78" i="4"/>
  <c r="N165" i="4"/>
  <c r="N166" i="4" s="1"/>
  <c r="N48" i="4"/>
  <c r="M56" i="4"/>
  <c r="B56" i="4"/>
  <c r="C80" i="4"/>
  <c r="O78" i="4"/>
  <c r="G56" i="4"/>
  <c r="R87" i="4"/>
  <c r="C50" i="4"/>
  <c r="C82" i="4" s="1"/>
  <c r="H56" i="4"/>
  <c r="K80" i="4"/>
  <c r="I80" i="4"/>
  <c r="O87" i="4"/>
  <c r="F80" i="4"/>
  <c r="L56" i="4"/>
  <c r="C209" i="4"/>
  <c r="C214" i="4"/>
  <c r="Q50" i="4"/>
  <c r="O50" i="4"/>
  <c r="C56" i="4"/>
  <c r="H50" i="4"/>
  <c r="E80" i="4"/>
  <c r="V86" i="4"/>
  <c r="V68" i="4"/>
  <c r="R48" i="4"/>
  <c r="R78" i="4"/>
  <c r="S78" i="4"/>
  <c r="L80" i="4"/>
  <c r="K56" i="4"/>
  <c r="F56" i="4"/>
  <c r="F88" i="4" s="1"/>
  <c r="V67" i="4"/>
  <c r="O56" i="4"/>
  <c r="D80" i="4"/>
  <c r="I56" i="4"/>
  <c r="K50" i="4"/>
  <c r="K82" i="4" s="1"/>
  <c r="F50" i="4"/>
  <c r="D50" i="4"/>
  <c r="G80" i="4"/>
  <c r="J80" i="4"/>
  <c r="S87" i="4"/>
  <c r="M80" i="4"/>
  <c r="U87" i="4"/>
  <c r="T48" i="4"/>
  <c r="I82" i="4" l="1"/>
  <c r="T80" i="4"/>
  <c r="N80" i="4"/>
  <c r="S80" i="4"/>
  <c r="P80" i="4"/>
  <c r="I88" i="4"/>
  <c r="Z173" i="4"/>
  <c r="Y205" i="4"/>
  <c r="Y215" i="4"/>
  <c r="F82" i="4"/>
  <c r="K88" i="4"/>
  <c r="D209" i="4"/>
  <c r="V87" i="4"/>
  <c r="U44" i="4"/>
  <c r="U160" i="4" s="1"/>
  <c r="Q80" i="4"/>
  <c r="D214" i="4"/>
  <c r="P50" i="4"/>
  <c r="Q82" i="4" s="1"/>
  <c r="P56" i="4"/>
  <c r="P88" i="4" s="1"/>
  <c r="E209" i="4"/>
  <c r="E211" i="4"/>
  <c r="E214" i="4"/>
  <c r="I214" i="4"/>
  <c r="I209" i="4"/>
  <c r="I211" i="4"/>
  <c r="K209" i="4"/>
  <c r="K214" i="4"/>
  <c r="K211" i="4"/>
  <c r="J209" i="4"/>
  <c r="J211" i="4"/>
  <c r="J214" i="4"/>
  <c r="R208" i="4"/>
  <c r="S210" i="4"/>
  <c r="O209" i="4"/>
  <c r="O214" i="4"/>
  <c r="L211" i="4"/>
  <c r="L214" i="4"/>
  <c r="L209" i="4"/>
  <c r="Q209" i="4"/>
  <c r="Q214" i="4"/>
  <c r="R210" i="4"/>
  <c r="D82" i="4"/>
  <c r="H211" i="4"/>
  <c r="H209" i="4"/>
  <c r="H214" i="4"/>
  <c r="T208" i="4"/>
  <c r="T210" i="4"/>
  <c r="G209" i="4"/>
  <c r="G211" i="4"/>
  <c r="G214" i="4"/>
  <c r="S209" i="4"/>
  <c r="S214" i="4"/>
  <c r="M209" i="4"/>
  <c r="M211" i="4"/>
  <c r="M214" i="4"/>
  <c r="F211" i="4"/>
  <c r="F209" i="4"/>
  <c r="F214" i="4"/>
  <c r="Q211" i="4"/>
  <c r="P208" i="4"/>
  <c r="P210" i="4"/>
  <c r="N50" i="4"/>
  <c r="N82" i="4" s="1"/>
  <c r="N56" i="4"/>
  <c r="N88" i="4" s="1"/>
  <c r="O210" i="4"/>
  <c r="N208" i="4"/>
  <c r="N210" i="4"/>
  <c r="O80" i="4"/>
  <c r="H88" i="4"/>
  <c r="C88" i="4"/>
  <c r="M88" i="4"/>
  <c r="P82" i="4"/>
  <c r="G88" i="4"/>
  <c r="H82" i="4"/>
  <c r="D88" i="4"/>
  <c r="L82" i="4"/>
  <c r="G82" i="4"/>
  <c r="L88" i="4"/>
  <c r="J88" i="4"/>
  <c r="R80" i="4"/>
  <c r="R56" i="4"/>
  <c r="R50" i="4"/>
  <c r="E82" i="4"/>
  <c r="T50" i="4"/>
  <c r="T82" i="4" s="1"/>
  <c r="T56" i="4"/>
  <c r="T88" i="4" s="1"/>
  <c r="Z205" i="4" l="1"/>
  <c r="Z215" i="4"/>
  <c r="V44" i="4"/>
  <c r="V160" i="4" s="1"/>
  <c r="U46" i="4"/>
  <c r="U206" i="4" s="1"/>
  <c r="U207" i="4" s="1"/>
  <c r="U43" i="4"/>
  <c r="U75" i="4" s="1"/>
  <c r="U76" i="4"/>
  <c r="Q88" i="4"/>
  <c r="O82" i="4"/>
  <c r="P214" i="4"/>
  <c r="P209" i="4"/>
  <c r="P211" i="4"/>
  <c r="T211" i="4"/>
  <c r="T209" i="4"/>
  <c r="T214" i="4"/>
  <c r="R209" i="4"/>
  <c r="R214" i="4"/>
  <c r="R211" i="4"/>
  <c r="S211" i="4"/>
  <c r="O88" i="4"/>
  <c r="O211" i="4"/>
  <c r="N209" i="4"/>
  <c r="N214" i="4"/>
  <c r="N211" i="4"/>
  <c r="R88" i="4"/>
  <c r="S88" i="4"/>
  <c r="R82" i="4"/>
  <c r="S82" i="4"/>
  <c r="U165" i="4" l="1"/>
  <c r="U47" i="4"/>
  <c r="V43" i="4"/>
  <c r="V75" i="4" s="1"/>
  <c r="V46" i="4"/>
  <c r="V206" i="4" s="1"/>
  <c r="V207" i="4" s="1"/>
  <c r="V76" i="4"/>
  <c r="U78" i="4"/>
  <c r="W44" i="4"/>
  <c r="W160" i="4" s="1"/>
  <c r="U164" i="4" l="1"/>
  <c r="U166" i="4" s="1"/>
  <c r="U27" i="4"/>
  <c r="U79" i="4"/>
  <c r="U48" i="4"/>
  <c r="U161" i="4"/>
  <c r="U162" i="4" s="1"/>
  <c r="U175" i="4" s="1"/>
  <c r="V47" i="4"/>
  <c r="V165" i="4"/>
  <c r="U210" i="4"/>
  <c r="U208" i="4"/>
  <c r="X44" i="4"/>
  <c r="X160" i="4" s="1"/>
  <c r="V78" i="4"/>
  <c r="W43" i="4"/>
  <c r="W46" i="4"/>
  <c r="W206" i="4" s="1"/>
  <c r="W207" i="4" s="1"/>
  <c r="J56" i="3"/>
  <c r="J55" i="3"/>
  <c r="K56" i="3"/>
  <c r="L56" i="3"/>
  <c r="M56" i="3"/>
  <c r="L50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J52" i="3"/>
  <c r="K52" i="3"/>
  <c r="L52" i="3"/>
  <c r="K55" i="3"/>
  <c r="L55" i="3"/>
  <c r="J57" i="3"/>
  <c r="K57" i="3"/>
  <c r="L57" i="3"/>
  <c r="T50" i="3"/>
  <c r="M50" i="3"/>
  <c r="N50" i="3"/>
  <c r="O50" i="3"/>
  <c r="P50" i="3"/>
  <c r="Q50" i="3"/>
  <c r="R50" i="3"/>
  <c r="S50" i="3"/>
  <c r="Q49" i="3"/>
  <c r="R49" i="3"/>
  <c r="S49" i="3"/>
  <c r="T49" i="3"/>
  <c r="M49" i="3"/>
  <c r="N49" i="3"/>
  <c r="O49" i="3"/>
  <c r="P49" i="3"/>
  <c r="P32" i="1"/>
  <c r="E45" i="1"/>
  <c r="F45" i="1"/>
  <c r="H45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K26" i="1"/>
  <c r="K25" i="1"/>
  <c r="K24" i="1"/>
  <c r="B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4" i="1"/>
  <c r="C24" i="1"/>
  <c r="D24" i="1"/>
  <c r="E24" i="1"/>
  <c r="F24" i="1"/>
  <c r="G24" i="1"/>
  <c r="H24" i="1"/>
  <c r="I24" i="1"/>
  <c r="J24" i="1"/>
  <c r="S1" i="2"/>
  <c r="R1" i="2" s="1"/>
  <c r="Q1" i="2" s="1"/>
  <c r="P1" i="2" s="1"/>
  <c r="O1" i="2" s="1"/>
  <c r="N1" i="2" s="1"/>
  <c r="M1" i="2" s="1"/>
  <c r="L1" i="2" s="1"/>
  <c r="K1" i="2" s="1"/>
  <c r="J1" i="2" s="1"/>
  <c r="I1" i="2" s="1"/>
  <c r="H1" i="2" s="1"/>
  <c r="G1" i="2" s="1"/>
  <c r="F1" i="2" s="1"/>
  <c r="E1" i="2" s="1"/>
  <c r="D1" i="2" s="1"/>
  <c r="C1" i="2" s="1"/>
  <c r="B1" i="2" s="1"/>
  <c r="R57" i="3"/>
  <c r="T52" i="3"/>
  <c r="S57" i="3"/>
  <c r="N57" i="3"/>
  <c r="O57" i="3"/>
  <c r="P57" i="3"/>
  <c r="Q57" i="3"/>
  <c r="T57" i="3"/>
  <c r="M57" i="3"/>
  <c r="N56" i="3"/>
  <c r="O56" i="3"/>
  <c r="P56" i="3"/>
  <c r="Q56" i="3"/>
  <c r="R56" i="3"/>
  <c r="S56" i="3"/>
  <c r="T56" i="3"/>
  <c r="N55" i="3"/>
  <c r="O55" i="3"/>
  <c r="P55" i="3"/>
  <c r="Q55" i="3"/>
  <c r="R55" i="3"/>
  <c r="S55" i="3"/>
  <c r="T55" i="3"/>
  <c r="M55" i="3"/>
  <c r="N52" i="3"/>
  <c r="O52" i="3"/>
  <c r="P52" i="3"/>
  <c r="Q52" i="3"/>
  <c r="R52" i="3"/>
  <c r="S52" i="3"/>
  <c r="M52" i="3"/>
  <c r="S2" i="3"/>
  <c r="R2" i="3" s="1"/>
  <c r="Q2" i="3" s="1"/>
  <c r="P2" i="3" s="1"/>
  <c r="O2" i="3" s="1"/>
  <c r="N2" i="3" s="1"/>
  <c r="M2" i="3" s="1"/>
  <c r="L2" i="3" s="1"/>
  <c r="K2" i="3" s="1"/>
  <c r="J2" i="3" s="1"/>
  <c r="I2" i="3" s="1"/>
  <c r="H2" i="3" s="1"/>
  <c r="G2" i="3" s="1"/>
  <c r="F2" i="3" s="1"/>
  <c r="E2" i="3" s="1"/>
  <c r="D2" i="3" s="1"/>
  <c r="N48" i="3"/>
  <c r="O48" i="3"/>
  <c r="P48" i="3"/>
  <c r="Q48" i="3"/>
  <c r="R48" i="3"/>
  <c r="S48" i="3"/>
  <c r="T48" i="3"/>
  <c r="M48" i="3"/>
  <c r="V164" i="4" l="1"/>
  <c r="V161" i="4" s="1"/>
  <c r="V27" i="4"/>
  <c r="U80" i="4"/>
  <c r="U50" i="4"/>
  <c r="U82" i="4" s="1"/>
  <c r="U56" i="4"/>
  <c r="U88" i="4" s="1"/>
  <c r="V166" i="4"/>
  <c r="W47" i="4"/>
  <c r="W164" i="4" s="1"/>
  <c r="W165" i="4"/>
  <c r="V48" i="4"/>
  <c r="V79" i="4"/>
  <c r="X46" i="4"/>
  <c r="X206" i="4" s="1"/>
  <c r="X207" i="4" s="1"/>
  <c r="X43" i="4"/>
  <c r="V208" i="4"/>
  <c r="V210" i="4"/>
  <c r="U209" i="4"/>
  <c r="U211" i="4"/>
  <c r="U214" i="4"/>
  <c r="Z44" i="4"/>
  <c r="Z160" i="4" s="1"/>
  <c r="Y44" i="4"/>
  <c r="Y160" i="4" s="1"/>
  <c r="K51" i="3"/>
  <c r="K53" i="3" s="1"/>
  <c r="K54" i="3" s="1"/>
  <c r="J51" i="3"/>
  <c r="J53" i="3" s="1"/>
  <c r="J54" i="3" s="1"/>
  <c r="L51" i="3"/>
  <c r="L53" i="3" s="1"/>
  <c r="L54" i="3" s="1"/>
  <c r="K59" i="3"/>
  <c r="N47" i="3"/>
  <c r="O47" i="3"/>
  <c r="P47" i="3"/>
  <c r="Q47" i="3"/>
  <c r="R47" i="3"/>
  <c r="S47" i="3"/>
  <c r="T47" i="3"/>
  <c r="M47" i="3"/>
  <c r="N46" i="3"/>
  <c r="O46" i="3"/>
  <c r="P46" i="3"/>
  <c r="Q46" i="3"/>
  <c r="R46" i="3"/>
  <c r="S46" i="3"/>
  <c r="T46" i="3"/>
  <c r="M46" i="3"/>
  <c r="N45" i="3"/>
  <c r="N51" i="3" s="1"/>
  <c r="N53" i="3" s="1"/>
  <c r="O45" i="3"/>
  <c r="P45" i="3"/>
  <c r="P51" i="3" s="1"/>
  <c r="P53" i="3" s="1"/>
  <c r="Q45" i="3"/>
  <c r="Q51" i="3" s="1"/>
  <c r="Q53" i="3" s="1"/>
  <c r="R45" i="3"/>
  <c r="R51" i="3" s="1"/>
  <c r="R53" i="3" s="1"/>
  <c r="S45" i="3"/>
  <c r="S51" i="3" s="1"/>
  <c r="S53" i="3" s="1"/>
  <c r="T45" i="3"/>
  <c r="M45" i="3"/>
  <c r="M51" i="3" s="1"/>
  <c r="M53" i="3" s="1"/>
  <c r="M59" i="3" s="1"/>
  <c r="V50" i="4" l="1"/>
  <c r="V82" i="4" s="1"/>
  <c r="V56" i="4"/>
  <c r="V88" i="4" s="1"/>
  <c r="V80" i="4"/>
  <c r="W161" i="4"/>
  <c r="W166" i="4"/>
  <c r="W48" i="4"/>
  <c r="W50" i="4" s="1"/>
  <c r="X47" i="4"/>
  <c r="X164" i="4" s="1"/>
  <c r="X165" i="4"/>
  <c r="V162" i="4"/>
  <c r="V175" i="4" s="1"/>
  <c r="V212" i="4" s="1"/>
  <c r="Z43" i="4"/>
  <c r="Z46" i="4"/>
  <c r="Z206" i="4" s="1"/>
  <c r="Z207" i="4" s="1"/>
  <c r="W210" i="4"/>
  <c r="W208" i="4"/>
  <c r="Y43" i="4"/>
  <c r="Y46" i="4"/>
  <c r="Y206" i="4" s="1"/>
  <c r="Y207" i="4" s="1"/>
  <c r="V209" i="4"/>
  <c r="V211" i="4"/>
  <c r="V214" i="4"/>
  <c r="J59" i="3"/>
  <c r="L59" i="3"/>
  <c r="O51" i="3"/>
  <c r="O53" i="3" s="1"/>
  <c r="O54" i="3" s="1"/>
  <c r="Q54" i="3"/>
  <c r="Q59" i="3"/>
  <c r="S54" i="3"/>
  <c r="S59" i="3"/>
  <c r="T51" i="3"/>
  <c r="T53" i="3" s="1"/>
  <c r="P54" i="3"/>
  <c r="P59" i="3"/>
  <c r="R54" i="3"/>
  <c r="R59" i="3"/>
  <c r="N54" i="3"/>
  <c r="N59" i="3"/>
  <c r="M54" i="3"/>
  <c r="W56" i="4" l="1"/>
  <c r="X48" i="4"/>
  <c r="X50" i="4" s="1"/>
  <c r="Z47" i="4"/>
  <c r="Z164" i="4" s="1"/>
  <c r="Z165" i="4"/>
  <c r="X161" i="4"/>
  <c r="X162" i="4" s="1"/>
  <c r="X175" i="4" s="1"/>
  <c r="X212" i="4" s="1"/>
  <c r="X166" i="4"/>
  <c r="Y47" i="4"/>
  <c r="Y164" i="4" s="1"/>
  <c r="Y165" i="4"/>
  <c r="W162" i="4"/>
  <c r="W175" i="4" s="1"/>
  <c r="W212" i="4" s="1"/>
  <c r="W209" i="4"/>
  <c r="W211" i="4"/>
  <c r="W214" i="4"/>
  <c r="Y210" i="4"/>
  <c r="X208" i="4"/>
  <c r="X210" i="4"/>
  <c r="O59" i="3"/>
  <c r="T54" i="3"/>
  <c r="T59" i="3"/>
  <c r="X56" i="4" l="1"/>
  <c r="Z48" i="4"/>
  <c r="Z50" i="4" s="1"/>
  <c r="Y161" i="4"/>
  <c r="Y162" i="4" s="1"/>
  <c r="Y175" i="4" s="1"/>
  <c r="Y212" i="4" s="1"/>
  <c r="Y166" i="4"/>
  <c r="Z161" i="4"/>
  <c r="Z162" i="4" s="1"/>
  <c r="Z175" i="4" s="1"/>
  <c r="Z212" i="4" s="1"/>
  <c r="Z166" i="4"/>
  <c r="Y48" i="4"/>
  <c r="Y56" i="4" s="1"/>
  <c r="Z210" i="4"/>
  <c r="Z214" i="4"/>
  <c r="Z208" i="4"/>
  <c r="X209" i="4"/>
  <c r="X214" i="4"/>
  <c r="X211" i="4"/>
  <c r="Y208" i="4"/>
  <c r="B54" i="1"/>
  <c r="C54" i="1"/>
  <c r="D54" i="1"/>
  <c r="E54" i="1"/>
  <c r="F54" i="1"/>
  <c r="G54" i="1"/>
  <c r="H54" i="1"/>
  <c r="I54" i="1"/>
  <c r="J54" i="1"/>
  <c r="K54" i="1"/>
  <c r="B45" i="1"/>
  <c r="C45" i="1"/>
  <c r="D45" i="1"/>
  <c r="B43" i="1"/>
  <c r="B44" i="1" s="1"/>
  <c r="C43" i="1"/>
  <c r="C44" i="1" s="1"/>
  <c r="D43" i="1"/>
  <c r="E43" i="1"/>
  <c r="E44" i="1" s="1"/>
  <c r="F43" i="1"/>
  <c r="F44" i="1" s="1"/>
  <c r="G43" i="1"/>
  <c r="G44" i="1" s="1"/>
  <c r="G46" i="1" s="1"/>
  <c r="H43" i="1"/>
  <c r="H44" i="1" s="1"/>
  <c r="H46" i="1" s="1"/>
  <c r="I43" i="1"/>
  <c r="I44" i="1" s="1"/>
  <c r="I55" i="1" s="1"/>
  <c r="J43" i="1"/>
  <c r="J44" i="1" s="1"/>
  <c r="K43" i="1"/>
  <c r="K44" i="1" s="1"/>
  <c r="K55" i="1" s="1"/>
  <c r="D44" i="1"/>
  <c r="D55" i="1" s="1"/>
  <c r="B10" i="1"/>
  <c r="B59" i="1" s="1"/>
  <c r="C10" i="1"/>
  <c r="C57" i="1" s="1"/>
  <c r="D10" i="1"/>
  <c r="D58" i="1" s="1"/>
  <c r="E10" i="1"/>
  <c r="E59" i="1" s="1"/>
  <c r="F10" i="1"/>
  <c r="F59" i="1" s="1"/>
  <c r="G10" i="1"/>
  <c r="G57" i="1" s="1"/>
  <c r="H10" i="1"/>
  <c r="H58" i="1" s="1"/>
  <c r="I10" i="1"/>
  <c r="I58" i="1" s="1"/>
  <c r="J10" i="1"/>
  <c r="J58" i="1" s="1"/>
  <c r="K10" i="1"/>
  <c r="K57" i="1" s="1"/>
  <c r="L10" i="1"/>
  <c r="M10" i="1"/>
  <c r="L43" i="1"/>
  <c r="Y50" i="4" l="1"/>
  <c r="Z56" i="4"/>
  <c r="Z209" i="4"/>
  <c r="Z211" i="4"/>
  <c r="Y209" i="4"/>
  <c r="Y214" i="4"/>
  <c r="Y211" i="4"/>
  <c r="B46" i="1"/>
  <c r="E57" i="1"/>
  <c r="B55" i="1"/>
  <c r="F58" i="1"/>
  <c r="G59" i="1"/>
  <c r="C59" i="1"/>
  <c r="B58" i="1"/>
  <c r="B48" i="1"/>
  <c r="B27" i="1"/>
  <c r="C46" i="1"/>
  <c r="C48" i="1" s="1"/>
  <c r="C55" i="1"/>
  <c r="H59" i="1"/>
  <c r="D59" i="1"/>
  <c r="G58" i="1"/>
  <c r="C58" i="1"/>
  <c r="F57" i="1"/>
  <c r="B57" i="1"/>
  <c r="D46" i="1"/>
  <c r="D48" i="1" s="1"/>
  <c r="D50" i="1" s="1"/>
  <c r="E58" i="1"/>
  <c r="H57" i="1"/>
  <c r="D57" i="1"/>
  <c r="I59" i="1"/>
  <c r="I57" i="1"/>
  <c r="J59" i="1"/>
  <c r="J57" i="1"/>
  <c r="K59" i="1"/>
  <c r="K58" i="1"/>
  <c r="H55" i="1"/>
  <c r="J55" i="1"/>
  <c r="J46" i="1"/>
  <c r="J48" i="1" s="1"/>
  <c r="H48" i="1"/>
  <c r="H27" i="1"/>
  <c r="I46" i="1"/>
  <c r="K46" i="1"/>
  <c r="E46" i="1"/>
  <c r="E48" i="1" s="1"/>
  <c r="E50" i="1" s="1"/>
  <c r="E55" i="1"/>
  <c r="F55" i="1"/>
  <c r="F46" i="1"/>
  <c r="F27" i="1" s="1"/>
  <c r="G48" i="1"/>
  <c r="G27" i="1"/>
  <c r="G55" i="1"/>
  <c r="D56" i="1" l="1"/>
  <c r="C50" i="1"/>
  <c r="C56" i="1"/>
  <c r="D27" i="1"/>
  <c r="C27" i="1"/>
  <c r="B50" i="1"/>
  <c r="B56" i="1"/>
  <c r="H56" i="1"/>
  <c r="H50" i="1"/>
  <c r="I27" i="1"/>
  <c r="I48" i="1"/>
  <c r="J50" i="1"/>
  <c r="J56" i="1"/>
  <c r="J27" i="1"/>
  <c r="K48" i="1"/>
  <c r="E56" i="1"/>
  <c r="E27" i="1"/>
  <c r="F48" i="1"/>
  <c r="F50" i="1" s="1"/>
  <c r="G56" i="1"/>
  <c r="G50" i="1"/>
  <c r="Q32" i="1"/>
  <c r="R32" i="1"/>
  <c r="S32" i="1"/>
  <c r="T32" i="1"/>
  <c r="S19" i="1" l="1"/>
  <c r="S20" i="1"/>
  <c r="S21" i="1"/>
  <c r="S22" i="1"/>
  <c r="S24" i="1"/>
  <c r="R19" i="1"/>
  <c r="R20" i="1"/>
  <c r="R21" i="1"/>
  <c r="R22" i="1"/>
  <c r="R24" i="1"/>
  <c r="Q19" i="1"/>
  <c r="Q20" i="1"/>
  <c r="Q21" i="1"/>
  <c r="Q22" i="1"/>
  <c r="Q24" i="1"/>
  <c r="T19" i="1"/>
  <c r="T20" i="1"/>
  <c r="T24" i="1"/>
  <c r="T25" i="1"/>
  <c r="T21" i="1"/>
  <c r="T22" i="1"/>
  <c r="I50" i="1"/>
  <c r="I56" i="1"/>
  <c r="F56" i="1"/>
  <c r="K50" i="1"/>
  <c r="K56" i="1"/>
  <c r="L57" i="1"/>
  <c r="M57" i="1"/>
  <c r="L58" i="1"/>
  <c r="M58" i="1"/>
  <c r="M43" i="1"/>
  <c r="N43" i="1"/>
  <c r="O43" i="1"/>
  <c r="L19" i="1" l="1"/>
  <c r="L20" i="1"/>
  <c r="L21" i="1"/>
  <c r="L22" i="1"/>
  <c r="L24" i="1"/>
  <c r="M19" i="1"/>
  <c r="M20" i="1"/>
  <c r="M21" i="1"/>
  <c r="M22" i="1"/>
  <c r="M24" i="1"/>
  <c r="L59" i="1"/>
  <c r="L44" i="1"/>
  <c r="L46" i="1" s="1"/>
  <c r="L48" i="1" s="1"/>
  <c r="M26" i="1"/>
  <c r="M25" i="1"/>
  <c r="M59" i="1"/>
  <c r="M54" i="1"/>
  <c r="L26" i="1"/>
  <c r="L25" i="1"/>
  <c r="L54" i="1"/>
  <c r="M44" i="1"/>
  <c r="L27" i="1" l="1"/>
  <c r="L55" i="1"/>
  <c r="M46" i="1"/>
  <c r="M55" i="1"/>
  <c r="L56" i="1"/>
  <c r="L50" i="1"/>
  <c r="M48" i="1" l="1"/>
  <c r="M27" i="1"/>
  <c r="R43" i="1"/>
  <c r="S43" i="1"/>
  <c r="T43" i="1"/>
  <c r="Q43" i="1"/>
  <c r="P43" i="1"/>
  <c r="N10" i="1"/>
  <c r="O10" i="1"/>
  <c r="P10" i="1"/>
  <c r="P4" i="1"/>
  <c r="O4" i="1" s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C4" i="1" s="1"/>
  <c r="B4" i="1" s="1"/>
  <c r="T59" i="1"/>
  <c r="S59" i="1"/>
  <c r="R59" i="1"/>
  <c r="Q59" i="1"/>
  <c r="T58" i="1"/>
  <c r="S58" i="1"/>
  <c r="R58" i="1"/>
  <c r="Q58" i="1"/>
  <c r="T57" i="1"/>
  <c r="S57" i="1"/>
  <c r="R57" i="1"/>
  <c r="Q57" i="1"/>
  <c r="T54" i="1"/>
  <c r="S54" i="1"/>
  <c r="R54" i="1"/>
  <c r="Q54" i="1"/>
  <c r="U32" i="1"/>
  <c r="T26" i="1"/>
  <c r="S26" i="1"/>
  <c r="R26" i="1"/>
  <c r="Q26" i="1"/>
  <c r="S25" i="1"/>
  <c r="R25" i="1"/>
  <c r="Q25" i="1"/>
  <c r="T11" i="1"/>
  <c r="S11" i="1"/>
  <c r="R11" i="1"/>
  <c r="T6" i="1"/>
  <c r="S6" i="1"/>
  <c r="R6" i="1"/>
  <c r="N19" i="1" l="1"/>
  <c r="N20" i="1"/>
  <c r="N21" i="1"/>
  <c r="N22" i="1"/>
  <c r="N24" i="1"/>
  <c r="P19" i="1"/>
  <c r="P20" i="1"/>
  <c r="P21" i="1"/>
  <c r="P22" i="1"/>
  <c r="P24" i="1"/>
  <c r="O20" i="1"/>
  <c r="O21" i="1"/>
  <c r="O22" i="1"/>
  <c r="O24" i="1"/>
  <c r="O19" i="1"/>
  <c r="S44" i="1"/>
  <c r="S46" i="1" s="1"/>
  <c r="S27" i="1" s="1"/>
  <c r="R44" i="1"/>
  <c r="R46" i="1" s="1"/>
  <c r="R48" i="1" s="1"/>
  <c r="R50" i="1" s="1"/>
  <c r="T44" i="1"/>
  <c r="T46" i="1" s="1"/>
  <c r="T27" i="1" s="1"/>
  <c r="Q44" i="1"/>
  <c r="Q46" i="1" s="1"/>
  <c r="Q48" i="1" s="1"/>
  <c r="R27" i="1"/>
  <c r="M50" i="1"/>
  <c r="M56" i="1"/>
  <c r="P58" i="1"/>
  <c r="P57" i="1"/>
  <c r="O44" i="1"/>
  <c r="O26" i="1"/>
  <c r="O54" i="1"/>
  <c r="O25" i="1"/>
  <c r="O59" i="1"/>
  <c r="O58" i="1"/>
  <c r="O57" i="1"/>
  <c r="N25" i="1"/>
  <c r="N59" i="1"/>
  <c r="N44" i="1"/>
  <c r="N54" i="1"/>
  <c r="N26" i="1"/>
  <c r="N57" i="1"/>
  <c r="N58" i="1"/>
  <c r="P59" i="1"/>
  <c r="P44" i="1"/>
  <c r="P26" i="1"/>
  <c r="P25" i="1"/>
  <c r="P54" i="1"/>
  <c r="U59" i="1"/>
  <c r="V40" i="1"/>
  <c r="U58" i="1"/>
  <c r="V32" i="1"/>
  <c r="V35" i="1" s="1"/>
  <c r="V55" i="1" l="1"/>
  <c r="Q55" i="1"/>
  <c r="T55" i="1"/>
  <c r="S48" i="1"/>
  <c r="S55" i="1"/>
  <c r="Q27" i="1"/>
  <c r="R55" i="1"/>
  <c r="V39" i="1"/>
  <c r="R56" i="1"/>
  <c r="Q50" i="1"/>
  <c r="Q56" i="1"/>
  <c r="N55" i="1"/>
  <c r="N46" i="1"/>
  <c r="N27" i="1" s="1"/>
  <c r="O55" i="1"/>
  <c r="O46" i="1"/>
  <c r="O27" i="1" s="1"/>
  <c r="P55" i="1"/>
  <c r="P46" i="1"/>
  <c r="P27" i="1" s="1"/>
  <c r="T48" i="1"/>
  <c r="V38" i="1"/>
  <c r="V37" i="1"/>
  <c r="V36" i="1"/>
  <c r="U37" i="1"/>
  <c r="U38" i="1"/>
  <c r="U36" i="1"/>
  <c r="U39" i="1"/>
  <c r="U35" i="1"/>
  <c r="U57" i="1"/>
  <c r="V59" i="1"/>
  <c r="V58" i="1"/>
  <c r="V57" i="1"/>
  <c r="U55" i="1" l="1"/>
  <c r="S50" i="1"/>
  <c r="S56" i="1"/>
  <c r="T50" i="1"/>
  <c r="T56" i="1"/>
  <c r="P48" i="1"/>
  <c r="O48" i="1"/>
  <c r="N48" i="1"/>
  <c r="U54" i="1"/>
  <c r="U56" i="1" l="1"/>
  <c r="U50" i="1"/>
  <c r="N50" i="1"/>
  <c r="N56" i="1"/>
  <c r="P56" i="1"/>
  <c r="P50" i="1"/>
  <c r="O56" i="1"/>
  <c r="O50" i="1"/>
  <c r="V56" i="1" l="1"/>
  <c r="V50" i="1"/>
  <c r="V54" i="1" l="1"/>
</calcChain>
</file>

<file path=xl/sharedStrings.xml><?xml version="1.0" encoding="utf-8"?>
<sst xmlns="http://schemas.openxmlformats.org/spreadsheetml/2006/main" count="397" uniqueCount="196">
  <si>
    <t xml:space="preserve">Chipotle </t>
  </si>
  <si>
    <t>F 2024</t>
  </si>
  <si>
    <t>F 2025</t>
  </si>
  <si>
    <t>Beginning of period</t>
  </si>
  <si>
    <t>Chipotle Openings</t>
  </si>
  <si>
    <t>Chipotle permanant closures</t>
  </si>
  <si>
    <t>Chipotle relocations</t>
  </si>
  <si>
    <t>Total restaurants at end of period</t>
  </si>
  <si>
    <t>Food and beverage revenue</t>
  </si>
  <si>
    <t>Delivery service revenue</t>
  </si>
  <si>
    <t>Total revenue</t>
  </si>
  <si>
    <t xml:space="preserve">Comparable Restaurant Sales Increase </t>
  </si>
  <si>
    <t>Food and beverage cost margin</t>
  </si>
  <si>
    <t>Labor cost margin</t>
  </si>
  <si>
    <t>Occupancy cost margin</t>
  </si>
  <si>
    <t>Other operating cost margin</t>
  </si>
  <si>
    <t>General and Administrative cost margin</t>
  </si>
  <si>
    <t>Depreciation and Amortization</t>
  </si>
  <si>
    <t xml:space="preserve">Impairment, Closure Costs, and asset disposals </t>
  </si>
  <si>
    <t xml:space="preserve">Effective Income Tax Rate </t>
  </si>
  <si>
    <t>Income Statement</t>
  </si>
  <si>
    <t>Restaurant operating costs (exclusive of depreciation and amortization shown separately below):</t>
  </si>
  <si>
    <t>Food, beverage and packaging costs</t>
  </si>
  <si>
    <t>Labor costs</t>
  </si>
  <si>
    <t>Occupancy costs</t>
  </si>
  <si>
    <t>Other operating costs</t>
  </si>
  <si>
    <t>General and administrative expenses</t>
  </si>
  <si>
    <t>Depreciation and amortization</t>
  </si>
  <si>
    <t>Pre-opening costs</t>
  </si>
  <si>
    <t>Impairment, closure costs and asset disposals</t>
  </si>
  <si>
    <t>Total operating expenses</t>
  </si>
  <si>
    <t>Income from operations</t>
  </si>
  <si>
    <t>Interest and other income, net</t>
  </si>
  <si>
    <t>Benefit/(provision) for income taxes</t>
  </si>
  <si>
    <t>Net income</t>
  </si>
  <si>
    <t>Margins</t>
  </si>
  <si>
    <t>Gross Margin</t>
  </si>
  <si>
    <t>Operating Margin</t>
  </si>
  <si>
    <t>Net Income Margin</t>
  </si>
  <si>
    <t>Food and beverage revenue per store</t>
  </si>
  <si>
    <t>Delivery service revenue per store</t>
  </si>
  <si>
    <t>Total revenue per store</t>
  </si>
  <si>
    <t>Costs:</t>
  </si>
  <si>
    <t>Transactions</t>
  </si>
  <si>
    <t>Average check</t>
  </si>
  <si>
    <t>Menu price increase</t>
  </si>
  <si>
    <t>Check mix</t>
  </si>
  <si>
    <t>`</t>
  </si>
  <si>
    <t>Restaurant Activity</t>
  </si>
  <si>
    <t>Diluted EPS</t>
  </si>
  <si>
    <t>Diluted Shares</t>
  </si>
  <si>
    <t>EBIT</t>
  </si>
  <si>
    <t xml:space="preserve">Statement of Income(** In thousands**) </t>
  </si>
  <si>
    <t>Consolidated Balance Sheets - USD ($) $ in Thousands</t>
  </si>
  <si>
    <t>Current assets:</t>
  </si>
  <si>
    <t> </t>
  </si>
  <si>
    <t>Cash and cash equivalents</t>
  </si>
  <si>
    <t>Accounts receivable, net</t>
  </si>
  <si>
    <t>Inventory</t>
  </si>
  <si>
    <t>Prepaid expenses and other current assets</t>
  </si>
  <si>
    <t>Income tax receivable</t>
  </si>
  <si>
    <t>Investments</t>
  </si>
  <si>
    <t>Total current assets</t>
  </si>
  <si>
    <t>Leasehold improvements, property and equipment, net</t>
  </si>
  <si>
    <t>Long-term investments</t>
  </si>
  <si>
    <t>Restricted cash</t>
  </si>
  <si>
    <t>Operating lease assets</t>
  </si>
  <si>
    <t>Other assets</t>
  </si>
  <si>
    <t>Goodwill</t>
  </si>
  <si>
    <t>Total assets</t>
  </si>
  <si>
    <t>Current liabilities:</t>
  </si>
  <si>
    <t>Accounts payable</t>
  </si>
  <si>
    <t>Accrued payroll and benefits</t>
  </si>
  <si>
    <t>Accrued liabilities</t>
  </si>
  <si>
    <t>Unearned revenue</t>
  </si>
  <si>
    <t>Current operating lease liabilities</t>
  </si>
  <si>
    <t>Total current liabilities</t>
  </si>
  <si>
    <t>Long-term operating lease liabilities</t>
  </si>
  <si>
    <t>Deferred income tax liabilities</t>
  </si>
  <si>
    <t>Other liabilities</t>
  </si>
  <si>
    <t>Total liabilities</t>
  </si>
  <si>
    <t>Shareholders' equity:</t>
  </si>
  <si>
    <t>Preferred stock, $0.01 par value, 600,000 shares authorized, no shares issued as of December 31, 2023 and December 31, 2022, respectively</t>
  </si>
  <si>
    <t>Common stock, $0.01 par value, 230,000 shares authorized, 37,483 and 37,320 shares issued as of December 31, 2023 and December 31, 2022, respectively</t>
  </si>
  <si>
    <t>Additional paid-in capital</t>
  </si>
  <si>
    <t>Treasury stock, at cost, 10,057 and 9,693 common shares as of December 31, 2023 and December 31, 2022, respectively</t>
  </si>
  <si>
    <t>Accumulated other comprehensive loss</t>
  </si>
  <si>
    <t>Retained earnings</t>
  </si>
  <si>
    <t>Total shareholders' equity</t>
  </si>
  <si>
    <t>Total liabilities and shareholders' equity</t>
  </si>
  <si>
    <t>Consolidated Statements of Cash Flows - USD ($) $ in Thousands</t>
  </si>
  <si>
    <t>12 Months Ended</t>
  </si>
  <si>
    <t>Operating activities</t>
  </si>
  <si>
    <t>Adjustments to reconcile net income to net cash provided by operating activities:</t>
  </si>
  <si>
    <t>Deferred income tax provision</t>
  </si>
  <si>
    <t>Impairment, closure costs, and asset disposals</t>
  </si>
  <si>
    <t>Provision for credit losses</t>
  </si>
  <si>
    <t>Stock-based compensation expense</t>
  </si>
  <si>
    <t>Other</t>
  </si>
  <si>
    <t>Changes in operating assets and liabilities:</t>
  </si>
  <si>
    <t>Accounts receivable</t>
  </si>
  <si>
    <t>Income tax payable/receivable</t>
  </si>
  <si>
    <t>Operating lease liabilities</t>
  </si>
  <si>
    <t>Other long-term liabilities</t>
  </si>
  <si>
    <t>Net cash provided by operating activities</t>
  </si>
  <si>
    <t>Investing activities</t>
  </si>
  <si>
    <t>Purchases of leasehold improvements, property and equipment</t>
  </si>
  <si>
    <t>Purchases of investments</t>
  </si>
  <si>
    <t>Maturities of investments</t>
  </si>
  <si>
    <t>Proceeds from sale of equipment</t>
  </si>
  <si>
    <t>Net cash used in investing activities</t>
  </si>
  <si>
    <t>Financing activities</t>
  </si>
  <si>
    <t>Acquisition of treasury stock</t>
  </si>
  <si>
    <t>Tax withholding on stock-based compensation awards</t>
  </si>
  <si>
    <t>Other financing activities</t>
  </si>
  <si>
    <t>Net cash used in financing activities</t>
  </si>
  <si>
    <t>Effect of exchange rate changes on cash, cash equivalents and restricted cash</t>
  </si>
  <si>
    <t>Net change in cash, cash equivalents, and restricted cash</t>
  </si>
  <si>
    <t>Cash, cash equivalents, and restricted cash at beginning of year</t>
  </si>
  <si>
    <t>Cash, cash equivalents, and restricted cash at end of year</t>
  </si>
  <si>
    <t>Acquisition of equity method investments</t>
  </si>
  <si>
    <t xml:space="preserve">Deferred rent </t>
  </si>
  <si>
    <t>Depreciation and amort</t>
  </si>
  <si>
    <t>Stock based compensation</t>
  </si>
  <si>
    <t>Deferred taxes</t>
  </si>
  <si>
    <t>Working capital, net</t>
  </si>
  <si>
    <t>Net cash flow from operations</t>
  </si>
  <si>
    <t>Capital spending</t>
  </si>
  <si>
    <t>Excess cash flow from operations</t>
  </si>
  <si>
    <t>Excess cash flow/share</t>
  </si>
  <si>
    <t>Acquisitions, net</t>
  </si>
  <si>
    <t>Change in marketable securities</t>
  </si>
  <si>
    <t>Share repurchases, net</t>
  </si>
  <si>
    <t>Net change in cash</t>
  </si>
  <si>
    <t>19.3%%</t>
  </si>
  <si>
    <t>1.8%%</t>
  </si>
  <si>
    <t>Excess tax benefit on stock-based compensation</t>
  </si>
  <si>
    <t>Growth Rates</t>
  </si>
  <si>
    <t>Overall Restaurant Operating Costs Margin</t>
  </si>
  <si>
    <t>Ending year end stock price</t>
  </si>
  <si>
    <t>Net debt</t>
  </si>
  <si>
    <t>Market capitalization</t>
  </si>
  <si>
    <t>Total market value</t>
  </si>
  <si>
    <t>Invested capital</t>
  </si>
  <si>
    <t xml:space="preserve">Adj EBITD </t>
  </si>
  <si>
    <t>EBITD margin</t>
  </si>
  <si>
    <t>Adj EBITD margin</t>
  </si>
  <si>
    <t>EBITD growth</t>
  </si>
  <si>
    <t>Adj EBITD growth</t>
  </si>
  <si>
    <t>ROIC</t>
  </si>
  <si>
    <t>TMV/Adj EBITD</t>
  </si>
  <si>
    <t>TMV/invested capital</t>
  </si>
  <si>
    <t>Excess cash flow yield</t>
  </si>
  <si>
    <t>Current deferred tax asset</t>
  </si>
  <si>
    <t>Proceeds from employee stock plan transactions</t>
  </si>
  <si>
    <t>Income tax payable</t>
  </si>
  <si>
    <t>Long-term deferred tax asset</t>
  </si>
  <si>
    <t>Tax receivable—McDonald’s Corp.</t>
  </si>
  <si>
    <t>Operating income</t>
  </si>
  <si>
    <t>Taxes</t>
  </si>
  <si>
    <t>NOPAT</t>
  </si>
  <si>
    <t>Income taxes</t>
  </si>
  <si>
    <t>Pre-tax income</t>
  </si>
  <si>
    <t>Effective tax rate</t>
  </si>
  <si>
    <t>Net working capital</t>
  </si>
  <si>
    <t>PP&amp;E</t>
  </si>
  <si>
    <t xml:space="preserve">  Total</t>
  </si>
  <si>
    <t>Return on invested capital (ROIC)</t>
  </si>
  <si>
    <t>DCF</t>
  </si>
  <si>
    <t>Tax rate</t>
  </si>
  <si>
    <t>Free cash flow</t>
  </si>
  <si>
    <t>NPV</t>
  </si>
  <si>
    <t>Assumed growth rate</t>
  </si>
  <si>
    <t>Assumed cost of capital</t>
  </si>
  <si>
    <t>Equity Capitalization</t>
  </si>
  <si>
    <t>Shares outstanding</t>
  </si>
  <si>
    <t>Estimated stock price</t>
  </si>
  <si>
    <t>CMG</t>
  </si>
  <si>
    <t>2024 E</t>
  </si>
  <si>
    <t>2025 E</t>
  </si>
  <si>
    <t>Q1</t>
  </si>
  <si>
    <t>Q2</t>
  </si>
  <si>
    <t>Q3</t>
  </si>
  <si>
    <t>Q4</t>
  </si>
  <si>
    <t>Q2 E</t>
  </si>
  <si>
    <t>Q3 E</t>
  </si>
  <si>
    <t>Q4 E</t>
  </si>
  <si>
    <t>Q1 E</t>
  </si>
  <si>
    <t>2026 E</t>
  </si>
  <si>
    <t>2027 E</t>
  </si>
  <si>
    <t>2028 E</t>
  </si>
  <si>
    <t>2029 E</t>
  </si>
  <si>
    <t>Store Growth</t>
  </si>
  <si>
    <t>EBITDA</t>
  </si>
  <si>
    <t>D&amp;A % of PPE</t>
  </si>
  <si>
    <t>TMV/EBITD (forward)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</si>
</sst>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HK$&quot;* #,##0.00_);_(&quot;HK$&quot;* \(#,##0.00\);_(&quot;HK$&quot;* &quot;-&quot;??_);_(@_)"/>
    <numFmt numFmtId="43" formatCode="_(* #,##0.00_);_(* \(#,##0.00\);_(* &quot;-&quot;??_);_(@_)"/>
    <numFmt numFmtId="164" formatCode="0.0%"/>
    <numFmt numFmtId="165" formatCode="&quot;$&quot;#,##0_);[Red]\(&quot;$&quot;#,##0\)"/>
    <numFmt numFmtId="166" formatCode="&quot;$&quot;#,##0.00_);[Red]\(&quot;$&quot;#,##0.00\)"/>
    <numFmt numFmtId="167" formatCode="_([$$-409]* #,##0_);_([$$-409]* \(#,##0\);_([$$-409]* &quot;-&quot;_);_(@_)"/>
    <numFmt numFmtId="168" formatCode="_([$$-409]* #,##0_);_([$$-409]* \(#,##0\);_([$$-409]* &quot;-&quot;??_);_(@_)"/>
    <numFmt numFmtId="169" formatCode="_(&quot;$ &quot;#,##0_);_(&quot;$ &quot;\(#,##0\)"/>
    <numFmt numFmtId="170" formatCode="&quot;$&quot;#,##0_);\(&quot;$&quot;#,##0\)"/>
    <numFmt numFmtId="171" formatCode="&quot;$&quot;#,##0.0_);\(&quot;$&quot;#,##0.0\)"/>
    <numFmt numFmtId="172" formatCode="_([$$-409]* #,##0.00_);_([$$-409]* \(#,##0.00\);_([$$-409]* &quot;-&quot;??_);_(@_)"/>
    <numFmt numFmtId="173" formatCode="_(* #,##0_);_(* \(#,##0\);_(* &quot;-&quot;??_);_(@_)"/>
    <numFmt numFmtId="174" formatCode="&quot;$&quot;#,##0;\-&quot;$&quot;#,##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u val="singleAccounting"/>
      <sz val="12"/>
      <color rgb="FF006100"/>
      <name val="Calibri"/>
      <family val="2"/>
      <scheme val="minor"/>
    </font>
    <font>
      <b/>
      <u/>
      <sz val="12"/>
      <color rgb="FF006100"/>
      <name val="Calibri"/>
      <family val="2"/>
    </font>
    <font>
      <b/>
      <u val="singleAccounting"/>
      <sz val="12"/>
      <color rgb="FF006100"/>
      <name val="Calibri"/>
      <family val="2"/>
    </font>
    <font>
      <b/>
      <u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 (Body)"/>
    </font>
    <font>
      <sz val="12"/>
      <color rgb="FF006100"/>
      <name val="Calibri (Body)"/>
    </font>
    <font>
      <sz val="12"/>
      <color rgb="FF000000"/>
      <name val="Times New Roman"/>
      <family val="1"/>
    </font>
    <font>
      <sz val="12"/>
      <name val="Calibri"/>
      <family val="2"/>
    </font>
    <font>
      <b/>
      <u/>
      <sz val="12"/>
      <name val="Calibri"/>
      <family val="2"/>
    </font>
    <font>
      <sz val="8"/>
      <name val="Calibri"/>
      <family val="2"/>
      <scheme val="minor"/>
    </font>
    <font>
      <b/>
      <u val="singleAccounting"/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180">
    <xf numFmtId="0" fontId="0" fillId="0" borderId="0" xfId="0"/>
    <xf numFmtId="0" fontId="0" fillId="5" borderId="0" xfId="0" applyFill="1"/>
    <xf numFmtId="0" fontId="10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6" fillId="5" borderId="0" xfId="0" applyFont="1" applyFill="1" applyAlignment="1">
      <alignment wrapText="1"/>
    </xf>
    <xf numFmtId="0" fontId="0" fillId="5" borderId="0" xfId="0" applyFill="1" applyAlignment="1">
      <alignment horizontal="right" wrapText="1"/>
    </xf>
    <xf numFmtId="0" fontId="8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horizontal="center" wrapText="1"/>
    </xf>
    <xf numFmtId="0" fontId="0" fillId="5" borderId="0" xfId="0" applyFill="1" applyAlignment="1">
      <alignment horizontal="left" wrapText="1"/>
    </xf>
    <xf numFmtId="0" fontId="5" fillId="5" borderId="0" xfId="0" applyFont="1" applyFill="1" applyAlignment="1">
      <alignment horizontal="left" wrapText="1"/>
    </xf>
    <xf numFmtId="0" fontId="11" fillId="2" borderId="0" xfId="3" applyFont="1" applyAlignment="1">
      <alignment wrapText="1"/>
    </xf>
    <xf numFmtId="0" fontId="0" fillId="5" borderId="0" xfId="0" applyFill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3" borderId="0" xfId="4" applyFont="1" applyAlignment="1">
      <alignment wrapText="1"/>
    </xf>
    <xf numFmtId="164" fontId="5" fillId="4" borderId="0" xfId="5" applyNumberFormat="1" applyFont="1" applyAlignment="1">
      <alignment wrapText="1"/>
    </xf>
    <xf numFmtId="0" fontId="6" fillId="5" borderId="0" xfId="0" applyFont="1" applyFill="1" applyAlignment="1">
      <alignment horizontal="left" wrapText="1"/>
    </xf>
    <xf numFmtId="0" fontId="10" fillId="5" borderId="0" xfId="0" applyFont="1" applyFill="1" applyAlignment="1">
      <alignment horizontal="left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9" fontId="6" fillId="5" borderId="0" xfId="2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167" fontId="5" fillId="5" borderId="0" xfId="1" applyNumberFormat="1" applyFont="1" applyFill="1" applyAlignment="1">
      <alignment horizontal="center" vertical="center"/>
    </xf>
    <xf numFmtId="9" fontId="0" fillId="5" borderId="0" xfId="2" applyFon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 wrapText="1"/>
    </xf>
    <xf numFmtId="10" fontId="0" fillId="5" borderId="0" xfId="0" applyNumberFormat="1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5" fillId="4" borderId="0" xfId="5" applyNumberFormat="1" applyFont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167" fontId="8" fillId="5" borderId="0" xfId="0" applyNumberFormat="1" applyFont="1" applyFill="1" applyAlignment="1">
      <alignment horizontal="center" vertical="center" wrapText="1"/>
    </xf>
    <xf numFmtId="167" fontId="0" fillId="5" borderId="0" xfId="0" applyNumberFormat="1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 wrapText="1"/>
    </xf>
    <xf numFmtId="167" fontId="0" fillId="5" borderId="0" xfId="1" applyNumberFormat="1" applyFont="1" applyFill="1" applyAlignment="1">
      <alignment horizontal="center" vertical="center"/>
    </xf>
    <xf numFmtId="167" fontId="11" fillId="2" borderId="0" xfId="3" applyNumberFormat="1" applyFont="1" applyAlignment="1">
      <alignment horizontal="center" vertical="center"/>
    </xf>
    <xf numFmtId="167" fontId="6" fillId="5" borderId="0" xfId="0" applyNumberFormat="1" applyFont="1" applyFill="1" applyAlignment="1">
      <alignment horizontal="center" vertical="center"/>
    </xf>
    <xf numFmtId="167" fontId="6" fillId="5" borderId="0" xfId="2" applyNumberFormat="1" applyFont="1" applyFill="1" applyAlignment="1">
      <alignment horizontal="center" vertical="center"/>
    </xf>
    <xf numFmtId="167" fontId="5" fillId="5" borderId="0" xfId="0" applyNumberFormat="1" applyFont="1" applyFill="1" applyAlignment="1">
      <alignment horizontal="center" vertical="center" wrapText="1"/>
    </xf>
    <xf numFmtId="167" fontId="12" fillId="3" borderId="0" xfId="4" applyNumberFormat="1" applyFont="1" applyAlignment="1">
      <alignment horizontal="center" vertical="center" wrapText="1"/>
    </xf>
    <xf numFmtId="166" fontId="0" fillId="5" borderId="0" xfId="1" applyNumberFormat="1" applyFon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0" fontId="0" fillId="5" borderId="0" xfId="2" applyNumberFormat="1" applyFont="1" applyFill="1" applyAlignment="1">
      <alignment horizontal="center" vertical="center"/>
    </xf>
    <xf numFmtId="9" fontId="9" fillId="5" borderId="0" xfId="2" applyFont="1" applyFill="1" applyAlignment="1">
      <alignment horizontal="center" vertical="center"/>
    </xf>
    <xf numFmtId="168" fontId="0" fillId="5" borderId="0" xfId="0" applyNumberFormat="1" applyFill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168" fontId="11" fillId="2" borderId="0" xfId="3" applyNumberFormat="1" applyFont="1" applyAlignment="1">
      <alignment horizontal="center" vertical="center"/>
    </xf>
    <xf numFmtId="168" fontId="5" fillId="5" borderId="0" xfId="0" applyNumberFormat="1" applyFont="1" applyFill="1" applyAlignment="1">
      <alignment horizontal="center" vertical="center" wrapText="1"/>
    </xf>
    <xf numFmtId="168" fontId="12" fillId="3" borderId="0" xfId="4" applyNumberFormat="1" applyFont="1" applyAlignment="1">
      <alignment horizontal="center" vertical="center" wrapText="1"/>
    </xf>
    <xf numFmtId="168" fontId="5" fillId="5" borderId="0" xfId="1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37" fontId="0" fillId="0" borderId="0" xfId="0" applyNumberFormat="1"/>
    <xf numFmtId="173" fontId="0" fillId="5" borderId="0" xfId="1" applyNumberFormat="1" applyFon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9" fontId="0" fillId="0" borderId="0" xfId="2" applyFont="1" applyAlignment="1">
      <alignment wrapText="1"/>
    </xf>
    <xf numFmtId="168" fontId="18" fillId="2" borderId="0" xfId="3" applyNumberFormat="1" applyFont="1" applyAlignment="1">
      <alignment horizontal="center" vertical="center"/>
    </xf>
    <xf numFmtId="167" fontId="19" fillId="2" borderId="0" xfId="3" applyNumberFormat="1" applyFont="1" applyAlignment="1">
      <alignment horizontal="center" vertical="center"/>
    </xf>
    <xf numFmtId="167" fontId="18" fillId="2" borderId="0" xfId="3" applyNumberFormat="1" applyFont="1" applyAlignment="1">
      <alignment horizontal="center" vertical="center"/>
    </xf>
    <xf numFmtId="0" fontId="18" fillId="2" borderId="0" xfId="3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5" fillId="5" borderId="0" xfId="0" applyFont="1" applyFill="1" applyAlignment="1">
      <alignment horizontal="right" wrapText="1"/>
    </xf>
    <xf numFmtId="168" fontId="0" fillId="0" borderId="0" xfId="0" applyNumberFormat="1"/>
    <xf numFmtId="9" fontId="0" fillId="0" borderId="0" xfId="2" applyFont="1"/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37" fontId="14" fillId="0" borderId="0" xfId="0" applyNumberFormat="1" applyFont="1" applyAlignment="1">
      <alignment horizontal="center" vertical="center"/>
    </xf>
    <xf numFmtId="0" fontId="24" fillId="0" borderId="0" xfId="0" applyFont="1"/>
    <xf numFmtId="168" fontId="14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8" fontId="14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vertical="center" wrapText="1"/>
    </xf>
    <xf numFmtId="170" fontId="14" fillId="0" borderId="0" xfId="0" applyNumberFormat="1" applyFont="1" applyAlignment="1">
      <alignment horizontal="center" vertical="center"/>
    </xf>
    <xf numFmtId="171" fontId="14" fillId="0" borderId="0" xfId="0" applyNumberFormat="1" applyFont="1" applyAlignment="1">
      <alignment horizontal="center" vertical="center"/>
    </xf>
    <xf numFmtId="172" fontId="0" fillId="0" borderId="0" xfId="6" applyNumberFormat="1" applyFont="1"/>
    <xf numFmtId="168" fontId="28" fillId="3" borderId="0" xfId="4" applyNumberFormat="1" applyFont="1"/>
    <xf numFmtId="168" fontId="17" fillId="2" borderId="0" xfId="3" applyNumberFormat="1" applyFont="1"/>
    <xf numFmtId="164" fontId="21" fillId="0" borderId="0" xfId="2" applyNumberFormat="1" applyFont="1"/>
    <xf numFmtId="164" fontId="9" fillId="5" borderId="0" xfId="2" applyNumberFormat="1" applyFont="1" applyFill="1" applyAlignment="1">
      <alignment horizontal="center" vertical="center"/>
    </xf>
    <xf numFmtId="9" fontId="21" fillId="0" borderId="0" xfId="2" applyFont="1" applyAlignment="1">
      <alignment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6" fillId="6" borderId="0" xfId="0" applyFont="1" applyFill="1" applyAlignment="1">
      <alignment horizontal="center"/>
    </xf>
    <xf numFmtId="167" fontId="0" fillId="6" borderId="0" xfId="0" applyNumberFormat="1" applyFill="1" applyAlignment="1">
      <alignment horizontal="center" vertical="center"/>
    </xf>
    <xf numFmtId="167" fontId="18" fillId="6" borderId="0" xfId="3" applyNumberFormat="1" applyFont="1" applyFill="1" applyAlignment="1">
      <alignment horizontal="center" vertical="center"/>
    </xf>
    <xf numFmtId="167" fontId="6" fillId="6" borderId="0" xfId="2" applyNumberFormat="1" applyFont="1" applyFill="1" applyAlignment="1">
      <alignment horizontal="center" vertical="center"/>
    </xf>
    <xf numFmtId="167" fontId="0" fillId="6" borderId="0" xfId="1" applyNumberFormat="1" applyFont="1" applyFill="1" applyAlignment="1">
      <alignment horizontal="center" vertical="center"/>
    </xf>
    <xf numFmtId="167" fontId="12" fillId="6" borderId="0" xfId="4" applyNumberFormat="1" applyFont="1" applyFill="1" applyAlignment="1">
      <alignment horizontal="center" vertical="center" wrapText="1"/>
    </xf>
    <xf numFmtId="167" fontId="11" fillId="6" borderId="0" xfId="3" applyNumberFormat="1" applyFont="1" applyFill="1" applyAlignment="1">
      <alignment horizontal="center" vertical="center"/>
    </xf>
    <xf numFmtId="167" fontId="5" fillId="6" borderId="0" xfId="1" applyNumberFormat="1" applyFont="1" applyFill="1" applyAlignment="1">
      <alignment horizontal="center" vertical="center"/>
    </xf>
    <xf numFmtId="9" fontId="6" fillId="6" borderId="0" xfId="2" applyFont="1" applyFill="1" applyAlignment="1">
      <alignment horizontal="center" vertical="center"/>
    </xf>
    <xf numFmtId="166" fontId="0" fillId="6" borderId="0" xfId="1" applyNumberFormat="1" applyFont="1" applyFill="1" applyAlignment="1">
      <alignment horizontal="center" vertical="center"/>
    </xf>
    <xf numFmtId="173" fontId="0" fillId="6" borderId="0" xfId="1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9" fontId="21" fillId="6" borderId="0" xfId="2" applyFont="1" applyFill="1"/>
    <xf numFmtId="168" fontId="0" fillId="6" borderId="0" xfId="0" applyNumberFormat="1" applyFill="1"/>
    <xf numFmtId="9" fontId="0" fillId="6" borderId="0" xfId="2" applyFont="1" applyFill="1"/>
    <xf numFmtId="37" fontId="0" fillId="6" borderId="0" xfId="0" applyNumberFormat="1" applyFill="1"/>
    <xf numFmtId="164" fontId="0" fillId="6" borderId="0" xfId="2" applyNumberFormat="1" applyFont="1" applyFill="1"/>
    <xf numFmtId="9" fontId="15" fillId="6" borderId="0" xfId="2" applyFont="1" applyFill="1"/>
    <xf numFmtId="164" fontId="0" fillId="6" borderId="0" xfId="0" applyNumberFormat="1" applyFill="1"/>
    <xf numFmtId="2" fontId="0" fillId="6" borderId="0" xfId="0" applyNumberFormat="1" applyFill="1"/>
    <xf numFmtId="172" fontId="0" fillId="6" borderId="0" xfId="0" applyNumberFormat="1" applyFill="1"/>
    <xf numFmtId="0" fontId="18" fillId="5" borderId="0" xfId="3" applyFont="1" applyFill="1" applyAlignment="1">
      <alignment horizontal="center" vertical="center" wrapText="1"/>
    </xf>
    <xf numFmtId="168" fontId="18" fillId="5" borderId="0" xfId="3" applyNumberFormat="1" applyFont="1" applyFill="1" applyAlignment="1">
      <alignment horizontal="center" vertical="center"/>
    </xf>
    <xf numFmtId="167" fontId="19" fillId="5" borderId="0" xfId="3" applyNumberFormat="1" applyFont="1" applyFill="1" applyAlignment="1">
      <alignment horizontal="center" vertical="center"/>
    </xf>
    <xf numFmtId="167" fontId="18" fillId="5" borderId="0" xfId="3" applyNumberFormat="1" applyFont="1" applyFill="1" applyAlignment="1">
      <alignment horizontal="center" vertical="center"/>
    </xf>
    <xf numFmtId="0" fontId="12" fillId="5" borderId="0" xfId="4" applyFont="1" applyFill="1" applyAlignment="1">
      <alignment wrapText="1"/>
    </xf>
    <xf numFmtId="168" fontId="12" fillId="5" borderId="0" xfId="4" applyNumberFormat="1" applyFont="1" applyFill="1" applyAlignment="1">
      <alignment horizontal="center" vertical="center" wrapText="1"/>
    </xf>
    <xf numFmtId="167" fontId="12" fillId="5" borderId="0" xfId="4" applyNumberFormat="1" applyFont="1" applyFill="1" applyAlignment="1">
      <alignment horizontal="center" vertical="center" wrapText="1"/>
    </xf>
    <xf numFmtId="0" fontId="11" fillId="5" borderId="0" xfId="3" applyFont="1" applyFill="1" applyAlignment="1">
      <alignment wrapText="1"/>
    </xf>
    <xf numFmtId="168" fontId="11" fillId="5" borderId="0" xfId="3" applyNumberFormat="1" applyFont="1" applyFill="1" applyAlignment="1">
      <alignment horizontal="center" vertical="center"/>
    </xf>
    <xf numFmtId="167" fontId="11" fillId="5" borderId="0" xfId="3" applyNumberFormat="1" applyFont="1" applyFill="1" applyAlignment="1">
      <alignment horizontal="center" vertical="center"/>
    </xf>
    <xf numFmtId="0" fontId="20" fillId="5" borderId="0" xfId="0" applyFont="1" applyFill="1" applyAlignment="1">
      <alignment wrapText="1"/>
    </xf>
    <xf numFmtId="9" fontId="21" fillId="5" borderId="0" xfId="2" applyFont="1" applyFill="1"/>
    <xf numFmtId="170" fontId="14" fillId="5" borderId="0" xfId="0" applyNumberFormat="1" applyFont="1" applyFill="1"/>
    <xf numFmtId="168" fontId="0" fillId="5" borderId="0" xfId="0" applyNumberFormat="1" applyFill="1"/>
    <xf numFmtId="37" fontId="14" fillId="5" borderId="0" xfId="0" applyNumberFormat="1" applyFont="1" applyFill="1"/>
    <xf numFmtId="171" fontId="14" fillId="5" borderId="0" xfId="0" applyNumberFormat="1" applyFont="1" applyFill="1"/>
    <xf numFmtId="172" fontId="0" fillId="5" borderId="0" xfId="0" applyNumberFormat="1" applyFill="1"/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vertical="top" wrapText="1"/>
    </xf>
    <xf numFmtId="0" fontId="14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vertical="top" wrapText="1"/>
    </xf>
    <xf numFmtId="168" fontId="14" fillId="5" borderId="0" xfId="0" applyNumberFormat="1" applyFont="1" applyFill="1" applyAlignment="1">
      <alignment horizontal="center" vertical="center" wrapText="1"/>
    </xf>
    <xf numFmtId="168" fontId="14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vertical="top" wrapText="1"/>
    </xf>
    <xf numFmtId="0" fontId="24" fillId="5" borderId="0" xfId="0" applyFont="1" applyFill="1"/>
    <xf numFmtId="168" fontId="13" fillId="5" borderId="0" xfId="0" applyNumberFormat="1" applyFont="1" applyFill="1" applyAlignment="1">
      <alignment horizontal="center" vertical="center" wrapText="1"/>
    </xf>
    <xf numFmtId="0" fontId="5" fillId="5" borderId="0" xfId="0" applyFont="1" applyFill="1"/>
    <xf numFmtId="0" fontId="25" fillId="5" borderId="0" xfId="0" applyFont="1" applyFill="1" applyAlignment="1">
      <alignment wrapText="1"/>
    </xf>
    <xf numFmtId="170" fontId="25" fillId="5" borderId="0" xfId="0" applyNumberFormat="1" applyFont="1" applyFill="1" applyAlignment="1">
      <alignment wrapText="1"/>
    </xf>
    <xf numFmtId="174" fontId="25" fillId="5" borderId="0" xfId="0" applyNumberFormat="1" applyFont="1" applyFill="1" applyAlignment="1">
      <alignment wrapText="1"/>
    </xf>
    <xf numFmtId="164" fontId="25" fillId="5" borderId="0" xfId="0" applyNumberFormat="1" applyFont="1" applyFill="1" applyAlignment="1">
      <alignment wrapText="1"/>
    </xf>
    <xf numFmtId="9" fontId="0" fillId="5" borderId="0" xfId="2" applyFont="1" applyFill="1"/>
    <xf numFmtId="0" fontId="26" fillId="5" borderId="0" xfId="0" applyFont="1" applyFill="1" applyAlignment="1">
      <alignment wrapText="1"/>
    </xf>
    <xf numFmtId="37" fontId="0" fillId="5" borderId="0" xfId="0" applyNumberFormat="1" applyFill="1"/>
    <xf numFmtId="164" fontId="0" fillId="5" borderId="0" xfId="2" applyNumberFormat="1" applyFont="1" applyFill="1"/>
    <xf numFmtId="0" fontId="22" fillId="5" borderId="0" xfId="0" applyFont="1" applyFill="1" applyAlignment="1">
      <alignment wrapText="1"/>
    </xf>
    <xf numFmtId="170" fontId="22" fillId="5" borderId="0" xfId="0" applyNumberFormat="1" applyFont="1" applyFill="1" applyAlignment="1">
      <alignment wrapText="1"/>
    </xf>
    <xf numFmtId="3" fontId="22" fillId="5" borderId="0" xfId="0" applyNumberFormat="1" applyFont="1" applyFill="1" applyAlignment="1">
      <alignment wrapText="1"/>
    </xf>
    <xf numFmtId="37" fontId="22" fillId="5" borderId="0" xfId="0" applyNumberFormat="1" applyFont="1" applyFill="1" applyAlignment="1">
      <alignment wrapText="1"/>
    </xf>
    <xf numFmtId="0" fontId="23" fillId="5" borderId="0" xfId="3" applyFont="1" applyFill="1" applyAlignment="1">
      <alignment wrapText="1"/>
    </xf>
    <xf numFmtId="9" fontId="15" fillId="5" borderId="0" xfId="2" applyFont="1" applyFill="1"/>
    <xf numFmtId="0" fontId="1" fillId="5" borderId="0" xfId="3" applyFont="1" applyFill="1" applyAlignment="1">
      <alignment wrapText="1"/>
    </xf>
    <xf numFmtId="164" fontId="0" fillId="5" borderId="0" xfId="0" applyNumberFormat="1" applyFill="1"/>
    <xf numFmtId="2" fontId="0" fillId="5" borderId="0" xfId="0" applyNumberFormat="1" applyFill="1"/>
    <xf numFmtId="9" fontId="0" fillId="6" borderId="0" xfId="2" applyFont="1" applyFill="1" applyAlignment="1">
      <alignment horizontal="center" vertical="center"/>
    </xf>
    <xf numFmtId="164" fontId="0" fillId="6" borderId="0" xfId="2" applyNumberFormat="1" applyFont="1" applyFill="1" applyAlignment="1">
      <alignment horizontal="center" vertical="center"/>
    </xf>
    <xf numFmtId="164" fontId="0" fillId="5" borderId="0" xfId="2" applyNumberFormat="1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9" fontId="18" fillId="5" borderId="0" xfId="2" applyFont="1" applyFill="1" applyAlignment="1">
      <alignment horizontal="center" vertical="center"/>
    </xf>
    <xf numFmtId="168" fontId="28" fillId="5" borderId="0" xfId="4" applyNumberFormat="1" applyFont="1" applyFill="1"/>
    <xf numFmtId="168" fontId="17" fillId="5" borderId="0" xfId="3" applyNumberFormat="1" applyFont="1" applyFill="1"/>
    <xf numFmtId="172" fontId="0" fillId="5" borderId="0" xfId="6" applyNumberFormat="1" applyFont="1" applyFill="1"/>
    <xf numFmtId="164" fontId="21" fillId="5" borderId="0" xfId="2" applyNumberFormat="1" applyFont="1" applyFill="1"/>
    <xf numFmtId="164" fontId="5" fillId="5" borderId="0" xfId="5" applyNumberFormat="1" applyFont="1" applyFill="1" applyAlignment="1">
      <alignment wrapText="1"/>
    </xf>
    <xf numFmtId="164" fontId="5" fillId="5" borderId="0" xfId="5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9" fillId="6" borderId="0" xfId="2" applyNumberFormat="1" applyFont="1" applyFill="1" applyAlignment="1">
      <alignment horizontal="center" vertical="center"/>
    </xf>
    <xf numFmtId="9" fontId="0" fillId="6" borderId="0" xfId="0" applyNumberFormat="1" applyFill="1"/>
  </cellXfs>
  <cellStyles count="7">
    <cellStyle name="Bad" xfId="4" builtinId="27"/>
    <cellStyle name="Comma" xfId="1" builtinId="3"/>
    <cellStyle name="Currency" xfId="6" builtinId="4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/Retail%20-%20Restaurants/Restaurants.xlsx" TargetMode="External"/><Relationship Id="rId1" Type="http://schemas.openxmlformats.org/officeDocument/2006/relationships/externalLinkPath" Target="Restaura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rofitability"/>
      <sheetName val="Long Short Jul 2024"/>
      <sheetName val="Cost"/>
      <sheetName val="Solvency"/>
      <sheetName val="Valuation Metrics"/>
      <sheetName val="CAVA vs. CHIPOTLE"/>
      <sheetName val="US Fast Food"/>
      <sheetName val="Pizza Restaurants"/>
    </sheetNames>
    <sheetDataSet>
      <sheetData sheetId="0"/>
      <sheetData sheetId="1"/>
      <sheetData sheetId="2"/>
      <sheetData sheetId="3"/>
      <sheetData sheetId="4"/>
      <sheetData sheetId="5"/>
      <sheetData sheetId="6">
        <row r="62">
          <cell r="N62">
            <v>10.441509804000001</v>
          </cell>
          <cell r="O62">
            <v>11.0353469433984</v>
          </cell>
          <cell r="P62">
            <v>11.761512184227387</v>
          </cell>
          <cell r="Q62">
            <v>12.473850726515591</v>
          </cell>
          <cell r="R62">
            <v>13.223343374423678</v>
          </cell>
          <cell r="S62">
            <v>13.725830422651779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1B56-EC64-0E46-9C51-167C2CCDC8DB}">
  <dimension ref="A1:AZ218"/>
  <sheetViews>
    <sheetView tabSelected="1" zoomScale="75" workbookViewId="0">
      <pane xSplit="1" ySplit="5" topLeftCell="P184" activePane="bottomRight" state="frozen"/>
      <selection pane="topRight" activeCell="B1" sqref="B1"/>
      <selection pane="bottomLeft" activeCell="A6" sqref="A6"/>
      <selection pane="bottomRight" activeCell="AD197" sqref="AD197"/>
    </sheetView>
  </sheetViews>
  <sheetFormatPr baseColWidth="10" defaultColWidth="14.33203125" defaultRowHeight="16" x14ac:dyDescent="0.2"/>
  <cols>
    <col min="1" max="1" width="47.5" style="7" bestFit="1" customWidth="1"/>
    <col min="2" max="2" width="11" bestFit="1" customWidth="1"/>
    <col min="3" max="7" width="12.6640625" bestFit="1" customWidth="1"/>
    <col min="8" max="8" width="13.6640625" bestFit="1" customWidth="1"/>
    <col min="9" max="9" width="12.6640625" bestFit="1" customWidth="1"/>
    <col min="10" max="13" width="13.6640625" bestFit="1" customWidth="1"/>
    <col min="14" max="14" width="12.6640625" bestFit="1" customWidth="1"/>
    <col min="15" max="26" width="13.6640625" bestFit="1" customWidth="1"/>
    <col min="27" max="27" width="13" customWidth="1"/>
    <col min="29" max="32" width="12.6640625" bestFit="1" customWidth="1"/>
    <col min="34" max="37" width="12.6640625" bestFit="1" customWidth="1"/>
    <col min="39" max="42" width="12.6640625" bestFit="1" customWidth="1"/>
    <col min="44" max="45" width="12.6640625" bestFit="1" customWidth="1"/>
    <col min="46" max="47" width="8.33203125" bestFit="1" customWidth="1"/>
    <col min="49" max="50" width="8.33203125" bestFit="1" customWidth="1"/>
    <col min="51" max="52" width="7.6640625" bestFit="1" customWidth="1"/>
  </cols>
  <sheetData>
    <row r="1" spans="1:52" ht="22" x14ac:dyDescent="0.25">
      <c r="A1" s="23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4"/>
      <c r="O1" s="14"/>
      <c r="P1" s="14"/>
      <c r="Q1" s="15"/>
      <c r="R1" s="15"/>
      <c r="S1" s="15"/>
      <c r="T1" s="15"/>
      <c r="U1" s="94"/>
      <c r="V1" s="94"/>
      <c r="W1" s="95"/>
      <c r="X1" s="95"/>
      <c r="Y1" s="95"/>
      <c r="Z1" s="95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52" x14ac:dyDescent="0.2">
      <c r="A2" s="22" t="s">
        <v>52</v>
      </c>
      <c r="B2" s="9"/>
      <c r="C2" s="9"/>
      <c r="D2" s="1"/>
      <c r="E2" s="1"/>
      <c r="F2" s="1"/>
      <c r="G2" s="1"/>
      <c r="H2" s="1"/>
      <c r="I2" s="1"/>
      <c r="J2" s="1"/>
      <c r="K2" s="1"/>
      <c r="L2" s="1"/>
      <c r="M2" s="1"/>
      <c r="N2" s="9"/>
      <c r="O2" s="9"/>
      <c r="P2" s="9"/>
      <c r="Q2" s="15"/>
      <c r="R2" s="15"/>
      <c r="S2" s="15"/>
      <c r="T2" s="15"/>
      <c r="U2" s="94"/>
      <c r="V2" s="94"/>
      <c r="W2" s="95"/>
      <c r="X2" s="95"/>
      <c r="Y2" s="95"/>
      <c r="Z2" s="95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52" x14ac:dyDescent="0.2">
      <c r="A3" s="10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3"/>
      <c r="O3" s="13"/>
      <c r="P3" s="13"/>
      <c r="Q3" s="15"/>
      <c r="R3" s="15"/>
      <c r="S3" s="15"/>
      <c r="T3" s="15"/>
      <c r="U3" s="94"/>
      <c r="V3" s="94"/>
      <c r="W3" s="95"/>
      <c r="X3" s="95"/>
      <c r="Y3" s="95"/>
      <c r="Z3" s="95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52" x14ac:dyDescent="0.2">
      <c r="A4" s="22" t="s">
        <v>48</v>
      </c>
      <c r="B4" s="16">
        <f t="shared" ref="B4:M4" si="0">C4-1</f>
        <v>2005</v>
      </c>
      <c r="C4" s="16">
        <f t="shared" si="0"/>
        <v>2006</v>
      </c>
      <c r="D4" s="16">
        <f t="shared" si="0"/>
        <v>2007</v>
      </c>
      <c r="E4" s="16">
        <f t="shared" si="0"/>
        <v>2008</v>
      </c>
      <c r="F4" s="16">
        <f t="shared" si="0"/>
        <v>2009</v>
      </c>
      <c r="G4" s="16">
        <f t="shared" si="0"/>
        <v>2010</v>
      </c>
      <c r="H4" s="16">
        <f t="shared" si="0"/>
        <v>2011</v>
      </c>
      <c r="I4" s="16">
        <f t="shared" si="0"/>
        <v>2012</v>
      </c>
      <c r="J4" s="16">
        <f t="shared" si="0"/>
        <v>2013</v>
      </c>
      <c r="K4" s="16">
        <f t="shared" si="0"/>
        <v>2014</v>
      </c>
      <c r="L4" s="16">
        <f t="shared" si="0"/>
        <v>2015</v>
      </c>
      <c r="M4" s="16">
        <f t="shared" si="0"/>
        <v>2016</v>
      </c>
      <c r="N4" s="16">
        <f>O4-1</f>
        <v>2017</v>
      </c>
      <c r="O4" s="16">
        <f>P4-1</f>
        <v>2018</v>
      </c>
      <c r="P4" s="16">
        <f>Q4-1</f>
        <v>2019</v>
      </c>
      <c r="Q4" s="17">
        <v>2020</v>
      </c>
      <c r="R4" s="17">
        <v>2021</v>
      </c>
      <c r="S4" s="17">
        <v>2022</v>
      </c>
      <c r="T4" s="17">
        <v>2023</v>
      </c>
      <c r="U4" s="96" t="s">
        <v>178</v>
      </c>
      <c r="V4" s="96" t="s">
        <v>179</v>
      </c>
      <c r="W4" s="96" t="s">
        <v>188</v>
      </c>
      <c r="X4" s="96" t="s">
        <v>189</v>
      </c>
      <c r="Y4" s="96" t="s">
        <v>190</v>
      </c>
      <c r="Z4" s="96" t="s">
        <v>191</v>
      </c>
      <c r="AA4" s="17"/>
      <c r="AB4" s="1"/>
      <c r="AC4" s="174">
        <f>AH4-1</f>
        <v>2021</v>
      </c>
      <c r="AD4" s="174"/>
      <c r="AE4" s="174"/>
      <c r="AF4" s="174"/>
      <c r="AG4" s="1"/>
      <c r="AH4" s="174">
        <f>AM4-1</f>
        <v>2022</v>
      </c>
      <c r="AI4" s="174"/>
      <c r="AJ4" s="174"/>
      <c r="AK4" s="174"/>
      <c r="AL4" s="1"/>
      <c r="AM4" s="174">
        <v>2023</v>
      </c>
      <c r="AN4" s="174"/>
      <c r="AO4" s="174"/>
      <c r="AP4" s="174"/>
      <c r="AR4" s="175" t="s">
        <v>178</v>
      </c>
      <c r="AS4" s="175"/>
      <c r="AT4" s="175"/>
      <c r="AU4" s="175"/>
      <c r="AW4" s="175" t="s">
        <v>179</v>
      </c>
      <c r="AX4" s="175"/>
      <c r="AY4" s="175"/>
      <c r="AZ4" s="175"/>
    </row>
    <row r="5" spans="1:52" x14ac:dyDescent="0.2">
      <c r="A5" s="10"/>
      <c r="B5" s="3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3"/>
      <c r="O5" s="13"/>
      <c r="P5" s="13"/>
      <c r="Q5" s="15"/>
      <c r="R5" s="15"/>
      <c r="S5" s="15"/>
      <c r="T5" s="15"/>
      <c r="U5" s="94"/>
      <c r="V5" s="94"/>
      <c r="W5" s="95"/>
      <c r="X5" s="95"/>
      <c r="Y5" s="95"/>
      <c r="Z5" s="95"/>
      <c r="AA5" s="1"/>
      <c r="AB5" s="1"/>
      <c r="AC5" s="1" t="s">
        <v>180</v>
      </c>
      <c r="AD5" s="1" t="s">
        <v>181</v>
      </c>
      <c r="AE5" s="1" t="s">
        <v>182</v>
      </c>
      <c r="AF5" s="1" t="s">
        <v>183</v>
      </c>
      <c r="AG5" s="1"/>
      <c r="AH5" s="1" t="s">
        <v>180</v>
      </c>
      <c r="AI5" s="1" t="s">
        <v>181</v>
      </c>
      <c r="AJ5" s="1" t="s">
        <v>182</v>
      </c>
      <c r="AK5" s="1" t="s">
        <v>183</v>
      </c>
      <c r="AL5" s="1"/>
      <c r="AM5" s="1" t="s">
        <v>180</v>
      </c>
      <c r="AN5" s="1" t="s">
        <v>181</v>
      </c>
      <c r="AO5" s="1" t="s">
        <v>182</v>
      </c>
      <c r="AP5" s="1" t="s">
        <v>183</v>
      </c>
      <c r="AR5" t="s">
        <v>180</v>
      </c>
      <c r="AS5" t="s">
        <v>184</v>
      </c>
      <c r="AT5" t="s">
        <v>185</v>
      </c>
      <c r="AU5" t="s">
        <v>186</v>
      </c>
      <c r="AW5" t="s">
        <v>187</v>
      </c>
      <c r="AX5" t="s">
        <v>184</v>
      </c>
      <c r="AY5" t="s">
        <v>185</v>
      </c>
      <c r="AZ5" t="s">
        <v>186</v>
      </c>
    </row>
    <row r="6" spans="1:52" ht="17" x14ac:dyDescent="0.2">
      <c r="A6" s="10" t="s">
        <v>3</v>
      </c>
      <c r="B6" s="24">
        <v>401</v>
      </c>
      <c r="C6" s="24">
        <v>481</v>
      </c>
      <c r="D6" s="26">
        <v>573</v>
      </c>
      <c r="E6" s="26">
        <v>704</v>
      </c>
      <c r="F6" s="26">
        <v>837</v>
      </c>
      <c r="G6" s="26">
        <v>956</v>
      </c>
      <c r="H6" s="26">
        <v>1084</v>
      </c>
      <c r="I6" s="26">
        <v>1230</v>
      </c>
      <c r="J6" s="26">
        <v>1410</v>
      </c>
      <c r="K6" s="26">
        <v>1595</v>
      </c>
      <c r="L6" s="26">
        <v>1783</v>
      </c>
      <c r="M6" s="26">
        <v>2010</v>
      </c>
      <c r="N6" s="24">
        <v>2250</v>
      </c>
      <c r="O6" s="24">
        <v>2408</v>
      </c>
      <c r="P6" s="24">
        <v>2491</v>
      </c>
      <c r="Q6" s="26">
        <v>2622</v>
      </c>
      <c r="R6" s="26">
        <f>Q10</f>
        <v>2768</v>
      </c>
      <c r="S6" s="26">
        <f t="shared" ref="S6:T6" si="1">R10</f>
        <v>2966</v>
      </c>
      <c r="T6" s="26">
        <f t="shared" si="1"/>
        <v>3187</v>
      </c>
      <c r="U6" s="107"/>
      <c r="V6" s="165"/>
      <c r="W6" s="95"/>
      <c r="X6" s="95"/>
      <c r="Y6" s="95"/>
      <c r="Z6" s="9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>
        <f>S10</f>
        <v>3187</v>
      </c>
      <c r="AN6" s="1"/>
      <c r="AO6" s="1"/>
      <c r="AP6" s="1"/>
      <c r="AQ6" s="1"/>
      <c r="AR6" s="1">
        <f>T10</f>
        <v>3437</v>
      </c>
      <c r="AS6" s="1">
        <f>AR10</f>
        <v>3479</v>
      </c>
      <c r="AT6" s="1"/>
      <c r="AU6" s="1"/>
      <c r="AV6" s="1"/>
      <c r="AW6" s="1"/>
      <c r="AX6" s="1"/>
      <c r="AY6" s="1"/>
      <c r="AZ6" s="1"/>
    </row>
    <row r="7" spans="1:52" ht="17" x14ac:dyDescent="0.2">
      <c r="A7" s="10" t="s">
        <v>4</v>
      </c>
      <c r="B7" s="24">
        <v>80</v>
      </c>
      <c r="C7" s="24">
        <v>94</v>
      </c>
      <c r="D7" s="26">
        <v>125</v>
      </c>
      <c r="E7" s="26">
        <v>136</v>
      </c>
      <c r="F7" s="26">
        <v>121</v>
      </c>
      <c r="G7" s="26">
        <v>129</v>
      </c>
      <c r="H7" s="26">
        <v>150</v>
      </c>
      <c r="I7" s="26">
        <v>183</v>
      </c>
      <c r="J7" s="26">
        <v>185</v>
      </c>
      <c r="K7" s="26">
        <v>192</v>
      </c>
      <c r="L7" s="26">
        <v>229</v>
      </c>
      <c r="M7" s="26">
        <v>243</v>
      </c>
      <c r="N7" s="24">
        <v>183</v>
      </c>
      <c r="O7" s="24">
        <v>137</v>
      </c>
      <c r="P7" s="24">
        <v>140</v>
      </c>
      <c r="Q7" s="26">
        <v>160</v>
      </c>
      <c r="R7" s="26">
        <v>215</v>
      </c>
      <c r="S7" s="26">
        <v>235</v>
      </c>
      <c r="T7" s="26">
        <v>210</v>
      </c>
      <c r="U7" s="107"/>
      <c r="V7" s="107"/>
      <c r="W7" s="95"/>
      <c r="X7" s="95"/>
      <c r="Y7" s="95"/>
      <c r="Z7" s="9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>
        <v>47</v>
      </c>
      <c r="AO7" s="1">
        <v>62</v>
      </c>
      <c r="AP7" s="1">
        <v>121</v>
      </c>
      <c r="AQ7" s="1"/>
      <c r="AR7" s="1">
        <v>47</v>
      </c>
      <c r="AS7" s="1">
        <v>52</v>
      </c>
      <c r="AT7" s="1"/>
      <c r="AU7" s="1"/>
      <c r="AV7" s="1"/>
      <c r="AW7" s="1"/>
      <c r="AX7" s="1"/>
      <c r="AY7" s="1"/>
      <c r="AZ7" s="1"/>
    </row>
    <row r="8" spans="1:52" ht="17" x14ac:dyDescent="0.2">
      <c r="A8" s="10" t="s">
        <v>5</v>
      </c>
      <c r="B8" s="24"/>
      <c r="C8" s="24">
        <v>-2</v>
      </c>
      <c r="D8" s="26">
        <v>-2</v>
      </c>
      <c r="E8" s="26"/>
      <c r="F8" s="26"/>
      <c r="G8" s="26"/>
      <c r="H8" s="26"/>
      <c r="I8" s="26"/>
      <c r="J8" s="26"/>
      <c r="K8" s="26"/>
      <c r="L8" s="26"/>
      <c r="M8" s="26"/>
      <c r="N8" s="24">
        <v>-8</v>
      </c>
      <c r="O8" s="24">
        <v>-43</v>
      </c>
      <c r="P8" s="24">
        <v>-7</v>
      </c>
      <c r="Q8" s="26">
        <v>-9</v>
      </c>
      <c r="R8" s="26">
        <v>-10</v>
      </c>
      <c r="S8" s="26">
        <v>-3</v>
      </c>
      <c r="T8" s="26">
        <v>-3</v>
      </c>
      <c r="U8" s="107"/>
      <c r="V8" s="107"/>
      <c r="W8" s="95"/>
      <c r="X8" s="95"/>
      <c r="Y8" s="95"/>
      <c r="Z8" s="95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f>-1-6</f>
        <v>-7</v>
      </c>
      <c r="AP8" s="1">
        <v>-2</v>
      </c>
      <c r="AQ8" s="1"/>
      <c r="AR8" s="1">
        <v>-3</v>
      </c>
      <c r="AS8" s="1">
        <v>-1</v>
      </c>
      <c r="AT8" s="1"/>
      <c r="AU8" s="1"/>
      <c r="AV8" s="1"/>
      <c r="AW8" s="1"/>
      <c r="AX8" s="1"/>
      <c r="AY8" s="1"/>
      <c r="AZ8" s="1"/>
    </row>
    <row r="9" spans="1:52" ht="17" x14ac:dyDescent="0.2">
      <c r="A9" s="10" t="s">
        <v>6</v>
      </c>
      <c r="B9" s="24"/>
      <c r="C9" s="24"/>
      <c r="D9" s="26">
        <v>8</v>
      </c>
      <c r="E9" s="26">
        <v>-3</v>
      </c>
      <c r="F9" s="26">
        <v>-2</v>
      </c>
      <c r="G9" s="26">
        <v>-1</v>
      </c>
      <c r="H9" s="26">
        <v>-4</v>
      </c>
      <c r="I9" s="26">
        <v>-3</v>
      </c>
      <c r="J9" s="26"/>
      <c r="K9" s="26">
        <v>-4</v>
      </c>
      <c r="L9" s="26">
        <v>-2</v>
      </c>
      <c r="M9" s="26">
        <v>-3</v>
      </c>
      <c r="N9" s="24">
        <v>-2</v>
      </c>
      <c r="O9" s="24">
        <v>-5</v>
      </c>
      <c r="P9" s="24">
        <v>-2</v>
      </c>
      <c r="Q9" s="26">
        <v>-6</v>
      </c>
      <c r="R9" s="26">
        <v>-7</v>
      </c>
      <c r="S9" s="26">
        <v>-12</v>
      </c>
      <c r="T9" s="26">
        <v>-12</v>
      </c>
      <c r="U9" s="107"/>
      <c r="V9" s="107"/>
      <c r="W9" s="95"/>
      <c r="X9" s="95"/>
      <c r="Y9" s="95"/>
      <c r="Z9" s="9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>
        <v>-3</v>
      </c>
      <c r="AO9" s="1">
        <v>-2</v>
      </c>
      <c r="AP9" s="1">
        <v>-3</v>
      </c>
      <c r="AQ9" s="1"/>
      <c r="AR9" s="1">
        <v>-2</v>
      </c>
      <c r="AS9" s="1"/>
      <c r="AT9" s="1"/>
      <c r="AU9" s="1"/>
      <c r="AV9" s="1"/>
      <c r="AW9" s="1"/>
      <c r="AX9" s="1"/>
      <c r="AY9" s="1"/>
      <c r="AZ9" s="1"/>
    </row>
    <row r="10" spans="1:52" x14ac:dyDescent="0.2">
      <c r="A10" s="22" t="s">
        <v>7</v>
      </c>
      <c r="B10" s="28">
        <f>SUM(B6:B9)</f>
        <v>481</v>
      </c>
      <c r="C10" s="28">
        <f t="shared" ref="C10:M10" si="2">SUM(C6:C9)</f>
        <v>573</v>
      </c>
      <c r="D10" s="28">
        <f t="shared" si="2"/>
        <v>704</v>
      </c>
      <c r="E10" s="28">
        <f t="shared" si="2"/>
        <v>837</v>
      </c>
      <c r="F10" s="28">
        <f t="shared" si="2"/>
        <v>956</v>
      </c>
      <c r="G10" s="28">
        <f t="shared" si="2"/>
        <v>1084</v>
      </c>
      <c r="H10" s="28">
        <f t="shared" si="2"/>
        <v>1230</v>
      </c>
      <c r="I10" s="28">
        <f t="shared" si="2"/>
        <v>1410</v>
      </c>
      <c r="J10" s="28">
        <f t="shared" si="2"/>
        <v>1595</v>
      </c>
      <c r="K10" s="28">
        <f t="shared" si="2"/>
        <v>1783</v>
      </c>
      <c r="L10" s="28">
        <f t="shared" si="2"/>
        <v>2010</v>
      </c>
      <c r="M10" s="28">
        <f t="shared" si="2"/>
        <v>2250</v>
      </c>
      <c r="N10" s="28">
        <f>SUM(N6:N9)</f>
        <v>2423</v>
      </c>
      <c r="O10" s="28">
        <f>SUM(O6:O9)</f>
        <v>2497</v>
      </c>
      <c r="P10" s="28">
        <f>SUM(P6:P9)</f>
        <v>2622</v>
      </c>
      <c r="Q10" s="29">
        <v>2768</v>
      </c>
      <c r="R10" s="29">
        <v>2966</v>
      </c>
      <c r="S10" s="29">
        <v>3187</v>
      </c>
      <c r="T10" s="29">
        <v>3437</v>
      </c>
      <c r="U10" s="166"/>
      <c r="V10" s="166"/>
      <c r="W10" s="95"/>
      <c r="X10" s="95"/>
      <c r="Y10" s="95"/>
      <c r="Z10" s="9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f>SUM(AR6:AR9)</f>
        <v>3479</v>
      </c>
      <c r="AS10" s="1">
        <f>SUM(AS6:AS9)</f>
        <v>3530</v>
      </c>
      <c r="AT10" s="1"/>
      <c r="AU10" s="1"/>
      <c r="AV10" s="1"/>
      <c r="AW10" s="1"/>
      <c r="AX10" s="1"/>
      <c r="AY10" s="1"/>
      <c r="AZ10" s="1"/>
    </row>
    <row r="11" spans="1:52" x14ac:dyDescent="0.2">
      <c r="A11" s="22"/>
      <c r="B11" s="28"/>
      <c r="C11" s="28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8"/>
      <c r="O11" s="28"/>
      <c r="P11" s="28"/>
      <c r="Q11" s="29"/>
      <c r="R11" s="30">
        <f>R10/Q10-1</f>
        <v>7.1531791907514464E-2</v>
      </c>
      <c r="S11" s="30">
        <f t="shared" ref="S11:T11" si="3">S10/R10-1</f>
        <v>7.4511126095751834E-2</v>
      </c>
      <c r="T11" s="30">
        <f t="shared" si="3"/>
        <v>7.8443677439598458E-2</v>
      </c>
      <c r="U11" s="104"/>
      <c r="V11" s="104"/>
      <c r="W11" s="95"/>
      <c r="X11" s="95"/>
      <c r="Y11" s="95"/>
      <c r="Z11" s="9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7" x14ac:dyDescent="0.2">
      <c r="A12" s="10" t="s">
        <v>11</v>
      </c>
      <c r="B12" s="34">
        <v>0.10199999999999999</v>
      </c>
      <c r="C12" s="34">
        <v>0.13700000000000001</v>
      </c>
      <c r="D12" s="35">
        <v>0.108</v>
      </c>
      <c r="E12" s="35">
        <v>5.8000000000000003E-2</v>
      </c>
      <c r="F12" s="35">
        <v>2.1999999999999999E-2</v>
      </c>
      <c r="G12" s="35">
        <v>9.4E-2</v>
      </c>
      <c r="H12" s="35">
        <v>0.112</v>
      </c>
      <c r="I12" s="35">
        <v>7.0999999999999994E-2</v>
      </c>
      <c r="J12" s="35">
        <v>5.6000000000000001E-2</v>
      </c>
      <c r="K12" s="35">
        <v>0.16800000000000001</v>
      </c>
      <c r="L12" s="35">
        <v>2E-3</v>
      </c>
      <c r="M12" s="35">
        <v>-0.20399999999999999</v>
      </c>
      <c r="N12" s="34">
        <v>6.4000000000000001E-2</v>
      </c>
      <c r="O12" s="34">
        <v>0.04</v>
      </c>
      <c r="P12" s="34">
        <v>0.111</v>
      </c>
      <c r="Q12" s="33" t="s">
        <v>135</v>
      </c>
      <c r="R12" s="33" t="s">
        <v>134</v>
      </c>
      <c r="S12" s="33">
        <v>0.08</v>
      </c>
      <c r="T12" s="33">
        <v>7.9000000000000001E-2</v>
      </c>
      <c r="U12" s="162"/>
      <c r="V12" s="162"/>
      <c r="W12" s="95"/>
      <c r="X12" s="95"/>
      <c r="Y12" s="95"/>
      <c r="Z12" s="95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s="1" customFormat="1" ht="17" x14ac:dyDescent="0.2">
      <c r="A13" s="13" t="s">
        <v>43</v>
      </c>
      <c r="B13" s="24"/>
      <c r="C13" s="24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4"/>
      <c r="O13" s="24"/>
      <c r="P13" s="24"/>
      <c r="Q13" s="33" t="s">
        <v>47</v>
      </c>
      <c r="R13" s="33"/>
      <c r="S13" s="33">
        <v>8.9999999999999993E-3</v>
      </c>
      <c r="T13" s="33">
        <v>0.05</v>
      </c>
      <c r="U13" s="162"/>
      <c r="V13" s="162"/>
      <c r="W13" s="95"/>
      <c r="X13" s="95"/>
      <c r="Y13" s="95"/>
      <c r="Z13" s="95"/>
    </row>
    <row r="14" spans="1:52" s="1" customFormat="1" ht="17" x14ac:dyDescent="0.2">
      <c r="A14" s="13" t="s">
        <v>44</v>
      </c>
      <c r="B14" s="24"/>
      <c r="C14" s="2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4"/>
      <c r="O14" s="24"/>
      <c r="P14" s="24"/>
      <c r="Q14" s="33"/>
      <c r="R14" s="33"/>
      <c r="S14" s="33">
        <v>7.0999999999999994E-2</v>
      </c>
      <c r="T14" s="33">
        <v>2.9000000000000001E-2</v>
      </c>
      <c r="U14" s="162"/>
      <c r="V14" s="162"/>
      <c r="W14" s="95"/>
      <c r="X14" s="95"/>
      <c r="Y14" s="95"/>
      <c r="Z14" s="95"/>
    </row>
    <row r="15" spans="1:52" s="1" customFormat="1" ht="17" x14ac:dyDescent="0.2">
      <c r="A15" s="5" t="s">
        <v>45</v>
      </c>
      <c r="B15" s="24"/>
      <c r="C15" s="24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4"/>
      <c r="O15" s="24"/>
      <c r="P15" s="24"/>
      <c r="Q15" s="33"/>
      <c r="R15" s="33"/>
      <c r="S15" s="33">
        <v>0.12</v>
      </c>
      <c r="T15" s="33">
        <v>5.1999999999999998E-2</v>
      </c>
      <c r="U15" s="162"/>
      <c r="V15" s="162"/>
      <c r="W15" s="95"/>
      <c r="X15" s="95"/>
      <c r="Y15" s="95"/>
      <c r="Z15" s="95"/>
    </row>
    <row r="16" spans="1:52" s="1" customFormat="1" ht="17" x14ac:dyDescent="0.2">
      <c r="A16" s="5" t="s">
        <v>46</v>
      </c>
      <c r="B16" s="24"/>
      <c r="C16" s="24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4"/>
      <c r="O16" s="24"/>
      <c r="P16" s="24"/>
      <c r="Q16" s="33"/>
      <c r="R16" s="33"/>
      <c r="S16" s="33">
        <v>-4.9000000000000002E-2</v>
      </c>
      <c r="T16" s="33">
        <v>-2.3E-2</v>
      </c>
      <c r="U16" s="162"/>
      <c r="V16" s="162"/>
      <c r="W16" s="95"/>
      <c r="X16" s="95"/>
      <c r="Y16" s="95"/>
      <c r="Z16" s="95"/>
    </row>
    <row r="17" spans="1:52" s="1" customFormat="1" x14ac:dyDescent="0.2">
      <c r="A17" s="5"/>
      <c r="B17" s="24"/>
      <c r="C17" s="24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4"/>
      <c r="O17" s="24"/>
      <c r="P17" s="24"/>
      <c r="Q17" s="33"/>
      <c r="R17" s="33"/>
      <c r="S17" s="33"/>
      <c r="T17" s="33"/>
      <c r="U17" s="162"/>
      <c r="V17" s="162"/>
      <c r="W17" s="95"/>
      <c r="X17" s="95"/>
      <c r="Y17" s="95"/>
      <c r="Z17" s="95"/>
    </row>
    <row r="18" spans="1:52" ht="17" x14ac:dyDescent="0.2">
      <c r="A18" s="8" t="s">
        <v>42</v>
      </c>
      <c r="B18" s="31"/>
      <c r="C18" s="31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31"/>
      <c r="O18" s="31"/>
      <c r="P18" s="31"/>
      <c r="Q18" s="26"/>
      <c r="R18" s="26"/>
      <c r="S18" s="26"/>
      <c r="T18" s="26"/>
      <c r="U18" s="26"/>
      <c r="V18" s="26"/>
    </row>
    <row r="19" spans="1:52" ht="17" x14ac:dyDescent="0.2">
      <c r="A19" s="5" t="s">
        <v>12</v>
      </c>
      <c r="B19" s="35">
        <f t="shared" ref="B19:S25" si="4">B35/B$32</f>
        <v>0.32227116672906425</v>
      </c>
      <c r="C19" s="35">
        <f t="shared" si="4"/>
        <v>0.1919944588239583</v>
      </c>
      <c r="D19" s="35">
        <f t="shared" si="4"/>
        <v>0.31902628704472907</v>
      </c>
      <c r="E19" s="35">
        <f t="shared" si="4"/>
        <v>0.32429232534114932</v>
      </c>
      <c r="F19" s="35">
        <f t="shared" si="4"/>
        <v>0.30691634774900439</v>
      </c>
      <c r="G19" s="35">
        <f t="shared" si="4"/>
        <v>0.30562681856854484</v>
      </c>
      <c r="H19" s="35">
        <f t="shared" si="4"/>
        <v>0.32549212442301284</v>
      </c>
      <c r="I19" s="35">
        <f t="shared" si="4"/>
        <v>0.32622846020685231</v>
      </c>
      <c r="J19" s="35">
        <f t="shared" si="4"/>
        <v>0.3339504154649845</v>
      </c>
      <c r="K19" s="35">
        <f t="shared" si="4"/>
        <v>0.34588630880791887</v>
      </c>
      <c r="L19" s="35">
        <f t="shared" si="4"/>
        <v>0.33409475602519584</v>
      </c>
      <c r="M19" s="35">
        <f t="shared" si="4"/>
        <v>0.34975555683047571</v>
      </c>
      <c r="N19" s="35">
        <f t="shared" si="4"/>
        <v>0.34300509337860779</v>
      </c>
      <c r="O19" s="35">
        <f t="shared" si="4"/>
        <v>0.32903597122302158</v>
      </c>
      <c r="P19" s="35">
        <f t="shared" si="4"/>
        <v>0.33079017873685035</v>
      </c>
      <c r="Q19" s="35">
        <f t="shared" si="4"/>
        <v>0.32295475379112576</v>
      </c>
      <c r="R19" s="35">
        <f t="shared" si="4"/>
        <v>0.30589801778467141</v>
      </c>
      <c r="S19" s="35">
        <f t="shared" si="4"/>
        <v>0.30137230776642765</v>
      </c>
      <c r="T19" s="35">
        <f>T35/T$32</f>
        <v>0.29504331039322812</v>
      </c>
      <c r="U19" s="35"/>
      <c r="V19" s="35"/>
    </row>
    <row r="20" spans="1:52" ht="17" x14ac:dyDescent="0.2">
      <c r="A20" s="5" t="s">
        <v>13</v>
      </c>
      <c r="B20" s="35">
        <f t="shared" si="4"/>
        <v>0.2847258620826994</v>
      </c>
      <c r="C20" s="35">
        <f t="shared" si="4"/>
        <v>0.28086714544371938</v>
      </c>
      <c r="D20" s="35">
        <f t="shared" si="4"/>
        <v>0.26655166506720501</v>
      </c>
      <c r="E20" s="35">
        <f t="shared" si="4"/>
        <v>0.26352359816452048</v>
      </c>
      <c r="F20" s="35">
        <f t="shared" si="4"/>
        <v>0.25360095415159339</v>
      </c>
      <c r="G20" s="35">
        <f t="shared" si="4"/>
        <v>0.24705461343128957</v>
      </c>
      <c r="H20" s="35">
        <f t="shared" si="4"/>
        <v>0.23930712194674886</v>
      </c>
      <c r="I20" s="35">
        <f t="shared" si="4"/>
        <v>0.23499939953661803</v>
      </c>
      <c r="J20" s="35">
        <f t="shared" si="4"/>
        <v>0.23013814199069182</v>
      </c>
      <c r="K20" s="35">
        <f t="shared" si="4"/>
        <v>0.22014308215942044</v>
      </c>
      <c r="L20" s="35">
        <f t="shared" si="4"/>
        <v>0.23232041602915474</v>
      </c>
      <c r="M20" s="35">
        <f t="shared" si="4"/>
        <v>0.28301545134904765</v>
      </c>
      <c r="N20" s="35">
        <f t="shared" si="4"/>
        <v>0.26941113394692162</v>
      </c>
      <c r="O20" s="35">
        <f t="shared" si="4"/>
        <v>0.27257533401849948</v>
      </c>
      <c r="P20" s="35">
        <f t="shared" si="4"/>
        <v>0.26350926693170468</v>
      </c>
      <c r="Q20" s="35">
        <f t="shared" si="4"/>
        <v>0.26618386354119566</v>
      </c>
      <c r="R20" s="35">
        <f t="shared" si="4"/>
        <v>0.25410699608761611</v>
      </c>
      <c r="S20" s="35">
        <f t="shared" si="4"/>
        <v>0.25455084929884841</v>
      </c>
      <c r="T20" s="35">
        <f t="shared" ref="T20:T25" si="5">T36/T$32</f>
        <v>0.247271960338136</v>
      </c>
      <c r="U20" s="36"/>
      <c r="V20" s="36"/>
    </row>
    <row r="21" spans="1:52" ht="17" x14ac:dyDescent="0.2">
      <c r="A21" s="5" t="s">
        <v>14</v>
      </c>
      <c r="B21" s="35">
        <f t="shared" si="4"/>
        <v>7.5890360764383977E-2</v>
      </c>
      <c r="C21" s="35">
        <f t="shared" si="4"/>
        <v>7.1456867534298182E-2</v>
      </c>
      <c r="D21" s="35">
        <f t="shared" si="4"/>
        <v>6.9895246007025347E-2</v>
      </c>
      <c r="E21" s="35">
        <f t="shared" si="4"/>
        <v>7.362864573323083E-2</v>
      </c>
      <c r="F21" s="35">
        <f t="shared" si="4"/>
        <v>7.5221760557211886E-2</v>
      </c>
      <c r="G21" s="35">
        <f t="shared" si="4"/>
        <v>7.0227929073239492E-2</v>
      </c>
      <c r="H21" s="35">
        <f t="shared" si="4"/>
        <v>6.4891335190971941E-2</v>
      </c>
      <c r="I21" s="35">
        <f t="shared" si="4"/>
        <v>6.2768560908955107E-2</v>
      </c>
      <c r="J21" s="35">
        <f t="shared" si="4"/>
        <v>6.1938517217275856E-2</v>
      </c>
      <c r="K21" s="35">
        <f t="shared" si="4"/>
        <v>5.6195930694898505E-2</v>
      </c>
      <c r="L21" s="35">
        <f t="shared" si="4"/>
        <v>5.829793369490914E-2</v>
      </c>
      <c r="M21" s="35">
        <f t="shared" si="4"/>
        <v>7.5206741959807227E-2</v>
      </c>
      <c r="N21" s="35">
        <f t="shared" si="4"/>
        <v>7.3079260119739073E-2</v>
      </c>
      <c r="O21" s="35">
        <f t="shared" si="4"/>
        <v>7.1351079136690643E-2</v>
      </c>
      <c r="P21" s="35">
        <f t="shared" si="4"/>
        <v>6.4992484384758686E-2</v>
      </c>
      <c r="Q21" s="35">
        <f t="shared" si="4"/>
        <v>6.4792934705781513E-2</v>
      </c>
      <c r="R21" s="35">
        <f t="shared" si="4"/>
        <v>5.5201090861727496E-2</v>
      </c>
      <c r="S21" s="35">
        <f t="shared" si="4"/>
        <v>5.332293646576608E-2</v>
      </c>
      <c r="T21" s="35">
        <f t="shared" si="5"/>
        <v>5.09807429336274E-2</v>
      </c>
      <c r="U21" s="35"/>
      <c r="V21" s="36"/>
    </row>
    <row r="22" spans="1:52" ht="17" x14ac:dyDescent="0.2">
      <c r="A22" s="5" t="s">
        <v>15</v>
      </c>
      <c r="B22" s="35">
        <f t="shared" si="4"/>
        <v>0.13219158986450424</v>
      </c>
      <c r="C22" s="35">
        <f t="shared" si="4"/>
        <v>0.12485266061511915</v>
      </c>
      <c r="D22" s="35">
        <f t="shared" si="4"/>
        <v>0.12112191950133637</v>
      </c>
      <c r="E22" s="35">
        <f t="shared" si="4"/>
        <v>0.1231395949452239</v>
      </c>
      <c r="F22" s="35">
        <f t="shared" si="4"/>
        <v>0.11497566215341372</v>
      </c>
      <c r="G22" s="35">
        <f t="shared" si="4"/>
        <v>0.1105188564655797</v>
      </c>
      <c r="H22" s="35">
        <f t="shared" si="4"/>
        <v>0.11068635693098361</v>
      </c>
      <c r="I22" s="35">
        <f t="shared" si="4"/>
        <v>0.1049382987261389</v>
      </c>
      <c r="J22" s="35">
        <f t="shared" si="4"/>
        <v>0.10807004685821618</v>
      </c>
      <c r="K22" s="35">
        <f t="shared" si="4"/>
        <v>0.1056999918943964</v>
      </c>
      <c r="L22" s="35">
        <f t="shared" si="4"/>
        <v>0.11440512945037382</v>
      </c>
      <c r="M22" s="35">
        <f t="shared" si="4"/>
        <v>0.1644185100645838</v>
      </c>
      <c r="N22" s="35">
        <f t="shared" si="4"/>
        <v>0.14557322848717719</v>
      </c>
      <c r="O22" s="35">
        <f t="shared" si="4"/>
        <v>0.13978026721479958</v>
      </c>
      <c r="P22" s="35">
        <f t="shared" si="4"/>
        <v>0.13619418982168918</v>
      </c>
      <c r="Q22" s="35">
        <f t="shared" si="4"/>
        <v>0.17210943893979147</v>
      </c>
      <c r="R22" s="35">
        <f t="shared" si="4"/>
        <v>0.15861194178767071</v>
      </c>
      <c r="S22" s="35">
        <f t="shared" si="4"/>
        <v>0.15193490137182136</v>
      </c>
      <c r="T22" s="35">
        <f t="shared" si="5"/>
        <v>0.1447323542399046</v>
      </c>
      <c r="U22" s="36"/>
      <c r="V22" s="37"/>
    </row>
    <row r="23" spans="1:52" ht="17" x14ac:dyDescent="0.2">
      <c r="A23" s="74" t="s">
        <v>138</v>
      </c>
      <c r="B23" s="35">
        <f t="shared" si="4"/>
        <v>8.2785429229163848E-2</v>
      </c>
      <c r="C23" s="35">
        <f t="shared" si="4"/>
        <v>7.9331170330404779E-2</v>
      </c>
      <c r="D23" s="35">
        <f t="shared" si="4"/>
        <v>6.9109637109475014E-2</v>
      </c>
      <c r="E23" s="35">
        <f t="shared" si="4"/>
        <v>6.6934791226215651E-2</v>
      </c>
      <c r="F23" s="35">
        <f t="shared" si="4"/>
        <v>6.5297609286513514E-2</v>
      </c>
      <c r="G23" s="35">
        <f t="shared" si="4"/>
        <v>6.4594247468029692E-2</v>
      </c>
      <c r="H23" s="35">
        <f t="shared" si="4"/>
        <v>6.5839541617978559E-2</v>
      </c>
      <c r="I23" s="35">
        <f t="shared" si="4"/>
        <v>6.715267586986641E-2</v>
      </c>
      <c r="J23" s="35">
        <f t="shared" si="4"/>
        <v>6.3377580538239539E-2</v>
      </c>
      <c r="K23" s="35">
        <f t="shared" si="4"/>
        <v>6.6669684969509049E-2</v>
      </c>
      <c r="L23" s="35">
        <f t="shared" si="4"/>
        <v>5.5588003527041428E-2</v>
      </c>
      <c r="M23" s="35">
        <f t="shared" si="4"/>
        <v>7.0751237583188534E-2</v>
      </c>
      <c r="N23" s="35">
        <f t="shared" si="4"/>
        <v>6.6211241175944957E-2</v>
      </c>
      <c r="O23" s="35">
        <f t="shared" si="4"/>
        <v>7.7175745118191155E-2</v>
      </c>
      <c r="P23" s="35">
        <f t="shared" si="4"/>
        <v>8.0831037119101876E-2</v>
      </c>
      <c r="Q23" s="35">
        <f t="shared" si="4"/>
        <v>7.7914706229319952E-2</v>
      </c>
      <c r="R23" s="35">
        <f t="shared" si="4"/>
        <v>8.0409314301288934E-2</v>
      </c>
      <c r="S23" s="35">
        <f t="shared" si="4"/>
        <v>6.5340328712726353E-2</v>
      </c>
      <c r="T23" s="35">
        <f t="shared" si="5"/>
        <v>6.4182184759608046E-2</v>
      </c>
      <c r="U23" s="35"/>
      <c r="V23" s="35"/>
    </row>
    <row r="24" spans="1:52" ht="17" x14ac:dyDescent="0.2">
      <c r="A24" s="10" t="s">
        <v>16</v>
      </c>
      <c r="B24" s="35">
        <f t="shared" si="4"/>
        <v>4.4649073196377224E-2</v>
      </c>
      <c r="C24" s="35">
        <f t="shared" si="4"/>
        <v>4.1623224332567779E-2</v>
      </c>
      <c r="D24" s="35">
        <f t="shared" si="4"/>
        <v>4.0150785332598991E-2</v>
      </c>
      <c r="E24" s="35">
        <f t="shared" si="4"/>
        <v>3.9618068902556217E-2</v>
      </c>
      <c r="F24" s="35">
        <f t="shared" si="4"/>
        <v>4.0376260276327257E-2</v>
      </c>
      <c r="G24" s="35">
        <f t="shared" si="4"/>
        <v>3.7540265871861656E-2</v>
      </c>
      <c r="H24" s="35">
        <f t="shared" si="4"/>
        <v>3.3018909492110324E-2</v>
      </c>
      <c r="I24" s="35">
        <f t="shared" si="4"/>
        <v>3.0803039223439747E-2</v>
      </c>
      <c r="J24" s="35">
        <f t="shared" si="4"/>
        <v>2.9880628670956897E-2</v>
      </c>
      <c r="K24" s="35">
        <f t="shared" si="4"/>
        <v>2.689064421049352E-2</v>
      </c>
      <c r="L24" s="35">
        <f t="shared" si="4"/>
        <v>2.8962795222542852E-2</v>
      </c>
      <c r="M24" s="35">
        <f t="shared" si="4"/>
        <v>3.7488115923023965E-2</v>
      </c>
      <c r="N24" s="35">
        <f t="shared" si="4"/>
        <v>3.6490930211777323E-2</v>
      </c>
      <c r="O24" s="35">
        <f t="shared" si="4"/>
        <v>4.1516752312435769E-2</v>
      </c>
      <c r="P24" s="35">
        <f t="shared" si="4"/>
        <v>3.8088783608816387E-2</v>
      </c>
      <c r="Q24" s="35">
        <f t="shared" si="4"/>
        <v>3.9857742344811729E-2</v>
      </c>
      <c r="R24" s="35">
        <f t="shared" si="4"/>
        <v>3.3742538983055785E-2</v>
      </c>
      <c r="S24" s="35">
        <f t="shared" si="4"/>
        <v>3.3218015039864955E-2</v>
      </c>
      <c r="T24" s="35">
        <f t="shared" si="5"/>
        <v>3.2354675495451672E-2</v>
      </c>
      <c r="U24" s="37"/>
      <c r="V24" s="37"/>
    </row>
    <row r="25" spans="1:52" ht="17" x14ac:dyDescent="0.2">
      <c r="A25" s="3" t="s">
        <v>17</v>
      </c>
      <c r="B25" s="35">
        <f t="shared" si="4"/>
        <v>3.1400600610168952E-3</v>
      </c>
      <c r="C25" s="35">
        <f t="shared" si="4"/>
        <v>8.2364235111127317E-3</v>
      </c>
      <c r="D25" s="35">
        <f t="shared" si="4"/>
        <v>8.8277389015474564E-3</v>
      </c>
      <c r="E25" s="35">
        <f t="shared" si="4"/>
        <v>8.7269363828560449E-3</v>
      </c>
      <c r="F25" s="35">
        <f t="shared" si="4"/>
        <v>5.5327357372842905E-3</v>
      </c>
      <c r="G25" s="35">
        <f t="shared" si="4"/>
        <v>4.2305718870409527E-3</v>
      </c>
      <c r="H25" s="35">
        <f t="shared" si="4"/>
        <v>3.7430360582812084E-3</v>
      </c>
      <c r="I25" s="35">
        <f t="shared" si="4"/>
        <v>4.3603161073569943E-3</v>
      </c>
      <c r="J25" s="35">
        <f t="shared" si="4"/>
        <v>4.8251861589857E-3</v>
      </c>
      <c r="K25" s="35">
        <f t="shared" si="4"/>
        <v>3.7994104086173518E-3</v>
      </c>
      <c r="L25" s="35">
        <f t="shared" si="4"/>
        <v>3.7594227168927202E-3</v>
      </c>
      <c r="M25" s="35">
        <f t="shared" si="4"/>
        <v>4.3955717470412744E-3</v>
      </c>
      <c r="N25" s="35">
        <f t="shared" si="4"/>
        <v>2.7569028683763737E-3</v>
      </c>
      <c r="O25" s="35">
        <f t="shared" si="4"/>
        <v>1.7566289825282631E-3</v>
      </c>
      <c r="P25" s="35">
        <f t="shared" si="4"/>
        <v>1.9884114350484186E-3</v>
      </c>
      <c r="Q25" s="35">
        <f t="shared" si="4"/>
        <v>2.5924726558048494E-3</v>
      </c>
      <c r="R25" s="35">
        <f t="shared" si="4"/>
        <v>2.817520621603562E-3</v>
      </c>
      <c r="S25" s="35">
        <f t="shared" si="4"/>
        <v>3.4234153269871214E-3</v>
      </c>
      <c r="T25" s="35">
        <f t="shared" si="5"/>
        <v>3.7411176187483975E-3</v>
      </c>
      <c r="U25" s="35"/>
      <c r="V25" s="35"/>
    </row>
    <row r="26" spans="1:52" ht="17" x14ac:dyDescent="0.2">
      <c r="A26" s="3" t="s">
        <v>18</v>
      </c>
      <c r="B26" s="35">
        <f t="shared" ref="B26:S26" si="6">B42/B$32</f>
        <v>4.9689737850389121E-3</v>
      </c>
      <c r="C26" s="35">
        <f t="shared" si="6"/>
        <v>4.8388076750148857E-3</v>
      </c>
      <c r="D26" s="35">
        <f t="shared" si="6"/>
        <v>5.6806983353932927E-3</v>
      </c>
      <c r="E26" s="35">
        <f t="shared" si="6"/>
        <v>7.0114297040169129E-3</v>
      </c>
      <c r="F26" s="35">
        <f t="shared" si="6"/>
        <v>3.9225061363248699E-3</v>
      </c>
      <c r="G26" s="35">
        <f t="shared" si="6"/>
        <v>3.4293395906797785E-3</v>
      </c>
      <c r="H26" s="35">
        <f t="shared" si="6"/>
        <v>2.5582186408923714E-3</v>
      </c>
      <c r="I26" s="35">
        <f t="shared" si="6"/>
        <v>1.8405667202690075E-3</v>
      </c>
      <c r="J26" s="35">
        <f t="shared" si="6"/>
        <v>2.1001116471737772E-3</v>
      </c>
      <c r="K26" s="35">
        <f t="shared" si="6"/>
        <v>1.6980387603635497E-3</v>
      </c>
      <c r="L26" s="35">
        <f t="shared" si="6"/>
        <v>2.9312033640635001E-3</v>
      </c>
      <c r="M26" s="35">
        <f t="shared" si="6"/>
        <v>6.1154333180342916E-3</v>
      </c>
      <c r="N26" s="35">
        <f t="shared" si="6"/>
        <v>2.9811902421588775E-3</v>
      </c>
      <c r="O26" s="35">
        <f t="shared" si="6"/>
        <v>1.3697636176772868E-2</v>
      </c>
      <c r="P26" s="35">
        <f t="shared" si="6"/>
        <v>4.1339911488124043E-3</v>
      </c>
      <c r="Q26" s="35">
        <f t="shared" si="6"/>
        <v>5.1092514596548424E-3</v>
      </c>
      <c r="R26" s="35">
        <f t="shared" si="6"/>
        <v>2.5560943524903269E-3</v>
      </c>
      <c r="S26" s="35">
        <f t="shared" si="6"/>
        <v>2.4481588835311486E-3</v>
      </c>
      <c r="T26" s="35">
        <f>T42/T$32</f>
        <v>3.8868886039201758E-3</v>
      </c>
      <c r="U26" s="35"/>
      <c r="V26" s="35"/>
    </row>
    <row r="27" spans="1:52" ht="17" x14ac:dyDescent="0.2">
      <c r="A27" s="21" t="s">
        <v>19</v>
      </c>
      <c r="B27" s="38">
        <f>-B47/B46</f>
        <v>-0.24656084656084656</v>
      </c>
      <c r="C27" s="38">
        <f t="shared" ref="C27:V27" si="7">-C47/C46</f>
        <v>0.15947222965142194</v>
      </c>
      <c r="D27" s="38">
        <f t="shared" si="7"/>
        <v>0.38103717478640725</v>
      </c>
      <c r="E27" s="38">
        <f t="shared" si="7"/>
        <v>0.38523340094020725</v>
      </c>
      <c r="F27" s="38">
        <f t="shared" si="7"/>
        <v>0.37889582568245805</v>
      </c>
      <c r="G27" s="38">
        <f t="shared" si="7"/>
        <v>0.38081927344055405</v>
      </c>
      <c r="H27" s="38">
        <f t="shared" si="7"/>
        <v>0.38535336926838337</v>
      </c>
      <c r="I27" s="38">
        <f t="shared" si="7"/>
        <v>0.39259534395927331</v>
      </c>
      <c r="J27" s="38">
        <f t="shared" si="7"/>
        <v>0.38736058644903093</v>
      </c>
      <c r="K27" s="38">
        <f t="shared" si="7"/>
        <v>0.37649148890596845</v>
      </c>
      <c r="L27" s="38">
        <f t="shared" si="7"/>
        <v>0.38222835892433371</v>
      </c>
      <c r="M27" s="38">
        <f t="shared" si="7"/>
        <v>0.40788352822736779</v>
      </c>
      <c r="N27" s="38">
        <f t="shared" si="7"/>
        <v>0.36082268587862809</v>
      </c>
      <c r="O27" s="38">
        <f t="shared" si="7"/>
        <v>0.34227102897735528</v>
      </c>
      <c r="P27" s="38">
        <f t="shared" si="7"/>
        <v>0.23593833531536054</v>
      </c>
      <c r="Q27" s="38">
        <f t="shared" si="7"/>
        <v>-0.21099049972598635</v>
      </c>
      <c r="R27" s="38">
        <f t="shared" si="7"/>
        <v>0.19658744307996304</v>
      </c>
      <c r="S27" s="38">
        <f t="shared" si="7"/>
        <v>0.23903731683722221</v>
      </c>
      <c r="T27" s="38">
        <f t="shared" si="7"/>
        <v>0.24175720423127098</v>
      </c>
      <c r="U27" s="38">
        <f t="shared" si="7"/>
        <v>0.27</v>
      </c>
      <c r="V27" s="38">
        <f t="shared" si="7"/>
        <v>0.27</v>
      </c>
    </row>
    <row r="28" spans="1:52" x14ac:dyDescent="0.2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</row>
    <row r="29" spans="1:52" x14ac:dyDescent="0.2">
      <c r="A29" s="6" t="s">
        <v>20</v>
      </c>
      <c r="B29" s="39"/>
      <c r="C29" s="39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40"/>
      <c r="O29" s="40"/>
      <c r="P29" s="40"/>
      <c r="Q29" s="41"/>
      <c r="R29" s="164">
        <f>SUM(AC32:AD32)/R32</f>
        <v>0.48152691491429578</v>
      </c>
      <c r="S29" s="164">
        <f>SUM(AH32:AI32)/S32</f>
        <v>0.49033568463442417</v>
      </c>
      <c r="T29" s="164">
        <f>SUM(AM32:AN32)/T32</f>
        <v>0.494687463057084</v>
      </c>
      <c r="U29" s="163">
        <f>SUM(AR32:AS32)/U32</f>
        <v>0.50324113283016381</v>
      </c>
      <c r="V29" s="97"/>
      <c r="W29" s="95"/>
      <c r="X29" s="95"/>
      <c r="Y29" s="95"/>
      <c r="Z29" s="9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7" x14ac:dyDescent="0.2">
      <c r="A30" s="3" t="s">
        <v>8</v>
      </c>
      <c r="B30" s="53"/>
      <c r="C30" s="53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42"/>
      <c r="O30" s="42"/>
      <c r="P30" s="42">
        <v>5561036</v>
      </c>
      <c r="Q30" s="41">
        <v>5920545</v>
      </c>
      <c r="R30" s="41">
        <v>7457169</v>
      </c>
      <c r="S30" s="41">
        <v>8558001</v>
      </c>
      <c r="T30" s="41">
        <v>9804124</v>
      </c>
      <c r="U30" s="97"/>
      <c r="V30" s="97"/>
      <c r="W30" s="95"/>
      <c r="X30" s="95"/>
      <c r="Y30" s="95"/>
      <c r="Z30" s="95"/>
      <c r="AA30" s="1"/>
      <c r="AB30" s="1"/>
      <c r="AC30" s="131">
        <v>1715990</v>
      </c>
      <c r="AD30" s="131">
        <v>1869365</v>
      </c>
      <c r="AE30" s="131">
        <v>1932409</v>
      </c>
      <c r="AF30" s="131">
        <v>1939405</v>
      </c>
      <c r="AG30" s="131"/>
      <c r="AH30" s="131">
        <v>1998956</v>
      </c>
      <c r="AI30" s="131">
        <v>2192802</v>
      </c>
      <c r="AJ30" s="131">
        <v>2202336</v>
      </c>
      <c r="AK30" s="131">
        <v>2163907</v>
      </c>
      <c r="AL30" s="131"/>
      <c r="AM30" s="131">
        <v>2351009</v>
      </c>
      <c r="AN30" s="131">
        <v>2497509</v>
      </c>
      <c r="AO30" s="131">
        <v>2456039</v>
      </c>
      <c r="AP30" s="131">
        <v>2499567</v>
      </c>
      <c r="AQ30" s="75"/>
      <c r="AR30" s="75">
        <v>2684447</v>
      </c>
      <c r="AS30" s="75">
        <v>2954913</v>
      </c>
      <c r="AT30" s="75"/>
      <c r="AU30" s="75"/>
      <c r="AV30" s="75"/>
      <c r="AW30" s="75"/>
      <c r="AX30" s="75"/>
      <c r="AY30" s="75"/>
      <c r="AZ30" s="75"/>
    </row>
    <row r="31" spans="1:52" ht="17" x14ac:dyDescent="0.2">
      <c r="A31" s="3" t="s">
        <v>9</v>
      </c>
      <c r="B31" s="53"/>
      <c r="C31" s="53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42"/>
      <c r="O31" s="42"/>
      <c r="P31" s="42">
        <v>25333</v>
      </c>
      <c r="Q31" s="43">
        <v>64089</v>
      </c>
      <c r="R31" s="43">
        <v>89892</v>
      </c>
      <c r="S31" s="43">
        <v>76651</v>
      </c>
      <c r="T31" s="43">
        <v>67525</v>
      </c>
      <c r="U31" s="97"/>
      <c r="V31" s="97"/>
      <c r="W31" s="95"/>
      <c r="X31" s="95"/>
      <c r="Y31" s="95"/>
      <c r="Z31" s="95"/>
      <c r="AA31" s="1"/>
      <c r="AB31" s="1"/>
      <c r="AC31" s="131">
        <v>25585</v>
      </c>
      <c r="AD31" s="131">
        <v>23173</v>
      </c>
      <c r="AE31" s="131">
        <v>19906</v>
      </c>
      <c r="AF31" s="131">
        <v>21228</v>
      </c>
      <c r="AG31" s="131"/>
      <c r="AH31" s="131">
        <v>21583</v>
      </c>
      <c r="AI31" s="131">
        <v>20537</v>
      </c>
      <c r="AJ31" s="131">
        <v>17839</v>
      </c>
      <c r="AK31" s="131">
        <v>16692</v>
      </c>
      <c r="AL31" s="131"/>
      <c r="AM31" s="131">
        <v>17571</v>
      </c>
      <c r="AN31" s="131">
        <v>17292</v>
      </c>
      <c r="AO31" s="131">
        <v>15909</v>
      </c>
      <c r="AP31" s="131">
        <v>16753</v>
      </c>
      <c r="AQ31" s="75"/>
      <c r="AR31" s="75">
        <v>17401</v>
      </c>
      <c r="AS31" s="75">
        <v>18204</v>
      </c>
      <c r="AT31" s="75"/>
      <c r="AU31" s="75"/>
      <c r="AV31" s="75"/>
      <c r="AW31" s="75"/>
      <c r="AX31" s="75"/>
      <c r="AY31" s="75"/>
      <c r="AZ31" s="75"/>
    </row>
    <row r="32" spans="1:52" ht="19" x14ac:dyDescent="0.2">
      <c r="A32" s="118" t="s">
        <v>10</v>
      </c>
      <c r="B32" s="119">
        <v>627695</v>
      </c>
      <c r="C32" s="119">
        <v>822930</v>
      </c>
      <c r="D32" s="119">
        <v>1085782</v>
      </c>
      <c r="E32" s="119">
        <v>1331968</v>
      </c>
      <c r="F32" s="119">
        <v>1518417</v>
      </c>
      <c r="G32" s="119">
        <v>1835922</v>
      </c>
      <c r="H32" s="119">
        <v>2269548</v>
      </c>
      <c r="I32" s="119">
        <v>2731224</v>
      </c>
      <c r="J32" s="119">
        <v>3214591</v>
      </c>
      <c r="K32" s="119">
        <v>4108269</v>
      </c>
      <c r="L32" s="120">
        <v>4501223</v>
      </c>
      <c r="M32" s="120">
        <v>3904384</v>
      </c>
      <c r="N32" s="120">
        <v>4476400</v>
      </c>
      <c r="O32" s="120">
        <v>4865000</v>
      </c>
      <c r="P32" s="121">
        <f t="shared" ref="P32:S32" si="8">SUM(P30:P31)</f>
        <v>5586369</v>
      </c>
      <c r="Q32" s="121">
        <f t="shared" si="8"/>
        <v>5984634</v>
      </c>
      <c r="R32" s="121">
        <f t="shared" si="8"/>
        <v>7547061</v>
      </c>
      <c r="S32" s="121">
        <f t="shared" si="8"/>
        <v>8634652</v>
      </c>
      <c r="T32" s="121">
        <f>SUM(T30:T31)</f>
        <v>9871649</v>
      </c>
      <c r="U32" s="98">
        <f>'[1]CAVA vs. CHIPOTLE'!N62*1000000*1.08</f>
        <v>11276830.588320002</v>
      </c>
      <c r="V32" s="98">
        <f>'[1]CAVA vs. CHIPOTLE'!O62*1000000*1.08</f>
        <v>11918174.698870271</v>
      </c>
      <c r="W32" s="98">
        <f>'[1]CAVA vs. CHIPOTLE'!P62*1000000*1.08</f>
        <v>12702433.158965578</v>
      </c>
      <c r="X32" s="98">
        <f>'[1]CAVA vs. CHIPOTLE'!Q62*1000000*1.08</f>
        <v>13471758.78463684</v>
      </c>
      <c r="Y32" s="98">
        <f>'[1]CAVA vs. CHIPOTLE'!R62*1000000*1.08</f>
        <v>14281210.844377572</v>
      </c>
      <c r="Z32" s="98">
        <f>'[1]CAVA vs. CHIPOTLE'!S62*1000000*1.08</f>
        <v>14823896.856463922</v>
      </c>
      <c r="AA32" s="167"/>
      <c r="AB32" s="1"/>
      <c r="AC32" s="119">
        <f>SUM(AC30:AC31)</f>
        <v>1741575</v>
      </c>
      <c r="AD32" s="119">
        <f t="shared" ref="AD32" si="9">SUM(AD30:AD31)</f>
        <v>1892538</v>
      </c>
      <c r="AE32" s="119">
        <f t="shared" ref="AE32" si="10">SUM(AE30:AE31)</f>
        <v>1952315</v>
      </c>
      <c r="AF32" s="119">
        <f t="shared" ref="AF32" si="11">SUM(AF30:AF31)</f>
        <v>1960633</v>
      </c>
      <c r="AG32" s="131"/>
      <c r="AH32" s="119">
        <f>SUM(AH30:AH31)</f>
        <v>2020539</v>
      </c>
      <c r="AI32" s="119">
        <f t="shared" ref="AI32" si="12">SUM(AI30:AI31)</f>
        <v>2213339</v>
      </c>
      <c r="AJ32" s="119">
        <f t="shared" ref="AJ32" si="13">SUM(AJ30:AJ31)</f>
        <v>2220175</v>
      </c>
      <c r="AK32" s="119">
        <f t="shared" ref="AK32" si="14">SUM(AK30:AK31)</f>
        <v>2180599</v>
      </c>
      <c r="AL32" s="131"/>
      <c r="AM32" s="119">
        <f>SUM(AM30:AM31)</f>
        <v>2368580</v>
      </c>
      <c r="AN32" s="119">
        <f t="shared" ref="AN32:AP32" si="15">SUM(AN30:AN31)</f>
        <v>2514801</v>
      </c>
      <c r="AO32" s="119">
        <f t="shared" si="15"/>
        <v>2471948</v>
      </c>
      <c r="AP32" s="119">
        <f t="shared" si="15"/>
        <v>2516320</v>
      </c>
      <c r="AQ32" s="75"/>
      <c r="AR32" s="67">
        <f>SUM(AR30:AR31)</f>
        <v>2701848</v>
      </c>
      <c r="AS32" s="67">
        <f t="shared" ref="AS32" si="16">SUM(AS30:AS31)</f>
        <v>2973117</v>
      </c>
      <c r="AT32" s="67">
        <f t="shared" ref="AT32" si="17">SUM(AT30:AT31)</f>
        <v>0</v>
      </c>
      <c r="AU32" s="67">
        <f t="shared" ref="AU32" si="18">SUM(AU30:AU31)</f>
        <v>0</v>
      </c>
      <c r="AV32" s="75"/>
      <c r="AW32" s="75"/>
      <c r="AX32" s="75"/>
      <c r="AY32" s="75"/>
      <c r="AZ32" s="75"/>
    </row>
    <row r="33" spans="1:52" x14ac:dyDescent="0.2">
      <c r="A33" s="3"/>
      <c r="B33" s="53"/>
      <c r="C33" s="53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42"/>
      <c r="O33" s="42"/>
      <c r="P33" s="42"/>
      <c r="Q33" s="45"/>
      <c r="R33" s="46"/>
      <c r="S33" s="46"/>
      <c r="T33" s="46"/>
      <c r="U33" s="99"/>
      <c r="V33" s="99"/>
      <c r="W33" s="95"/>
      <c r="X33" s="95"/>
      <c r="Y33" s="95"/>
      <c r="Z33" s="95"/>
      <c r="AA33" s="1"/>
      <c r="AB33" s="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75"/>
      <c r="AR33" s="75"/>
      <c r="AS33" s="75"/>
      <c r="AT33" s="75"/>
      <c r="AU33" s="75"/>
      <c r="AV33" s="75"/>
      <c r="AW33" s="75"/>
      <c r="AX33" s="75"/>
      <c r="AY33" s="75"/>
      <c r="AZ33" s="75"/>
    </row>
    <row r="34" spans="1:52" ht="34" x14ac:dyDescent="0.2">
      <c r="A34" s="11" t="s">
        <v>21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47"/>
      <c r="O34" s="47"/>
      <c r="P34" s="47"/>
      <c r="Q34" s="43"/>
      <c r="R34" s="43"/>
      <c r="S34" s="43"/>
      <c r="T34" s="43"/>
      <c r="U34" s="100"/>
      <c r="V34" s="100"/>
      <c r="W34" s="95"/>
      <c r="X34" s="95"/>
      <c r="Y34" s="95"/>
      <c r="Z34" s="95"/>
      <c r="AA34" s="1"/>
      <c r="AB34" s="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75"/>
      <c r="AR34" s="75"/>
      <c r="AS34" s="75"/>
      <c r="AT34" s="75"/>
      <c r="AU34" s="75"/>
      <c r="AV34" s="75"/>
      <c r="AW34" s="75"/>
      <c r="AX34" s="75"/>
      <c r="AY34" s="75"/>
      <c r="AZ34" s="75"/>
    </row>
    <row r="35" spans="1:52" ht="17" x14ac:dyDescent="0.2">
      <c r="A35" s="5" t="s">
        <v>22</v>
      </c>
      <c r="B35" s="53">
        <v>202288</v>
      </c>
      <c r="C35" s="53">
        <v>157998</v>
      </c>
      <c r="D35" s="55">
        <v>346393</v>
      </c>
      <c r="E35" s="55">
        <v>431947</v>
      </c>
      <c r="F35" s="55">
        <v>466027</v>
      </c>
      <c r="G35" s="55">
        <v>561107</v>
      </c>
      <c r="H35" s="55">
        <v>738720</v>
      </c>
      <c r="I35" s="55">
        <v>891003</v>
      </c>
      <c r="J35" s="55">
        <v>1073514</v>
      </c>
      <c r="K35" s="55">
        <v>1420994</v>
      </c>
      <c r="L35" s="55">
        <v>1503835</v>
      </c>
      <c r="M35" s="55">
        <v>1365580</v>
      </c>
      <c r="N35" s="42">
        <v>1535428</v>
      </c>
      <c r="O35" s="42">
        <v>1600760</v>
      </c>
      <c r="P35" s="42">
        <v>1847916</v>
      </c>
      <c r="Q35" s="43">
        <v>1932766</v>
      </c>
      <c r="R35" s="43">
        <v>2308631</v>
      </c>
      <c r="S35" s="43">
        <v>2602245</v>
      </c>
      <c r="T35" s="43">
        <v>2912564</v>
      </c>
      <c r="U35" s="97"/>
      <c r="V35" s="97"/>
      <c r="W35" s="95"/>
      <c r="X35" s="95"/>
      <c r="Y35" s="95"/>
      <c r="Z35" s="95"/>
      <c r="AA35" s="1"/>
      <c r="AB35" s="1"/>
      <c r="AC35" s="131">
        <v>522671</v>
      </c>
      <c r="AD35" s="131">
        <v>574478</v>
      </c>
      <c r="AE35" s="131">
        <v>591332</v>
      </c>
      <c r="AF35" s="131">
        <v>620150</v>
      </c>
      <c r="AG35" s="131"/>
      <c r="AH35" s="131">
        <v>626926</v>
      </c>
      <c r="AI35" s="131">
        <v>673928</v>
      </c>
      <c r="AJ35" s="131">
        <v>662540</v>
      </c>
      <c r="AK35" s="131">
        <v>638851</v>
      </c>
      <c r="AL35" s="131"/>
      <c r="AM35" s="131">
        <v>692559</v>
      </c>
      <c r="AN35" s="131">
        <v>738664</v>
      </c>
      <c r="AO35" s="131">
        <v>734186</v>
      </c>
      <c r="AP35" s="131">
        <v>747155</v>
      </c>
      <c r="AQ35" s="75"/>
      <c r="AR35" s="75">
        <v>779076</v>
      </c>
      <c r="AS35" s="75">
        <v>873673</v>
      </c>
      <c r="AT35" s="75"/>
      <c r="AU35" s="75"/>
      <c r="AV35" s="75"/>
      <c r="AW35" s="75"/>
      <c r="AX35" s="75"/>
      <c r="AY35" s="75"/>
      <c r="AZ35" s="75"/>
    </row>
    <row r="36" spans="1:52" ht="17" x14ac:dyDescent="0.2">
      <c r="A36" s="5" t="s">
        <v>23</v>
      </c>
      <c r="B36" s="53">
        <v>178721</v>
      </c>
      <c r="C36" s="53">
        <v>231134</v>
      </c>
      <c r="D36" s="55">
        <v>289417</v>
      </c>
      <c r="E36" s="55">
        <v>351005</v>
      </c>
      <c r="F36" s="55">
        <v>385072</v>
      </c>
      <c r="G36" s="55">
        <v>453573</v>
      </c>
      <c r="H36" s="55">
        <v>543119</v>
      </c>
      <c r="I36" s="55">
        <v>641836</v>
      </c>
      <c r="J36" s="55">
        <v>739800</v>
      </c>
      <c r="K36" s="55">
        <v>904407</v>
      </c>
      <c r="L36" s="55">
        <v>1045726</v>
      </c>
      <c r="M36" s="55">
        <v>1105001</v>
      </c>
      <c r="N36" s="42">
        <v>1205992</v>
      </c>
      <c r="O36" s="42">
        <v>1326079</v>
      </c>
      <c r="P36" s="42">
        <v>1472060</v>
      </c>
      <c r="Q36" s="43">
        <v>1593013</v>
      </c>
      <c r="R36" s="43">
        <v>1917761</v>
      </c>
      <c r="S36" s="43">
        <v>2197958</v>
      </c>
      <c r="T36" s="43">
        <v>2440982</v>
      </c>
      <c r="U36" s="97"/>
      <c r="V36" s="97"/>
      <c r="W36" s="95"/>
      <c r="X36" s="95"/>
      <c r="Y36" s="95"/>
      <c r="Z36" s="95"/>
      <c r="AA36" s="1"/>
      <c r="AB36" s="1"/>
      <c r="AC36" s="131">
        <v>433669</v>
      </c>
      <c r="AD36" s="131">
        <v>464506</v>
      </c>
      <c r="AE36" s="131">
        <v>502757</v>
      </c>
      <c r="AF36" s="131">
        <v>516829</v>
      </c>
      <c r="AG36" s="131"/>
      <c r="AH36" s="131">
        <v>531940</v>
      </c>
      <c r="AI36" s="131">
        <v>549926</v>
      </c>
      <c r="AJ36" s="131">
        <v>557178</v>
      </c>
      <c r="AK36" s="131">
        <v>558914</v>
      </c>
      <c r="AL36" s="131"/>
      <c r="AM36" s="131">
        <v>583794</v>
      </c>
      <c r="AN36" s="131">
        <v>611678</v>
      </c>
      <c r="AO36" s="131">
        <v>616282</v>
      </c>
      <c r="AP36" s="131">
        <v>629228</v>
      </c>
      <c r="AQ36" s="75"/>
      <c r="AR36" s="75">
        <v>659450</v>
      </c>
      <c r="AS36" s="75">
        <v>716627</v>
      </c>
      <c r="AT36" s="75"/>
      <c r="AU36" s="75"/>
      <c r="AV36" s="75"/>
      <c r="AW36" s="75"/>
      <c r="AX36" s="75"/>
      <c r="AY36" s="75"/>
      <c r="AZ36" s="75"/>
    </row>
    <row r="37" spans="1:52" ht="17" x14ac:dyDescent="0.2">
      <c r="A37" s="5" t="s">
        <v>24</v>
      </c>
      <c r="B37" s="53">
        <v>47636</v>
      </c>
      <c r="C37" s="53">
        <v>58804</v>
      </c>
      <c r="D37" s="55">
        <v>75891</v>
      </c>
      <c r="E37" s="55">
        <v>98071</v>
      </c>
      <c r="F37" s="55">
        <v>114218</v>
      </c>
      <c r="G37" s="55">
        <v>128933</v>
      </c>
      <c r="H37" s="55">
        <v>147274</v>
      </c>
      <c r="I37" s="55">
        <v>171435</v>
      </c>
      <c r="J37" s="55">
        <v>199107</v>
      </c>
      <c r="K37" s="55">
        <v>230868</v>
      </c>
      <c r="L37" s="55">
        <v>262412</v>
      </c>
      <c r="M37" s="55">
        <v>293636</v>
      </c>
      <c r="N37" s="42">
        <v>327132</v>
      </c>
      <c r="O37" s="42">
        <v>347123</v>
      </c>
      <c r="P37" s="42">
        <v>363072</v>
      </c>
      <c r="Q37" s="43">
        <v>387762</v>
      </c>
      <c r="R37" s="43">
        <v>416606</v>
      </c>
      <c r="S37" s="43">
        <v>460425</v>
      </c>
      <c r="T37" s="43">
        <v>503264</v>
      </c>
      <c r="U37" s="97"/>
      <c r="V37" s="97"/>
      <c r="W37" s="95"/>
      <c r="X37" s="95"/>
      <c r="Y37" s="95"/>
      <c r="Z37" s="95"/>
      <c r="AA37" s="1"/>
      <c r="AB37" s="1"/>
      <c r="AC37" s="131">
        <v>101769</v>
      </c>
      <c r="AD37" s="131">
        <v>103430</v>
      </c>
      <c r="AE37" s="131">
        <v>104223</v>
      </c>
      <c r="AF37" s="131">
        <v>107184</v>
      </c>
      <c r="AG37" s="131"/>
      <c r="AH37" s="131">
        <v>112032</v>
      </c>
      <c r="AI37" s="131">
        <v>113919</v>
      </c>
      <c r="AJ37" s="131">
        <v>115826</v>
      </c>
      <c r="AK37" s="131">
        <v>118648</v>
      </c>
      <c r="AL37" s="131"/>
      <c r="AM37" s="131">
        <v>121931</v>
      </c>
      <c r="AN37" s="131">
        <v>123897</v>
      </c>
      <c r="AO37" s="131">
        <v>126269</v>
      </c>
      <c r="AP37" s="131">
        <v>131167</v>
      </c>
      <c r="AQ37" s="75"/>
      <c r="AR37" s="75">
        <v>135699</v>
      </c>
      <c r="AS37" s="75">
        <v>138663</v>
      </c>
      <c r="AT37" s="75"/>
      <c r="AU37" s="75"/>
      <c r="AV37" s="75"/>
      <c r="AW37" s="75"/>
      <c r="AX37" s="75"/>
      <c r="AY37" s="75"/>
      <c r="AZ37" s="75"/>
    </row>
    <row r="38" spans="1:52" ht="17" x14ac:dyDescent="0.2">
      <c r="A38" s="5" t="s">
        <v>25</v>
      </c>
      <c r="B38" s="53">
        <v>82976</v>
      </c>
      <c r="C38" s="53">
        <v>102745</v>
      </c>
      <c r="D38" s="55">
        <v>131512</v>
      </c>
      <c r="E38" s="55">
        <v>164018</v>
      </c>
      <c r="F38" s="55">
        <v>174581</v>
      </c>
      <c r="G38" s="55">
        <v>202904</v>
      </c>
      <c r="H38" s="55">
        <v>251208</v>
      </c>
      <c r="I38" s="55">
        <v>286610</v>
      </c>
      <c r="J38" s="55">
        <v>347401</v>
      </c>
      <c r="K38" s="55">
        <v>434244</v>
      </c>
      <c r="L38" s="55">
        <v>514963</v>
      </c>
      <c r="M38" s="55">
        <v>641953</v>
      </c>
      <c r="N38" s="42">
        <v>651644</v>
      </c>
      <c r="O38" s="42">
        <v>680031</v>
      </c>
      <c r="P38" s="42">
        <v>760831</v>
      </c>
      <c r="Q38" s="43">
        <v>1030012</v>
      </c>
      <c r="R38" s="43">
        <v>1197054</v>
      </c>
      <c r="S38" s="43">
        <v>1311905</v>
      </c>
      <c r="T38" s="43">
        <v>1428747</v>
      </c>
      <c r="U38" s="97"/>
      <c r="V38" s="97"/>
      <c r="W38" s="95"/>
      <c r="X38" s="95"/>
      <c r="Y38" s="95"/>
      <c r="Z38" s="95"/>
      <c r="AA38" s="1"/>
      <c r="AB38" s="1"/>
      <c r="AC38" s="131">
        <v>294710</v>
      </c>
      <c r="AD38" s="131">
        <v>287242</v>
      </c>
      <c r="AE38" s="131">
        <v>294650</v>
      </c>
      <c r="AF38" s="131">
        <v>320452</v>
      </c>
      <c r="AG38" s="131"/>
      <c r="AH38" s="131">
        <v>330695</v>
      </c>
      <c r="AI38" s="131">
        <v>317481</v>
      </c>
      <c r="AJ38" s="131">
        <v>322085</v>
      </c>
      <c r="AK38" s="131">
        <v>341644</v>
      </c>
      <c r="AL38" s="131"/>
      <c r="AM38" s="131">
        <v>363206</v>
      </c>
      <c r="AN38" s="131">
        <v>349707</v>
      </c>
      <c r="AO38" s="131">
        <v>345368</v>
      </c>
      <c r="AP38" s="131">
        <v>370466</v>
      </c>
      <c r="AQ38" s="75"/>
      <c r="AR38" s="75">
        <v>385773</v>
      </c>
      <c r="AS38" s="75">
        <v>384754</v>
      </c>
      <c r="AT38" s="75"/>
      <c r="AU38" s="75"/>
      <c r="AV38" s="75"/>
      <c r="AW38" s="75"/>
      <c r="AX38" s="75"/>
      <c r="AY38" s="75"/>
      <c r="AZ38" s="75"/>
    </row>
    <row r="39" spans="1:52" ht="17" x14ac:dyDescent="0.2">
      <c r="A39" s="3" t="s">
        <v>26</v>
      </c>
      <c r="B39" s="53">
        <v>51964</v>
      </c>
      <c r="C39" s="53">
        <v>65284</v>
      </c>
      <c r="D39" s="55">
        <v>75038</v>
      </c>
      <c r="E39" s="55">
        <v>89155</v>
      </c>
      <c r="F39" s="55">
        <v>99149</v>
      </c>
      <c r="G39" s="55">
        <v>118590</v>
      </c>
      <c r="H39" s="55">
        <v>149426</v>
      </c>
      <c r="I39" s="55">
        <v>183409</v>
      </c>
      <c r="J39" s="55">
        <v>203733</v>
      </c>
      <c r="K39" s="55">
        <v>273897</v>
      </c>
      <c r="L39" s="55">
        <v>250214</v>
      </c>
      <c r="M39" s="55">
        <v>276240</v>
      </c>
      <c r="N39" s="42">
        <v>296388</v>
      </c>
      <c r="O39" s="42">
        <v>375460</v>
      </c>
      <c r="P39" s="42">
        <v>451552</v>
      </c>
      <c r="Q39" s="43">
        <v>466291</v>
      </c>
      <c r="R39" s="43">
        <v>606854</v>
      </c>
      <c r="S39" s="43">
        <v>564191</v>
      </c>
      <c r="T39" s="43">
        <v>633584</v>
      </c>
      <c r="U39" s="97"/>
      <c r="V39" s="97"/>
      <c r="W39" s="95"/>
      <c r="X39" s="95"/>
      <c r="Y39" s="95"/>
      <c r="Z39" s="95"/>
      <c r="AA39" s="1"/>
      <c r="AB39" s="1"/>
      <c r="AC39" s="131">
        <v>155103</v>
      </c>
      <c r="AD39" s="131">
        <v>146044</v>
      </c>
      <c r="AE39" s="131">
        <v>145930</v>
      </c>
      <c r="AF39" s="131">
        <v>159777</v>
      </c>
      <c r="AG39" s="131"/>
      <c r="AH39" s="131">
        <v>147402</v>
      </c>
      <c r="AI39" s="131">
        <v>140820</v>
      </c>
      <c r="AJ39" s="131">
        <v>140896</v>
      </c>
      <c r="AK39" s="131">
        <v>135073</v>
      </c>
      <c r="AL39" s="131"/>
      <c r="AM39" s="131">
        <v>148340</v>
      </c>
      <c r="AN39" s="131">
        <v>156496</v>
      </c>
      <c r="AO39" s="131">
        <v>159501</v>
      </c>
      <c r="AP39" s="131">
        <v>169247</v>
      </c>
      <c r="AQ39" s="75"/>
      <c r="AR39" s="75">
        <v>204625</v>
      </c>
      <c r="AS39" s="75">
        <v>175028</v>
      </c>
      <c r="AT39" s="75"/>
      <c r="AU39" s="75"/>
      <c r="AV39" s="75"/>
      <c r="AW39" s="75"/>
      <c r="AX39" s="75"/>
      <c r="AY39" s="75"/>
      <c r="AZ39" s="75"/>
    </row>
    <row r="40" spans="1:52" ht="17" x14ac:dyDescent="0.2">
      <c r="A40" s="3" t="s">
        <v>27</v>
      </c>
      <c r="B40" s="53">
        <v>28026</v>
      </c>
      <c r="C40" s="53">
        <v>34253</v>
      </c>
      <c r="D40" s="55">
        <v>43595</v>
      </c>
      <c r="E40" s="55">
        <v>52770</v>
      </c>
      <c r="F40" s="55">
        <v>61308</v>
      </c>
      <c r="G40" s="55">
        <v>68921</v>
      </c>
      <c r="H40" s="55">
        <v>74938</v>
      </c>
      <c r="I40" s="55">
        <v>84130</v>
      </c>
      <c r="J40" s="55">
        <v>96054</v>
      </c>
      <c r="K40" s="55">
        <v>110474</v>
      </c>
      <c r="L40" s="55">
        <v>130368</v>
      </c>
      <c r="M40" s="55">
        <v>146368</v>
      </c>
      <c r="N40" s="42">
        <v>163348</v>
      </c>
      <c r="O40" s="42">
        <v>201979</v>
      </c>
      <c r="P40" s="42">
        <v>212778</v>
      </c>
      <c r="Q40" s="43">
        <v>238534</v>
      </c>
      <c r="R40" s="43">
        <v>254657</v>
      </c>
      <c r="S40" s="43">
        <v>286826</v>
      </c>
      <c r="T40" s="43">
        <v>319394</v>
      </c>
      <c r="U40" s="97"/>
      <c r="V40" s="97"/>
      <c r="W40" s="95"/>
      <c r="X40" s="95"/>
      <c r="Y40" s="95"/>
      <c r="Z40" s="95"/>
      <c r="AA40" s="1"/>
      <c r="AB40" s="1"/>
      <c r="AC40" s="131">
        <v>63122</v>
      </c>
      <c r="AD40" s="131">
        <v>62082</v>
      </c>
      <c r="AE40" s="131">
        <v>63191</v>
      </c>
      <c r="AF40" s="131">
        <v>66262</v>
      </c>
      <c r="AG40" s="131"/>
      <c r="AH40" s="131">
        <v>71665</v>
      </c>
      <c r="AI40" s="131">
        <v>69733</v>
      </c>
      <c r="AJ40" s="131">
        <v>71416</v>
      </c>
      <c r="AK40" s="131">
        <v>74012</v>
      </c>
      <c r="AL40" s="131"/>
      <c r="AM40" s="131">
        <v>76585</v>
      </c>
      <c r="AN40" s="131">
        <v>78771</v>
      </c>
      <c r="AO40" s="131">
        <v>78546</v>
      </c>
      <c r="AP40" s="131">
        <v>85492</v>
      </c>
      <c r="AQ40" s="75"/>
      <c r="AR40" s="75">
        <v>83243</v>
      </c>
      <c r="AS40" s="75">
        <v>83562</v>
      </c>
      <c r="AT40" s="75"/>
      <c r="AU40" s="75"/>
      <c r="AV40" s="75"/>
      <c r="AW40" s="75"/>
      <c r="AX40" s="75"/>
      <c r="AY40" s="75"/>
      <c r="AZ40" s="75"/>
    </row>
    <row r="41" spans="1:52" ht="17" x14ac:dyDescent="0.2">
      <c r="A41" s="3" t="s">
        <v>28</v>
      </c>
      <c r="B41" s="53">
        <v>1971</v>
      </c>
      <c r="C41" s="53">
        <v>6778</v>
      </c>
      <c r="D41" s="55">
        <v>9585</v>
      </c>
      <c r="E41" s="55">
        <v>11624</v>
      </c>
      <c r="F41" s="55">
        <v>8401</v>
      </c>
      <c r="G41" s="55">
        <v>7767</v>
      </c>
      <c r="H41" s="55">
        <v>8495</v>
      </c>
      <c r="I41" s="55">
        <v>11909</v>
      </c>
      <c r="J41" s="55">
        <v>15511</v>
      </c>
      <c r="K41" s="55">
        <v>15609</v>
      </c>
      <c r="L41" s="55">
        <v>16922</v>
      </c>
      <c r="M41" s="55">
        <v>17162</v>
      </c>
      <c r="N41" s="42">
        <v>12341</v>
      </c>
      <c r="O41" s="42">
        <v>8546</v>
      </c>
      <c r="P41" s="42">
        <v>11108</v>
      </c>
      <c r="Q41" s="43">
        <v>15515</v>
      </c>
      <c r="R41" s="43">
        <v>21264</v>
      </c>
      <c r="S41" s="43">
        <v>29560</v>
      </c>
      <c r="T41" s="43">
        <v>36931</v>
      </c>
      <c r="U41" s="97"/>
      <c r="V41" s="97"/>
      <c r="W41" s="95"/>
      <c r="X41" s="95"/>
      <c r="Y41" s="95"/>
      <c r="Z41" s="95"/>
      <c r="AA41" s="1"/>
      <c r="AB41" s="1"/>
      <c r="AC41" s="131">
        <v>3421</v>
      </c>
      <c r="AD41" s="131">
        <v>4965</v>
      </c>
      <c r="AE41" s="131">
        <v>5894</v>
      </c>
      <c r="AF41" s="131">
        <v>6984</v>
      </c>
      <c r="AG41" s="131"/>
      <c r="AH41" s="131">
        <v>5348</v>
      </c>
      <c r="AI41" s="131">
        <v>5253</v>
      </c>
      <c r="AJ41" s="131">
        <v>7618</v>
      </c>
      <c r="AK41" s="131">
        <v>11341</v>
      </c>
      <c r="AL41" s="131"/>
      <c r="AM41" s="131">
        <v>6198</v>
      </c>
      <c r="AN41" s="131">
        <v>7538</v>
      </c>
      <c r="AO41" s="131">
        <v>9605</v>
      </c>
      <c r="AP41" s="131">
        <v>13590</v>
      </c>
      <c r="AQ41" s="75"/>
      <c r="AR41" s="75">
        <v>7211</v>
      </c>
      <c r="AS41" s="75">
        <v>8995</v>
      </c>
      <c r="AT41" s="75"/>
      <c r="AU41" s="75"/>
      <c r="AV41" s="75"/>
      <c r="AW41" s="75"/>
      <c r="AX41" s="75"/>
      <c r="AY41" s="75"/>
      <c r="AZ41" s="75"/>
    </row>
    <row r="42" spans="1:52" ht="17" x14ac:dyDescent="0.2">
      <c r="A42" s="10" t="s">
        <v>29</v>
      </c>
      <c r="B42" s="53">
        <v>3119</v>
      </c>
      <c r="C42" s="53">
        <v>3982</v>
      </c>
      <c r="D42" s="55">
        <v>6168</v>
      </c>
      <c r="E42" s="55">
        <v>9339</v>
      </c>
      <c r="F42" s="55">
        <v>5956</v>
      </c>
      <c r="G42" s="55">
        <v>6296</v>
      </c>
      <c r="H42" s="55">
        <v>5806</v>
      </c>
      <c r="I42" s="55">
        <v>5027</v>
      </c>
      <c r="J42" s="55">
        <v>6751</v>
      </c>
      <c r="K42" s="55">
        <v>6976</v>
      </c>
      <c r="L42" s="55">
        <v>13194</v>
      </c>
      <c r="M42" s="55">
        <v>23877</v>
      </c>
      <c r="N42" s="42">
        <v>13345</v>
      </c>
      <c r="O42" s="42">
        <v>66639</v>
      </c>
      <c r="P42" s="42">
        <v>23094</v>
      </c>
      <c r="Q42" s="43">
        <v>30577</v>
      </c>
      <c r="R42" s="43">
        <v>19291</v>
      </c>
      <c r="S42" s="43">
        <v>21139</v>
      </c>
      <c r="T42" s="43">
        <v>38370</v>
      </c>
      <c r="U42" s="97"/>
      <c r="V42" s="97"/>
      <c r="W42" s="95"/>
      <c r="X42" s="95"/>
      <c r="Y42" s="95"/>
      <c r="Z42" s="95"/>
      <c r="AA42" s="1"/>
      <c r="AB42" s="1"/>
      <c r="AC42" s="131">
        <v>5668</v>
      </c>
      <c r="AD42" s="131">
        <v>4266</v>
      </c>
      <c r="AE42" s="131">
        <v>4658</v>
      </c>
      <c r="AF42" s="131">
        <v>4699</v>
      </c>
      <c r="AG42" s="131"/>
      <c r="AH42" s="131">
        <v>4310</v>
      </c>
      <c r="AI42" s="131">
        <v>4681</v>
      </c>
      <c r="AJ42" s="131">
        <v>6363</v>
      </c>
      <c r="AK42" s="131">
        <v>5785</v>
      </c>
      <c r="AL42" s="131"/>
      <c r="AM42" s="131">
        <v>8361</v>
      </c>
      <c r="AN42" s="131">
        <v>16240</v>
      </c>
      <c r="AO42" s="131">
        <v>7241</v>
      </c>
      <c r="AP42" s="131">
        <v>6528</v>
      </c>
      <c r="AQ42" s="75"/>
      <c r="AR42" s="75">
        <v>5479</v>
      </c>
      <c r="AS42" s="75">
        <v>5762</v>
      </c>
      <c r="AT42" s="75"/>
      <c r="AU42" s="75"/>
      <c r="AV42" s="75"/>
      <c r="AW42" s="75"/>
      <c r="AX42" s="75"/>
      <c r="AY42" s="75"/>
      <c r="AZ42" s="75"/>
    </row>
    <row r="43" spans="1:52" ht="20" x14ac:dyDescent="0.35">
      <c r="A43" s="122" t="s">
        <v>30</v>
      </c>
      <c r="B43" s="123">
        <f t="shared" ref="B43" si="19">SUM(B35:B42)</f>
        <v>596701</v>
      </c>
      <c r="C43" s="123">
        <f t="shared" ref="C43:K43" si="20">SUM(C35:C42)</f>
        <v>660978</v>
      </c>
      <c r="D43" s="123">
        <f t="shared" si="20"/>
        <v>977599</v>
      </c>
      <c r="E43" s="123">
        <f t="shared" si="20"/>
        <v>1207929</v>
      </c>
      <c r="F43" s="123">
        <f t="shared" si="20"/>
        <v>1314712</v>
      </c>
      <c r="G43" s="123">
        <f t="shared" si="20"/>
        <v>1548091</v>
      </c>
      <c r="H43" s="123">
        <f t="shared" si="20"/>
        <v>1918986</v>
      </c>
      <c r="I43" s="123">
        <f t="shared" si="20"/>
        <v>2275359</v>
      </c>
      <c r="J43" s="123">
        <f t="shared" si="20"/>
        <v>2681871</v>
      </c>
      <c r="K43" s="123">
        <f t="shared" si="20"/>
        <v>3397469</v>
      </c>
      <c r="L43" s="123">
        <f>SUM(L35:L42)</f>
        <v>3737634</v>
      </c>
      <c r="M43" s="123">
        <f t="shared" ref="M43:O43" si="21">SUM(M35:M42)</f>
        <v>3869817</v>
      </c>
      <c r="N43" s="124">
        <f t="shared" si="21"/>
        <v>4205618</v>
      </c>
      <c r="O43" s="124">
        <f t="shared" si="21"/>
        <v>4606617</v>
      </c>
      <c r="P43" s="124">
        <f>SUM(P35:P42)</f>
        <v>5142411</v>
      </c>
      <c r="Q43" s="124">
        <f>SUM(Q35:Q42)</f>
        <v>5694470</v>
      </c>
      <c r="R43" s="124">
        <f t="shared" ref="R43:T43" si="22">SUM(R35:R42)</f>
        <v>6742118</v>
      </c>
      <c r="S43" s="124">
        <f t="shared" si="22"/>
        <v>7474249</v>
      </c>
      <c r="T43" s="124">
        <f t="shared" si="22"/>
        <v>8313836</v>
      </c>
      <c r="U43" s="101">
        <f>U32-U44</f>
        <v>9443883.6219154</v>
      </c>
      <c r="V43" s="101">
        <f t="shared" ref="V43:Z43" si="23">V32-V44</f>
        <v>9922867.2897600587</v>
      </c>
      <c r="W43" s="101">
        <f t="shared" si="23"/>
        <v>10512029.223356197</v>
      </c>
      <c r="X43" s="101">
        <f t="shared" si="23"/>
        <v>11079000.571708178</v>
      </c>
      <c r="Y43" s="101">
        <f t="shared" si="23"/>
        <v>11668587.679335307</v>
      </c>
      <c r="Z43" s="101">
        <f t="shared" si="23"/>
        <v>12030636.925790636</v>
      </c>
      <c r="AA43" s="124"/>
      <c r="AB43" s="1"/>
      <c r="AC43" s="168">
        <f t="shared" ref="AC43" si="24">SUM(AC35:AC42)</f>
        <v>1580133</v>
      </c>
      <c r="AD43" s="168">
        <f t="shared" ref="AD43" si="25">SUM(AD35:AD42)</f>
        <v>1647013</v>
      </c>
      <c r="AE43" s="168">
        <f t="shared" ref="AE43" si="26">SUM(AE35:AE42)</f>
        <v>1712635</v>
      </c>
      <c r="AF43" s="168">
        <f>SUM(AF35:AF42)</f>
        <v>1802337</v>
      </c>
      <c r="AG43" s="131"/>
      <c r="AH43" s="168">
        <f t="shared" ref="AH43" si="27">SUM(AH35:AH42)</f>
        <v>1830318</v>
      </c>
      <c r="AI43" s="168">
        <f t="shared" ref="AI43" si="28">SUM(AI35:AI42)</f>
        <v>1875741</v>
      </c>
      <c r="AJ43" s="168">
        <f t="shared" ref="AJ43" si="29">SUM(AJ35:AJ42)</f>
        <v>1883922</v>
      </c>
      <c r="AK43" s="168">
        <f>SUM(AK35:AK42)</f>
        <v>1884268</v>
      </c>
      <c r="AL43" s="131"/>
      <c r="AM43" s="168">
        <f t="shared" ref="AM43" si="30">SUM(AM35:AM42)</f>
        <v>2000974</v>
      </c>
      <c r="AN43" s="168">
        <f t="shared" ref="AN43" si="31">SUM(AN35:AN42)</f>
        <v>2082991</v>
      </c>
      <c r="AO43" s="168">
        <f t="shared" ref="AO43" si="32">SUM(AO35:AO42)</f>
        <v>2076998</v>
      </c>
      <c r="AP43" s="168">
        <f>SUM(AP35:AP42)</f>
        <v>2152873</v>
      </c>
      <c r="AQ43" s="75"/>
      <c r="AR43" s="89">
        <f t="shared" ref="AR43" si="33">SUM(AR35:AR42)</f>
        <v>2260556</v>
      </c>
      <c r="AS43" s="89">
        <f t="shared" ref="AS43" si="34">SUM(AS35:AS42)</f>
        <v>2387064</v>
      </c>
      <c r="AT43" s="89">
        <f t="shared" ref="AT43" si="35">SUM(AT35:AT42)</f>
        <v>0</v>
      </c>
      <c r="AU43" s="89">
        <f>SUM(AU35:AU42)</f>
        <v>0</v>
      </c>
      <c r="AV43" s="75"/>
      <c r="AW43" s="89">
        <f t="shared" ref="AW43" si="36">SUM(AW35:AW42)</f>
        <v>0</v>
      </c>
      <c r="AX43" s="89">
        <f t="shared" ref="AX43" si="37">SUM(AX35:AX42)</f>
        <v>0</v>
      </c>
      <c r="AY43" s="89">
        <f t="shared" ref="AY43" si="38">SUM(AY35:AY42)</f>
        <v>0</v>
      </c>
      <c r="AZ43" s="89">
        <f>SUM(AZ35:AZ42)</f>
        <v>0</v>
      </c>
    </row>
    <row r="44" spans="1:52" ht="20" x14ac:dyDescent="0.35">
      <c r="A44" s="125" t="s">
        <v>31</v>
      </c>
      <c r="B44" s="126">
        <f t="shared" ref="B44:T44" si="39">B32-B43</f>
        <v>30994</v>
      </c>
      <c r="C44" s="126">
        <f t="shared" si="39"/>
        <v>161952</v>
      </c>
      <c r="D44" s="126">
        <f t="shared" si="39"/>
        <v>108183</v>
      </c>
      <c r="E44" s="126">
        <f t="shared" si="39"/>
        <v>124039</v>
      </c>
      <c r="F44" s="126">
        <f t="shared" si="39"/>
        <v>203705</v>
      </c>
      <c r="G44" s="126">
        <f t="shared" si="39"/>
        <v>287831</v>
      </c>
      <c r="H44" s="126">
        <f t="shared" si="39"/>
        <v>350562</v>
      </c>
      <c r="I44" s="126">
        <f t="shared" si="39"/>
        <v>455865</v>
      </c>
      <c r="J44" s="126">
        <f t="shared" si="39"/>
        <v>532720</v>
      </c>
      <c r="K44" s="126">
        <f t="shared" si="39"/>
        <v>710800</v>
      </c>
      <c r="L44" s="126">
        <f t="shared" si="39"/>
        <v>763589</v>
      </c>
      <c r="M44" s="126">
        <f t="shared" si="39"/>
        <v>34567</v>
      </c>
      <c r="N44" s="127">
        <f t="shared" si="39"/>
        <v>270782</v>
      </c>
      <c r="O44" s="127">
        <f t="shared" si="39"/>
        <v>258383</v>
      </c>
      <c r="P44" s="127">
        <f t="shared" si="39"/>
        <v>443958</v>
      </c>
      <c r="Q44" s="127">
        <f t="shared" si="39"/>
        <v>290164</v>
      </c>
      <c r="R44" s="127">
        <f t="shared" si="39"/>
        <v>804943</v>
      </c>
      <c r="S44" s="127">
        <f t="shared" si="39"/>
        <v>1160403</v>
      </c>
      <c r="T44" s="127">
        <f t="shared" si="39"/>
        <v>1557813</v>
      </c>
      <c r="U44" s="102">
        <f>U32*U55</f>
        <v>1832946.9664046024</v>
      </c>
      <c r="V44" s="102">
        <f t="shared" ref="V44:Z44" si="40">V32*V55</f>
        <v>1995307.4091102127</v>
      </c>
      <c r="W44" s="102">
        <f t="shared" si="40"/>
        <v>2190403.9356093816</v>
      </c>
      <c r="X44" s="102">
        <f t="shared" si="40"/>
        <v>2392758.2129286625</v>
      </c>
      <c r="Y44" s="102">
        <f t="shared" si="40"/>
        <v>2612623.1650422639</v>
      </c>
      <c r="Z44" s="102">
        <f t="shared" si="40"/>
        <v>2793259.9306732863</v>
      </c>
      <c r="AA44" s="127"/>
      <c r="AB44" s="1"/>
      <c r="AC44" s="169">
        <f t="shared" ref="AC44" si="41">AC32-AC43</f>
        <v>161442</v>
      </c>
      <c r="AD44" s="169">
        <f t="shared" ref="AD44" si="42">AD32-AD43</f>
        <v>245525</v>
      </c>
      <c r="AE44" s="169">
        <f t="shared" ref="AE44" si="43">AE32-AE43</f>
        <v>239680</v>
      </c>
      <c r="AF44" s="169">
        <f>AF32-AF43</f>
        <v>158296</v>
      </c>
      <c r="AG44" s="131"/>
      <c r="AH44" s="169">
        <f t="shared" ref="AH44" si="44">AH32-AH43</f>
        <v>190221</v>
      </c>
      <c r="AI44" s="169">
        <f t="shared" ref="AI44" si="45">AI32-AI43</f>
        <v>337598</v>
      </c>
      <c r="AJ44" s="169">
        <f t="shared" ref="AJ44" si="46">AJ32-AJ43</f>
        <v>336253</v>
      </c>
      <c r="AK44" s="169">
        <f>AK32-AK43</f>
        <v>296331</v>
      </c>
      <c r="AL44" s="131"/>
      <c r="AM44" s="169">
        <f t="shared" ref="AM44" si="47">AM32-AM43</f>
        <v>367606</v>
      </c>
      <c r="AN44" s="169">
        <f t="shared" ref="AN44" si="48">AN32-AN43</f>
        <v>431810</v>
      </c>
      <c r="AO44" s="169">
        <f t="shared" ref="AO44" si="49">AO32-AO43</f>
        <v>394950</v>
      </c>
      <c r="AP44" s="169">
        <f>AP32-AP43</f>
        <v>363447</v>
      </c>
      <c r="AQ44" s="75"/>
      <c r="AR44" s="90">
        <f t="shared" ref="AR44" si="50">AR32-AR43</f>
        <v>441292</v>
      </c>
      <c r="AS44" s="90">
        <f t="shared" ref="AS44" si="51">AS32-AS43</f>
        <v>586053</v>
      </c>
      <c r="AT44" s="90">
        <f t="shared" ref="AT44" si="52">AT32-AT43</f>
        <v>0</v>
      </c>
      <c r="AU44" s="90">
        <f>AU32-AU43</f>
        <v>0</v>
      </c>
      <c r="AV44" s="75"/>
      <c r="AW44" s="90">
        <f t="shared" ref="AW44" si="53">AW32-AW43</f>
        <v>0</v>
      </c>
      <c r="AX44" s="90">
        <f t="shared" ref="AX44" si="54">AX32-AX43</f>
        <v>0</v>
      </c>
      <c r="AY44" s="90">
        <f t="shared" ref="AY44" si="55">AY32-AY43</f>
        <v>0</v>
      </c>
      <c r="AZ44" s="90">
        <f>AZ32-AZ43</f>
        <v>0</v>
      </c>
    </row>
    <row r="45" spans="1:52" ht="17" x14ac:dyDescent="0.2">
      <c r="A45" s="3" t="s">
        <v>32</v>
      </c>
      <c r="B45" s="53">
        <f>36-790</f>
        <v>-754</v>
      </c>
      <c r="C45" s="53">
        <f>6574-271</f>
        <v>6303</v>
      </c>
      <c r="D45" s="55">
        <f>6115-296</f>
        <v>5819</v>
      </c>
      <c r="E45" s="55">
        <f>3469-302</f>
        <v>3167</v>
      </c>
      <c r="F45" s="55">
        <f>925-405</f>
        <v>520</v>
      </c>
      <c r="G45" s="55">
        <v>1230</v>
      </c>
      <c r="H45" s="55">
        <f>2088-2945</f>
        <v>-857</v>
      </c>
      <c r="I45" s="55">
        <v>1820</v>
      </c>
      <c r="J45" s="55">
        <v>1751</v>
      </c>
      <c r="K45" s="55">
        <v>3503</v>
      </c>
      <c r="L45" s="55">
        <v>6278</v>
      </c>
      <c r="M45" s="55">
        <v>4172</v>
      </c>
      <c r="N45" s="42">
        <v>4949</v>
      </c>
      <c r="O45" s="42">
        <v>10068</v>
      </c>
      <c r="P45" s="42">
        <v>14327</v>
      </c>
      <c r="Q45" s="43">
        <v>3617</v>
      </c>
      <c r="R45" s="43">
        <v>7820</v>
      </c>
      <c r="S45" s="43">
        <v>21128</v>
      </c>
      <c r="T45" s="43">
        <v>62693</v>
      </c>
      <c r="U45" s="97"/>
      <c r="V45" s="97"/>
      <c r="W45" s="97"/>
      <c r="X45" s="97"/>
      <c r="Y45" s="97"/>
      <c r="Z45" s="97"/>
      <c r="AA45" s="41"/>
      <c r="AB45" s="1"/>
      <c r="AC45" s="131">
        <v>-2168</v>
      </c>
      <c r="AD45" s="131">
        <v>851</v>
      </c>
      <c r="AE45" s="131">
        <v>-126</v>
      </c>
      <c r="AF45" s="131">
        <v>9263</v>
      </c>
      <c r="AG45" s="131"/>
      <c r="AH45" s="131">
        <v>-213</v>
      </c>
      <c r="AI45" s="131">
        <v>10572</v>
      </c>
      <c r="AJ45" s="131">
        <v>3712</v>
      </c>
      <c r="AK45" s="131">
        <v>7057</v>
      </c>
      <c r="AL45" s="131"/>
      <c r="AM45" s="131">
        <v>8949</v>
      </c>
      <c r="AN45" s="131">
        <v>16446</v>
      </c>
      <c r="AO45" s="131">
        <v>18392</v>
      </c>
      <c r="AP45" s="131">
        <v>18906</v>
      </c>
      <c r="AQ45" s="75"/>
      <c r="AR45" s="75">
        <v>19364</v>
      </c>
      <c r="AS45" s="75">
        <v>21861</v>
      </c>
      <c r="AT45" s="75"/>
      <c r="AU45" s="75"/>
      <c r="AV45" s="75"/>
      <c r="AW45" s="75"/>
      <c r="AX45" s="75"/>
      <c r="AY45" s="75"/>
      <c r="AZ45" s="75"/>
    </row>
    <row r="46" spans="1:52" ht="17" x14ac:dyDescent="0.2">
      <c r="A46" s="8" t="s">
        <v>51</v>
      </c>
      <c r="B46" s="59">
        <f t="shared" ref="B46:N46" si="56">B44+B45</f>
        <v>30240</v>
      </c>
      <c r="C46" s="59">
        <f t="shared" si="56"/>
        <v>168255</v>
      </c>
      <c r="D46" s="59">
        <f t="shared" si="56"/>
        <v>114002</v>
      </c>
      <c r="E46" s="59">
        <f t="shared" si="56"/>
        <v>127206</v>
      </c>
      <c r="F46" s="59">
        <f t="shared" si="56"/>
        <v>204225</v>
      </c>
      <c r="G46" s="59">
        <f t="shared" si="56"/>
        <v>289061</v>
      </c>
      <c r="H46" s="59">
        <f t="shared" si="56"/>
        <v>349705</v>
      </c>
      <c r="I46" s="59">
        <f t="shared" si="56"/>
        <v>457685</v>
      </c>
      <c r="J46" s="59">
        <f t="shared" si="56"/>
        <v>534471</v>
      </c>
      <c r="K46" s="59">
        <f t="shared" si="56"/>
        <v>714303</v>
      </c>
      <c r="L46" s="59">
        <f t="shared" si="56"/>
        <v>769867</v>
      </c>
      <c r="M46" s="59">
        <f t="shared" si="56"/>
        <v>38739</v>
      </c>
      <c r="N46" s="32">
        <f t="shared" si="56"/>
        <v>275731</v>
      </c>
      <c r="O46" s="32">
        <f>O44+O45</f>
        <v>268451</v>
      </c>
      <c r="P46" s="32">
        <f t="shared" ref="P46:S46" si="57">P44+P45</f>
        <v>458285</v>
      </c>
      <c r="Q46" s="32">
        <f t="shared" si="57"/>
        <v>293781</v>
      </c>
      <c r="R46" s="32">
        <f t="shared" si="57"/>
        <v>812763</v>
      </c>
      <c r="S46" s="32">
        <f t="shared" si="57"/>
        <v>1181531</v>
      </c>
      <c r="T46" s="32">
        <f>T44+T45</f>
        <v>1620506</v>
      </c>
      <c r="U46" s="103">
        <f t="shared" ref="U46" si="58">U44+U45</f>
        <v>1832946.9664046024</v>
      </c>
      <c r="V46" s="103">
        <f t="shared" ref="V46" si="59">V44+V45</f>
        <v>1995307.4091102127</v>
      </c>
      <c r="W46" s="103">
        <f t="shared" ref="W46" si="60">W44+W45</f>
        <v>2190403.9356093816</v>
      </c>
      <c r="X46" s="103">
        <f t="shared" ref="X46" si="61">X44+X45</f>
        <v>2392758.2129286625</v>
      </c>
      <c r="Y46" s="103">
        <f t="shared" ref="Y46" si="62">Y44+Y45</f>
        <v>2612623.1650422639</v>
      </c>
      <c r="Z46" s="103">
        <f t="shared" ref="Z46" si="63">Z44+Z45</f>
        <v>2793259.9306732863</v>
      </c>
      <c r="AA46" s="32"/>
      <c r="AB46" s="1"/>
      <c r="AC46" s="131">
        <f>SUM(AC44:AC45)</f>
        <v>159274</v>
      </c>
      <c r="AD46" s="131">
        <f t="shared" ref="AD46" si="64">SUM(AD44:AD45)</f>
        <v>246376</v>
      </c>
      <c r="AE46" s="131">
        <f t="shared" ref="AE46" si="65">SUM(AE44:AE45)</f>
        <v>239554</v>
      </c>
      <c r="AF46" s="131">
        <f t="shared" ref="AF46" si="66">SUM(AF44:AF45)</f>
        <v>167559</v>
      </c>
      <c r="AG46" s="131"/>
      <c r="AH46" s="131">
        <f>SUM(AH44:AH45)</f>
        <v>190008</v>
      </c>
      <c r="AI46" s="131">
        <f t="shared" ref="AI46" si="67">SUM(AI44:AI45)</f>
        <v>348170</v>
      </c>
      <c r="AJ46" s="131">
        <f t="shared" ref="AJ46" si="68">SUM(AJ44:AJ45)</f>
        <v>339965</v>
      </c>
      <c r="AK46" s="131">
        <f t="shared" ref="AK46" si="69">SUM(AK44:AK45)</f>
        <v>303388</v>
      </c>
      <c r="AL46" s="131"/>
      <c r="AM46" s="131">
        <f>SUM(AM44:AM45)</f>
        <v>376555</v>
      </c>
      <c r="AN46" s="131">
        <f t="shared" ref="AN46:AP46" si="70">SUM(AN44:AN45)</f>
        <v>448256</v>
      </c>
      <c r="AO46" s="131">
        <f t="shared" si="70"/>
        <v>413342</v>
      </c>
      <c r="AP46" s="131">
        <f t="shared" si="70"/>
        <v>382353</v>
      </c>
      <c r="AQ46" s="75"/>
      <c r="AR46" s="75">
        <f>SUM(AR44:AR45)</f>
        <v>460656</v>
      </c>
      <c r="AS46" s="75">
        <v>607914</v>
      </c>
      <c r="AT46" s="75"/>
      <c r="AU46" s="75"/>
      <c r="AV46" s="75"/>
      <c r="AW46" s="75"/>
      <c r="AX46" s="75"/>
      <c r="AY46" s="75"/>
      <c r="AZ46" s="75"/>
    </row>
    <row r="47" spans="1:52" ht="17" x14ac:dyDescent="0.2">
      <c r="A47" s="3" t="s">
        <v>33</v>
      </c>
      <c r="B47" s="55">
        <v>7456</v>
      </c>
      <c r="C47" s="55">
        <v>-26832</v>
      </c>
      <c r="D47" s="55">
        <v>-43439</v>
      </c>
      <c r="E47" s="55">
        <v>-49004</v>
      </c>
      <c r="F47" s="55">
        <v>-77380</v>
      </c>
      <c r="G47" s="55">
        <v>-110080</v>
      </c>
      <c r="H47" s="55">
        <v>-134760</v>
      </c>
      <c r="I47" s="55">
        <v>-179685</v>
      </c>
      <c r="J47" s="55">
        <v>-207033</v>
      </c>
      <c r="K47" s="55">
        <v>-268929</v>
      </c>
      <c r="L47" s="55">
        <v>-294265</v>
      </c>
      <c r="M47" s="55">
        <v>-15801</v>
      </c>
      <c r="N47" s="42">
        <v>-99490</v>
      </c>
      <c r="O47" s="42">
        <v>-91883</v>
      </c>
      <c r="P47" s="42">
        <v>-108127</v>
      </c>
      <c r="Q47" s="43">
        <v>61985</v>
      </c>
      <c r="R47" s="43">
        <v>-159779</v>
      </c>
      <c r="S47" s="43">
        <v>-282430</v>
      </c>
      <c r="T47" s="43">
        <v>-391769</v>
      </c>
      <c r="U47" s="97">
        <f>-U46*0.27</f>
        <v>-494895.68092924269</v>
      </c>
      <c r="V47" s="97">
        <f t="shared" ref="V47:Z47" si="71">-V46*0.27</f>
        <v>-538733.00045975752</v>
      </c>
      <c r="W47" s="97">
        <f t="shared" si="71"/>
        <v>-591409.06261453312</v>
      </c>
      <c r="X47" s="97">
        <f t="shared" si="71"/>
        <v>-646044.71749073896</v>
      </c>
      <c r="Y47" s="97">
        <f t="shared" si="71"/>
        <v>-705408.25456141133</v>
      </c>
      <c r="Z47" s="97">
        <f t="shared" si="71"/>
        <v>-754180.18128178734</v>
      </c>
      <c r="AA47" s="41"/>
      <c r="AB47" s="1"/>
      <c r="AC47" s="131">
        <v>32173</v>
      </c>
      <c r="AD47" s="131">
        <v>58402</v>
      </c>
      <c r="AE47" s="131">
        <v>35120</v>
      </c>
      <c r="AF47" s="131">
        <v>34084</v>
      </c>
      <c r="AG47" s="131"/>
      <c r="AH47" s="131">
        <v>31714</v>
      </c>
      <c r="AI47" s="131">
        <v>88228</v>
      </c>
      <c r="AJ47" s="131">
        <v>82827</v>
      </c>
      <c r="AK47" s="131">
        <v>79661</v>
      </c>
      <c r="AL47" s="131"/>
      <c r="AM47" s="131">
        <v>84911</v>
      </c>
      <c r="AN47" s="131">
        <v>106466</v>
      </c>
      <c r="AO47" s="131">
        <v>100125</v>
      </c>
      <c r="AP47" s="131">
        <v>100267</v>
      </c>
      <c r="AQ47" s="75"/>
      <c r="AR47" s="75">
        <v>101369</v>
      </c>
      <c r="AS47" s="75">
        <v>152243</v>
      </c>
      <c r="AT47" s="75"/>
      <c r="AU47" s="75"/>
      <c r="AV47" s="75"/>
      <c r="AW47" s="75"/>
      <c r="AX47" s="75"/>
      <c r="AY47" s="75"/>
      <c r="AZ47" s="75"/>
    </row>
    <row r="48" spans="1:52" ht="20" x14ac:dyDescent="0.35">
      <c r="A48" s="125" t="s">
        <v>34</v>
      </c>
      <c r="B48" s="126">
        <f t="shared" ref="B48:P48" si="72">B46+B47</f>
        <v>37696</v>
      </c>
      <c r="C48" s="126">
        <f t="shared" si="72"/>
        <v>141423</v>
      </c>
      <c r="D48" s="126">
        <f t="shared" si="72"/>
        <v>70563</v>
      </c>
      <c r="E48" s="126">
        <f t="shared" si="72"/>
        <v>78202</v>
      </c>
      <c r="F48" s="126">
        <f t="shared" si="72"/>
        <v>126845</v>
      </c>
      <c r="G48" s="126">
        <f t="shared" si="72"/>
        <v>178981</v>
      </c>
      <c r="H48" s="126">
        <f t="shared" si="72"/>
        <v>214945</v>
      </c>
      <c r="I48" s="126">
        <f t="shared" si="72"/>
        <v>278000</v>
      </c>
      <c r="J48" s="126">
        <f t="shared" si="72"/>
        <v>327438</v>
      </c>
      <c r="K48" s="126">
        <f t="shared" si="72"/>
        <v>445374</v>
      </c>
      <c r="L48" s="126">
        <f t="shared" si="72"/>
        <v>475602</v>
      </c>
      <c r="M48" s="126">
        <f t="shared" si="72"/>
        <v>22938</v>
      </c>
      <c r="N48" s="127">
        <f t="shared" si="72"/>
        <v>176241</v>
      </c>
      <c r="O48" s="127">
        <f t="shared" si="72"/>
        <v>176568</v>
      </c>
      <c r="P48" s="127">
        <f t="shared" si="72"/>
        <v>350158</v>
      </c>
      <c r="Q48" s="127">
        <f>Q46+Q47</f>
        <v>355766</v>
      </c>
      <c r="R48" s="127">
        <f t="shared" ref="R48" si="73">R46+R47</f>
        <v>652984</v>
      </c>
      <c r="S48" s="127">
        <f>S46+S47</f>
        <v>899101</v>
      </c>
      <c r="T48" s="127">
        <f>T46+T47</f>
        <v>1228737</v>
      </c>
      <c r="U48" s="102">
        <f>U46+U47</f>
        <v>1338051.2854753598</v>
      </c>
      <c r="V48" s="102">
        <f t="shared" ref="V48:Z48" si="74">V46+V47</f>
        <v>1456574.4086504551</v>
      </c>
      <c r="W48" s="102">
        <f t="shared" si="74"/>
        <v>1598994.8729948485</v>
      </c>
      <c r="X48" s="102">
        <f t="shared" si="74"/>
        <v>1746713.4954379236</v>
      </c>
      <c r="Y48" s="102">
        <f t="shared" si="74"/>
        <v>1907214.9104808527</v>
      </c>
      <c r="Z48" s="102">
        <f t="shared" si="74"/>
        <v>2039079.749391499</v>
      </c>
      <c r="AA48" s="127"/>
      <c r="AB48" s="1"/>
      <c r="AC48" s="169">
        <f>AC46-AC47</f>
        <v>127101</v>
      </c>
      <c r="AD48" s="169">
        <f t="shared" ref="AD48" si="75">AD46-AD47</f>
        <v>187974</v>
      </c>
      <c r="AE48" s="169">
        <f t="shared" ref="AE48" si="76">AE46-AE47</f>
        <v>204434</v>
      </c>
      <c r="AF48" s="169">
        <f t="shared" ref="AF48" si="77">AF46-AF47</f>
        <v>133475</v>
      </c>
      <c r="AG48" s="131"/>
      <c r="AH48" s="169">
        <f>AH46-AH47</f>
        <v>158294</v>
      </c>
      <c r="AI48" s="169">
        <f t="shared" ref="AI48" si="78">AI46-AI47</f>
        <v>259942</v>
      </c>
      <c r="AJ48" s="169">
        <f t="shared" ref="AJ48" si="79">AJ46-AJ47</f>
        <v>257138</v>
      </c>
      <c r="AK48" s="169">
        <f t="shared" ref="AK48" si="80">AK46-AK47</f>
        <v>223727</v>
      </c>
      <c r="AL48" s="131"/>
      <c r="AM48" s="169">
        <f>AM46-AM47</f>
        <v>291644</v>
      </c>
      <c r="AN48" s="169">
        <f t="shared" ref="AN48" si="81">AN46-AN47</f>
        <v>341790</v>
      </c>
      <c r="AO48" s="169">
        <f t="shared" ref="AO48" si="82">AO46-AO47</f>
        <v>313217</v>
      </c>
      <c r="AP48" s="169">
        <f t="shared" ref="AP48" si="83">AP46-AP47</f>
        <v>282086</v>
      </c>
      <c r="AQ48" s="75"/>
      <c r="AR48" s="90">
        <f>AR46-AR47</f>
        <v>359287</v>
      </c>
      <c r="AS48" s="90">
        <f t="shared" ref="AS48" si="84">AS46-AS47</f>
        <v>455671</v>
      </c>
      <c r="AT48" s="90">
        <f t="shared" ref="AT48" si="85">AT46-AT47</f>
        <v>0</v>
      </c>
      <c r="AU48" s="90">
        <f t="shared" ref="AU48" si="86">AU46-AU47</f>
        <v>0</v>
      </c>
      <c r="AV48" s="75"/>
      <c r="AW48" s="90">
        <f>AW46-AW47</f>
        <v>0</v>
      </c>
      <c r="AX48" s="90">
        <f t="shared" ref="AX48" si="87">AX46-AX47</f>
        <v>0</v>
      </c>
      <c r="AY48" s="90">
        <f t="shared" ref="AY48" si="88">AY46-AY47</f>
        <v>0</v>
      </c>
      <c r="AZ48" s="90">
        <f t="shared" ref="AZ48" si="89">AZ46-AZ47</f>
        <v>0</v>
      </c>
    </row>
    <row r="49" spans="1:52" x14ac:dyDescent="0.2">
      <c r="A49" s="3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4"/>
      <c r="O49" s="24"/>
      <c r="P49" s="24"/>
      <c r="Q49" s="29"/>
      <c r="R49" s="30"/>
      <c r="S49" s="30"/>
      <c r="T49" s="30"/>
      <c r="U49" s="104"/>
      <c r="V49" s="104"/>
      <c r="W49" s="95"/>
      <c r="X49" s="95"/>
      <c r="Y49" s="95"/>
      <c r="Z49" s="95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52" ht="17" x14ac:dyDescent="0.2">
      <c r="A50" s="3" t="s">
        <v>49</v>
      </c>
      <c r="B50" s="49">
        <f t="shared" ref="B50:P50" si="90">B48/B51</f>
        <v>1.4292864184424054</v>
      </c>
      <c r="C50" s="49">
        <f t="shared" si="90"/>
        <v>4.356168181118127</v>
      </c>
      <c r="D50" s="49">
        <f t="shared" si="90"/>
        <v>2.1288541603813433</v>
      </c>
      <c r="E50" s="49">
        <f t="shared" si="90"/>
        <v>2.3593193748868644</v>
      </c>
      <c r="F50" s="49">
        <f t="shared" si="90"/>
        <v>3.9513114447697961</v>
      </c>
      <c r="G50" s="49">
        <f t="shared" si="90"/>
        <v>5.6398613518197571</v>
      </c>
      <c r="H50" s="49">
        <f t="shared" si="90"/>
        <v>6.764594807238395</v>
      </c>
      <c r="I50" s="49">
        <f t="shared" si="90"/>
        <v>8.7468143347072331</v>
      </c>
      <c r="J50" s="49">
        <f t="shared" si="90"/>
        <v>10.467632108947925</v>
      </c>
      <c r="K50" s="49">
        <f t="shared" si="90"/>
        <v>14.133472962680884</v>
      </c>
      <c r="L50" s="49">
        <f t="shared" si="90"/>
        <v>15.101352638597827</v>
      </c>
      <c r="M50" s="49">
        <f t="shared" si="90"/>
        <v>0.77050722203560629</v>
      </c>
      <c r="N50" s="49">
        <f t="shared" si="90"/>
        <v>6.1706873008648158</v>
      </c>
      <c r="O50" s="49">
        <f t="shared" si="90"/>
        <v>6.3145697732637149</v>
      </c>
      <c r="P50" s="49">
        <f t="shared" si="90"/>
        <v>12.375260646757377</v>
      </c>
      <c r="Q50" s="49">
        <f>Q48/Q51</f>
        <v>12.519918355855856</v>
      </c>
      <c r="R50" s="49">
        <f t="shared" ref="R50" si="91">R48/R51</f>
        <v>22.902879590333555</v>
      </c>
      <c r="S50" s="49">
        <f>S48/S51</f>
        <v>32.039804718124152</v>
      </c>
      <c r="T50" s="49">
        <f>T48/T51</f>
        <v>44.342728256946948</v>
      </c>
      <c r="U50" s="105">
        <f>U48/U51</f>
        <v>48.287668187490425</v>
      </c>
      <c r="V50" s="105">
        <f>V48/V51</f>
        <v>52.564937158082103</v>
      </c>
      <c r="W50" s="105">
        <f t="shared" ref="W50:Z50" si="92">W48/W51</f>
        <v>57.704614687652416</v>
      </c>
      <c r="X50" s="105">
        <f t="shared" si="92"/>
        <v>63.035492437312293</v>
      </c>
      <c r="Y50" s="105">
        <f t="shared" si="92"/>
        <v>68.827676307500994</v>
      </c>
      <c r="Z50" s="105">
        <f t="shared" si="92"/>
        <v>73.586421847401624</v>
      </c>
      <c r="AA50" s="49"/>
      <c r="AB50" s="1"/>
      <c r="AC50" s="170">
        <f t="shared" ref="AC50" si="93">AC48/AC51</f>
        <v>4.4468896508291929</v>
      </c>
      <c r="AD50" s="170">
        <f t="shared" ref="AD50" si="94">AD48/AD51</f>
        <v>6.5953475316655554</v>
      </c>
      <c r="AE50" s="170">
        <f t="shared" ref="AE50" si="95">AE48/AE51</f>
        <v>7.1794205443371375</v>
      </c>
      <c r="AF50" s="170">
        <f>AF48/AF51</f>
        <v>4.6857995436194484</v>
      </c>
      <c r="AG50" s="1"/>
      <c r="AH50" s="170">
        <f t="shared" ref="AH50" si="96">AH48/AH51</f>
        <v>5.5932299212041974</v>
      </c>
      <c r="AI50" s="170">
        <f t="shared" ref="AI50" si="97">AI48/AI51</f>
        <v>9.2532393564003979</v>
      </c>
      <c r="AJ50" s="170">
        <f t="shared" ref="AJ50" si="98">AJ48/AJ51</f>
        <v>9.1979539276005156</v>
      </c>
      <c r="AK50" s="170">
        <f>AK48/AK51</f>
        <v>8.0191763145632464</v>
      </c>
      <c r="AL50" s="1"/>
      <c r="AM50" s="170">
        <f t="shared" ref="AM50:AO50" si="99">AM48/AM51</f>
        <v>10.495321721606448</v>
      </c>
      <c r="AN50" s="170">
        <f t="shared" si="99"/>
        <v>12.318088441993728</v>
      </c>
      <c r="AO50" s="170">
        <f t="shared" si="99"/>
        <v>11.315234276218344</v>
      </c>
      <c r="AP50" s="170">
        <f>AP48/AP51</f>
        <v>10.212736685854965</v>
      </c>
      <c r="AR50" s="88">
        <f>AR48/AR51</f>
        <v>13.006335070952794</v>
      </c>
      <c r="AS50" s="88">
        <f t="shared" ref="AS50:AU50" si="100">AS48/AS51</f>
        <v>0.32983355989570895</v>
      </c>
      <c r="AT50" s="88" t="e">
        <f t="shared" si="100"/>
        <v>#DIV/0!</v>
      </c>
      <c r="AU50" s="88" t="e">
        <f t="shared" si="100"/>
        <v>#DIV/0!</v>
      </c>
      <c r="AW50" s="88" t="e">
        <f>AW48/AW51</f>
        <v>#DIV/0!</v>
      </c>
      <c r="AX50" s="88" t="e">
        <f t="shared" ref="AX50" si="101">AX48/AX51</f>
        <v>#DIV/0!</v>
      </c>
      <c r="AY50" s="88" t="e">
        <f t="shared" ref="AY50" si="102">AY48/AY51</f>
        <v>#DIV/0!</v>
      </c>
      <c r="AZ50" s="88" t="e">
        <f t="shared" ref="AZ50" si="103">AZ48/AZ51</f>
        <v>#DIV/0!</v>
      </c>
    </row>
    <row r="51" spans="1:52" ht="17" x14ac:dyDescent="0.2">
      <c r="A51" s="3" t="s">
        <v>50</v>
      </c>
      <c r="B51" s="24">
        <v>26374</v>
      </c>
      <c r="C51" s="24">
        <v>32465</v>
      </c>
      <c r="D51" s="26">
        <v>33146</v>
      </c>
      <c r="E51" s="26">
        <v>33146</v>
      </c>
      <c r="F51" s="26">
        <v>32102</v>
      </c>
      <c r="G51" s="26">
        <v>31735</v>
      </c>
      <c r="H51" s="26">
        <v>31775</v>
      </c>
      <c r="I51" s="26">
        <v>31783</v>
      </c>
      <c r="J51" s="26">
        <v>31281</v>
      </c>
      <c r="K51" s="26">
        <v>31512</v>
      </c>
      <c r="L51" s="26">
        <v>31494</v>
      </c>
      <c r="M51" s="26">
        <v>29770</v>
      </c>
      <c r="N51" s="24">
        <v>28561</v>
      </c>
      <c r="O51" s="24">
        <v>27962</v>
      </c>
      <c r="P51" s="24">
        <v>28295</v>
      </c>
      <c r="Q51" s="64">
        <v>28416</v>
      </c>
      <c r="R51" s="64">
        <v>28511</v>
      </c>
      <c r="S51" s="64">
        <v>28062</v>
      </c>
      <c r="T51" s="64">
        <v>27710</v>
      </c>
      <c r="U51" s="106">
        <v>27710</v>
      </c>
      <c r="V51" s="106">
        <v>27710</v>
      </c>
      <c r="W51" s="106">
        <v>27710</v>
      </c>
      <c r="X51" s="106">
        <v>27710</v>
      </c>
      <c r="Y51" s="106">
        <v>27710</v>
      </c>
      <c r="Z51" s="106">
        <v>27710</v>
      </c>
      <c r="AA51" s="64"/>
      <c r="AB51" s="1"/>
      <c r="AC51" s="1">
        <v>28582</v>
      </c>
      <c r="AD51" s="1">
        <v>28501</v>
      </c>
      <c r="AE51" s="1">
        <v>28475</v>
      </c>
      <c r="AF51" s="1">
        <v>28485</v>
      </c>
      <c r="AG51" s="1"/>
      <c r="AH51" s="1">
        <v>28301</v>
      </c>
      <c r="AI51" s="1">
        <v>28092</v>
      </c>
      <c r="AJ51" s="1">
        <v>27956</v>
      </c>
      <c r="AK51" s="1">
        <v>27899</v>
      </c>
      <c r="AL51" s="1"/>
      <c r="AM51" s="1">
        <v>27788</v>
      </c>
      <c r="AN51" s="1">
        <v>27747</v>
      </c>
      <c r="AO51" s="1">
        <v>27681</v>
      </c>
      <c r="AP51" s="1">
        <v>27621</v>
      </c>
      <c r="AR51">
        <v>27624</v>
      </c>
      <c r="AS51">
        <v>1381518</v>
      </c>
    </row>
    <row r="52" spans="1:52" x14ac:dyDescent="0.2">
      <c r="A52" s="4"/>
      <c r="B52" s="28"/>
      <c r="C52" s="28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8"/>
      <c r="O52" s="28"/>
      <c r="P52" s="28"/>
      <c r="Q52" s="26"/>
      <c r="R52" s="26"/>
      <c r="S52" s="50"/>
      <c r="T52" s="26"/>
      <c r="U52" s="107"/>
      <c r="V52" s="108"/>
      <c r="W52" s="95"/>
      <c r="X52" s="95"/>
      <c r="Y52" s="95"/>
      <c r="Z52" s="95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52" x14ac:dyDescent="0.2">
      <c r="A53" s="4" t="s">
        <v>35</v>
      </c>
      <c r="B53" s="28"/>
      <c r="C53" s="28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8"/>
      <c r="O53" s="28"/>
      <c r="P53" s="28"/>
      <c r="Q53" s="26"/>
      <c r="R53" s="26"/>
      <c r="S53" s="50"/>
      <c r="T53" s="26"/>
      <c r="U53" s="107"/>
      <c r="V53" s="108"/>
      <c r="W53" s="95"/>
      <c r="X53" s="95"/>
      <c r="Y53" s="95"/>
      <c r="Z53" s="95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52" ht="17" x14ac:dyDescent="0.2">
      <c r="A54" s="3" t="s">
        <v>36</v>
      </c>
      <c r="B54" s="52">
        <f>((B32-B35-B36-B37-B38)/B32)*100%</f>
        <v>0.18492102055934809</v>
      </c>
      <c r="C54" s="52">
        <f t="shared" ref="C54:S54" si="104">((C32-C35-C36-C37-C38)/C32)*100%</f>
        <v>0.33082886758290497</v>
      </c>
      <c r="D54" s="52">
        <f t="shared" si="104"/>
        <v>0.22340488237970421</v>
      </c>
      <c r="E54" s="52">
        <f t="shared" si="104"/>
        <v>0.21541583581587545</v>
      </c>
      <c r="F54" s="52">
        <f t="shared" si="104"/>
        <v>0.24928527538877659</v>
      </c>
      <c r="G54" s="52">
        <f t="shared" si="104"/>
        <v>0.26657178246134638</v>
      </c>
      <c r="H54" s="52">
        <f t="shared" si="104"/>
        <v>0.25962306150828268</v>
      </c>
      <c r="I54" s="52">
        <f t="shared" si="104"/>
        <v>0.27106528062143564</v>
      </c>
      <c r="J54" s="52">
        <f>((J32-J35-J36-J37-J38)/J32)*100%</f>
        <v>0.26590287846883165</v>
      </c>
      <c r="K54" s="92">
        <f t="shared" si="104"/>
        <v>0.2720746864433658</v>
      </c>
      <c r="L54" s="92">
        <f t="shared" si="104"/>
        <v>0.26088176480036646</v>
      </c>
      <c r="M54" s="92">
        <f t="shared" si="104"/>
        <v>0.12760373979608564</v>
      </c>
      <c r="N54" s="92">
        <f t="shared" si="104"/>
        <v>0.16893128406755428</v>
      </c>
      <c r="O54" s="92">
        <f t="shared" si="104"/>
        <v>0.18725734840698868</v>
      </c>
      <c r="P54" s="92">
        <f t="shared" si="104"/>
        <v>0.20451388012499711</v>
      </c>
      <c r="Q54" s="92">
        <f t="shared" si="104"/>
        <v>0.17395900902210562</v>
      </c>
      <c r="R54" s="92">
        <f>((R32-R35-R36-R37-R38)/R32)*100%</f>
        <v>0.22618195347831427</v>
      </c>
      <c r="S54" s="92">
        <f t="shared" si="104"/>
        <v>0.23881900509713652</v>
      </c>
      <c r="T54" s="92">
        <f>((T32-T35-T36-T37-T38)/T32)*100%</f>
        <v>0.26197163209510388</v>
      </c>
      <c r="U54" s="178">
        <f>T54*1.01</f>
        <v>0.26459134841605492</v>
      </c>
      <c r="V54" s="178">
        <f t="shared" ref="V54:Z54" si="105">U54*1.01</f>
        <v>0.26723726190021546</v>
      </c>
      <c r="W54" s="178">
        <f t="shared" si="105"/>
        <v>0.26990963451921762</v>
      </c>
      <c r="X54" s="178">
        <f t="shared" si="105"/>
        <v>0.27260873086440979</v>
      </c>
      <c r="Y54" s="178">
        <f t="shared" si="105"/>
        <v>0.27533481817305389</v>
      </c>
      <c r="Z54" s="178">
        <f t="shared" si="105"/>
        <v>0.27808816635478445</v>
      </c>
      <c r="AA54" s="52"/>
      <c r="AB54" s="1"/>
      <c r="AC54" s="52">
        <f>((AC32-AC35-AC36-AC37)/AC32)*100%</f>
        <v>0.39244132466302056</v>
      </c>
      <c r="AD54" s="52">
        <f t="shared" ref="AD54:AF54" si="106">((AD32-AD35-AD36-AD37)/AD32)*100%</f>
        <v>0.39635875210960098</v>
      </c>
      <c r="AE54" s="52">
        <f t="shared" si="106"/>
        <v>0.38620970488881151</v>
      </c>
      <c r="AF54" s="52">
        <f t="shared" si="106"/>
        <v>0.36542790007104847</v>
      </c>
      <c r="AG54" s="1"/>
      <c r="AH54" s="52">
        <f>((AH32-AH35-AH36-AH37)/AH32)*100%</f>
        <v>0.37101040860879203</v>
      </c>
      <c r="AI54" s="52">
        <f t="shared" ref="AI54:AK54" si="107">((AI32-AI35-AI36-AI37)/AI32)*100%</f>
        <v>0.39558603539719855</v>
      </c>
      <c r="AJ54" s="52">
        <f t="shared" si="107"/>
        <v>0.39845102300494328</v>
      </c>
      <c r="AK54" s="52">
        <f t="shared" si="107"/>
        <v>0.39630670288301517</v>
      </c>
      <c r="AL54" s="1"/>
      <c r="AM54" s="52">
        <f>((AM32-AM35-AM36-AM37)/AM32)*100%</f>
        <v>0.40965304106257761</v>
      </c>
      <c r="AN54" s="52">
        <f t="shared" ref="AN54:AP54" si="108">((AN32-AN35-AN36-AN37)/AN32)*100%</f>
        <v>0.41377508598095836</v>
      </c>
      <c r="AO54" s="52">
        <f t="shared" si="108"/>
        <v>0.40260191557427583</v>
      </c>
      <c r="AP54" s="52">
        <f t="shared" si="108"/>
        <v>0.40089098365867615</v>
      </c>
      <c r="AR54" s="52">
        <f>((AR32-AR35-AR36-AR37)/AR32)*100%</f>
        <v>0.41735249355256104</v>
      </c>
      <c r="AS54" s="52">
        <f t="shared" ref="AS54:AU54" si="109">((AS32-AS35-AS36-AS37)/AS32)*100%</f>
        <v>0.41846789076918267</v>
      </c>
      <c r="AT54" s="52" t="e">
        <f t="shared" si="109"/>
        <v>#DIV/0!</v>
      </c>
      <c r="AU54" s="52" t="e">
        <f t="shared" si="109"/>
        <v>#DIV/0!</v>
      </c>
      <c r="AW54" s="52" t="e">
        <f>((AW32-AW35-AW36-AW37)/AW32)*100%</f>
        <v>#DIV/0!</v>
      </c>
      <c r="AX54" s="52" t="e">
        <f t="shared" ref="AX54:AZ54" si="110">((AX32-AX35-AX36-AX37)/AX32)*100%</f>
        <v>#DIV/0!</v>
      </c>
      <c r="AY54" s="52" t="e">
        <f t="shared" si="110"/>
        <v>#DIV/0!</v>
      </c>
      <c r="AZ54" s="52" t="e">
        <f t="shared" si="110"/>
        <v>#DIV/0!</v>
      </c>
    </row>
    <row r="55" spans="1:52" ht="17" x14ac:dyDescent="0.2">
      <c r="A55" s="3" t="s">
        <v>37</v>
      </c>
      <c r="B55" s="52">
        <f>(B44/B32)*100%</f>
        <v>4.9377484287751218E-2</v>
      </c>
      <c r="C55" s="52">
        <f t="shared" ref="C55:R55" si="111">(C44/C32)*100%</f>
        <v>0.19679924173380481</v>
      </c>
      <c r="D55" s="52">
        <f t="shared" si="111"/>
        <v>9.9636022700689456E-2</v>
      </c>
      <c r="E55" s="52">
        <f t="shared" si="111"/>
        <v>9.312460960023064E-2</v>
      </c>
      <c r="F55" s="52">
        <f t="shared" si="111"/>
        <v>0.13415616395232666</v>
      </c>
      <c r="G55" s="52">
        <f t="shared" si="111"/>
        <v>0.15677735764373432</v>
      </c>
      <c r="H55" s="52">
        <f t="shared" si="111"/>
        <v>0.15446335569902025</v>
      </c>
      <c r="I55" s="52">
        <f t="shared" si="111"/>
        <v>0.16690868270050352</v>
      </c>
      <c r="J55" s="52">
        <f t="shared" si="111"/>
        <v>0.16571937145347573</v>
      </c>
      <c r="K55" s="52">
        <f t="shared" si="111"/>
        <v>0.17301690809438233</v>
      </c>
      <c r="L55" s="52">
        <f t="shared" si="111"/>
        <v>0.16964033996982597</v>
      </c>
      <c r="M55" s="52">
        <f t="shared" si="111"/>
        <v>8.8533812247975612E-3</v>
      </c>
      <c r="N55" s="52">
        <f t="shared" si="111"/>
        <v>6.0491019569296756E-2</v>
      </c>
      <c r="O55" s="52">
        <f t="shared" si="111"/>
        <v>5.3110585817060636E-2</v>
      </c>
      <c r="P55" s="52">
        <f t="shared" si="111"/>
        <v>7.9471656813218036E-2</v>
      </c>
      <c r="Q55" s="52">
        <f t="shared" si="111"/>
        <v>4.8484836332514235E-2</v>
      </c>
      <c r="R55" s="52">
        <f t="shared" si="111"/>
        <v>0.10665648521987565</v>
      </c>
      <c r="S55" s="52">
        <f>(S44/S32)*100%</f>
        <v>0.13438908713402695</v>
      </c>
      <c r="T55" s="52">
        <f>(T44/T32)*100%</f>
        <v>0.15780676561737558</v>
      </c>
      <c r="U55" s="178">
        <f>T55*1.03</f>
        <v>0.16254096858589687</v>
      </c>
      <c r="V55" s="178">
        <f t="shared" ref="V55:Z55" si="112">U55*1.03</f>
        <v>0.16741719764347376</v>
      </c>
      <c r="W55" s="178">
        <f t="shared" si="112"/>
        <v>0.17243971357277799</v>
      </c>
      <c r="X55" s="178">
        <f t="shared" si="112"/>
        <v>0.17761290497996132</v>
      </c>
      <c r="Y55" s="178">
        <f t="shared" si="112"/>
        <v>0.18294129212936017</v>
      </c>
      <c r="Z55" s="178">
        <f t="shared" si="112"/>
        <v>0.18842953089324097</v>
      </c>
      <c r="AA55" s="52"/>
      <c r="AB55" s="1"/>
      <c r="AC55" s="52">
        <f>(AC44/AC32)*100%</f>
        <v>9.269885017871754E-2</v>
      </c>
      <c r="AD55" s="52">
        <f t="shared" ref="AD55:AF55" si="113">(AD44/AD32)*100%</f>
        <v>0.12973319426082858</v>
      </c>
      <c r="AE55" s="52">
        <f t="shared" si="113"/>
        <v>0.12276707396091308</v>
      </c>
      <c r="AF55" s="52">
        <f t="shared" si="113"/>
        <v>8.0737190488990029E-2</v>
      </c>
      <c r="AG55" s="1"/>
      <c r="AH55" s="52">
        <f>(AH44/AH32)*100%</f>
        <v>9.4143691361562434E-2</v>
      </c>
      <c r="AI55" s="52">
        <f t="shared" ref="AI55:AK55" si="114">(AI44/AI32)*100%</f>
        <v>0.15252882635692047</v>
      </c>
      <c r="AJ55" s="52">
        <f t="shared" si="114"/>
        <v>0.15145337642302972</v>
      </c>
      <c r="AK55" s="52">
        <f t="shared" si="114"/>
        <v>0.13589431160887444</v>
      </c>
      <c r="AL55" s="1"/>
      <c r="AM55" s="52">
        <f>(AM44/AM32)*100%</f>
        <v>0.15520100651022975</v>
      </c>
      <c r="AN55" s="52">
        <f t="shared" ref="AN55:AP55" si="115">(AN44/AN32)*100%</f>
        <v>0.17170742337067624</v>
      </c>
      <c r="AO55" s="52">
        <f t="shared" si="115"/>
        <v>0.15977277839177847</v>
      </c>
      <c r="AP55" s="52">
        <f t="shared" si="115"/>
        <v>0.14443592229923063</v>
      </c>
      <c r="AR55" s="52">
        <f>(AR44/AR32)*100%</f>
        <v>0.16332969138160253</v>
      </c>
      <c r="AS55" s="52">
        <f t="shared" ref="AS55:AU55" si="116">(AS44/AS32)*100%</f>
        <v>0.19711736874129071</v>
      </c>
      <c r="AT55" s="52" t="e">
        <f t="shared" si="116"/>
        <v>#DIV/0!</v>
      </c>
      <c r="AU55" s="52" t="e">
        <f t="shared" si="116"/>
        <v>#DIV/0!</v>
      </c>
      <c r="AW55" s="52" t="e">
        <f>(AW44/AW32)*100%</f>
        <v>#DIV/0!</v>
      </c>
      <c r="AX55" s="52" t="e">
        <f t="shared" ref="AX55:AZ55" si="117">(AX44/AX32)*100%</f>
        <v>#DIV/0!</v>
      </c>
      <c r="AY55" s="52" t="e">
        <f t="shared" si="117"/>
        <v>#DIV/0!</v>
      </c>
      <c r="AZ55" s="52" t="e">
        <f t="shared" si="117"/>
        <v>#DIV/0!</v>
      </c>
    </row>
    <row r="56" spans="1:52" ht="17" x14ac:dyDescent="0.2">
      <c r="A56" s="3" t="s">
        <v>38</v>
      </c>
      <c r="B56" s="52">
        <f t="shared" ref="B56:R56" si="118">(B48/B32)*100%</f>
        <v>6.0054644373461634E-2</v>
      </c>
      <c r="C56" s="52">
        <f t="shared" si="118"/>
        <v>0.17185301301447267</v>
      </c>
      <c r="D56" s="52">
        <f t="shared" si="118"/>
        <v>6.4988183631705082E-2</v>
      </c>
      <c r="E56" s="52">
        <f t="shared" si="118"/>
        <v>5.8711620699596387E-2</v>
      </c>
      <c r="F56" s="52">
        <f t="shared" si="118"/>
        <v>8.3537657968792506E-2</v>
      </c>
      <c r="G56" s="52">
        <f t="shared" si="118"/>
        <v>9.7488346454805808E-2</v>
      </c>
      <c r="H56" s="52">
        <f t="shared" si="118"/>
        <v>9.4708285526457256E-2</v>
      </c>
      <c r="I56" s="52">
        <f t="shared" si="118"/>
        <v>0.10178586597071496</v>
      </c>
      <c r="J56" s="52">
        <f t="shared" si="118"/>
        <v>0.10185992557062469</v>
      </c>
      <c r="K56" s="52">
        <f t="shared" si="118"/>
        <v>0.10840916210696037</v>
      </c>
      <c r="L56" s="52">
        <f t="shared" si="118"/>
        <v>0.10566061712561231</v>
      </c>
      <c r="M56" s="52">
        <f t="shared" si="118"/>
        <v>5.8749344326787531E-3</v>
      </c>
      <c r="N56" s="52">
        <f t="shared" si="118"/>
        <v>3.9371146456974357E-2</v>
      </c>
      <c r="O56" s="52">
        <f t="shared" si="118"/>
        <v>3.6293525179856116E-2</v>
      </c>
      <c r="P56" s="52">
        <f t="shared" si="118"/>
        <v>6.2680786034721298E-2</v>
      </c>
      <c r="Q56" s="52">
        <f t="shared" si="118"/>
        <v>5.9446576014506487E-2</v>
      </c>
      <c r="R56" s="52">
        <f t="shared" si="118"/>
        <v>8.6521627425563408E-2</v>
      </c>
      <c r="S56" s="52">
        <f>(S48/S32)*100%</f>
        <v>0.1041270684678433</v>
      </c>
      <c r="T56" s="52">
        <f>(T48/T32)*100%</f>
        <v>0.12447130160320732</v>
      </c>
      <c r="U56" s="178">
        <f>(U48/U32)*100%</f>
        <v>0.11865490706770472</v>
      </c>
      <c r="V56" s="178">
        <f>(V48/V32)*100%</f>
        <v>0.12221455427973583</v>
      </c>
      <c r="W56" s="178">
        <f t="shared" ref="W56:Z56" si="119">(W48/W32)*100%</f>
        <v>0.1258809909081279</v>
      </c>
      <c r="X56" s="178">
        <f t="shared" si="119"/>
        <v>0.12965742063537178</v>
      </c>
      <c r="Y56" s="178">
        <f t="shared" si="119"/>
        <v>0.13354714325443293</v>
      </c>
      <c r="Z56" s="178">
        <f t="shared" si="119"/>
        <v>0.13755355755206591</v>
      </c>
      <c r="AA56" s="52"/>
      <c r="AB56" s="1"/>
      <c r="AC56" s="52">
        <f>(AC48/AC32)*100%</f>
        <v>7.2980491796218946E-2</v>
      </c>
      <c r="AD56" s="52">
        <f t="shared" ref="AD56:AF56" si="120">(AD48/AD32)*100%</f>
        <v>9.9323765229548888E-2</v>
      </c>
      <c r="AE56" s="52">
        <f t="shared" si="120"/>
        <v>0.10471363483864028</v>
      </c>
      <c r="AF56" s="52">
        <f t="shared" si="120"/>
        <v>6.8077503540948256E-2</v>
      </c>
      <c r="AG56" s="1"/>
      <c r="AH56" s="52">
        <f>(AH48/AH32)*100%</f>
        <v>7.8342462085611811E-2</v>
      </c>
      <c r="AI56" s="52">
        <f t="shared" ref="AI56:AK56" si="121">(AI48/AI32)*100%</f>
        <v>0.1174433740154581</v>
      </c>
      <c r="AJ56" s="52">
        <f t="shared" si="121"/>
        <v>0.11581879806771989</v>
      </c>
      <c r="AK56" s="52">
        <f t="shared" si="121"/>
        <v>0.10259887306194307</v>
      </c>
      <c r="AL56" s="1"/>
      <c r="AM56" s="52">
        <f>(AM48/AM32)*100%</f>
        <v>0.12313031436556925</v>
      </c>
      <c r="AN56" s="52">
        <f t="shared" ref="AN56:AP56" si="122">(AN48/AN32)*100%</f>
        <v>0.13591135044084998</v>
      </c>
      <c r="AO56" s="52">
        <f t="shared" si="122"/>
        <v>0.12670857153953077</v>
      </c>
      <c r="AP56" s="52">
        <f t="shared" si="122"/>
        <v>0.11210259426464042</v>
      </c>
      <c r="AR56" s="52">
        <f>(AR48/AR32)*100%</f>
        <v>0.13297824303957884</v>
      </c>
      <c r="AS56" s="52">
        <f t="shared" ref="AS56:AU56" si="123">(AS48/AS32)*100%</f>
        <v>0.15326372961440804</v>
      </c>
      <c r="AT56" s="52" t="e">
        <f t="shared" si="123"/>
        <v>#DIV/0!</v>
      </c>
      <c r="AU56" s="52" t="e">
        <f t="shared" si="123"/>
        <v>#DIV/0!</v>
      </c>
      <c r="AW56" s="52" t="e">
        <f>(AW48/AW32)*100%</f>
        <v>#DIV/0!</v>
      </c>
      <c r="AX56" s="52" t="e">
        <f t="shared" ref="AX56:AZ56" si="124">(AX48/AX32)*100%</f>
        <v>#DIV/0!</v>
      </c>
      <c r="AY56" s="52" t="e">
        <f t="shared" si="124"/>
        <v>#DIV/0!</v>
      </c>
      <c r="AZ56" s="52" t="e">
        <f t="shared" si="124"/>
        <v>#DIV/0!</v>
      </c>
    </row>
    <row r="57" spans="1:52" ht="17" x14ac:dyDescent="0.2">
      <c r="A57" s="3" t="s">
        <v>39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>
        <f>P30/'Statement of Income'!P$10</f>
        <v>2120.9138062547672</v>
      </c>
      <c r="Q57" s="41">
        <f>Q30/'Statement of Income'!Q$10</f>
        <v>2138.9252167630057</v>
      </c>
      <c r="R57" s="41">
        <f>R30/'Statement of Income'!R$10</f>
        <v>2514.2174645987861</v>
      </c>
      <c r="S57" s="41">
        <f>S30/'Statement of Income'!S$10</f>
        <v>2685.2842798870411</v>
      </c>
      <c r="T57" s="41">
        <f>T30/'Statement of Income'!T$10</f>
        <v>2852.5237125400058</v>
      </c>
      <c r="U57" s="97" t="e">
        <f>U30/'Statement of Income'!U$10</f>
        <v>#DIV/0!</v>
      </c>
      <c r="V57" s="97" t="e">
        <f>V30/'Statement of Income'!V$10</f>
        <v>#DIV/0!</v>
      </c>
      <c r="W57" s="95"/>
      <c r="X57" s="95"/>
      <c r="Y57" s="95"/>
      <c r="Z57" s="95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52" ht="17" x14ac:dyDescent="0.2">
      <c r="A58" s="3" t="s">
        <v>40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>
        <f>P31/'Statement of Income'!P$10</f>
        <v>9.6617086193745241</v>
      </c>
      <c r="Q58" s="41">
        <f>Q31/'Statement of Income'!Q$10</f>
        <v>23.153540462427745</v>
      </c>
      <c r="R58" s="41">
        <f>R31/'Statement of Income'!R$10</f>
        <v>30.307484828051248</v>
      </c>
      <c r="S58" s="41">
        <f>S31/'Statement of Income'!S$10</f>
        <v>24.051145277690619</v>
      </c>
      <c r="T58" s="41">
        <f>T31/'Statement of Income'!T$10</f>
        <v>19.646494035496072</v>
      </c>
      <c r="U58" s="97" t="e">
        <f>U31/'Statement of Income'!U$10</f>
        <v>#DIV/0!</v>
      </c>
      <c r="V58" s="97" t="e">
        <f>V31/'Statement of Income'!V$10</f>
        <v>#DIV/0!</v>
      </c>
      <c r="W58" s="95"/>
      <c r="X58" s="95"/>
      <c r="Y58" s="95"/>
      <c r="Z58" s="95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52" ht="17" x14ac:dyDescent="0.2">
      <c r="A59" s="3" t="s">
        <v>41</v>
      </c>
      <c r="B59" s="41">
        <f>B32/'Statement of Income'!B$10</f>
        <v>1304.9792099792101</v>
      </c>
      <c r="C59" s="41">
        <f>C32/'Statement of Income'!C$10</f>
        <v>1436.1780104712043</v>
      </c>
      <c r="D59" s="41">
        <f>D32/'Statement of Income'!D$10</f>
        <v>1542.3039772727273</v>
      </c>
      <c r="E59" s="41">
        <f>E32/'Statement of Income'!E$10</f>
        <v>1591.3596176821984</v>
      </c>
      <c r="F59" s="41">
        <f>F32/'Statement of Income'!F$10</f>
        <v>1588.3023012552301</v>
      </c>
      <c r="G59" s="41">
        <f>G32/'Statement of Income'!G$10</f>
        <v>1693.6549815498156</v>
      </c>
      <c r="H59" s="41">
        <f>H32/'Statement of Income'!H$10</f>
        <v>1845.1609756097562</v>
      </c>
      <c r="I59" s="41">
        <f>I32/'Statement of Income'!I$10</f>
        <v>1937.0382978723405</v>
      </c>
      <c r="J59" s="41">
        <f>J32/'Statement of Income'!J$10</f>
        <v>2015.4175548589342</v>
      </c>
      <c r="K59" s="41">
        <f>K32/'Statement of Income'!K$10</f>
        <v>2304.1329220415032</v>
      </c>
      <c r="L59" s="41">
        <f>L32/'Statement of Income'!L$10</f>
        <v>2239.4144278606964</v>
      </c>
      <c r="M59" s="41">
        <f>M32/'Statement of Income'!M$10</f>
        <v>1735.2817777777777</v>
      </c>
      <c r="N59" s="41">
        <f>N32/'Statement of Income'!N$10</f>
        <v>1847.4618241848948</v>
      </c>
      <c r="O59" s="41">
        <f>O32/'Statement of Income'!O$10</f>
        <v>1948.3380056067281</v>
      </c>
      <c r="P59" s="41">
        <f>P32/'Statement of Income'!P$10</f>
        <v>2130.5755148741418</v>
      </c>
      <c r="Q59" s="41">
        <f>Q32/'Statement of Income'!Q$10</f>
        <v>2162.0787572254335</v>
      </c>
      <c r="R59" s="41">
        <f>R32/'Statement of Income'!R$10</f>
        <v>2544.5249494268373</v>
      </c>
      <c r="S59" s="41">
        <f>S32/'Statement of Income'!S$10</f>
        <v>2709.3354251647315</v>
      </c>
      <c r="T59" s="41">
        <f>T32/'Statement of Income'!T$10</f>
        <v>2872.1702065755021</v>
      </c>
      <c r="U59" s="97" t="e">
        <f>U32/'Statement of Income'!U$10</f>
        <v>#DIV/0!</v>
      </c>
      <c r="V59" s="97" t="e">
        <f>V32/'Statement of Income'!V$10</f>
        <v>#DIV/0!</v>
      </c>
      <c r="W59" s="95"/>
      <c r="X59" s="95"/>
      <c r="Y59" s="95"/>
      <c r="Z59" s="95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52" x14ac:dyDescent="0.2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95"/>
      <c r="V60" s="95"/>
      <c r="W60" s="95"/>
      <c r="X60" s="95"/>
      <c r="Y60" s="95"/>
      <c r="Z60" s="95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52" ht="17" x14ac:dyDescent="0.2">
      <c r="A61" s="128" t="s">
        <v>137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95"/>
      <c r="V61" s="95"/>
      <c r="W61" s="95"/>
      <c r="X61" s="95"/>
      <c r="Y61" s="95"/>
      <c r="Z61" s="95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52" ht="17" x14ac:dyDescent="0.2">
      <c r="A62" s="3" t="s">
        <v>8</v>
      </c>
      <c r="B62" s="1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>
        <f t="shared" ref="Q62" si="125">Q30/P30-1</f>
        <v>6.4647846192687819E-2</v>
      </c>
      <c r="R62" s="129">
        <f>R30/Q30-1</f>
        <v>0.25954097131260712</v>
      </c>
      <c r="S62" s="129">
        <f>S30/R30-1</f>
        <v>0.14762063190468133</v>
      </c>
      <c r="T62" s="129">
        <f>T30/S30-1</f>
        <v>0.14560912063459686</v>
      </c>
      <c r="U62" s="109">
        <f>U30/T30-1</f>
        <v>-1</v>
      </c>
      <c r="V62" s="109" t="e">
        <f>V30/U30-1</f>
        <v>#DIV/0!</v>
      </c>
      <c r="W62" s="95"/>
      <c r="X62" s="95"/>
      <c r="Y62" s="95"/>
      <c r="Z62" s="95"/>
      <c r="AA62" s="1"/>
      <c r="AB62" s="1"/>
      <c r="AC62" s="1"/>
      <c r="AD62" s="1"/>
      <c r="AE62" s="1"/>
      <c r="AF62" s="1"/>
      <c r="AG62" s="1"/>
      <c r="AH62" s="171">
        <f>(AH30-AC30)/ABS(AC30)</f>
        <v>0.16489956235176195</v>
      </c>
      <c r="AI62" s="171">
        <f t="shared" ref="AI62:AK64" si="126">(AI30-AD30)/ABS(AD30)</f>
        <v>0.17301971525090071</v>
      </c>
      <c r="AJ62" s="171">
        <f t="shared" si="126"/>
        <v>0.13968419728949721</v>
      </c>
      <c r="AK62" s="171">
        <f t="shared" si="126"/>
        <v>0.11575818356660934</v>
      </c>
      <c r="AL62" s="1"/>
      <c r="AM62" s="171">
        <f>(AM30-AH30)/ABS(AH30)</f>
        <v>0.17611843382245532</v>
      </c>
      <c r="AN62" s="171">
        <f t="shared" ref="AN62:AN64" si="127">(AN30-AI30)/ABS(AI30)</f>
        <v>0.13895782656163211</v>
      </c>
      <c r="AO62" s="171">
        <f t="shared" ref="AO62:AO64" si="128">(AO30-AJ30)/ABS(AJ30)</f>
        <v>0.11519722694448077</v>
      </c>
      <c r="AP62" s="171">
        <f t="shared" ref="AP62:AP64" si="129">(AP30-AK30)/ABS(AK30)</f>
        <v>0.15511757205831858</v>
      </c>
      <c r="AR62" s="91">
        <f>(AR30-AM30)/ABS(AM30)</f>
        <v>0.1418276152919874</v>
      </c>
      <c r="AS62" s="91">
        <f t="shared" ref="AS62:AS64" si="130">(AS30-AN30)/ABS(AN30)</f>
        <v>0.18314408476606089</v>
      </c>
      <c r="AT62" s="91">
        <f t="shared" ref="AT62:AT64" si="131">(AT30-AO30)/ABS(AO30)</f>
        <v>-1</v>
      </c>
      <c r="AU62" s="91">
        <f t="shared" ref="AU62:AU64" si="132">(AU30-AP30)/ABS(AP30)</f>
        <v>-1</v>
      </c>
      <c r="AW62" s="91">
        <f>(AW30-AR30)/ABS(AR30)</f>
        <v>-1</v>
      </c>
      <c r="AX62" s="91">
        <f t="shared" ref="AX62:AX64" si="133">(AX30-AS30)/ABS(AS30)</f>
        <v>-1</v>
      </c>
      <c r="AY62" s="91" t="e">
        <f t="shared" ref="AY62:AY64" si="134">(AY30-AT30)/ABS(AT30)</f>
        <v>#DIV/0!</v>
      </c>
      <c r="AZ62" s="91" t="e">
        <f t="shared" ref="AZ62:AZ64" si="135">(AZ30-AU30)/ABS(AU30)</f>
        <v>#DIV/0!</v>
      </c>
    </row>
    <row r="63" spans="1:52" ht="17" x14ac:dyDescent="0.2">
      <c r="A63" s="3" t="s">
        <v>9</v>
      </c>
      <c r="B63" s="1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>
        <f t="shared" ref="C63:Q91" si="136">Q31/P31-1</f>
        <v>1.5298622350294084</v>
      </c>
      <c r="R63" s="129">
        <f t="shared" ref="R63:R78" si="137">R31/Q31-1</f>
        <v>0.4026119926976548</v>
      </c>
      <c r="S63" s="129">
        <f t="shared" ref="S63:V64" si="138">S31/R31-1</f>
        <v>-0.14729898099942151</v>
      </c>
      <c r="T63" s="129">
        <f t="shared" si="138"/>
        <v>-0.11905911207942488</v>
      </c>
      <c r="U63" s="109">
        <f t="shared" si="138"/>
        <v>-1</v>
      </c>
      <c r="V63" s="109" t="e">
        <f t="shared" si="138"/>
        <v>#DIV/0!</v>
      </c>
      <c r="W63" s="95"/>
      <c r="X63" s="95"/>
      <c r="Y63" s="95"/>
      <c r="Z63" s="95"/>
      <c r="AA63" s="1"/>
      <c r="AB63" s="1"/>
      <c r="AC63" s="1"/>
      <c r="AD63" s="1"/>
      <c r="AE63" s="1"/>
      <c r="AF63" s="1"/>
      <c r="AG63" s="1"/>
      <c r="AH63" s="171">
        <f t="shared" ref="AH63:AH91" si="139">(AH31-AC31)/ABS(AC31)</f>
        <v>-0.15641977721321088</v>
      </c>
      <c r="AI63" s="171">
        <f t="shared" si="126"/>
        <v>-0.11375307469900316</v>
      </c>
      <c r="AJ63" s="171">
        <f t="shared" si="126"/>
        <v>-0.1038380387822767</v>
      </c>
      <c r="AK63" s="171">
        <f t="shared" si="126"/>
        <v>-0.21368004522328998</v>
      </c>
      <c r="AL63" s="1"/>
      <c r="AM63" s="171">
        <f t="shared" ref="AM63:AM64" si="140">(AM31-AH31)/ABS(AH31)</f>
        <v>-0.1858870407264977</v>
      </c>
      <c r="AN63" s="171">
        <f t="shared" si="127"/>
        <v>-0.1580074986609534</v>
      </c>
      <c r="AO63" s="171">
        <f t="shared" si="128"/>
        <v>-0.10818992095969505</v>
      </c>
      <c r="AP63" s="171">
        <f t="shared" si="129"/>
        <v>3.6544452432302902E-3</v>
      </c>
      <c r="AR63" s="91">
        <f t="shared" ref="AR63:AR64" si="141">(AR31-AM31)/ABS(AM31)</f>
        <v>-9.6750327243753913E-3</v>
      </c>
      <c r="AS63" s="91">
        <f t="shared" si="130"/>
        <v>5.2741151977793201E-2</v>
      </c>
      <c r="AT63" s="91">
        <f t="shared" si="131"/>
        <v>-1</v>
      </c>
      <c r="AU63" s="91">
        <f t="shared" si="132"/>
        <v>-1</v>
      </c>
      <c r="AW63" s="91">
        <f t="shared" ref="AW63:AW64" si="142">(AW31-AR31)/ABS(AR31)</f>
        <v>-1</v>
      </c>
      <c r="AX63" s="91">
        <f t="shared" si="133"/>
        <v>-1</v>
      </c>
      <c r="AY63" s="91" t="e">
        <f t="shared" si="134"/>
        <v>#DIV/0!</v>
      </c>
      <c r="AZ63" s="91" t="e">
        <f t="shared" si="135"/>
        <v>#DIV/0!</v>
      </c>
    </row>
    <row r="64" spans="1:52" ht="17" x14ac:dyDescent="0.2">
      <c r="A64" s="118" t="s">
        <v>10</v>
      </c>
      <c r="B64" s="1"/>
      <c r="C64" s="129">
        <f t="shared" si="136"/>
        <v>0.31103481786536458</v>
      </c>
      <c r="D64" s="129">
        <f t="shared" si="136"/>
        <v>0.31940991335836588</v>
      </c>
      <c r="E64" s="129">
        <f t="shared" si="136"/>
        <v>0.22673612198397097</v>
      </c>
      <c r="F64" s="129">
        <f t="shared" si="136"/>
        <v>0.13998008961176245</v>
      </c>
      <c r="G64" s="129">
        <f t="shared" si="136"/>
        <v>0.20910263781293281</v>
      </c>
      <c r="H64" s="129">
        <f t="shared" si="136"/>
        <v>0.23618977276812414</v>
      </c>
      <c r="I64" s="129">
        <f t="shared" si="136"/>
        <v>0.2034220029715168</v>
      </c>
      <c r="J64" s="129">
        <f t="shared" si="136"/>
        <v>0.17697816070743366</v>
      </c>
      <c r="K64" s="129">
        <f t="shared" si="136"/>
        <v>0.27800675109212958</v>
      </c>
      <c r="L64" s="129">
        <f t="shared" si="136"/>
        <v>9.5649530252279069E-2</v>
      </c>
      <c r="M64" s="129">
        <f t="shared" si="136"/>
        <v>-0.13259485255451686</v>
      </c>
      <c r="N64" s="129">
        <f t="shared" si="136"/>
        <v>0.14650608136904575</v>
      </c>
      <c r="O64" s="129">
        <f t="shared" si="136"/>
        <v>8.6810830131355488E-2</v>
      </c>
      <c r="P64" s="129">
        <f t="shared" si="136"/>
        <v>0.148277286742035</v>
      </c>
      <c r="Q64" s="129">
        <f t="shared" si="136"/>
        <v>7.1292283055415684E-2</v>
      </c>
      <c r="R64" s="129">
        <f t="shared" si="137"/>
        <v>0.26107310823017738</v>
      </c>
      <c r="S64" s="129">
        <f t="shared" si="138"/>
        <v>0.14410788517543449</v>
      </c>
      <c r="T64" s="129">
        <f t="shared" si="138"/>
        <v>0.14325962412845361</v>
      </c>
      <c r="U64" s="109">
        <f t="shared" si="138"/>
        <v>0.14234517336667896</v>
      </c>
      <c r="V64" s="109">
        <f t="shared" si="138"/>
        <v>5.6872727272726964E-2</v>
      </c>
      <c r="W64" s="95"/>
      <c r="X64" s="95"/>
      <c r="Y64" s="95"/>
      <c r="Z64" s="95"/>
      <c r="AA64" s="1"/>
      <c r="AB64" s="1"/>
      <c r="AC64" s="1"/>
      <c r="AD64" s="1"/>
      <c r="AE64" s="1"/>
      <c r="AF64" s="1"/>
      <c r="AG64" s="1"/>
      <c r="AH64" s="171">
        <f t="shared" si="139"/>
        <v>0.1601791481848327</v>
      </c>
      <c r="AI64" s="171">
        <f t="shared" si="126"/>
        <v>0.16950835333293177</v>
      </c>
      <c r="AJ64" s="171">
        <f t="shared" si="126"/>
        <v>0.13720122008999572</v>
      </c>
      <c r="AK64" s="171">
        <f t="shared" si="126"/>
        <v>0.11219131780399494</v>
      </c>
      <c r="AL64" s="1"/>
      <c r="AM64" s="171">
        <f t="shared" si="140"/>
        <v>0.17225156257810417</v>
      </c>
      <c r="AN64" s="171">
        <f t="shared" si="127"/>
        <v>0.13620236213250658</v>
      </c>
      <c r="AO64" s="171">
        <f t="shared" si="128"/>
        <v>0.11340232188904027</v>
      </c>
      <c r="AP64" s="171">
        <f t="shared" si="129"/>
        <v>0.15395815553432796</v>
      </c>
      <c r="AR64" s="91">
        <f t="shared" si="141"/>
        <v>0.14070371277305391</v>
      </c>
      <c r="AS64" s="91">
        <f t="shared" si="130"/>
        <v>0.18224742236065597</v>
      </c>
      <c r="AT64" s="91">
        <f t="shared" si="131"/>
        <v>-1</v>
      </c>
      <c r="AU64" s="91">
        <f t="shared" si="132"/>
        <v>-1</v>
      </c>
      <c r="AW64" s="91">
        <f t="shared" si="142"/>
        <v>-1</v>
      </c>
      <c r="AX64" s="91">
        <f t="shared" si="133"/>
        <v>-1</v>
      </c>
      <c r="AY64" s="91" t="e">
        <f t="shared" si="134"/>
        <v>#DIV/0!</v>
      </c>
      <c r="AZ64" s="91" t="e">
        <f t="shared" si="135"/>
        <v>#DIV/0!</v>
      </c>
    </row>
    <row r="65" spans="1:52" x14ac:dyDescent="0.2">
      <c r="A65" s="3"/>
      <c r="B65" s="1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09"/>
      <c r="V65" s="109"/>
      <c r="W65" s="95"/>
      <c r="X65" s="95"/>
      <c r="Y65" s="95"/>
      <c r="Z65" s="95"/>
      <c r="AA65" s="1"/>
      <c r="AB65" s="1"/>
      <c r="AC65" s="1"/>
      <c r="AD65" s="1"/>
      <c r="AE65" s="1"/>
      <c r="AF65" s="1"/>
      <c r="AG65" s="1"/>
      <c r="AH65" s="171"/>
      <c r="AI65" s="171"/>
      <c r="AJ65" s="171"/>
      <c r="AK65" s="171"/>
      <c r="AL65" s="1"/>
      <c r="AM65" s="171"/>
      <c r="AN65" s="171"/>
      <c r="AO65" s="171"/>
      <c r="AP65" s="171"/>
      <c r="AR65" s="91"/>
      <c r="AS65" s="91"/>
      <c r="AT65" s="91"/>
      <c r="AU65" s="91"/>
      <c r="AW65" s="91"/>
      <c r="AX65" s="91"/>
      <c r="AY65" s="91"/>
      <c r="AZ65" s="91"/>
    </row>
    <row r="66" spans="1:52" ht="34" x14ac:dyDescent="0.2">
      <c r="A66" s="11" t="s">
        <v>21</v>
      </c>
      <c r="B66" s="1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09"/>
      <c r="V66" s="109"/>
      <c r="W66" s="95"/>
      <c r="X66" s="95"/>
      <c r="Y66" s="95"/>
      <c r="Z66" s="95"/>
      <c r="AA66" s="1"/>
      <c r="AB66" s="1"/>
      <c r="AC66" s="1"/>
      <c r="AD66" s="1"/>
      <c r="AE66" s="1"/>
      <c r="AF66" s="1"/>
      <c r="AG66" s="1"/>
      <c r="AH66" s="171"/>
      <c r="AI66" s="171"/>
      <c r="AJ66" s="171"/>
      <c r="AK66" s="171"/>
      <c r="AL66" s="1"/>
      <c r="AM66" s="171"/>
      <c r="AN66" s="171"/>
      <c r="AO66" s="171"/>
      <c r="AP66" s="171"/>
      <c r="AR66" s="91"/>
      <c r="AS66" s="91"/>
      <c r="AT66" s="91"/>
      <c r="AU66" s="91"/>
      <c r="AW66" s="91"/>
      <c r="AX66" s="91"/>
      <c r="AY66" s="91"/>
      <c r="AZ66" s="91"/>
    </row>
    <row r="67" spans="1:52" ht="17" x14ac:dyDescent="0.2">
      <c r="A67" s="5" t="s">
        <v>22</v>
      </c>
      <c r="B67" s="1"/>
      <c r="C67" s="129">
        <f t="shared" si="136"/>
        <v>-0.21894526615518473</v>
      </c>
      <c r="D67" s="129">
        <f t="shared" si="136"/>
        <v>1.1923885112469779</v>
      </c>
      <c r="E67" s="129">
        <f t="shared" si="136"/>
        <v>0.24698536055867182</v>
      </c>
      <c r="F67" s="129">
        <f t="shared" si="136"/>
        <v>7.8898568574385264E-2</v>
      </c>
      <c r="G67" s="129">
        <f t="shared" si="136"/>
        <v>0.20402251371701641</v>
      </c>
      <c r="H67" s="129">
        <f t="shared" si="136"/>
        <v>0.31654033900842449</v>
      </c>
      <c r="I67" s="129">
        <f t="shared" si="136"/>
        <v>0.20614441195581557</v>
      </c>
      <c r="J67" s="129">
        <f t="shared" si="136"/>
        <v>0.20483769414917785</v>
      </c>
      <c r="K67" s="129">
        <f t="shared" si="136"/>
        <v>0.32368464686999898</v>
      </c>
      <c r="L67" s="129">
        <f t="shared" si="136"/>
        <v>5.829792384767285E-2</v>
      </c>
      <c r="M67" s="129">
        <f t="shared" si="136"/>
        <v>-9.1934952970239459E-2</v>
      </c>
      <c r="N67" s="129">
        <f t="shared" si="136"/>
        <v>0.12437792000468662</v>
      </c>
      <c r="O67" s="129">
        <f t="shared" si="136"/>
        <v>4.2549699497469007E-2</v>
      </c>
      <c r="P67" s="129">
        <f t="shared" si="136"/>
        <v>0.15439916039881063</v>
      </c>
      <c r="Q67" s="129">
        <f t="shared" si="136"/>
        <v>4.5916589282196885E-2</v>
      </c>
      <c r="R67" s="129">
        <f t="shared" si="137"/>
        <v>0.19446999792007924</v>
      </c>
      <c r="S67" s="129">
        <f t="shared" ref="S67:V80" si="143">S35/R35-1</f>
        <v>0.12718100034176105</v>
      </c>
      <c r="T67" s="129">
        <f t="shared" si="143"/>
        <v>0.1192504933240337</v>
      </c>
      <c r="U67" s="109">
        <f t="shared" si="143"/>
        <v>-1</v>
      </c>
      <c r="V67" s="109" t="e">
        <f t="shared" si="143"/>
        <v>#DIV/0!</v>
      </c>
      <c r="W67" s="95"/>
      <c r="X67" s="95"/>
      <c r="Y67" s="95"/>
      <c r="Z67" s="95"/>
      <c r="AA67" s="1"/>
      <c r="AB67" s="1"/>
      <c r="AC67" s="1"/>
      <c r="AD67" s="1"/>
      <c r="AE67" s="1"/>
      <c r="AF67" s="1"/>
      <c r="AG67" s="1"/>
      <c r="AH67" s="171">
        <f t="shared" si="139"/>
        <v>0.19946582075531261</v>
      </c>
      <c r="AI67" s="171">
        <f t="shared" ref="AI67:AI80" si="144">(AI35-AD35)/ABS(AD35)</f>
        <v>0.17311367885280202</v>
      </c>
      <c r="AJ67" s="171">
        <f t="shared" ref="AJ67:AJ80" si="145">(AJ35-AE35)/ABS(AE35)</f>
        <v>0.12041966272753715</v>
      </c>
      <c r="AK67" s="171">
        <f t="shared" ref="AK67:AK80" si="146">(AK35-AF35)/ABS(AF35)</f>
        <v>3.0155607514311053E-2</v>
      </c>
      <c r="AL67" s="1"/>
      <c r="AM67" s="171">
        <f t="shared" ref="AM67:AM80" si="147">(AM35-AH35)/ABS(AH35)</f>
        <v>0.10469018672060179</v>
      </c>
      <c r="AN67" s="171">
        <f t="shared" ref="AN67:AN80" si="148">(AN35-AI35)/ABS(AI35)</f>
        <v>9.6057739105661136E-2</v>
      </c>
      <c r="AO67" s="171">
        <f t="shared" ref="AO67:AO80" si="149">(AO35-AJ35)/ABS(AJ35)</f>
        <v>0.10813837655084976</v>
      </c>
      <c r="AP67" s="171">
        <f t="shared" ref="AP67:AP80" si="150">(AP35-AK35)/ABS(AK35)</f>
        <v>0.16952935817585008</v>
      </c>
      <c r="AR67" s="91">
        <f t="shared" ref="AR67:AR80" si="151">(AR35-AM35)/ABS(AM35)</f>
        <v>0.12492365271406479</v>
      </c>
      <c r="AS67" s="91">
        <f t="shared" ref="AS67:AS80" si="152">(AS35-AN35)/ABS(AN35)</f>
        <v>0.18277457680352638</v>
      </c>
      <c r="AT67" s="91">
        <f t="shared" ref="AT67:AT80" si="153">(AT35-AO35)/ABS(AO35)</f>
        <v>-1</v>
      </c>
      <c r="AU67" s="91">
        <f t="shared" ref="AU67:AU80" si="154">(AU35-AP35)/ABS(AP35)</f>
        <v>-1</v>
      </c>
      <c r="AW67" s="91">
        <f t="shared" ref="AW67:AW80" si="155">(AW35-AR35)/ABS(AR35)</f>
        <v>-1</v>
      </c>
      <c r="AX67" s="91">
        <f t="shared" ref="AX67:AX80" si="156">(AX35-AS35)/ABS(AS35)</f>
        <v>-1</v>
      </c>
      <c r="AY67" s="91" t="e">
        <f t="shared" ref="AY67:AY80" si="157">(AY35-AT35)/ABS(AT35)</f>
        <v>#DIV/0!</v>
      </c>
      <c r="AZ67" s="91" t="e">
        <f t="shared" ref="AZ67:AZ80" si="158">(AZ35-AU35)/ABS(AU35)</f>
        <v>#DIV/0!</v>
      </c>
    </row>
    <row r="68" spans="1:52" ht="17" x14ac:dyDescent="0.2">
      <c r="A68" s="5" t="s">
        <v>23</v>
      </c>
      <c r="B68" s="1"/>
      <c r="C68" s="129">
        <f t="shared" si="136"/>
        <v>0.29326715942726378</v>
      </c>
      <c r="D68" s="129">
        <f t="shared" si="136"/>
        <v>0.25216108404648385</v>
      </c>
      <c r="E68" s="129">
        <f t="shared" si="136"/>
        <v>0.21280021560585594</v>
      </c>
      <c r="F68" s="129">
        <f t="shared" si="136"/>
        <v>9.7055597498611146E-2</v>
      </c>
      <c r="G68" s="129">
        <f t="shared" si="136"/>
        <v>0.17789140732122832</v>
      </c>
      <c r="H68" s="129">
        <f t="shared" si="136"/>
        <v>0.1974235679813392</v>
      </c>
      <c r="I68" s="129">
        <f t="shared" si="136"/>
        <v>0.18175943025377506</v>
      </c>
      <c r="J68" s="129">
        <f t="shared" si="136"/>
        <v>0.15263089013392839</v>
      </c>
      <c r="K68" s="129">
        <f t="shared" si="136"/>
        <v>0.22250202757502024</v>
      </c>
      <c r="L68" s="129">
        <f t="shared" si="136"/>
        <v>0.15625597767376864</v>
      </c>
      <c r="M68" s="129">
        <f t="shared" si="136"/>
        <v>5.6683108194689691E-2</v>
      </c>
      <c r="N68" s="129">
        <f t="shared" si="136"/>
        <v>9.139448742580325E-2</v>
      </c>
      <c r="O68" s="129">
        <f t="shared" si="136"/>
        <v>9.957528739825805E-2</v>
      </c>
      <c r="P68" s="129">
        <f t="shared" si="136"/>
        <v>0.110084693295045</v>
      </c>
      <c r="Q68" s="129">
        <f t="shared" si="136"/>
        <v>8.2165808458894318E-2</v>
      </c>
      <c r="R68" s="129">
        <f t="shared" si="137"/>
        <v>0.20385772118620493</v>
      </c>
      <c r="S68" s="129">
        <f t="shared" si="143"/>
        <v>0.14610631877486302</v>
      </c>
      <c r="T68" s="129">
        <f t="shared" si="143"/>
        <v>0.11056808182867917</v>
      </c>
      <c r="U68" s="109">
        <f t="shared" si="143"/>
        <v>-1</v>
      </c>
      <c r="V68" s="109" t="e">
        <f t="shared" si="143"/>
        <v>#DIV/0!</v>
      </c>
      <c r="W68" s="95"/>
      <c r="X68" s="95"/>
      <c r="Y68" s="95"/>
      <c r="Z68" s="95"/>
      <c r="AA68" s="1"/>
      <c r="AB68" s="1"/>
      <c r="AC68" s="1"/>
      <c r="AD68" s="1"/>
      <c r="AE68" s="1"/>
      <c r="AF68" s="1"/>
      <c r="AG68" s="1"/>
      <c r="AH68" s="171">
        <f t="shared" si="139"/>
        <v>0.22660370005695588</v>
      </c>
      <c r="AI68" s="171">
        <f t="shared" si="144"/>
        <v>0.18389428769488445</v>
      </c>
      <c r="AJ68" s="171">
        <f t="shared" si="145"/>
        <v>0.10824513631834067</v>
      </c>
      <c r="AK68" s="171">
        <f t="shared" si="146"/>
        <v>8.1429254163369311E-2</v>
      </c>
      <c r="AL68" s="1"/>
      <c r="AM68" s="171">
        <f t="shared" si="147"/>
        <v>9.7480918900627891E-2</v>
      </c>
      <c r="AN68" s="171">
        <f t="shared" si="148"/>
        <v>0.11229147194349785</v>
      </c>
      <c r="AO68" s="171">
        <f t="shared" si="149"/>
        <v>0.10607741152737546</v>
      </c>
      <c r="AP68" s="171">
        <f t="shared" si="150"/>
        <v>0.12580468551512397</v>
      </c>
      <c r="AR68" s="91">
        <f t="shared" si="151"/>
        <v>0.12959365803691028</v>
      </c>
      <c r="AS68" s="91">
        <f t="shared" si="152"/>
        <v>0.17157556753716824</v>
      </c>
      <c r="AT68" s="91">
        <f t="shared" si="153"/>
        <v>-1</v>
      </c>
      <c r="AU68" s="91">
        <f t="shared" si="154"/>
        <v>-1</v>
      </c>
      <c r="AW68" s="91">
        <f t="shared" si="155"/>
        <v>-1</v>
      </c>
      <c r="AX68" s="91">
        <f t="shared" si="156"/>
        <v>-1</v>
      </c>
      <c r="AY68" s="91" t="e">
        <f t="shared" si="157"/>
        <v>#DIV/0!</v>
      </c>
      <c r="AZ68" s="91" t="e">
        <f t="shared" si="158"/>
        <v>#DIV/0!</v>
      </c>
    </row>
    <row r="69" spans="1:52" ht="17" x14ac:dyDescent="0.2">
      <c r="A69" s="5" t="s">
        <v>24</v>
      </c>
      <c r="B69" s="1"/>
      <c r="C69" s="129">
        <f t="shared" si="136"/>
        <v>0.23444453774456298</v>
      </c>
      <c r="D69" s="129">
        <f t="shared" si="136"/>
        <v>0.29057547105639081</v>
      </c>
      <c r="E69" s="129">
        <f t="shared" si="136"/>
        <v>0.29226126945224062</v>
      </c>
      <c r="F69" s="129">
        <f t="shared" si="136"/>
        <v>0.16464602175974541</v>
      </c>
      <c r="G69" s="129">
        <f t="shared" si="136"/>
        <v>0.12883258330560854</v>
      </c>
      <c r="H69" s="129">
        <f t="shared" si="136"/>
        <v>0.14225217748753227</v>
      </c>
      <c r="I69" s="129">
        <f t="shared" si="136"/>
        <v>0.16405475508236345</v>
      </c>
      <c r="J69" s="129">
        <f t="shared" si="136"/>
        <v>0.16141394697698841</v>
      </c>
      <c r="K69" s="129">
        <f t="shared" si="136"/>
        <v>0.1595172444966777</v>
      </c>
      <c r="L69" s="129">
        <f t="shared" si="136"/>
        <v>0.13663218809016398</v>
      </c>
      <c r="M69" s="129">
        <f t="shared" si="136"/>
        <v>0.11898846089355675</v>
      </c>
      <c r="N69" s="129">
        <f t="shared" si="136"/>
        <v>0.11407320628260842</v>
      </c>
      <c r="O69" s="129">
        <f t="shared" si="136"/>
        <v>6.1109888363107157E-2</v>
      </c>
      <c r="P69" s="129">
        <f t="shared" si="136"/>
        <v>4.5946249600285816E-2</v>
      </c>
      <c r="Q69" s="129">
        <f t="shared" si="136"/>
        <v>6.8003040719196273E-2</v>
      </c>
      <c r="R69" s="129">
        <f t="shared" si="137"/>
        <v>7.4385834609889567E-2</v>
      </c>
      <c r="S69" s="129">
        <f t="shared" si="143"/>
        <v>0.10518091434112797</v>
      </c>
      <c r="T69" s="129">
        <f t="shared" si="143"/>
        <v>9.304229787696161E-2</v>
      </c>
      <c r="U69" s="109">
        <f t="shared" si="143"/>
        <v>-1</v>
      </c>
      <c r="V69" s="109" t="e">
        <f t="shared" si="143"/>
        <v>#DIV/0!</v>
      </c>
      <c r="W69" s="95"/>
      <c r="X69" s="95"/>
      <c r="Y69" s="95"/>
      <c r="Z69" s="95"/>
      <c r="AA69" s="1"/>
      <c r="AB69" s="1"/>
      <c r="AC69" s="1"/>
      <c r="AD69" s="1"/>
      <c r="AE69" s="1"/>
      <c r="AF69" s="1"/>
      <c r="AG69" s="1"/>
      <c r="AH69" s="171">
        <f t="shared" si="139"/>
        <v>0.10084603366447543</v>
      </c>
      <c r="AI69" s="171">
        <f t="shared" si="144"/>
        <v>0.10141158271294595</v>
      </c>
      <c r="AJ69" s="171">
        <f t="shared" si="145"/>
        <v>0.11132859349663701</v>
      </c>
      <c r="AK69" s="171">
        <f t="shared" si="146"/>
        <v>0.10695626212867593</v>
      </c>
      <c r="AL69" s="1"/>
      <c r="AM69" s="171">
        <f t="shared" si="147"/>
        <v>8.8358683233361893E-2</v>
      </c>
      <c r="AN69" s="171">
        <f t="shared" si="148"/>
        <v>8.7588549759039319E-2</v>
      </c>
      <c r="AO69" s="171">
        <f t="shared" si="149"/>
        <v>9.0161103724552341E-2</v>
      </c>
      <c r="AP69" s="171">
        <f t="shared" si="150"/>
        <v>0.1055137886858607</v>
      </c>
      <c r="AR69" s="91">
        <f t="shared" si="151"/>
        <v>0.11291632152610903</v>
      </c>
      <c r="AS69" s="91">
        <f t="shared" si="152"/>
        <v>0.11917964115353882</v>
      </c>
      <c r="AT69" s="91">
        <f t="shared" si="153"/>
        <v>-1</v>
      </c>
      <c r="AU69" s="91">
        <f t="shared" si="154"/>
        <v>-1</v>
      </c>
      <c r="AW69" s="91">
        <f t="shared" si="155"/>
        <v>-1</v>
      </c>
      <c r="AX69" s="91">
        <f t="shared" si="156"/>
        <v>-1</v>
      </c>
      <c r="AY69" s="91" t="e">
        <f t="shared" si="157"/>
        <v>#DIV/0!</v>
      </c>
      <c r="AZ69" s="91" t="e">
        <f t="shared" si="158"/>
        <v>#DIV/0!</v>
      </c>
    </row>
    <row r="70" spans="1:52" ht="17" x14ac:dyDescent="0.2">
      <c r="A70" s="5" t="s">
        <v>25</v>
      </c>
      <c r="B70" s="1"/>
      <c r="C70" s="129">
        <f t="shared" si="136"/>
        <v>0.23824961434631708</v>
      </c>
      <c r="D70" s="129">
        <f t="shared" si="136"/>
        <v>0.27998442746605678</v>
      </c>
      <c r="E70" s="129">
        <f t="shared" si="136"/>
        <v>0.24717136078836921</v>
      </c>
      <c r="F70" s="129">
        <f t="shared" si="136"/>
        <v>6.4401468131546569E-2</v>
      </c>
      <c r="G70" s="129">
        <f t="shared" si="136"/>
        <v>0.1622341491914927</v>
      </c>
      <c r="H70" s="129">
        <f t="shared" si="136"/>
        <v>0.23806332058510438</v>
      </c>
      <c r="I70" s="129">
        <f t="shared" si="136"/>
        <v>0.14092704054011018</v>
      </c>
      <c r="J70" s="129">
        <f t="shared" si="136"/>
        <v>0.21210355535396541</v>
      </c>
      <c r="K70" s="129">
        <f t="shared" si="136"/>
        <v>0.24997913074516198</v>
      </c>
      <c r="L70" s="129">
        <f t="shared" si="136"/>
        <v>0.18588397306583393</v>
      </c>
      <c r="M70" s="129">
        <f t="shared" si="136"/>
        <v>0.24660024118237622</v>
      </c>
      <c r="N70" s="129">
        <f t="shared" si="136"/>
        <v>1.5096120744042096E-2</v>
      </c>
      <c r="O70" s="129">
        <f t="shared" si="136"/>
        <v>4.3562129015229267E-2</v>
      </c>
      <c r="P70" s="129">
        <f t="shared" si="136"/>
        <v>0.11881811270368559</v>
      </c>
      <c r="Q70" s="129">
        <f t="shared" si="136"/>
        <v>0.35379867539571852</v>
      </c>
      <c r="R70" s="129">
        <f t="shared" si="137"/>
        <v>0.16217480961386865</v>
      </c>
      <c r="S70" s="129">
        <f t="shared" si="143"/>
        <v>9.5944710932004629E-2</v>
      </c>
      <c r="T70" s="129">
        <f t="shared" si="143"/>
        <v>8.9062851349754668E-2</v>
      </c>
      <c r="U70" s="109">
        <f t="shared" si="143"/>
        <v>-1</v>
      </c>
      <c r="V70" s="109" t="e">
        <f t="shared" si="143"/>
        <v>#DIV/0!</v>
      </c>
      <c r="W70" s="95"/>
      <c r="X70" s="95"/>
      <c r="Y70" s="95"/>
      <c r="Z70" s="95"/>
      <c r="AA70" s="1"/>
      <c r="AB70" s="1"/>
      <c r="AC70" s="1"/>
      <c r="AD70" s="1"/>
      <c r="AE70" s="1"/>
      <c r="AF70" s="1"/>
      <c r="AG70" s="1"/>
      <c r="AH70" s="171">
        <f t="shared" si="139"/>
        <v>0.12210308438804249</v>
      </c>
      <c r="AI70" s="171">
        <f t="shared" si="144"/>
        <v>0.1052736020498395</v>
      </c>
      <c r="AJ70" s="171">
        <f t="shared" si="145"/>
        <v>9.3110470049210928E-2</v>
      </c>
      <c r="AK70" s="171">
        <f t="shared" si="146"/>
        <v>6.6131589130353371E-2</v>
      </c>
      <c r="AL70" s="1"/>
      <c r="AM70" s="171">
        <f t="shared" si="147"/>
        <v>9.8311132614644914E-2</v>
      </c>
      <c r="AN70" s="171">
        <f t="shared" si="148"/>
        <v>0.10150528693055648</v>
      </c>
      <c r="AO70" s="171">
        <f t="shared" si="149"/>
        <v>7.2288371082167749E-2</v>
      </c>
      <c r="AP70" s="171">
        <f t="shared" si="150"/>
        <v>8.4362669913711344E-2</v>
      </c>
      <c r="AR70" s="91">
        <f t="shared" si="151"/>
        <v>6.2132784150041573E-2</v>
      </c>
      <c r="AS70" s="91">
        <f t="shared" si="152"/>
        <v>0.10021818265004703</v>
      </c>
      <c r="AT70" s="91">
        <f t="shared" si="153"/>
        <v>-1</v>
      </c>
      <c r="AU70" s="91">
        <f t="shared" si="154"/>
        <v>-1</v>
      </c>
      <c r="AW70" s="91">
        <f t="shared" si="155"/>
        <v>-1</v>
      </c>
      <c r="AX70" s="91">
        <f t="shared" si="156"/>
        <v>-1</v>
      </c>
      <c r="AY70" s="91" t="e">
        <f t="shared" si="157"/>
        <v>#DIV/0!</v>
      </c>
      <c r="AZ70" s="91" t="e">
        <f t="shared" si="158"/>
        <v>#DIV/0!</v>
      </c>
    </row>
    <row r="71" spans="1:52" ht="17" x14ac:dyDescent="0.2">
      <c r="A71" s="3" t="s">
        <v>26</v>
      </c>
      <c r="B71" s="1"/>
      <c r="C71" s="129">
        <f t="shared" si="136"/>
        <v>0.25633130628896938</v>
      </c>
      <c r="D71" s="129">
        <f t="shared" si="136"/>
        <v>0.14940873720972969</v>
      </c>
      <c r="E71" s="129">
        <f t="shared" si="136"/>
        <v>0.18813134678429599</v>
      </c>
      <c r="F71" s="129">
        <f t="shared" si="136"/>
        <v>0.11209690987605847</v>
      </c>
      <c r="G71" s="129">
        <f t="shared" si="136"/>
        <v>0.19607862913392982</v>
      </c>
      <c r="H71" s="129">
        <f t="shared" si="136"/>
        <v>0.26002192427692039</v>
      </c>
      <c r="I71" s="129">
        <f t="shared" si="136"/>
        <v>0.22742360767202485</v>
      </c>
      <c r="J71" s="129">
        <f t="shared" si="136"/>
        <v>0.11081244649935384</v>
      </c>
      <c r="K71" s="129">
        <f t="shared" si="136"/>
        <v>0.34439192472500779</v>
      </c>
      <c r="L71" s="129">
        <f t="shared" si="136"/>
        <v>-8.6466810516361958E-2</v>
      </c>
      <c r="M71" s="129">
        <f t="shared" si="136"/>
        <v>0.10401496319150816</v>
      </c>
      <c r="N71" s="129">
        <f t="shared" si="136"/>
        <v>7.2936576889661264E-2</v>
      </c>
      <c r="O71" s="129">
        <f t="shared" si="136"/>
        <v>0.26678542990944298</v>
      </c>
      <c r="P71" s="129">
        <f t="shared" si="136"/>
        <v>0.20266339956320256</v>
      </c>
      <c r="Q71" s="129">
        <f t="shared" si="136"/>
        <v>3.2640758982354301E-2</v>
      </c>
      <c r="R71" s="129">
        <f t="shared" si="137"/>
        <v>0.30144909509297846</v>
      </c>
      <c r="S71" s="129">
        <f t="shared" si="143"/>
        <v>-7.0301917759461041E-2</v>
      </c>
      <c r="T71" s="129">
        <f t="shared" si="143"/>
        <v>0.12299558128364341</v>
      </c>
      <c r="U71" s="109">
        <f t="shared" si="143"/>
        <v>-1</v>
      </c>
      <c r="V71" s="109" t="e">
        <f t="shared" si="143"/>
        <v>#DIV/0!</v>
      </c>
      <c r="W71" s="95"/>
      <c r="X71" s="95"/>
      <c r="Y71" s="95"/>
      <c r="Z71" s="95"/>
      <c r="AA71" s="1"/>
      <c r="AB71" s="1"/>
      <c r="AC71" s="1"/>
      <c r="AD71" s="1"/>
      <c r="AE71" s="1"/>
      <c r="AF71" s="1"/>
      <c r="AG71" s="1"/>
      <c r="AH71" s="171">
        <f t="shared" si="139"/>
        <v>-4.9650877159049145E-2</v>
      </c>
      <c r="AI71" s="171">
        <f t="shared" si="144"/>
        <v>-3.577004190517926E-2</v>
      </c>
      <c r="AJ71" s="171">
        <f t="shared" si="145"/>
        <v>-3.449599122867128E-2</v>
      </c>
      <c r="AK71" s="171">
        <f t="shared" si="146"/>
        <v>-0.15461549534663938</v>
      </c>
      <c r="AL71" s="1"/>
      <c r="AM71" s="171">
        <f t="shared" si="147"/>
        <v>6.3635500196740887E-3</v>
      </c>
      <c r="AN71" s="171">
        <f t="shared" si="148"/>
        <v>0.11131941485584435</v>
      </c>
      <c r="AO71" s="171">
        <f t="shared" si="149"/>
        <v>0.13204775153304565</v>
      </c>
      <c r="AP71" s="171">
        <f t="shared" si="150"/>
        <v>0.25300393120756925</v>
      </c>
      <c r="AR71" s="91">
        <f t="shared" si="151"/>
        <v>0.37943238506134558</v>
      </c>
      <c r="AS71" s="91">
        <f t="shared" si="152"/>
        <v>0.11841836213066148</v>
      </c>
      <c r="AT71" s="91">
        <f t="shared" si="153"/>
        <v>-1</v>
      </c>
      <c r="AU71" s="91">
        <f t="shared" si="154"/>
        <v>-1</v>
      </c>
      <c r="AW71" s="91">
        <f t="shared" si="155"/>
        <v>-1</v>
      </c>
      <c r="AX71" s="91">
        <f t="shared" si="156"/>
        <v>-1</v>
      </c>
      <c r="AY71" s="91" t="e">
        <f t="shared" si="157"/>
        <v>#DIV/0!</v>
      </c>
      <c r="AZ71" s="91" t="e">
        <f t="shared" si="158"/>
        <v>#DIV/0!</v>
      </c>
    </row>
    <row r="72" spans="1:52" ht="17" x14ac:dyDescent="0.2">
      <c r="A72" s="3" t="s">
        <v>27</v>
      </c>
      <c r="B72" s="1"/>
      <c r="C72" s="129">
        <f t="shared" si="136"/>
        <v>0.22218654106900737</v>
      </c>
      <c r="D72" s="129">
        <f t="shared" si="136"/>
        <v>0.27273523486993834</v>
      </c>
      <c r="E72" s="129">
        <f t="shared" si="136"/>
        <v>0.21045991512788165</v>
      </c>
      <c r="F72" s="129">
        <f t="shared" si="136"/>
        <v>0.16179647527003982</v>
      </c>
      <c r="G72" s="129">
        <f t="shared" si="136"/>
        <v>0.12417629020682464</v>
      </c>
      <c r="H72" s="129">
        <f t="shared" si="136"/>
        <v>8.7302853992252016E-2</v>
      </c>
      <c r="I72" s="129">
        <f t="shared" si="136"/>
        <v>0.12266140009074178</v>
      </c>
      <c r="J72" s="129">
        <f t="shared" si="136"/>
        <v>0.14173303221205269</v>
      </c>
      <c r="K72" s="129">
        <f t="shared" si="136"/>
        <v>0.15012388864596993</v>
      </c>
      <c r="L72" s="129">
        <f t="shared" si="136"/>
        <v>0.18007857052338117</v>
      </c>
      <c r="M72" s="129">
        <f t="shared" si="136"/>
        <v>0.12272950417280315</v>
      </c>
      <c r="N72" s="129">
        <f t="shared" si="136"/>
        <v>0.11600896370791425</v>
      </c>
      <c r="O72" s="129">
        <f>O40/N40-1</f>
        <v>0.23649509023679505</v>
      </c>
      <c r="P72" s="129">
        <f t="shared" si="136"/>
        <v>5.3465954381396008E-2</v>
      </c>
      <c r="Q72" s="129">
        <f t="shared" si="136"/>
        <v>0.12104634877665932</v>
      </c>
      <c r="R72" s="129">
        <f t="shared" si="137"/>
        <v>6.7592041386133728E-2</v>
      </c>
      <c r="S72" s="129">
        <f t="shared" si="143"/>
        <v>0.12632285780481189</v>
      </c>
      <c r="T72" s="129">
        <f t="shared" si="143"/>
        <v>0.11354619176783132</v>
      </c>
      <c r="U72" s="109">
        <f t="shared" si="143"/>
        <v>-1</v>
      </c>
      <c r="V72" s="109" t="e">
        <f t="shared" si="143"/>
        <v>#DIV/0!</v>
      </c>
      <c r="W72" s="95"/>
      <c r="X72" s="95"/>
      <c r="Y72" s="95"/>
      <c r="Z72" s="95"/>
      <c r="AA72" s="1"/>
      <c r="AB72" s="1"/>
      <c r="AC72" s="1"/>
      <c r="AD72" s="1"/>
      <c r="AE72" s="1"/>
      <c r="AF72" s="1"/>
      <c r="AG72" s="1"/>
      <c r="AH72" s="171">
        <f t="shared" si="139"/>
        <v>0.13534108551693547</v>
      </c>
      <c r="AI72" s="171">
        <f t="shared" si="144"/>
        <v>0.12324023066267195</v>
      </c>
      <c r="AJ72" s="171">
        <f t="shared" si="145"/>
        <v>0.13016094064028105</v>
      </c>
      <c r="AK72" s="171">
        <f t="shared" si="146"/>
        <v>0.11695994687754671</v>
      </c>
      <c r="AL72" s="1"/>
      <c r="AM72" s="171">
        <f t="shared" si="147"/>
        <v>6.8652759366496896E-2</v>
      </c>
      <c r="AN72" s="171">
        <f t="shared" si="148"/>
        <v>0.12960865013695094</v>
      </c>
      <c r="AO72" s="171">
        <f t="shared" si="149"/>
        <v>9.9837571412568618E-2</v>
      </c>
      <c r="AP72" s="171">
        <f t="shared" si="150"/>
        <v>0.15510998216505431</v>
      </c>
      <c r="AR72" s="91">
        <f t="shared" si="151"/>
        <v>8.6936084089573679E-2</v>
      </c>
      <c r="AS72" s="91">
        <f t="shared" si="152"/>
        <v>6.0821876071142936E-2</v>
      </c>
      <c r="AT72" s="91">
        <f t="shared" si="153"/>
        <v>-1</v>
      </c>
      <c r="AU72" s="91">
        <f t="shared" si="154"/>
        <v>-1</v>
      </c>
      <c r="AW72" s="91">
        <f t="shared" si="155"/>
        <v>-1</v>
      </c>
      <c r="AX72" s="91">
        <f t="shared" si="156"/>
        <v>-1</v>
      </c>
      <c r="AY72" s="91" t="e">
        <f t="shared" si="157"/>
        <v>#DIV/0!</v>
      </c>
      <c r="AZ72" s="91" t="e">
        <f t="shared" si="158"/>
        <v>#DIV/0!</v>
      </c>
    </row>
    <row r="73" spans="1:52" ht="17" x14ac:dyDescent="0.2">
      <c r="A73" s="3" t="s">
        <v>28</v>
      </c>
      <c r="B73" s="1"/>
      <c r="C73" s="129">
        <f t="shared" si="136"/>
        <v>2.438863521055302</v>
      </c>
      <c r="D73" s="129">
        <f t="shared" si="136"/>
        <v>0.4141339628208911</v>
      </c>
      <c r="E73" s="129">
        <f t="shared" si="136"/>
        <v>0.21272822117892543</v>
      </c>
      <c r="F73" s="129">
        <f t="shared" si="136"/>
        <v>-0.27727116311080524</v>
      </c>
      <c r="G73" s="129">
        <f t="shared" si="136"/>
        <v>-7.546720628496606E-2</v>
      </c>
      <c r="H73" s="129">
        <f t="shared" si="136"/>
        <v>9.3729882837646494E-2</v>
      </c>
      <c r="I73" s="129">
        <f t="shared" si="136"/>
        <v>0.40188346085932891</v>
      </c>
      <c r="J73" s="129">
        <f t="shared" si="136"/>
        <v>0.30246032412461155</v>
      </c>
      <c r="K73" s="129">
        <f t="shared" si="136"/>
        <v>6.3180968345044608E-3</v>
      </c>
      <c r="L73" s="129">
        <f t="shared" si="136"/>
        <v>8.4118136972259672E-2</v>
      </c>
      <c r="M73" s="129">
        <f t="shared" si="136"/>
        <v>1.4182720718591169E-2</v>
      </c>
      <c r="N73" s="129">
        <f t="shared" si="136"/>
        <v>-0.28091131569747119</v>
      </c>
      <c r="O73" s="129">
        <f t="shared" si="136"/>
        <v>-0.30751154687626614</v>
      </c>
      <c r="P73" s="129">
        <f t="shared" si="136"/>
        <v>0.29978937514626725</v>
      </c>
      <c r="Q73" s="129">
        <f t="shared" si="136"/>
        <v>0.39674108750450121</v>
      </c>
      <c r="R73" s="129">
        <f t="shared" si="137"/>
        <v>0.37054463422494366</v>
      </c>
      <c r="S73" s="129">
        <f t="shared" si="143"/>
        <v>0.39014296463506404</v>
      </c>
      <c r="T73" s="129">
        <f t="shared" si="143"/>
        <v>0.24935723951285516</v>
      </c>
      <c r="U73" s="109">
        <f t="shared" si="143"/>
        <v>-1</v>
      </c>
      <c r="V73" s="109" t="e">
        <f t="shared" si="143"/>
        <v>#DIV/0!</v>
      </c>
      <c r="W73" s="95"/>
      <c r="X73" s="95"/>
      <c r="Y73" s="95"/>
      <c r="Z73" s="95"/>
      <c r="AA73" s="1"/>
      <c r="AB73" s="1"/>
      <c r="AC73" s="1"/>
      <c r="AD73" s="1"/>
      <c r="AE73" s="1"/>
      <c r="AF73" s="1"/>
      <c r="AG73" s="1"/>
      <c r="AH73" s="171">
        <f t="shared" si="139"/>
        <v>0.56328558900906167</v>
      </c>
      <c r="AI73" s="171">
        <f t="shared" si="144"/>
        <v>5.8006042296072508E-2</v>
      </c>
      <c r="AJ73" s="171">
        <f t="shared" si="145"/>
        <v>0.29250084832032575</v>
      </c>
      <c r="AK73" s="171">
        <f t="shared" si="146"/>
        <v>0.62385452462772051</v>
      </c>
      <c r="AL73" s="1"/>
      <c r="AM73" s="171">
        <f t="shared" si="147"/>
        <v>0.15893792071802543</v>
      </c>
      <c r="AN73" s="171">
        <f t="shared" si="148"/>
        <v>0.4349895297924995</v>
      </c>
      <c r="AO73" s="171">
        <f t="shared" si="149"/>
        <v>0.26082961407193489</v>
      </c>
      <c r="AP73" s="171">
        <f t="shared" si="150"/>
        <v>0.19830702759897717</v>
      </c>
      <c r="AR73" s="91">
        <f t="shared" si="151"/>
        <v>0.16343981929654727</v>
      </c>
      <c r="AS73" s="91">
        <f t="shared" si="152"/>
        <v>0.19328734412310958</v>
      </c>
      <c r="AT73" s="91">
        <f t="shared" si="153"/>
        <v>-1</v>
      </c>
      <c r="AU73" s="91">
        <f t="shared" si="154"/>
        <v>-1</v>
      </c>
      <c r="AW73" s="91">
        <f t="shared" si="155"/>
        <v>-1</v>
      </c>
      <c r="AX73" s="91">
        <f t="shared" si="156"/>
        <v>-1</v>
      </c>
      <c r="AY73" s="91" t="e">
        <f t="shared" si="157"/>
        <v>#DIV/0!</v>
      </c>
      <c r="AZ73" s="91" t="e">
        <f t="shared" si="158"/>
        <v>#DIV/0!</v>
      </c>
    </row>
    <row r="74" spans="1:52" ht="17" x14ac:dyDescent="0.2">
      <c r="A74" s="10" t="s">
        <v>29</v>
      </c>
      <c r="B74" s="1"/>
      <c r="C74" s="129">
        <f t="shared" si="136"/>
        <v>0.27669124719461369</v>
      </c>
      <c r="D74" s="129">
        <f t="shared" si="136"/>
        <v>0.5489703666499246</v>
      </c>
      <c r="E74" s="129">
        <f t="shared" si="136"/>
        <v>0.5141050583657587</v>
      </c>
      <c r="F74" s="129">
        <f t="shared" si="136"/>
        <v>-0.36224435164364488</v>
      </c>
      <c r="G74" s="129">
        <f t="shared" si="136"/>
        <v>5.7085292142377453E-2</v>
      </c>
      <c r="H74" s="129">
        <f t="shared" si="136"/>
        <v>-7.7827191867852585E-2</v>
      </c>
      <c r="I74" s="129">
        <f t="shared" si="136"/>
        <v>-0.13417154667585252</v>
      </c>
      <c r="J74" s="129">
        <f t="shared" si="136"/>
        <v>0.34294808036602342</v>
      </c>
      <c r="K74" s="129">
        <f t="shared" si="136"/>
        <v>3.3328395793215781E-2</v>
      </c>
      <c r="L74" s="129">
        <f t="shared" si="136"/>
        <v>0.89134174311926606</v>
      </c>
      <c r="M74" s="129">
        <f t="shared" si="136"/>
        <v>0.8096862210095499</v>
      </c>
      <c r="N74" s="129">
        <f t="shared" si="136"/>
        <v>-0.44109393977467859</v>
      </c>
      <c r="O74" s="129">
        <f t="shared" si="136"/>
        <v>3.9935556388160363</v>
      </c>
      <c r="P74" s="129">
        <f t="shared" si="136"/>
        <v>-0.65344618016476841</v>
      </c>
      <c r="Q74" s="129">
        <f t="shared" si="136"/>
        <v>0.32402355590196597</v>
      </c>
      <c r="R74" s="129">
        <f t="shared" si="137"/>
        <v>-0.36910095823658307</v>
      </c>
      <c r="S74" s="129">
        <f t="shared" si="143"/>
        <v>9.5795967031258034E-2</v>
      </c>
      <c r="T74" s="129">
        <f t="shared" si="143"/>
        <v>0.81512843559297976</v>
      </c>
      <c r="U74" s="109">
        <f t="shared" si="143"/>
        <v>-1</v>
      </c>
      <c r="V74" s="109" t="e">
        <f t="shared" si="143"/>
        <v>#DIV/0!</v>
      </c>
      <c r="W74" s="95"/>
      <c r="X74" s="95"/>
      <c r="Y74" s="95"/>
      <c r="Z74" s="95"/>
      <c r="AA74" s="1"/>
      <c r="AB74" s="1"/>
      <c r="AC74" s="1"/>
      <c r="AD74" s="1"/>
      <c r="AE74" s="1"/>
      <c r="AF74" s="1"/>
      <c r="AG74" s="1"/>
      <c r="AH74" s="171">
        <f t="shared" si="139"/>
        <v>-0.239590684544813</v>
      </c>
      <c r="AI74" s="171">
        <f t="shared" si="144"/>
        <v>9.7280825128926399E-2</v>
      </c>
      <c r="AJ74" s="171">
        <f t="shared" si="145"/>
        <v>0.36603692571919277</v>
      </c>
      <c r="AK74" s="171">
        <f t="shared" si="146"/>
        <v>0.23111300276654606</v>
      </c>
      <c r="AL74" s="1"/>
      <c r="AM74" s="171">
        <f t="shared" si="147"/>
        <v>0.939907192575406</v>
      </c>
      <c r="AN74" s="171">
        <f t="shared" si="148"/>
        <v>2.4693441572313608</v>
      </c>
      <c r="AO74" s="171">
        <f t="shared" si="149"/>
        <v>0.13798522709413799</v>
      </c>
      <c r="AP74" s="171">
        <f t="shared" si="150"/>
        <v>0.12843560933448575</v>
      </c>
      <c r="AR74" s="91">
        <f t="shared" si="151"/>
        <v>-0.34469561057289799</v>
      </c>
      <c r="AS74" s="91">
        <f t="shared" si="152"/>
        <v>-0.64519704433497538</v>
      </c>
      <c r="AT74" s="91">
        <f t="shared" si="153"/>
        <v>-1</v>
      </c>
      <c r="AU74" s="91">
        <f t="shared" si="154"/>
        <v>-1</v>
      </c>
      <c r="AW74" s="91">
        <f t="shared" si="155"/>
        <v>-1</v>
      </c>
      <c r="AX74" s="91">
        <f t="shared" si="156"/>
        <v>-1</v>
      </c>
      <c r="AY74" s="91" t="e">
        <f t="shared" si="157"/>
        <v>#DIV/0!</v>
      </c>
      <c r="AZ74" s="91" t="e">
        <f t="shared" si="158"/>
        <v>#DIV/0!</v>
      </c>
    </row>
    <row r="75" spans="1:52" ht="17" x14ac:dyDescent="0.2">
      <c r="A75" s="122" t="s">
        <v>30</v>
      </c>
      <c r="B75" s="1"/>
      <c r="C75" s="129">
        <f t="shared" si="136"/>
        <v>0.10772061719353587</v>
      </c>
      <c r="D75" s="129">
        <f t="shared" si="136"/>
        <v>0.47901896886129336</v>
      </c>
      <c r="E75" s="129">
        <f t="shared" si="136"/>
        <v>0.23560785148102648</v>
      </c>
      <c r="F75" s="129">
        <f t="shared" si="136"/>
        <v>8.8401718975204657E-2</v>
      </c>
      <c r="G75" s="129">
        <f t="shared" si="136"/>
        <v>0.17751340217477285</v>
      </c>
      <c r="H75" s="129">
        <f t="shared" si="136"/>
        <v>0.23958216926524356</v>
      </c>
      <c r="I75" s="129">
        <f t="shared" si="136"/>
        <v>0.18570901507358584</v>
      </c>
      <c r="J75" s="129">
        <f t="shared" si="136"/>
        <v>0.1786584007183043</v>
      </c>
      <c r="K75" s="129">
        <f t="shared" si="136"/>
        <v>0.26682789738954638</v>
      </c>
      <c r="L75" s="129">
        <f t="shared" si="136"/>
        <v>0.1001230621971827</v>
      </c>
      <c r="M75" s="129">
        <f t="shared" si="136"/>
        <v>3.53654210123302E-2</v>
      </c>
      <c r="N75" s="129">
        <f t="shared" si="136"/>
        <v>8.6774387522717378E-2</v>
      </c>
      <c r="O75" s="129">
        <f t="shared" si="136"/>
        <v>9.5348412528194482E-2</v>
      </c>
      <c r="P75" s="129">
        <f t="shared" si="136"/>
        <v>0.11630964762210527</v>
      </c>
      <c r="Q75" s="129">
        <f t="shared" si="136"/>
        <v>0.10735411852533772</v>
      </c>
      <c r="R75" s="129">
        <f t="shared" si="137"/>
        <v>0.1839763841059836</v>
      </c>
      <c r="S75" s="129">
        <f t="shared" si="143"/>
        <v>0.1085906535602017</v>
      </c>
      <c r="T75" s="129">
        <f t="shared" si="143"/>
        <v>0.11233061676163048</v>
      </c>
      <c r="U75" s="109">
        <f t="shared" si="143"/>
        <v>0.13592373266869839</v>
      </c>
      <c r="V75" s="109">
        <f t="shared" si="143"/>
        <v>5.0718929523139611E-2</v>
      </c>
      <c r="W75" s="95"/>
      <c r="X75" s="95"/>
      <c r="Y75" s="95"/>
      <c r="Z75" s="95"/>
      <c r="AA75" s="1"/>
      <c r="AB75" s="1"/>
      <c r="AC75" s="1"/>
      <c r="AD75" s="1"/>
      <c r="AE75" s="1"/>
      <c r="AF75" s="1"/>
      <c r="AG75" s="1"/>
      <c r="AH75" s="171">
        <f t="shared" si="139"/>
        <v>0.15833160879495586</v>
      </c>
      <c r="AI75" s="171">
        <f t="shared" si="144"/>
        <v>0.13887443511374833</v>
      </c>
      <c r="AJ75" s="171">
        <f t="shared" si="145"/>
        <v>0.1000137215460387</v>
      </c>
      <c r="AK75" s="171">
        <f t="shared" si="146"/>
        <v>4.5458202322873023E-2</v>
      </c>
      <c r="AL75" s="1"/>
      <c r="AM75" s="171">
        <f t="shared" si="147"/>
        <v>9.3238442718696968E-2</v>
      </c>
      <c r="AN75" s="171">
        <f t="shared" si="148"/>
        <v>0.11048966781661221</v>
      </c>
      <c r="AO75" s="171">
        <f t="shared" si="149"/>
        <v>0.10248619634995504</v>
      </c>
      <c r="AP75" s="171">
        <f t="shared" si="150"/>
        <v>0.14255137804176476</v>
      </c>
      <c r="AR75" s="91">
        <f t="shared" si="151"/>
        <v>0.12972782255041795</v>
      </c>
      <c r="AS75" s="91">
        <f t="shared" si="152"/>
        <v>0.14597902727376164</v>
      </c>
      <c r="AT75" s="91">
        <f t="shared" si="153"/>
        <v>-1</v>
      </c>
      <c r="AU75" s="91">
        <f t="shared" si="154"/>
        <v>-1</v>
      </c>
      <c r="AW75" s="91">
        <f t="shared" si="155"/>
        <v>-1</v>
      </c>
      <c r="AX75" s="91">
        <f t="shared" si="156"/>
        <v>-1</v>
      </c>
      <c r="AY75" s="91" t="e">
        <f t="shared" si="157"/>
        <v>#DIV/0!</v>
      </c>
      <c r="AZ75" s="91" t="e">
        <f t="shared" si="158"/>
        <v>#DIV/0!</v>
      </c>
    </row>
    <row r="76" spans="1:52" ht="17" x14ac:dyDescent="0.2">
      <c r="A76" s="125" t="s">
        <v>31</v>
      </c>
      <c r="B76" s="1"/>
      <c r="C76" s="129">
        <f t="shared" si="136"/>
        <v>4.2252694069819965</v>
      </c>
      <c r="D76" s="129">
        <f t="shared" si="136"/>
        <v>-0.33200577949021937</v>
      </c>
      <c r="E76" s="129">
        <f t="shared" si="136"/>
        <v>0.14656646608062274</v>
      </c>
      <c r="F76" s="129">
        <f t="shared" si="136"/>
        <v>0.64226573900144301</v>
      </c>
      <c r="G76" s="129">
        <f t="shared" si="136"/>
        <v>0.41297955376647599</v>
      </c>
      <c r="H76" s="129">
        <f t="shared" si="136"/>
        <v>0.21794386289176626</v>
      </c>
      <c r="I76" s="129">
        <f t="shared" si="136"/>
        <v>0.3003833843942012</v>
      </c>
      <c r="J76" s="129">
        <f t="shared" si="136"/>
        <v>0.16859157864718721</v>
      </c>
      <c r="K76" s="129">
        <f t="shared" si="136"/>
        <v>0.33428442709115491</v>
      </c>
      <c r="L76" s="129">
        <f t="shared" si="136"/>
        <v>7.4267023072594363E-2</v>
      </c>
      <c r="M76" s="129">
        <f t="shared" si="136"/>
        <v>-0.9547308827130826</v>
      </c>
      <c r="N76" s="129">
        <f t="shared" si="136"/>
        <v>6.8335406601672117</v>
      </c>
      <c r="O76" s="129">
        <f t="shared" si="136"/>
        <v>-4.5789601967634486E-2</v>
      </c>
      <c r="P76" s="129">
        <f t="shared" si="136"/>
        <v>0.71821675574631461</v>
      </c>
      <c r="Q76" s="129">
        <f t="shared" si="136"/>
        <v>-0.34641565193103852</v>
      </c>
      <c r="R76" s="129">
        <f t="shared" si="137"/>
        <v>1.7740967177182561</v>
      </c>
      <c r="S76" s="129">
        <f t="shared" si="143"/>
        <v>0.4415964857138952</v>
      </c>
      <c r="T76" s="129">
        <f t="shared" si="143"/>
        <v>0.34247584675324005</v>
      </c>
      <c r="U76" s="109">
        <f t="shared" si="143"/>
        <v>0.17661552856767937</v>
      </c>
      <c r="V76" s="109">
        <f t="shared" si="143"/>
        <v>8.8578909090908819E-2</v>
      </c>
      <c r="W76" s="95"/>
      <c r="X76" s="95"/>
      <c r="Y76" s="95"/>
      <c r="Z76" s="95"/>
      <c r="AA76" s="1"/>
      <c r="AB76" s="1"/>
      <c r="AC76" s="1"/>
      <c r="AD76" s="1"/>
      <c r="AE76" s="1"/>
      <c r="AF76" s="1"/>
      <c r="AG76" s="1"/>
      <c r="AH76" s="171">
        <f t="shared" si="139"/>
        <v>0.17826216226260824</v>
      </c>
      <c r="AI76" s="171">
        <f t="shared" si="144"/>
        <v>0.37500458201812442</v>
      </c>
      <c r="AJ76" s="171">
        <f t="shared" si="145"/>
        <v>0.40292473297730308</v>
      </c>
      <c r="AK76" s="171">
        <f t="shared" si="146"/>
        <v>0.87200560974377117</v>
      </c>
      <c r="AL76" s="1"/>
      <c r="AM76" s="171">
        <f t="shared" si="147"/>
        <v>0.93252059446643643</v>
      </c>
      <c r="AN76" s="171">
        <f t="shared" si="148"/>
        <v>0.27906563427508457</v>
      </c>
      <c r="AO76" s="171">
        <f t="shared" si="149"/>
        <v>0.17456201134264973</v>
      </c>
      <c r="AP76" s="171">
        <f t="shared" si="150"/>
        <v>0.22648997236198709</v>
      </c>
      <c r="AR76" s="91">
        <f t="shared" si="151"/>
        <v>0.20044830606682154</v>
      </c>
      <c r="AS76" s="91">
        <f t="shared" si="152"/>
        <v>0.35720108381000903</v>
      </c>
      <c r="AT76" s="91">
        <f t="shared" si="153"/>
        <v>-1</v>
      </c>
      <c r="AU76" s="91">
        <f t="shared" si="154"/>
        <v>-1</v>
      </c>
      <c r="AW76" s="91">
        <f t="shared" si="155"/>
        <v>-1</v>
      </c>
      <c r="AX76" s="91">
        <f t="shared" si="156"/>
        <v>-1</v>
      </c>
      <c r="AY76" s="91" t="e">
        <f t="shared" si="157"/>
        <v>#DIV/0!</v>
      </c>
      <c r="AZ76" s="91" t="e">
        <f t="shared" si="158"/>
        <v>#DIV/0!</v>
      </c>
    </row>
    <row r="77" spans="1:52" ht="17" x14ac:dyDescent="0.2">
      <c r="A77" s="3" t="s">
        <v>32</v>
      </c>
      <c r="B77" s="1"/>
      <c r="C77" s="129">
        <f t="shared" si="136"/>
        <v>-9.3594164456233422</v>
      </c>
      <c r="D77" s="129">
        <f t="shared" si="136"/>
        <v>-7.678883071553233E-2</v>
      </c>
      <c r="E77" s="129">
        <f t="shared" si="136"/>
        <v>-0.4557484103797903</v>
      </c>
      <c r="F77" s="129">
        <f t="shared" si="136"/>
        <v>-0.83580675718345443</v>
      </c>
      <c r="G77" s="129">
        <f t="shared" si="136"/>
        <v>1.3653846153846154</v>
      </c>
      <c r="H77" s="129">
        <f t="shared" si="136"/>
        <v>-1.6967479674796748</v>
      </c>
      <c r="I77" s="129">
        <f t="shared" si="136"/>
        <v>-3.1236872812135354</v>
      </c>
      <c r="J77" s="129">
        <f t="shared" si="136"/>
        <v>-3.7912087912087888E-2</v>
      </c>
      <c r="K77" s="129">
        <f t="shared" si="136"/>
        <v>1.0005711022272985</v>
      </c>
      <c r="L77" s="129">
        <f t="shared" si="136"/>
        <v>0.79217813302883244</v>
      </c>
      <c r="M77" s="129">
        <f t="shared" si="136"/>
        <v>-0.33545715195922265</v>
      </c>
      <c r="N77" s="129">
        <f t="shared" si="136"/>
        <v>0.18624161073825496</v>
      </c>
      <c r="O77" s="129">
        <f t="shared" si="136"/>
        <v>1.0343503738128916</v>
      </c>
      <c r="P77" s="129">
        <f t="shared" si="136"/>
        <v>0.42302344060389352</v>
      </c>
      <c r="Q77" s="129">
        <f t="shared" si="136"/>
        <v>-0.74753961052558104</v>
      </c>
      <c r="R77" s="129">
        <f t="shared" si="137"/>
        <v>1.1620127177218689</v>
      </c>
      <c r="S77" s="129">
        <f t="shared" si="143"/>
        <v>1.7017902813299233</v>
      </c>
      <c r="T77" s="129">
        <f t="shared" si="143"/>
        <v>1.967294585384324</v>
      </c>
      <c r="U77" s="109">
        <f t="shared" si="143"/>
        <v>-1</v>
      </c>
      <c r="V77" s="109" t="e">
        <f t="shared" si="143"/>
        <v>#DIV/0!</v>
      </c>
      <c r="W77" s="95"/>
      <c r="X77" s="95"/>
      <c r="Y77" s="95"/>
      <c r="Z77" s="95"/>
      <c r="AA77" s="1"/>
      <c r="AB77" s="1"/>
      <c r="AC77" s="1"/>
      <c r="AD77" s="1"/>
      <c r="AE77" s="1"/>
      <c r="AF77" s="1"/>
      <c r="AG77" s="1"/>
      <c r="AH77" s="171">
        <f t="shared" si="139"/>
        <v>0.9017527675276753</v>
      </c>
      <c r="AI77" s="171">
        <f t="shared" si="144"/>
        <v>11.423031727379554</v>
      </c>
      <c r="AJ77" s="171">
        <f t="shared" si="145"/>
        <v>30.460317460317459</v>
      </c>
      <c r="AK77" s="171">
        <f t="shared" si="146"/>
        <v>-0.23815178667818201</v>
      </c>
      <c r="AL77" s="1"/>
      <c r="AM77" s="171">
        <f t="shared" si="147"/>
        <v>43.014084507042256</v>
      </c>
      <c r="AN77" s="171">
        <f t="shared" si="148"/>
        <v>0.55561861520998868</v>
      </c>
      <c r="AO77" s="171">
        <f t="shared" si="149"/>
        <v>3.9547413793103448</v>
      </c>
      <c r="AP77" s="171">
        <f t="shared" si="150"/>
        <v>1.6790420858721837</v>
      </c>
      <c r="AR77" s="91">
        <f t="shared" si="151"/>
        <v>1.1638171862777964</v>
      </c>
      <c r="AS77" s="91">
        <f t="shared" si="152"/>
        <v>0.32925939438161256</v>
      </c>
      <c r="AT77" s="91">
        <f t="shared" si="153"/>
        <v>-1</v>
      </c>
      <c r="AU77" s="91">
        <f t="shared" si="154"/>
        <v>-1</v>
      </c>
      <c r="AW77" s="91">
        <f t="shared" si="155"/>
        <v>-1</v>
      </c>
      <c r="AX77" s="91">
        <f t="shared" si="156"/>
        <v>-1</v>
      </c>
      <c r="AY77" s="91" t="e">
        <f t="shared" si="157"/>
        <v>#DIV/0!</v>
      </c>
      <c r="AZ77" s="91" t="e">
        <f t="shared" si="158"/>
        <v>#DIV/0!</v>
      </c>
    </row>
    <row r="78" spans="1:52" ht="17" x14ac:dyDescent="0.2">
      <c r="A78" s="8" t="s">
        <v>51</v>
      </c>
      <c r="B78" s="1"/>
      <c r="C78" s="129">
        <f t="shared" si="136"/>
        <v>4.5639880952380949</v>
      </c>
      <c r="D78" s="129">
        <f t="shared" si="136"/>
        <v>-0.32244509821402034</v>
      </c>
      <c r="E78" s="129">
        <f t="shared" si="136"/>
        <v>0.11582252942930826</v>
      </c>
      <c r="F78" s="129">
        <f t="shared" si="136"/>
        <v>0.6054667232677704</v>
      </c>
      <c r="G78" s="129">
        <f t="shared" si="136"/>
        <v>0.41540457828375565</v>
      </c>
      <c r="H78" s="129">
        <f t="shared" si="136"/>
        <v>0.20979654813343895</v>
      </c>
      <c r="I78" s="129">
        <f t="shared" si="136"/>
        <v>0.30877453853962633</v>
      </c>
      <c r="J78" s="129">
        <f t="shared" si="136"/>
        <v>0.16777040977965196</v>
      </c>
      <c r="K78" s="129">
        <f t="shared" si="136"/>
        <v>0.33646727324775338</v>
      </c>
      <c r="L78" s="129">
        <f t="shared" si="136"/>
        <v>7.7787717537235679E-2</v>
      </c>
      <c r="M78" s="129">
        <f t="shared" si="136"/>
        <v>-0.94968091891196793</v>
      </c>
      <c r="N78" s="129">
        <f t="shared" si="136"/>
        <v>6.1176592064844213</v>
      </c>
      <c r="O78" s="129">
        <f t="shared" si="136"/>
        <v>-2.6402544508959847E-2</v>
      </c>
      <c r="P78" s="129">
        <f t="shared" si="136"/>
        <v>0.70714581059485715</v>
      </c>
      <c r="Q78" s="129">
        <f t="shared" si="136"/>
        <v>-0.35895567168901443</v>
      </c>
      <c r="R78" s="129">
        <f t="shared" si="137"/>
        <v>1.7665608054979729</v>
      </c>
      <c r="S78" s="129">
        <f t="shared" si="143"/>
        <v>0.45372144155184224</v>
      </c>
      <c r="T78" s="129">
        <f t="shared" si="143"/>
        <v>0.37153066656736056</v>
      </c>
      <c r="U78" s="109">
        <f t="shared" si="143"/>
        <v>0.13109545191724203</v>
      </c>
      <c r="V78" s="109">
        <f t="shared" si="143"/>
        <v>8.8578909090908819E-2</v>
      </c>
      <c r="W78" s="95"/>
      <c r="X78" s="95"/>
      <c r="Y78" s="95"/>
      <c r="Z78" s="95"/>
      <c r="AA78" s="1"/>
      <c r="AB78" s="1"/>
      <c r="AC78" s="1"/>
      <c r="AD78" s="1"/>
      <c r="AE78" s="1"/>
      <c r="AF78" s="1"/>
      <c r="AG78" s="1"/>
      <c r="AH78" s="171">
        <f t="shared" si="139"/>
        <v>0.1929630699298065</v>
      </c>
      <c r="AI78" s="171">
        <f t="shared" si="144"/>
        <v>0.41316524336786048</v>
      </c>
      <c r="AJ78" s="171">
        <f t="shared" si="145"/>
        <v>0.41915810213980981</v>
      </c>
      <c r="AK78" s="171">
        <f t="shared" si="146"/>
        <v>0.81063386627993717</v>
      </c>
      <c r="AL78" s="1"/>
      <c r="AM78" s="171">
        <f t="shared" si="147"/>
        <v>0.98178497747463267</v>
      </c>
      <c r="AN78" s="171">
        <f t="shared" si="148"/>
        <v>0.28746302093804749</v>
      </c>
      <c r="AO78" s="171">
        <f t="shared" si="149"/>
        <v>0.21583692438927538</v>
      </c>
      <c r="AP78" s="171">
        <f t="shared" si="150"/>
        <v>0.26027726871201234</v>
      </c>
      <c r="AR78" s="91">
        <f t="shared" si="151"/>
        <v>0.22334320351608664</v>
      </c>
      <c r="AS78" s="91">
        <f t="shared" si="152"/>
        <v>0.35617593517989721</v>
      </c>
      <c r="AT78" s="91">
        <f t="shared" si="153"/>
        <v>-1</v>
      </c>
      <c r="AU78" s="91">
        <f t="shared" si="154"/>
        <v>-1</v>
      </c>
      <c r="AW78" s="91">
        <f t="shared" si="155"/>
        <v>-1</v>
      </c>
      <c r="AX78" s="91">
        <f t="shared" si="156"/>
        <v>-1</v>
      </c>
      <c r="AY78" s="91" t="e">
        <f t="shared" si="157"/>
        <v>#DIV/0!</v>
      </c>
      <c r="AZ78" s="91" t="e">
        <f t="shared" si="158"/>
        <v>#DIV/0!</v>
      </c>
    </row>
    <row r="79" spans="1:52" ht="17" x14ac:dyDescent="0.2">
      <c r="A79" s="3" t="s">
        <v>33</v>
      </c>
      <c r="B79" s="1"/>
      <c r="C79" s="129">
        <f t="shared" si="136"/>
        <v>-4.5987124463519313</v>
      </c>
      <c r="D79" s="129">
        <f t="shared" si="136"/>
        <v>0.61892516398330355</v>
      </c>
      <c r="E79" s="129">
        <f t="shared" ref="D79:R91" si="159">E47/D47-1</f>
        <v>0.12811068394760472</v>
      </c>
      <c r="F79" s="129">
        <f t="shared" si="159"/>
        <v>0.57905477103909875</v>
      </c>
      <c r="G79" s="129">
        <f t="shared" si="159"/>
        <v>0.42258981649004901</v>
      </c>
      <c r="H79" s="129">
        <f t="shared" si="159"/>
        <v>0.22420058139534893</v>
      </c>
      <c r="I79" s="129">
        <f t="shared" si="159"/>
        <v>0.33337043633125552</v>
      </c>
      <c r="J79" s="129">
        <f t="shared" si="159"/>
        <v>0.15219968277819507</v>
      </c>
      <c r="K79" s="129">
        <f t="shared" si="159"/>
        <v>0.29896683137470847</v>
      </c>
      <c r="L79" s="129">
        <f t="shared" si="159"/>
        <v>9.4210739637599517E-2</v>
      </c>
      <c r="M79" s="129">
        <f t="shared" si="159"/>
        <v>-0.94630350194552526</v>
      </c>
      <c r="N79" s="129">
        <f t="shared" si="159"/>
        <v>5.2964369343712425</v>
      </c>
      <c r="O79" s="129">
        <f t="shared" si="159"/>
        <v>-7.6459945723188261E-2</v>
      </c>
      <c r="P79" s="129">
        <f t="shared" si="159"/>
        <v>0.17679004821348898</v>
      </c>
      <c r="Q79" s="129">
        <f t="shared" si="159"/>
        <v>-1.5732610726275582</v>
      </c>
      <c r="R79" s="129">
        <f t="shared" si="159"/>
        <v>-3.5777042832943455</v>
      </c>
      <c r="S79" s="129">
        <f t="shared" si="143"/>
        <v>0.76762903760819623</v>
      </c>
      <c r="T79" s="129">
        <f t="shared" si="143"/>
        <v>0.38713663562652689</v>
      </c>
      <c r="U79" s="109">
        <f t="shared" si="143"/>
        <v>0.26323338735132862</v>
      </c>
      <c r="V79" s="109">
        <f t="shared" si="143"/>
        <v>8.8578909090908819E-2</v>
      </c>
      <c r="W79" s="95"/>
      <c r="X79" s="95"/>
      <c r="Y79" s="95"/>
      <c r="Z79" s="95"/>
      <c r="AA79" s="1"/>
      <c r="AB79" s="1"/>
      <c r="AC79" s="1"/>
      <c r="AD79" s="1"/>
      <c r="AE79" s="1"/>
      <c r="AF79" s="1"/>
      <c r="AG79" s="1"/>
      <c r="AH79" s="171">
        <f t="shared" si="139"/>
        <v>-1.4266621079787399E-2</v>
      </c>
      <c r="AI79" s="171">
        <f t="shared" si="144"/>
        <v>0.51070168829834595</v>
      </c>
      <c r="AJ79" s="171">
        <f t="shared" si="145"/>
        <v>1.3583997722095671</v>
      </c>
      <c r="AK79" s="171">
        <f t="shared" si="146"/>
        <v>1.3371963384579275</v>
      </c>
      <c r="AL79" s="1"/>
      <c r="AM79" s="171">
        <f t="shared" si="147"/>
        <v>1.6773979945765276</v>
      </c>
      <c r="AN79" s="171">
        <f t="shared" si="148"/>
        <v>0.20671442172552931</v>
      </c>
      <c r="AO79" s="171">
        <f t="shared" si="149"/>
        <v>0.20884494186678257</v>
      </c>
      <c r="AP79" s="171">
        <f t="shared" si="150"/>
        <v>0.25867111886619548</v>
      </c>
      <c r="AR79" s="91">
        <f t="shared" si="151"/>
        <v>0.19382647713488241</v>
      </c>
      <c r="AS79" s="91">
        <f t="shared" si="152"/>
        <v>0.42996825277553397</v>
      </c>
      <c r="AT79" s="91">
        <f t="shared" si="153"/>
        <v>-1</v>
      </c>
      <c r="AU79" s="91">
        <f t="shared" si="154"/>
        <v>-1</v>
      </c>
      <c r="AW79" s="91">
        <f t="shared" si="155"/>
        <v>-1</v>
      </c>
      <c r="AX79" s="91">
        <f t="shared" si="156"/>
        <v>-1</v>
      </c>
      <c r="AY79" s="91" t="e">
        <f t="shared" si="157"/>
        <v>#DIV/0!</v>
      </c>
      <c r="AZ79" s="91" t="e">
        <f t="shared" si="158"/>
        <v>#DIV/0!</v>
      </c>
    </row>
    <row r="80" spans="1:52" ht="17" x14ac:dyDescent="0.2">
      <c r="A80" s="125" t="s">
        <v>34</v>
      </c>
      <c r="B80" s="1"/>
      <c r="C80" s="129">
        <f t="shared" si="136"/>
        <v>2.7516712648556876</v>
      </c>
      <c r="D80" s="129">
        <f t="shared" si="159"/>
        <v>-0.50105004136526587</v>
      </c>
      <c r="E80" s="129">
        <f t="shared" si="159"/>
        <v>0.10825786885478217</v>
      </c>
      <c r="F80" s="129">
        <f t="shared" si="159"/>
        <v>0.62201733970998174</v>
      </c>
      <c r="G80" s="129">
        <f t="shared" si="159"/>
        <v>0.41102132523946544</v>
      </c>
      <c r="H80" s="129">
        <f t="shared" si="159"/>
        <v>0.20093752968192158</v>
      </c>
      <c r="I80" s="129">
        <f t="shared" si="159"/>
        <v>0.29335411384307619</v>
      </c>
      <c r="J80" s="129">
        <f t="shared" si="159"/>
        <v>0.17783453237410063</v>
      </c>
      <c r="K80" s="129">
        <f t="shared" si="159"/>
        <v>0.36017811005442257</v>
      </c>
      <c r="L80" s="129">
        <f t="shared" si="159"/>
        <v>6.7871047703727649E-2</v>
      </c>
      <c r="M80" s="129">
        <f t="shared" si="159"/>
        <v>-0.95177059810513831</v>
      </c>
      <c r="N80" s="129">
        <f t="shared" si="159"/>
        <v>6.6833638503792834</v>
      </c>
      <c r="O80" s="129">
        <f t="shared" si="159"/>
        <v>1.8554138934754327E-3</v>
      </c>
      <c r="P80" s="129">
        <f t="shared" si="159"/>
        <v>0.98313397671152192</v>
      </c>
      <c r="Q80" s="129">
        <f t="shared" si="159"/>
        <v>1.6015627231135587E-2</v>
      </c>
      <c r="R80" s="129">
        <f t="shared" si="159"/>
        <v>0.83543115418561631</v>
      </c>
      <c r="S80" s="129">
        <f t="shared" si="143"/>
        <v>0.37691122600247473</v>
      </c>
      <c r="T80" s="129">
        <f t="shared" si="143"/>
        <v>0.36662844330058575</v>
      </c>
      <c r="U80" s="109">
        <f t="shared" si="143"/>
        <v>8.8964754439200489E-2</v>
      </c>
      <c r="V80" s="109">
        <f t="shared" si="143"/>
        <v>8.8578909090908597E-2</v>
      </c>
      <c r="W80" s="95"/>
      <c r="X80" s="95"/>
      <c r="Y80" s="95"/>
      <c r="Z80" s="95"/>
      <c r="AA80" s="1"/>
      <c r="AB80" s="1"/>
      <c r="AC80" s="1"/>
      <c r="AD80" s="1"/>
      <c r="AE80" s="1"/>
      <c r="AF80" s="1"/>
      <c r="AG80" s="1"/>
      <c r="AH80" s="171">
        <f t="shared" si="139"/>
        <v>0.24541899749018498</v>
      </c>
      <c r="AI80" s="171">
        <f t="shared" si="144"/>
        <v>0.38286145956355666</v>
      </c>
      <c r="AJ80" s="171">
        <f t="shared" si="145"/>
        <v>0.25780447479382101</v>
      </c>
      <c r="AK80" s="171">
        <f t="shared" si="146"/>
        <v>0.67617156770930886</v>
      </c>
      <c r="AL80" s="1"/>
      <c r="AM80" s="171">
        <f t="shared" si="147"/>
        <v>0.84241980112954373</v>
      </c>
      <c r="AN80" s="171">
        <f t="shared" si="148"/>
        <v>0.31487024028437111</v>
      </c>
      <c r="AO80" s="171">
        <f t="shared" si="149"/>
        <v>0.21808911946114537</v>
      </c>
      <c r="AP80" s="171">
        <f t="shared" si="150"/>
        <v>0.26084915991364477</v>
      </c>
      <c r="AR80" s="91">
        <f t="shared" si="151"/>
        <v>0.23193688195196885</v>
      </c>
      <c r="AS80" s="91">
        <f t="shared" si="152"/>
        <v>0.33318997044969134</v>
      </c>
      <c r="AT80" s="91">
        <f t="shared" si="153"/>
        <v>-1</v>
      </c>
      <c r="AU80" s="91">
        <f t="shared" si="154"/>
        <v>-1</v>
      </c>
      <c r="AW80" s="91">
        <f t="shared" si="155"/>
        <v>-1</v>
      </c>
      <c r="AX80" s="91">
        <f t="shared" si="156"/>
        <v>-1</v>
      </c>
      <c r="AY80" s="91" t="e">
        <f t="shared" si="157"/>
        <v>#DIV/0!</v>
      </c>
      <c r="AZ80" s="91" t="e">
        <f t="shared" si="158"/>
        <v>#DIV/0!</v>
      </c>
    </row>
    <row r="81" spans="1:52" x14ac:dyDescent="0.2">
      <c r="A81" s="3"/>
      <c r="B81" s="1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09"/>
      <c r="V81" s="109"/>
      <c r="W81" s="95"/>
      <c r="X81" s="95"/>
      <c r="Y81" s="95"/>
      <c r="Z81" s="95"/>
      <c r="AA81" s="1"/>
      <c r="AB81" s="1"/>
      <c r="AC81" s="1"/>
      <c r="AD81" s="1"/>
      <c r="AE81" s="1"/>
      <c r="AF81" s="1"/>
      <c r="AG81" s="1"/>
      <c r="AH81" s="171"/>
      <c r="AI81" s="171"/>
      <c r="AJ81" s="171"/>
      <c r="AK81" s="171"/>
      <c r="AL81" s="1"/>
      <c r="AM81" s="171"/>
      <c r="AN81" s="171"/>
      <c r="AO81" s="171"/>
      <c r="AP81" s="171"/>
      <c r="AR81" s="91"/>
      <c r="AS81" s="91"/>
      <c r="AT81" s="91"/>
      <c r="AU81" s="91"/>
      <c r="AW81" s="91"/>
      <c r="AX81" s="91"/>
      <c r="AY81" s="91"/>
      <c r="AZ81" s="91"/>
    </row>
    <row r="82" spans="1:52" ht="17" x14ac:dyDescent="0.2">
      <c r="A82" s="3" t="s">
        <v>49</v>
      </c>
      <c r="B82" s="1"/>
      <c r="C82" s="129">
        <f t="shared" si="136"/>
        <v>2.0477923283321697</v>
      </c>
      <c r="D82" s="129">
        <f t="shared" si="159"/>
        <v>-0.51130120053470574</v>
      </c>
      <c r="E82" s="129">
        <f t="shared" si="159"/>
        <v>0.10825786885478217</v>
      </c>
      <c r="F82" s="129">
        <f t="shared" si="159"/>
        <v>0.67476751423671577</v>
      </c>
      <c r="G82" s="129">
        <f t="shared" si="159"/>
        <v>0.42733910769930117</v>
      </c>
      <c r="H82" s="129">
        <f t="shared" si="159"/>
        <v>0.199425727913636</v>
      </c>
      <c r="I82" s="129">
        <f t="shared" si="159"/>
        <v>0.29302856770486563</v>
      </c>
      <c r="J82" s="129">
        <f t="shared" si="159"/>
        <v>0.19673651553486304</v>
      </c>
      <c r="K82" s="129">
        <f t="shared" si="159"/>
        <v>0.35020726899633114</v>
      </c>
      <c r="L82" s="129">
        <f t="shared" si="159"/>
        <v>6.8481375983992621E-2</v>
      </c>
      <c r="M82" s="129">
        <f t="shared" si="159"/>
        <v>-0.94897760217410909</v>
      </c>
      <c r="N82" s="129">
        <f t="shared" si="159"/>
        <v>7.0086041044008009</v>
      </c>
      <c r="O82" s="129">
        <f t="shared" si="159"/>
        <v>2.3317090201400159E-2</v>
      </c>
      <c r="P82" s="129">
        <f t="shared" si="159"/>
        <v>0.9597947431280287</v>
      </c>
      <c r="Q82" s="129">
        <f t="shared" si="159"/>
        <v>1.1689265642771174E-2</v>
      </c>
      <c r="R82" s="129">
        <f t="shared" si="159"/>
        <v>0.82931541080069016</v>
      </c>
      <c r="S82" s="129">
        <f>S50/R50-1</f>
        <v>0.3989421981525394</v>
      </c>
      <c r="T82" s="129">
        <f t="shared" ref="T82:V82" si="160">T50/S50-1</f>
        <v>0.38398871800436796</v>
      </c>
      <c r="U82" s="109">
        <f t="shared" si="160"/>
        <v>8.8964754439200266E-2</v>
      </c>
      <c r="V82" s="109">
        <f t="shared" si="160"/>
        <v>8.8578909090908597E-2</v>
      </c>
      <c r="W82" s="95"/>
      <c r="X82" s="95"/>
      <c r="Y82" s="95"/>
      <c r="Z82" s="95"/>
      <c r="AA82" s="1"/>
      <c r="AB82" s="1"/>
      <c r="AC82" s="1"/>
      <c r="AD82" s="1"/>
      <c r="AE82" s="1"/>
      <c r="AF82" s="1"/>
      <c r="AG82" s="1"/>
      <c r="AH82" s="171">
        <f t="shared" si="139"/>
        <v>0.25778473503637567</v>
      </c>
      <c r="AI82" s="171">
        <f t="shared" ref="AI82:AI83" si="161">(AI50-AD50)/ABS(AD50)</f>
        <v>0.40299496152003866</v>
      </c>
      <c r="AJ82" s="171">
        <f t="shared" ref="AJ82:AJ83" si="162">(AJ50-AE50)/ABS(AE50)</f>
        <v>0.28115547359257603</v>
      </c>
      <c r="AK82" s="171">
        <f t="shared" ref="AK82:AK83" si="163">(AK50-AF50)/ABS(AF50)</f>
        <v>0.71137844030967667</v>
      </c>
      <c r="AL82" s="1"/>
      <c r="AM82" s="171">
        <f t="shared" ref="AM82:AM83" si="164">(AM50-AH50)/ABS(AH50)</f>
        <v>0.87643309312534967</v>
      </c>
      <c r="AN82" s="171">
        <f t="shared" ref="AN82:AN83" si="165">(AN50-AI50)/ABS(AI50)</f>
        <v>0.33121904314226958</v>
      </c>
      <c r="AO82" s="171">
        <f t="shared" ref="AO82:AO83" si="166">(AO50-AJ50)/ABS(AJ50)</f>
        <v>0.23019036247446906</v>
      </c>
      <c r="AP82" s="171">
        <f t="shared" ref="AP82:AP83" si="167">(AP50-AK50)/ABS(AK50)</f>
        <v>0.27353936180553828</v>
      </c>
      <c r="AR82" s="91">
        <f t="shared" ref="AR82:AR83" si="168">(AR50-AM50)/ABS(AM50)</f>
        <v>0.23925072674780301</v>
      </c>
      <c r="AS82" s="91">
        <f t="shared" ref="AS82:AS83" si="169">(AS50-AN50)/ABS(AN50)</f>
        <v>-0.97322364087180357</v>
      </c>
      <c r="AT82" s="91" t="e">
        <f t="shared" ref="AT82:AT83" si="170">(AT50-AO50)/ABS(AO50)</f>
        <v>#DIV/0!</v>
      </c>
      <c r="AU82" s="91" t="e">
        <f t="shared" ref="AU82:AU83" si="171">(AU50-AP50)/ABS(AP50)</f>
        <v>#DIV/0!</v>
      </c>
      <c r="AW82" s="91" t="e">
        <f t="shared" ref="AW82:AW83" si="172">(AW50-AR50)/ABS(AR50)</f>
        <v>#DIV/0!</v>
      </c>
      <c r="AX82" s="91" t="e">
        <f t="shared" ref="AX82:AX83" si="173">(AX50-AS50)/ABS(AS50)</f>
        <v>#DIV/0!</v>
      </c>
      <c r="AY82" s="91" t="e">
        <f t="shared" ref="AY82:AY83" si="174">(AY50-AT50)/ABS(AT50)</f>
        <v>#DIV/0!</v>
      </c>
      <c r="AZ82" s="91" t="e">
        <f t="shared" ref="AZ82:AZ83" si="175">(AZ50-AU50)/ABS(AU50)</f>
        <v>#DIV/0!</v>
      </c>
    </row>
    <row r="83" spans="1:52" ht="17" x14ac:dyDescent="0.2">
      <c r="A83" s="3" t="s">
        <v>50</v>
      </c>
      <c r="B83" s="1"/>
      <c r="C83" s="129">
        <f t="shared" si="136"/>
        <v>0.23094714491544699</v>
      </c>
      <c r="D83" s="129">
        <f t="shared" si="159"/>
        <v>2.0976436162020606E-2</v>
      </c>
      <c r="E83" s="129">
        <f t="shared" si="159"/>
        <v>0</v>
      </c>
      <c r="F83" s="129">
        <f t="shared" si="159"/>
        <v>-3.1497013214264125E-2</v>
      </c>
      <c r="G83" s="129">
        <f t="shared" si="159"/>
        <v>-1.1432309513425998E-2</v>
      </c>
      <c r="H83" s="129">
        <f t="shared" si="159"/>
        <v>1.260438002205877E-3</v>
      </c>
      <c r="I83" s="129">
        <f t="shared" si="159"/>
        <v>2.5177025963807331E-4</v>
      </c>
      <c r="J83" s="129">
        <f t="shared" si="159"/>
        <v>-1.5794607179938969E-2</v>
      </c>
      <c r="K83" s="129">
        <f t="shared" si="159"/>
        <v>7.3846744029921751E-3</v>
      </c>
      <c r="L83" s="129">
        <f t="shared" si="159"/>
        <v>-5.712109672505461E-4</v>
      </c>
      <c r="M83" s="129">
        <f t="shared" si="159"/>
        <v>-5.4740585508350814E-2</v>
      </c>
      <c r="N83" s="129">
        <f t="shared" si="159"/>
        <v>-4.0611353711790366E-2</v>
      </c>
      <c r="O83" s="129">
        <f t="shared" si="159"/>
        <v>-2.0972655019081965E-2</v>
      </c>
      <c r="P83" s="129">
        <f t="shared" si="159"/>
        <v>1.1909019383449015E-2</v>
      </c>
      <c r="Q83" s="129">
        <f t="shared" si="159"/>
        <v>4.2763739176532312E-3</v>
      </c>
      <c r="R83" s="129">
        <f t="shared" si="159"/>
        <v>3.3431869369369149E-3</v>
      </c>
      <c r="S83" s="129">
        <f>S51/R51-1</f>
        <v>-1.5748307670723549E-2</v>
      </c>
      <c r="T83" s="129">
        <f t="shared" ref="T83:V83" si="176">T51/S51-1</f>
        <v>-1.2543653339034955E-2</v>
      </c>
      <c r="U83" s="109">
        <f t="shared" si="176"/>
        <v>0</v>
      </c>
      <c r="V83" s="109">
        <f t="shared" si="176"/>
        <v>0</v>
      </c>
      <c r="W83" s="95"/>
      <c r="X83" s="95"/>
      <c r="Y83" s="95"/>
      <c r="Z83" s="95"/>
      <c r="AA83" s="1"/>
      <c r="AB83" s="1"/>
      <c r="AC83" s="1"/>
      <c r="AD83" s="1"/>
      <c r="AE83" s="1"/>
      <c r="AF83" s="1"/>
      <c r="AG83" s="1"/>
      <c r="AH83" s="171">
        <f t="shared" si="139"/>
        <v>-9.8313623959135118E-3</v>
      </c>
      <c r="AI83" s="171">
        <f t="shared" si="161"/>
        <v>-1.4350373671099259E-2</v>
      </c>
      <c r="AJ83" s="171">
        <f t="shared" si="162"/>
        <v>-1.8226514486391572E-2</v>
      </c>
      <c r="AK83" s="171">
        <f t="shared" si="163"/>
        <v>-2.0572230998771285E-2</v>
      </c>
      <c r="AL83" s="1"/>
      <c r="AM83" s="171">
        <f t="shared" si="164"/>
        <v>-1.8126567965796262E-2</v>
      </c>
      <c r="AN83" s="171">
        <f t="shared" si="165"/>
        <v>-1.2281076463049979E-2</v>
      </c>
      <c r="AO83" s="171">
        <f t="shared" si="166"/>
        <v>-9.8368865359851187E-3</v>
      </c>
      <c r="AP83" s="171">
        <f t="shared" si="167"/>
        <v>-9.9645148571633393E-3</v>
      </c>
      <c r="AR83" s="91">
        <f t="shared" si="168"/>
        <v>-5.9018281272491726E-3</v>
      </c>
      <c r="AS83" s="91">
        <f t="shared" si="169"/>
        <v>48.789815115147583</v>
      </c>
      <c r="AT83" s="91">
        <f t="shared" si="170"/>
        <v>-1</v>
      </c>
      <c r="AU83" s="91">
        <f t="shared" si="171"/>
        <v>-1</v>
      </c>
      <c r="AW83" s="91">
        <f t="shared" si="172"/>
        <v>-1</v>
      </c>
      <c r="AX83" s="91">
        <f t="shared" si="173"/>
        <v>-1</v>
      </c>
      <c r="AY83" s="91" t="e">
        <f t="shared" si="174"/>
        <v>#DIV/0!</v>
      </c>
      <c r="AZ83" s="91" t="e">
        <f t="shared" si="175"/>
        <v>#DIV/0!</v>
      </c>
    </row>
    <row r="84" spans="1:52" x14ac:dyDescent="0.2">
      <c r="A84" s="4"/>
      <c r="B84" s="1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09"/>
      <c r="V84" s="109"/>
      <c r="W84" s="95"/>
      <c r="X84" s="95"/>
      <c r="Y84" s="95"/>
      <c r="Z84" s="95"/>
      <c r="AA84" s="1"/>
      <c r="AB84" s="1"/>
      <c r="AC84" s="1"/>
      <c r="AD84" s="1"/>
      <c r="AE84" s="1"/>
      <c r="AF84" s="1"/>
      <c r="AG84" s="1"/>
      <c r="AH84" s="171"/>
      <c r="AI84" s="171"/>
      <c r="AJ84" s="171"/>
      <c r="AK84" s="171"/>
      <c r="AL84" s="1"/>
      <c r="AM84" s="171"/>
      <c r="AN84" s="171"/>
      <c r="AO84" s="171"/>
      <c r="AP84" s="171"/>
      <c r="AR84" s="91"/>
      <c r="AS84" s="91"/>
      <c r="AT84" s="91"/>
      <c r="AU84" s="91"/>
      <c r="AW84" s="91"/>
      <c r="AX84" s="91"/>
      <c r="AY84" s="91"/>
      <c r="AZ84" s="91"/>
    </row>
    <row r="85" spans="1:52" x14ac:dyDescent="0.2">
      <c r="A85" s="4" t="s">
        <v>35</v>
      </c>
      <c r="B85" s="1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09"/>
      <c r="V85" s="109"/>
      <c r="W85" s="95"/>
      <c r="X85" s="95"/>
      <c r="Y85" s="95"/>
      <c r="Z85" s="95"/>
      <c r="AA85" s="1"/>
      <c r="AB85" s="1"/>
      <c r="AC85" s="1"/>
      <c r="AD85" s="1"/>
      <c r="AE85" s="1"/>
      <c r="AF85" s="1"/>
      <c r="AG85" s="1"/>
      <c r="AH85" s="171"/>
      <c r="AI85" s="171"/>
      <c r="AJ85" s="171"/>
      <c r="AK85" s="171"/>
      <c r="AL85" s="1"/>
      <c r="AM85" s="171"/>
      <c r="AN85" s="171"/>
      <c r="AO85" s="171"/>
      <c r="AP85" s="171"/>
      <c r="AR85" s="91"/>
      <c r="AS85" s="91"/>
      <c r="AT85" s="91"/>
      <c r="AU85" s="91"/>
      <c r="AW85" s="91"/>
      <c r="AX85" s="91"/>
      <c r="AY85" s="91"/>
      <c r="AZ85" s="91"/>
    </row>
    <row r="86" spans="1:52" ht="17" x14ac:dyDescent="0.2">
      <c r="A86" s="3" t="s">
        <v>36</v>
      </c>
      <c r="B86" s="1"/>
      <c r="C86" s="129">
        <f t="shared" si="136"/>
        <v>0.78902791355042079</v>
      </c>
      <c r="D86" s="129">
        <f t="shared" si="159"/>
        <v>-0.32471164317690793</v>
      </c>
      <c r="E86" s="129">
        <f t="shared" si="159"/>
        <v>-3.5760393769060039E-2</v>
      </c>
      <c r="F86" s="129">
        <f t="shared" si="159"/>
        <v>0.15722817890626528</v>
      </c>
      <c r="G86" s="129">
        <f t="shared" si="159"/>
        <v>6.9344276534626381E-2</v>
      </c>
      <c r="H86" s="129">
        <f t="shared" si="159"/>
        <v>-2.6066978616055447E-2</v>
      </c>
      <c r="I86" s="129">
        <f t="shared" si="159"/>
        <v>4.4072429647348255E-2</v>
      </c>
      <c r="J86" s="129">
        <f t="shared" si="159"/>
        <v>-1.9044866759655998E-2</v>
      </c>
      <c r="K86" s="129">
        <f t="shared" si="159"/>
        <v>2.3210760297420308E-2</v>
      </c>
      <c r="L86" s="129">
        <f t="shared" si="159"/>
        <v>-4.1139151125436424E-2</v>
      </c>
      <c r="M86" s="129">
        <f t="shared" si="159"/>
        <v>-0.51087520473601766</v>
      </c>
      <c r="N86" s="129">
        <f t="shared" si="159"/>
        <v>0.32387408345171731</v>
      </c>
      <c r="O86" s="129">
        <f t="shared" si="159"/>
        <v>0.10848235979847254</v>
      </c>
      <c r="P86" s="129">
        <f t="shared" si="159"/>
        <v>9.2154096300150146E-2</v>
      </c>
      <c r="Q86" s="129">
        <f t="shared" si="159"/>
        <v>-0.14940243216849936</v>
      </c>
      <c r="R86" s="129">
        <f t="shared" si="159"/>
        <v>0.30020258651607112</v>
      </c>
      <c r="S86" s="129">
        <f t="shared" ref="S86:S91" si="177">S54/R54-1</f>
        <v>5.5871175504874415E-2</v>
      </c>
      <c r="T86" s="129">
        <f t="shared" ref="T86:V86" si="178">T54/S54-1</f>
        <v>9.6946333850399968E-2</v>
      </c>
      <c r="U86" s="109">
        <f t="shared" si="178"/>
        <v>1.0000000000000009E-2</v>
      </c>
      <c r="V86" s="109">
        <f t="shared" si="178"/>
        <v>1.0000000000000009E-2</v>
      </c>
      <c r="W86" s="95"/>
      <c r="X86" s="95"/>
      <c r="Y86" s="95"/>
      <c r="Z86" s="95"/>
      <c r="AA86" s="1"/>
      <c r="AB86" s="1"/>
      <c r="AC86" s="1"/>
      <c r="AD86" s="1"/>
      <c r="AE86" s="1"/>
      <c r="AF86" s="1"/>
      <c r="AG86" s="1"/>
      <c r="AH86" s="171">
        <f t="shared" si="139"/>
        <v>-5.4609223614844125E-2</v>
      </c>
      <c r="AI86" s="171">
        <f t="shared" ref="AI86:AI91" si="179">(AI54-AD54)/ABS(AD54)</f>
        <v>-1.9495386648829445E-3</v>
      </c>
      <c r="AJ86" s="171">
        <f t="shared" ref="AJ86:AJ91" si="180">(AJ54-AE54)/ABS(AE54)</f>
        <v>3.1696039641613889E-2</v>
      </c>
      <c r="AK86" s="171">
        <f t="shared" ref="AK86:AK91" si="181">(AK54-AF54)/ABS(AF54)</f>
        <v>8.4500397495547205E-2</v>
      </c>
      <c r="AL86" s="1"/>
      <c r="AM86" s="171">
        <f t="shared" ref="AM86:AM91" si="182">(AM54-AH54)/ABS(AH54)</f>
        <v>0.10415511682997521</v>
      </c>
      <c r="AN86" s="171">
        <f t="shared" ref="AN86:AN91" si="183">(AN54-AI54)/ABS(AI54)</f>
        <v>4.5980011820934502E-2</v>
      </c>
      <c r="AO86" s="171">
        <f t="shared" ref="AO86:AO91" si="184">(AO54-AJ54)/ABS(AJ54)</f>
        <v>1.0417572875151196E-2</v>
      </c>
      <c r="AP86" s="171">
        <f t="shared" ref="AP86:AP91" si="185">(AP54-AK54)/ABS(AK54)</f>
        <v>1.1567507544817376E-2</v>
      </c>
      <c r="AR86" s="91">
        <f t="shared" ref="AR86:AR91" si="186">(AR54-AM54)/ABS(AM54)</f>
        <v>1.8795057568747033E-2</v>
      </c>
      <c r="AS86" s="91">
        <f t="shared" ref="AS86:AS91" si="187">(AS54-AN54)/ABS(AN54)</f>
        <v>1.134143873621302E-2</v>
      </c>
      <c r="AT86" s="91" t="e">
        <f t="shared" ref="AT86:AT91" si="188">(AT54-AO54)/ABS(AO54)</f>
        <v>#DIV/0!</v>
      </c>
      <c r="AU86" s="91" t="e">
        <f t="shared" ref="AU86:AU91" si="189">(AU54-AP54)/ABS(AP54)</f>
        <v>#DIV/0!</v>
      </c>
      <c r="AW86" s="91" t="e">
        <f t="shared" ref="AW86:AW91" si="190">(AW54-AR54)/ABS(AR54)</f>
        <v>#DIV/0!</v>
      </c>
      <c r="AX86" s="91" t="e">
        <f t="shared" ref="AX86:AX91" si="191">(AX54-AS54)/ABS(AS54)</f>
        <v>#DIV/0!</v>
      </c>
      <c r="AY86" s="91" t="e">
        <f t="shared" ref="AY86:AY91" si="192">(AY54-AT54)/ABS(AT54)</f>
        <v>#DIV/0!</v>
      </c>
      <c r="AZ86" s="91" t="e">
        <f t="shared" ref="AZ86:AZ91" si="193">(AZ54-AU54)/ABS(AU54)</f>
        <v>#DIV/0!</v>
      </c>
    </row>
    <row r="87" spans="1:52" ht="17" x14ac:dyDescent="0.2">
      <c r="A87" s="3" t="s">
        <v>37</v>
      </c>
      <c r="B87" s="1"/>
      <c r="C87" s="129">
        <f t="shared" si="136"/>
        <v>2.9856068929502682</v>
      </c>
      <c r="D87" s="129">
        <f t="shared" si="159"/>
        <v>-0.49371744615022739</v>
      </c>
      <c r="E87" s="129">
        <f t="shared" si="159"/>
        <v>-6.5351997439915488E-2</v>
      </c>
      <c r="F87" s="129">
        <f t="shared" si="159"/>
        <v>0.44060914218312486</v>
      </c>
      <c r="G87" s="129">
        <f t="shared" si="159"/>
        <v>0.16861837000233737</v>
      </c>
      <c r="H87" s="129">
        <f t="shared" si="159"/>
        <v>-1.475979681946471E-2</v>
      </c>
      <c r="I87" s="129">
        <f t="shared" si="159"/>
        <v>8.0571388243912079E-2</v>
      </c>
      <c r="J87" s="129">
        <f t="shared" si="159"/>
        <v>-7.1255205408448097E-3</v>
      </c>
      <c r="K87" s="129">
        <f t="shared" si="159"/>
        <v>4.4035507598792156E-2</v>
      </c>
      <c r="L87" s="129">
        <f t="shared" si="159"/>
        <v>-1.9515827451467405E-2</v>
      </c>
      <c r="M87" s="129">
        <f t="shared" si="159"/>
        <v>-0.94781087313092915</v>
      </c>
      <c r="N87" s="129">
        <f t="shared" si="159"/>
        <v>5.8325330213801934</v>
      </c>
      <c r="O87" s="129">
        <f t="shared" si="159"/>
        <v>-0.12200875113009646</v>
      </c>
      <c r="P87" s="129">
        <f t="shared" si="159"/>
        <v>0.49634306589948163</v>
      </c>
      <c r="Q87" s="129">
        <f t="shared" si="159"/>
        <v>-0.38991033688314847</v>
      </c>
      <c r="R87" s="129">
        <f t="shared" si="159"/>
        <v>1.1997905590196072</v>
      </c>
      <c r="S87" s="129">
        <f t="shared" si="177"/>
        <v>0.2600179619362073</v>
      </c>
      <c r="T87" s="129">
        <f t="shared" ref="T87:V87" si="194">T55/S55-1</f>
        <v>0.17425282798441866</v>
      </c>
      <c r="U87" s="109">
        <f t="shared" si="194"/>
        <v>3.0000000000000027E-2</v>
      </c>
      <c r="V87" s="109">
        <f t="shared" si="194"/>
        <v>3.0000000000000027E-2</v>
      </c>
      <c r="W87" s="179"/>
      <c r="X87" s="95"/>
      <c r="Y87" s="95"/>
      <c r="Z87" s="95"/>
      <c r="AA87" s="1"/>
      <c r="AB87" s="1"/>
      <c r="AC87" s="1"/>
      <c r="AD87" s="1"/>
      <c r="AE87" s="1"/>
      <c r="AF87" s="1"/>
      <c r="AG87" s="1"/>
      <c r="AH87" s="171">
        <f t="shared" si="139"/>
        <v>1.558639810590241E-2</v>
      </c>
      <c r="AI87" s="171">
        <f t="shared" si="179"/>
        <v>0.17571163822777136</v>
      </c>
      <c r="AJ87" s="171">
        <f t="shared" si="180"/>
        <v>0.23366446341508371</v>
      </c>
      <c r="AK87" s="171">
        <f t="shared" si="181"/>
        <v>0.6831686956880928</v>
      </c>
      <c r="AL87" s="1"/>
      <c r="AM87" s="171">
        <f t="shared" si="182"/>
        <v>0.64855450498721545</v>
      </c>
      <c r="AN87" s="171">
        <f t="shared" si="183"/>
        <v>0.12573752432132054</v>
      </c>
      <c r="AO87" s="171">
        <f t="shared" si="184"/>
        <v>5.4930448995151746E-2</v>
      </c>
      <c r="AP87" s="171">
        <f t="shared" si="185"/>
        <v>6.2854806718770653E-2</v>
      </c>
      <c r="AR87" s="91">
        <f t="shared" si="186"/>
        <v>5.2375207185508754E-2</v>
      </c>
      <c r="AS87" s="91">
        <f t="shared" si="187"/>
        <v>0.14798396523463248</v>
      </c>
      <c r="AT87" s="91" t="e">
        <f t="shared" si="188"/>
        <v>#DIV/0!</v>
      </c>
      <c r="AU87" s="91" t="e">
        <f t="shared" si="189"/>
        <v>#DIV/0!</v>
      </c>
      <c r="AW87" s="91" t="e">
        <f t="shared" si="190"/>
        <v>#DIV/0!</v>
      </c>
      <c r="AX87" s="91" t="e">
        <f t="shared" si="191"/>
        <v>#DIV/0!</v>
      </c>
      <c r="AY87" s="91" t="e">
        <f t="shared" si="192"/>
        <v>#DIV/0!</v>
      </c>
      <c r="AZ87" s="91" t="e">
        <f t="shared" si="193"/>
        <v>#DIV/0!</v>
      </c>
    </row>
    <row r="88" spans="1:52" ht="17" x14ac:dyDescent="0.2">
      <c r="A88" s="3" t="s">
        <v>38</v>
      </c>
      <c r="B88" s="1"/>
      <c r="C88" s="129">
        <f t="shared" si="136"/>
        <v>1.8616107015099592</v>
      </c>
      <c r="D88" s="129">
        <f t="shared" si="159"/>
        <v>-0.62183855556706424</v>
      </c>
      <c r="E88" s="129">
        <f t="shared" si="159"/>
        <v>-9.6580063964837648E-2</v>
      </c>
      <c r="F88" s="129">
        <f t="shared" si="159"/>
        <v>0.4228470781997471</v>
      </c>
      <c r="G88" s="129">
        <f t="shared" si="159"/>
        <v>0.16699879820936459</v>
      </c>
      <c r="H88" s="129">
        <f t="shared" si="159"/>
        <v>-2.851685385429481E-2</v>
      </c>
      <c r="I88" s="129">
        <f t="shared" si="159"/>
        <v>7.4730319579912052E-2</v>
      </c>
      <c r="J88" s="129">
        <f t="shared" si="159"/>
        <v>7.2760200253196849E-4</v>
      </c>
      <c r="K88" s="129">
        <f t="shared" si="159"/>
        <v>6.4296498349537545E-2</v>
      </c>
      <c r="L88" s="129">
        <f t="shared" si="159"/>
        <v>-2.5353438103656312E-2</v>
      </c>
      <c r="M88" s="129">
        <f t="shared" si="159"/>
        <v>-0.94439806814970173</v>
      </c>
      <c r="N88" s="129">
        <f t="shared" si="159"/>
        <v>5.7015465292644238</v>
      </c>
      <c r="O88" s="129">
        <f t="shared" si="159"/>
        <v>-7.8169460482476194E-2</v>
      </c>
      <c r="P88" s="129">
        <f t="shared" si="159"/>
        <v>0.72705147058877651</v>
      </c>
      <c r="Q88" s="129">
        <f t="shared" si="159"/>
        <v>-5.1598108843486035E-2</v>
      </c>
      <c r="R88" s="129">
        <f t="shared" si="159"/>
        <v>0.45545182290145547</v>
      </c>
      <c r="S88" s="129">
        <f t="shared" si="177"/>
        <v>0.20348023455090769</v>
      </c>
      <c r="T88" s="129">
        <f t="shared" ref="T88:V88" si="195">T56/S56-1</f>
        <v>0.19537890996755336</v>
      </c>
      <c r="U88" s="109">
        <f t="shared" si="195"/>
        <v>-4.672879981639666E-2</v>
      </c>
      <c r="V88" s="109">
        <f t="shared" si="195"/>
        <v>2.9999999999999805E-2</v>
      </c>
      <c r="W88" s="95"/>
      <c r="X88" s="95"/>
      <c r="Y88" s="95"/>
      <c r="Z88" s="95"/>
      <c r="AA88" s="1"/>
      <c r="AB88" s="1"/>
      <c r="AC88" s="1"/>
      <c r="AD88" s="1"/>
      <c r="AE88" s="1"/>
      <c r="AF88" s="1"/>
      <c r="AG88" s="1"/>
      <c r="AH88" s="171">
        <f t="shared" si="139"/>
        <v>7.3471281947029343E-2</v>
      </c>
      <c r="AI88" s="171">
        <f t="shared" si="179"/>
        <v>0.18242974120073543</v>
      </c>
      <c r="AJ88" s="171">
        <f t="shared" si="180"/>
        <v>0.10605269548891352</v>
      </c>
      <c r="AK88" s="171">
        <f t="shared" si="181"/>
        <v>0.5070892398430914</v>
      </c>
      <c r="AL88" s="1"/>
      <c r="AM88" s="171">
        <f t="shared" si="182"/>
        <v>0.57169319277984587</v>
      </c>
      <c r="AN88" s="171">
        <f t="shared" si="183"/>
        <v>0.15725004990882754</v>
      </c>
      <c r="AO88" s="171">
        <f t="shared" si="184"/>
        <v>9.4024231415729048E-2</v>
      </c>
      <c r="AP88" s="171">
        <f t="shared" si="185"/>
        <v>9.2629879052955805E-2</v>
      </c>
      <c r="AR88" s="91">
        <f t="shared" si="186"/>
        <v>7.997972493411705E-2</v>
      </c>
      <c r="AS88" s="91">
        <f t="shared" si="187"/>
        <v>0.12767424587624851</v>
      </c>
      <c r="AT88" s="91" t="e">
        <f t="shared" si="188"/>
        <v>#DIV/0!</v>
      </c>
      <c r="AU88" s="91" t="e">
        <f t="shared" si="189"/>
        <v>#DIV/0!</v>
      </c>
      <c r="AW88" s="91" t="e">
        <f t="shared" si="190"/>
        <v>#DIV/0!</v>
      </c>
      <c r="AX88" s="91" t="e">
        <f t="shared" si="191"/>
        <v>#DIV/0!</v>
      </c>
      <c r="AY88" s="91" t="e">
        <f t="shared" si="192"/>
        <v>#DIV/0!</v>
      </c>
      <c r="AZ88" s="91" t="e">
        <f t="shared" si="193"/>
        <v>#DIV/0!</v>
      </c>
    </row>
    <row r="89" spans="1:52" ht="17" x14ac:dyDescent="0.2">
      <c r="A89" s="3" t="s">
        <v>39</v>
      </c>
      <c r="B89" s="1"/>
      <c r="C89" s="129" t="e">
        <f t="shared" si="136"/>
        <v>#DIV/0!</v>
      </c>
      <c r="D89" s="129" t="e">
        <f t="shared" si="159"/>
        <v>#DIV/0!</v>
      </c>
      <c r="E89" s="129" t="e">
        <f t="shared" si="159"/>
        <v>#DIV/0!</v>
      </c>
      <c r="F89" s="129" t="e">
        <f t="shared" si="159"/>
        <v>#DIV/0!</v>
      </c>
      <c r="G89" s="129" t="e">
        <f t="shared" si="159"/>
        <v>#DIV/0!</v>
      </c>
      <c r="H89" s="129" t="e">
        <f t="shared" si="159"/>
        <v>#DIV/0!</v>
      </c>
      <c r="I89" s="129" t="e">
        <f t="shared" si="159"/>
        <v>#DIV/0!</v>
      </c>
      <c r="J89" s="129" t="e">
        <f t="shared" si="159"/>
        <v>#DIV/0!</v>
      </c>
      <c r="K89" s="129" t="e">
        <f t="shared" si="159"/>
        <v>#DIV/0!</v>
      </c>
      <c r="L89" s="129" t="e">
        <f t="shared" si="159"/>
        <v>#DIV/0!</v>
      </c>
      <c r="M89" s="129" t="e">
        <f t="shared" si="159"/>
        <v>#DIV/0!</v>
      </c>
      <c r="N89" s="129" t="e">
        <f t="shared" si="159"/>
        <v>#DIV/0!</v>
      </c>
      <c r="O89" s="129" t="e">
        <f t="shared" si="159"/>
        <v>#DIV/0!</v>
      </c>
      <c r="P89" s="129" t="e">
        <f t="shared" si="159"/>
        <v>#DIV/0!</v>
      </c>
      <c r="Q89" s="129">
        <f t="shared" si="159"/>
        <v>8.4922878313682393E-3</v>
      </c>
      <c r="R89" s="129">
        <f t="shared" si="159"/>
        <v>0.17545833061136107</v>
      </c>
      <c r="S89" s="129">
        <f t="shared" si="177"/>
        <v>6.8039784822492955E-2</v>
      </c>
      <c r="T89" s="129">
        <f t="shared" ref="T89:V89" si="196">T57/S57-1</f>
        <v>6.2279973076072137E-2</v>
      </c>
      <c r="U89" s="109" t="e">
        <f t="shared" si="196"/>
        <v>#DIV/0!</v>
      </c>
      <c r="V89" s="109" t="e">
        <f t="shared" si="196"/>
        <v>#DIV/0!</v>
      </c>
      <c r="W89" s="95"/>
      <c r="X89" s="95"/>
      <c r="Y89" s="95"/>
      <c r="Z89" s="95"/>
      <c r="AA89" s="1"/>
      <c r="AB89" s="1"/>
      <c r="AC89" s="1"/>
      <c r="AD89" s="1"/>
      <c r="AE89" s="1"/>
      <c r="AF89" s="1"/>
      <c r="AG89" s="1"/>
      <c r="AH89" s="171" t="e">
        <f t="shared" si="139"/>
        <v>#DIV/0!</v>
      </c>
      <c r="AI89" s="171" t="e">
        <f t="shared" si="179"/>
        <v>#DIV/0!</v>
      </c>
      <c r="AJ89" s="171" t="e">
        <f t="shared" si="180"/>
        <v>#DIV/0!</v>
      </c>
      <c r="AK89" s="171" t="e">
        <f t="shared" si="181"/>
        <v>#DIV/0!</v>
      </c>
      <c r="AL89" s="1"/>
      <c r="AM89" s="171" t="e">
        <f t="shared" si="182"/>
        <v>#DIV/0!</v>
      </c>
      <c r="AN89" s="171" t="e">
        <f t="shared" si="183"/>
        <v>#DIV/0!</v>
      </c>
      <c r="AO89" s="171" t="e">
        <f t="shared" si="184"/>
        <v>#DIV/0!</v>
      </c>
      <c r="AP89" s="171" t="e">
        <f t="shared" si="185"/>
        <v>#DIV/0!</v>
      </c>
      <c r="AR89" s="91" t="e">
        <f t="shared" si="186"/>
        <v>#DIV/0!</v>
      </c>
      <c r="AS89" s="91" t="e">
        <f t="shared" si="187"/>
        <v>#DIV/0!</v>
      </c>
      <c r="AT89" s="91" t="e">
        <f t="shared" si="188"/>
        <v>#DIV/0!</v>
      </c>
      <c r="AU89" s="91" t="e">
        <f t="shared" si="189"/>
        <v>#DIV/0!</v>
      </c>
      <c r="AW89" s="91" t="e">
        <f t="shared" si="190"/>
        <v>#DIV/0!</v>
      </c>
      <c r="AX89" s="91" t="e">
        <f t="shared" si="191"/>
        <v>#DIV/0!</v>
      </c>
      <c r="AY89" s="91" t="e">
        <f t="shared" si="192"/>
        <v>#DIV/0!</v>
      </c>
      <c r="AZ89" s="91" t="e">
        <f t="shared" si="193"/>
        <v>#DIV/0!</v>
      </c>
    </row>
    <row r="90" spans="1:52" ht="17" x14ac:dyDescent="0.2">
      <c r="A90" s="3" t="s">
        <v>40</v>
      </c>
      <c r="B90" s="1"/>
      <c r="C90" s="129" t="e">
        <f t="shared" si="136"/>
        <v>#DIV/0!</v>
      </c>
      <c r="D90" s="129" t="e">
        <f t="shared" si="159"/>
        <v>#DIV/0!</v>
      </c>
      <c r="E90" s="129" t="e">
        <f t="shared" si="159"/>
        <v>#DIV/0!</v>
      </c>
      <c r="F90" s="129" t="e">
        <f t="shared" si="159"/>
        <v>#DIV/0!</v>
      </c>
      <c r="G90" s="129" t="e">
        <f t="shared" si="159"/>
        <v>#DIV/0!</v>
      </c>
      <c r="H90" s="129" t="e">
        <f t="shared" si="159"/>
        <v>#DIV/0!</v>
      </c>
      <c r="I90" s="129" t="e">
        <f t="shared" si="159"/>
        <v>#DIV/0!</v>
      </c>
      <c r="J90" s="129" t="e">
        <f t="shared" si="159"/>
        <v>#DIV/0!</v>
      </c>
      <c r="K90" s="129" t="e">
        <f t="shared" si="159"/>
        <v>#DIV/0!</v>
      </c>
      <c r="L90" s="129" t="e">
        <f t="shared" si="159"/>
        <v>#DIV/0!</v>
      </c>
      <c r="M90" s="129" t="e">
        <f t="shared" si="159"/>
        <v>#DIV/0!</v>
      </c>
      <c r="N90" s="129" t="e">
        <f t="shared" si="159"/>
        <v>#DIV/0!</v>
      </c>
      <c r="O90" s="129" t="e">
        <f t="shared" si="159"/>
        <v>#DIV/0!</v>
      </c>
      <c r="P90" s="129" t="e">
        <f t="shared" si="159"/>
        <v>#DIV/0!</v>
      </c>
      <c r="Q90" s="129">
        <f t="shared" si="159"/>
        <v>1.3964229697424524</v>
      </c>
      <c r="R90" s="129">
        <f t="shared" si="159"/>
        <v>0.30897842069693482</v>
      </c>
      <c r="S90" s="129">
        <f t="shared" si="177"/>
        <v>-0.20642886025863949</v>
      </c>
      <c r="T90" s="129">
        <f t="shared" ref="T90:V90" si="197">T58/S58-1</f>
        <v>-0.18313686069162849</v>
      </c>
      <c r="U90" s="109" t="e">
        <f t="shared" si="197"/>
        <v>#DIV/0!</v>
      </c>
      <c r="V90" s="109" t="e">
        <f t="shared" si="197"/>
        <v>#DIV/0!</v>
      </c>
      <c r="W90" s="95"/>
      <c r="X90" s="95"/>
      <c r="Y90" s="95"/>
      <c r="Z90" s="95"/>
      <c r="AA90" s="1"/>
      <c r="AB90" s="1"/>
      <c r="AC90" s="1"/>
      <c r="AD90" s="1"/>
      <c r="AE90" s="1"/>
      <c r="AF90" s="1"/>
      <c r="AG90" s="1"/>
      <c r="AH90" s="171" t="e">
        <f t="shared" si="139"/>
        <v>#DIV/0!</v>
      </c>
      <c r="AI90" s="171" t="e">
        <f t="shared" si="179"/>
        <v>#DIV/0!</v>
      </c>
      <c r="AJ90" s="171" t="e">
        <f t="shared" si="180"/>
        <v>#DIV/0!</v>
      </c>
      <c r="AK90" s="171" t="e">
        <f t="shared" si="181"/>
        <v>#DIV/0!</v>
      </c>
      <c r="AL90" s="1"/>
      <c r="AM90" s="171" t="e">
        <f t="shared" si="182"/>
        <v>#DIV/0!</v>
      </c>
      <c r="AN90" s="171" t="e">
        <f t="shared" si="183"/>
        <v>#DIV/0!</v>
      </c>
      <c r="AO90" s="171" t="e">
        <f t="shared" si="184"/>
        <v>#DIV/0!</v>
      </c>
      <c r="AP90" s="171" t="e">
        <f t="shared" si="185"/>
        <v>#DIV/0!</v>
      </c>
      <c r="AR90" s="91" t="e">
        <f t="shared" si="186"/>
        <v>#DIV/0!</v>
      </c>
      <c r="AS90" s="91" t="e">
        <f t="shared" si="187"/>
        <v>#DIV/0!</v>
      </c>
      <c r="AT90" s="91" t="e">
        <f t="shared" si="188"/>
        <v>#DIV/0!</v>
      </c>
      <c r="AU90" s="91" t="e">
        <f t="shared" si="189"/>
        <v>#DIV/0!</v>
      </c>
      <c r="AW90" s="91" t="e">
        <f t="shared" si="190"/>
        <v>#DIV/0!</v>
      </c>
      <c r="AX90" s="91" t="e">
        <f t="shared" si="191"/>
        <v>#DIV/0!</v>
      </c>
      <c r="AY90" s="91" t="e">
        <f t="shared" si="192"/>
        <v>#DIV/0!</v>
      </c>
      <c r="AZ90" s="91" t="e">
        <f t="shared" si="193"/>
        <v>#DIV/0!</v>
      </c>
    </row>
    <row r="91" spans="1:52" ht="17" x14ac:dyDescent="0.2">
      <c r="A91" s="3" t="s">
        <v>41</v>
      </c>
      <c r="B91" s="1"/>
      <c r="C91" s="129">
        <f t="shared" si="136"/>
        <v>0.1005370809655155</v>
      </c>
      <c r="D91" s="129">
        <f t="shared" si="159"/>
        <v>7.3894716412419736E-2</v>
      </c>
      <c r="E91" s="129">
        <f t="shared" si="159"/>
        <v>3.1806726256530027E-2</v>
      </c>
      <c r="F91" s="129">
        <f t="shared" si="159"/>
        <v>-1.9211976934674357E-3</v>
      </c>
      <c r="G91" s="129">
        <f t="shared" si="159"/>
        <v>6.6330370617309953E-2</v>
      </c>
      <c r="H91" s="129">
        <f t="shared" si="159"/>
        <v>8.9455051772883376E-2</v>
      </c>
      <c r="I91" s="129">
        <f t="shared" si="159"/>
        <v>4.9793662166642383E-2</v>
      </c>
      <c r="J91" s="129">
        <f t="shared" si="159"/>
        <v>4.0463452412214052E-2</v>
      </c>
      <c r="K91" s="129">
        <f t="shared" si="159"/>
        <v>0.14325337520580295</v>
      </c>
      <c r="L91" s="129">
        <f t="shared" si="159"/>
        <v>-2.808800376128695E-2</v>
      </c>
      <c r="M91" s="129">
        <f t="shared" si="159"/>
        <v>-0.22511806828203507</v>
      </c>
      <c r="N91" s="129">
        <f t="shared" si="159"/>
        <v>6.4646588147071027E-2</v>
      </c>
      <c r="O91" s="129">
        <f t="shared" si="159"/>
        <v>5.4602579658900474E-2</v>
      </c>
      <c r="P91" s="129">
        <f t="shared" si="159"/>
        <v>9.3534853163562692E-2</v>
      </c>
      <c r="Q91" s="129">
        <f t="shared" si="159"/>
        <v>1.4786259454949491E-2</v>
      </c>
      <c r="R91" s="129">
        <f t="shared" si="159"/>
        <v>0.17688818731663214</v>
      </c>
      <c r="S91" s="129">
        <f t="shared" si="177"/>
        <v>6.4770626743124726E-2</v>
      </c>
      <c r="T91" s="129">
        <f t="shared" ref="T91:V91" si="198">T59/S59-1</f>
        <v>6.0101373900896649E-2</v>
      </c>
      <c r="U91" s="109" t="e">
        <f t="shared" si="198"/>
        <v>#DIV/0!</v>
      </c>
      <c r="V91" s="109" t="e">
        <f t="shared" si="198"/>
        <v>#DIV/0!</v>
      </c>
      <c r="W91" s="95"/>
      <c r="X91" s="95"/>
      <c r="Y91" s="95"/>
      <c r="Z91" s="95"/>
      <c r="AA91" s="1"/>
      <c r="AB91" s="1"/>
      <c r="AC91" s="1"/>
      <c r="AD91" s="1"/>
      <c r="AE91" s="1"/>
      <c r="AF91" s="1"/>
      <c r="AG91" s="1"/>
      <c r="AH91" s="171" t="e">
        <f t="shared" si="139"/>
        <v>#DIV/0!</v>
      </c>
      <c r="AI91" s="171" t="e">
        <f t="shared" si="179"/>
        <v>#DIV/0!</v>
      </c>
      <c r="AJ91" s="171" t="e">
        <f t="shared" si="180"/>
        <v>#DIV/0!</v>
      </c>
      <c r="AK91" s="171" t="e">
        <f t="shared" si="181"/>
        <v>#DIV/0!</v>
      </c>
      <c r="AL91" s="1"/>
      <c r="AM91" s="171" t="e">
        <f t="shared" si="182"/>
        <v>#DIV/0!</v>
      </c>
      <c r="AN91" s="171" t="e">
        <f t="shared" si="183"/>
        <v>#DIV/0!</v>
      </c>
      <c r="AO91" s="171" t="e">
        <f t="shared" si="184"/>
        <v>#DIV/0!</v>
      </c>
      <c r="AP91" s="171" t="e">
        <f t="shared" si="185"/>
        <v>#DIV/0!</v>
      </c>
      <c r="AR91" s="91" t="e">
        <f t="shared" si="186"/>
        <v>#DIV/0!</v>
      </c>
      <c r="AS91" s="91" t="e">
        <f t="shared" si="187"/>
        <v>#DIV/0!</v>
      </c>
      <c r="AT91" s="91" t="e">
        <f t="shared" si="188"/>
        <v>#DIV/0!</v>
      </c>
      <c r="AU91" s="91" t="e">
        <f t="shared" si="189"/>
        <v>#DIV/0!</v>
      </c>
      <c r="AW91" s="91" t="e">
        <f t="shared" si="190"/>
        <v>#DIV/0!</v>
      </c>
      <c r="AX91" s="91" t="e">
        <f t="shared" si="191"/>
        <v>#DIV/0!</v>
      </c>
      <c r="AY91" s="91" t="e">
        <f t="shared" si="192"/>
        <v>#DIV/0!</v>
      </c>
      <c r="AZ91" s="91" t="e">
        <f t="shared" si="193"/>
        <v>#DIV/0!</v>
      </c>
    </row>
    <row r="92" spans="1:52" x14ac:dyDescent="0.2">
      <c r="A92" s="3"/>
      <c r="B92" s="1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09"/>
      <c r="V92" s="109"/>
      <c r="W92" s="95"/>
      <c r="X92" s="95"/>
      <c r="Y92" s="95"/>
      <c r="Z92" s="95"/>
      <c r="AA92" s="1"/>
      <c r="AB92" s="1"/>
      <c r="AC92" s="1"/>
      <c r="AD92" s="1"/>
      <c r="AE92" s="1"/>
      <c r="AF92" s="1"/>
      <c r="AG92" s="1"/>
      <c r="AH92" s="171"/>
      <c r="AI92" s="1"/>
      <c r="AJ92" s="1"/>
      <c r="AK92" s="1"/>
      <c r="AL92" s="1"/>
      <c r="AM92" s="1"/>
      <c r="AN92" s="1"/>
      <c r="AO92" s="1"/>
      <c r="AP92" s="1"/>
    </row>
    <row r="93" spans="1:52" x14ac:dyDescent="0.2">
      <c r="A93" s="3"/>
      <c r="B93" s="1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09"/>
      <c r="V93" s="109"/>
      <c r="W93" s="95"/>
      <c r="X93" s="95"/>
      <c r="Y93" s="95"/>
      <c r="Z93" s="95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52" x14ac:dyDescent="0.2">
      <c r="A94" s="130" t="s">
        <v>34</v>
      </c>
      <c r="B94" s="131">
        <v>37696</v>
      </c>
      <c r="C94" s="131">
        <v>41423</v>
      </c>
      <c r="D94" s="131">
        <v>70563</v>
      </c>
      <c r="E94" s="131">
        <v>78202</v>
      </c>
      <c r="F94" s="131">
        <v>126845</v>
      </c>
      <c r="G94" s="131">
        <v>178981</v>
      </c>
      <c r="H94" s="131">
        <v>214945</v>
      </c>
      <c r="I94" s="131">
        <v>278000</v>
      </c>
      <c r="J94" s="131">
        <v>327438</v>
      </c>
      <c r="K94" s="131">
        <v>445374</v>
      </c>
      <c r="L94" s="131">
        <v>475602</v>
      </c>
      <c r="M94" s="131">
        <v>22938</v>
      </c>
      <c r="N94" s="131">
        <v>176253</v>
      </c>
      <c r="O94" s="131">
        <v>176553</v>
      </c>
      <c r="P94" s="131">
        <v>350158</v>
      </c>
      <c r="Q94" s="131">
        <v>355766</v>
      </c>
      <c r="R94" s="131">
        <v>652984</v>
      </c>
      <c r="S94" s="131">
        <v>899101</v>
      </c>
      <c r="T94" s="131">
        <v>1228737</v>
      </c>
      <c r="U94" s="95"/>
      <c r="V94" s="95"/>
      <c r="W94" s="95"/>
      <c r="X94" s="95"/>
      <c r="Y94" s="95"/>
      <c r="Z94" s="95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52" x14ac:dyDescent="0.2">
      <c r="A95" s="132" t="s">
        <v>122</v>
      </c>
      <c r="B95" s="131">
        <v>28026</v>
      </c>
      <c r="C95" s="131">
        <v>34253</v>
      </c>
      <c r="D95" s="131">
        <v>43595</v>
      </c>
      <c r="E95" s="131">
        <v>52770</v>
      </c>
      <c r="F95" s="131">
        <v>61308</v>
      </c>
      <c r="G95" s="131">
        <v>68921</v>
      </c>
      <c r="H95" s="131">
        <v>74938</v>
      </c>
      <c r="I95" s="131">
        <v>84130</v>
      </c>
      <c r="J95" s="131">
        <v>96054</v>
      </c>
      <c r="K95" s="131">
        <v>110474</v>
      </c>
      <c r="L95" s="131">
        <v>130368</v>
      </c>
      <c r="M95" s="131">
        <v>146368</v>
      </c>
      <c r="N95" s="131">
        <v>163348</v>
      </c>
      <c r="O95" s="131">
        <v>201979</v>
      </c>
      <c r="P95" s="131">
        <v>212778</v>
      </c>
      <c r="Q95" s="131">
        <v>238534</v>
      </c>
      <c r="R95" s="131">
        <v>254657</v>
      </c>
      <c r="S95" s="131">
        <v>286826</v>
      </c>
      <c r="T95" s="131">
        <v>319394</v>
      </c>
      <c r="U95" s="95"/>
      <c r="V95" s="95"/>
      <c r="W95" s="95"/>
      <c r="X95" s="95"/>
      <c r="Y95" s="95"/>
      <c r="Z95" s="95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52" x14ac:dyDescent="0.2">
      <c r="A96" s="132" t="s">
        <v>123</v>
      </c>
      <c r="B96" s="131">
        <v>2103</v>
      </c>
      <c r="C96" s="131">
        <v>5193</v>
      </c>
      <c r="D96" s="131">
        <v>7801</v>
      </c>
      <c r="E96" s="131">
        <v>11374</v>
      </c>
      <c r="F96" s="131">
        <v>14992</v>
      </c>
      <c r="G96" s="131">
        <v>21381</v>
      </c>
      <c r="H96" s="131">
        <v>41382</v>
      </c>
      <c r="I96" s="131">
        <v>64276</v>
      </c>
      <c r="J96" s="131">
        <v>63657</v>
      </c>
      <c r="K96" s="131">
        <v>96440</v>
      </c>
      <c r="L96" s="131">
        <v>57911</v>
      </c>
      <c r="M96" s="131">
        <v>64166</v>
      </c>
      <c r="N96" s="131">
        <v>65255</v>
      </c>
      <c r="O96" s="131">
        <v>69164</v>
      </c>
      <c r="P96" s="131">
        <v>91396</v>
      </c>
      <c r="Q96" s="131">
        <v>82626</v>
      </c>
      <c r="R96" s="131">
        <v>176392</v>
      </c>
      <c r="S96" s="131">
        <v>98030</v>
      </c>
      <c r="T96" s="131">
        <v>124016</v>
      </c>
      <c r="U96" s="95"/>
      <c r="V96" s="95"/>
      <c r="W96" s="95"/>
      <c r="X96" s="95"/>
      <c r="Y96" s="95"/>
      <c r="Z96" s="95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">
      <c r="A97" s="132" t="s">
        <v>124</v>
      </c>
      <c r="B97" s="131">
        <v>12887</v>
      </c>
      <c r="C97" s="131">
        <v>-2639</v>
      </c>
      <c r="D97" s="131">
        <v>-3024</v>
      </c>
      <c r="E97" s="131">
        <v>13254</v>
      </c>
      <c r="F97" s="131">
        <v>8423</v>
      </c>
      <c r="G97" s="131">
        <v>10479</v>
      </c>
      <c r="H97" s="131">
        <v>11935</v>
      </c>
      <c r="I97" s="131">
        <v>-18057</v>
      </c>
      <c r="J97" s="131">
        <v>2103</v>
      </c>
      <c r="K97" s="131">
        <v>-20671</v>
      </c>
      <c r="L97" s="131">
        <v>11666</v>
      </c>
      <c r="M97" s="131">
        <v>-14207</v>
      </c>
      <c r="N97" s="131">
        <v>-18026</v>
      </c>
      <c r="O97" s="131">
        <v>10585</v>
      </c>
      <c r="P97" s="131">
        <v>29962</v>
      </c>
      <c r="Q97" s="131">
        <v>108350</v>
      </c>
      <c r="R97" s="131">
        <v>-12357</v>
      </c>
      <c r="S97" s="131">
        <v>-43195</v>
      </c>
      <c r="T97" s="131">
        <v>-9505</v>
      </c>
      <c r="U97" s="95"/>
      <c r="V97" s="95"/>
      <c r="W97" s="95"/>
      <c r="X97" s="95"/>
      <c r="Y97" s="95"/>
      <c r="Z97" s="95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">
      <c r="A98" s="132" t="s">
        <v>98</v>
      </c>
      <c r="B98" s="131">
        <v>-18261</v>
      </c>
      <c r="C98" s="131">
        <v>3600</v>
      </c>
      <c r="D98" s="131">
        <v>6183</v>
      </c>
      <c r="E98" s="131">
        <v>9553</v>
      </c>
      <c r="F98" s="131">
        <v>-4502</v>
      </c>
      <c r="G98" s="131">
        <v>-8381</v>
      </c>
      <c r="H98" s="131">
        <v>-30240</v>
      </c>
      <c r="I98" s="131">
        <v>-66615</v>
      </c>
      <c r="J98" s="131">
        <v>-31102</v>
      </c>
      <c r="K98" s="131">
        <v>-14578</v>
      </c>
      <c r="L98" s="131">
        <v>-60689</v>
      </c>
      <c r="M98" s="131">
        <v>21691</v>
      </c>
      <c r="N98" s="131">
        <v>13341</v>
      </c>
      <c r="O98" s="131">
        <v>59194</v>
      </c>
      <c r="P98" s="131">
        <v>4843</v>
      </c>
      <c r="Q98" s="131">
        <v>32681</v>
      </c>
      <c r="R98" s="131">
        <v>12980</v>
      </c>
      <c r="S98" s="131">
        <v>3776</v>
      </c>
      <c r="T98" s="131">
        <v>25515</v>
      </c>
      <c r="U98" s="95"/>
      <c r="V98" s="95"/>
      <c r="W98" s="95"/>
      <c r="X98" s="95"/>
      <c r="Y98" s="95"/>
      <c r="Z98" s="95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">
      <c r="A99" s="132" t="s">
        <v>125</v>
      </c>
      <c r="B99" s="131">
        <v>14980</v>
      </c>
      <c r="C99" s="131">
        <v>21767</v>
      </c>
      <c r="D99" s="131">
        <v>21805</v>
      </c>
      <c r="E99" s="131">
        <v>33354</v>
      </c>
      <c r="F99" s="131">
        <v>53607</v>
      </c>
      <c r="G99" s="131">
        <v>17810</v>
      </c>
      <c r="H99" s="131">
        <v>98136</v>
      </c>
      <c r="I99" s="131">
        <v>78229</v>
      </c>
      <c r="J99" s="131">
        <v>70630</v>
      </c>
      <c r="K99" s="131">
        <v>65028</v>
      </c>
      <c r="L99" s="131">
        <v>68458</v>
      </c>
      <c r="M99" s="131">
        <v>114204</v>
      </c>
      <c r="N99" s="131">
        <v>68045</v>
      </c>
      <c r="O99" s="131">
        <v>104077</v>
      </c>
      <c r="P99" s="131">
        <v>32495</v>
      </c>
      <c r="Q99" s="131">
        <v>-154110</v>
      </c>
      <c r="R99" s="131">
        <v>197425</v>
      </c>
      <c r="S99" s="131">
        <v>78641</v>
      </c>
      <c r="T99" s="131">
        <v>95320</v>
      </c>
      <c r="U99" s="95"/>
      <c r="V99" s="95"/>
      <c r="W99" s="95"/>
      <c r="X99" s="95"/>
      <c r="Y99" s="95"/>
      <c r="Z99" s="95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">
      <c r="A100" s="130" t="s">
        <v>126</v>
      </c>
      <c r="B100" s="131">
        <v>77431</v>
      </c>
      <c r="C100" s="131">
        <v>103597</v>
      </c>
      <c r="D100" s="131">
        <v>146923</v>
      </c>
      <c r="E100" s="131">
        <v>198507</v>
      </c>
      <c r="F100" s="131">
        <v>260673</v>
      </c>
      <c r="G100" s="131">
        <v>289191</v>
      </c>
      <c r="H100" s="131">
        <v>411096</v>
      </c>
      <c r="I100" s="131">
        <v>419963</v>
      </c>
      <c r="J100" s="131">
        <v>528780</v>
      </c>
      <c r="K100" s="131">
        <v>682067</v>
      </c>
      <c r="L100" s="131">
        <v>683316</v>
      </c>
      <c r="M100" s="131">
        <v>355160</v>
      </c>
      <c r="N100" s="131">
        <v>468216</v>
      </c>
      <c r="O100" s="131">
        <v>621552</v>
      </c>
      <c r="P100" s="131">
        <v>721632</v>
      </c>
      <c r="Q100" s="131">
        <v>663847</v>
      </c>
      <c r="R100" s="131">
        <v>1282081</v>
      </c>
      <c r="S100" s="131">
        <v>1323179</v>
      </c>
      <c r="T100" s="131">
        <v>1783477</v>
      </c>
      <c r="U100" s="95"/>
      <c r="V100" s="95"/>
      <c r="W100" s="95"/>
      <c r="X100" s="95"/>
      <c r="Y100" s="95"/>
      <c r="Z100" s="95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">
      <c r="A101" s="132" t="s">
        <v>127</v>
      </c>
      <c r="B101" s="131">
        <v>-83036</v>
      </c>
      <c r="C101" s="131">
        <v>-97312</v>
      </c>
      <c r="D101" s="131">
        <v>-140545</v>
      </c>
      <c r="E101" s="131">
        <v>-152101</v>
      </c>
      <c r="F101" s="131">
        <v>-117198</v>
      </c>
      <c r="G101" s="131">
        <v>-113215</v>
      </c>
      <c r="H101" s="131">
        <v>-151147</v>
      </c>
      <c r="I101" s="131">
        <v>-197037</v>
      </c>
      <c r="J101" s="131">
        <v>-199926</v>
      </c>
      <c r="K101" s="131">
        <v>-252590</v>
      </c>
      <c r="L101" s="131">
        <v>-257418</v>
      </c>
      <c r="M101" s="131">
        <v>281806</v>
      </c>
      <c r="N101" s="131">
        <v>-216777</v>
      </c>
      <c r="O101" s="131">
        <v>-287390</v>
      </c>
      <c r="P101" s="131">
        <v>-319943</v>
      </c>
      <c r="Q101" s="131">
        <v>-373352</v>
      </c>
      <c r="R101" s="131">
        <v>-438440</v>
      </c>
      <c r="S101" s="131">
        <v>-479164</v>
      </c>
      <c r="T101" s="131">
        <v>-560731</v>
      </c>
      <c r="U101" s="95"/>
      <c r="V101" s="95"/>
      <c r="W101" s="95"/>
      <c r="X101" s="95"/>
      <c r="Y101" s="95"/>
      <c r="Z101" s="95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">
      <c r="A102" s="130" t="s">
        <v>128</v>
      </c>
      <c r="B102" s="131">
        <v>-5605</v>
      </c>
      <c r="C102" s="131">
        <v>6285</v>
      </c>
      <c r="D102" s="131">
        <v>6378</v>
      </c>
      <c r="E102" s="131">
        <v>46406</v>
      </c>
      <c r="F102" s="131">
        <v>143475</v>
      </c>
      <c r="G102" s="131">
        <v>175976</v>
      </c>
      <c r="H102" s="131">
        <v>259949</v>
      </c>
      <c r="I102" s="131">
        <v>222926</v>
      </c>
      <c r="J102" s="131">
        <v>328854</v>
      </c>
      <c r="K102" s="131">
        <v>429477</v>
      </c>
      <c r="L102" s="131">
        <v>425898</v>
      </c>
      <c r="M102" s="131">
        <v>636966</v>
      </c>
      <c r="N102" s="131">
        <v>251439</v>
      </c>
      <c r="O102" s="131">
        <v>334162</v>
      </c>
      <c r="P102" s="131">
        <v>401689</v>
      </c>
      <c r="Q102" s="131">
        <v>290495</v>
      </c>
      <c r="R102" s="131">
        <v>843641</v>
      </c>
      <c r="S102" s="131">
        <v>844015</v>
      </c>
      <c r="T102" s="131">
        <v>1222746</v>
      </c>
      <c r="U102" s="95"/>
      <c r="V102" s="95"/>
      <c r="W102" s="95"/>
      <c r="X102" s="95"/>
      <c r="Y102" s="95"/>
      <c r="Z102" s="95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">
      <c r="A103" s="133" t="s">
        <v>129</v>
      </c>
      <c r="B103" s="134">
        <v>-0.21251990596799877</v>
      </c>
      <c r="C103" s="134">
        <v>0.19359310026182042</v>
      </c>
      <c r="D103" s="134">
        <v>0.19242140831472879</v>
      </c>
      <c r="E103" s="134">
        <v>1.4000482712846196</v>
      </c>
      <c r="F103" s="134">
        <v>4.4693477041928853</v>
      </c>
      <c r="G103" s="134">
        <v>5.5451709469040491</v>
      </c>
      <c r="H103" s="134">
        <v>8.1809284028324161</v>
      </c>
      <c r="I103" s="134">
        <v>7.0140011956077144</v>
      </c>
      <c r="J103" s="134">
        <v>10.512899203989642</v>
      </c>
      <c r="K103" s="134">
        <v>13.628998476770754</v>
      </c>
      <c r="L103" s="134">
        <v>13.523147266145932</v>
      </c>
      <c r="M103" s="134">
        <v>21.39623782331206</v>
      </c>
      <c r="N103" s="134">
        <v>8.8035783060817199</v>
      </c>
      <c r="O103" s="134">
        <v>11.950575781417639</v>
      </c>
      <c r="P103" s="134">
        <v>14.196465806679626</v>
      </c>
      <c r="Q103" s="134">
        <v>10.222937781531531</v>
      </c>
      <c r="R103" s="134">
        <v>29.590017887832765</v>
      </c>
      <c r="S103" s="134">
        <v>30.076794241322784</v>
      </c>
      <c r="T103" s="134">
        <v>44.126524720317576</v>
      </c>
      <c r="U103" s="95"/>
      <c r="V103" s="95"/>
      <c r="W103" s="95"/>
      <c r="X103" s="95"/>
      <c r="Y103" s="95"/>
      <c r="Z103" s="95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">
      <c r="A104" s="132" t="s">
        <v>130</v>
      </c>
      <c r="B104" s="131">
        <v>0</v>
      </c>
      <c r="C104" s="131">
        <v>0</v>
      </c>
      <c r="D104" s="131">
        <v>-5668</v>
      </c>
      <c r="E104" s="131">
        <v>0</v>
      </c>
      <c r="F104" s="131">
        <v>0</v>
      </c>
      <c r="G104" s="131">
        <v>-1900</v>
      </c>
      <c r="H104" s="131">
        <v>-586</v>
      </c>
      <c r="I104" s="131">
        <v>0</v>
      </c>
      <c r="J104" s="131">
        <v>0</v>
      </c>
      <c r="K104" s="131">
        <v>0</v>
      </c>
      <c r="L104" s="131">
        <v>0</v>
      </c>
      <c r="M104" s="131">
        <v>0</v>
      </c>
      <c r="N104" s="131">
        <v>0</v>
      </c>
      <c r="O104" s="131">
        <v>0</v>
      </c>
      <c r="P104" s="131">
        <v>0</v>
      </c>
      <c r="Q104" s="131">
        <v>-10025</v>
      </c>
      <c r="R104" s="131">
        <v>0</v>
      </c>
      <c r="S104" s="131">
        <v>0</v>
      </c>
      <c r="T104" s="131">
        <v>0</v>
      </c>
      <c r="U104" s="95"/>
      <c r="V104" s="95"/>
      <c r="W104" s="95"/>
      <c r="X104" s="95"/>
      <c r="Y104" s="95"/>
      <c r="Z104" s="95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">
      <c r="A105" s="132" t="s">
        <v>131</v>
      </c>
      <c r="B105" s="131">
        <v>0</v>
      </c>
      <c r="C105" s="131">
        <v>0</v>
      </c>
      <c r="D105" s="131">
        <v>-20000</v>
      </c>
      <c r="E105" s="131">
        <v>-79990</v>
      </c>
      <c r="F105" s="131">
        <v>49990</v>
      </c>
      <c r="G105" s="131">
        <v>-74766</v>
      </c>
      <c r="H105" s="131">
        <v>-58485</v>
      </c>
      <c r="I105" s="131">
        <v>-158462</v>
      </c>
      <c r="J105" s="131">
        <v>-228389</v>
      </c>
      <c r="K105" s="131">
        <v>-266254</v>
      </c>
      <c r="L105" s="131">
        <v>-206722</v>
      </c>
      <c r="M105" s="131">
        <v>45000</v>
      </c>
      <c r="N105" s="131">
        <v>130199</v>
      </c>
      <c r="O105" s="131">
        <v>-100188</v>
      </c>
      <c r="P105" s="131">
        <v>27969</v>
      </c>
      <c r="Q105" s="131">
        <v>-49340</v>
      </c>
      <c r="R105" s="131">
        <v>-83602</v>
      </c>
      <c r="S105" s="131">
        <v>-350868</v>
      </c>
      <c r="T105" s="131">
        <v>-385278</v>
      </c>
      <c r="U105" s="95"/>
      <c r="V105" s="95"/>
      <c r="W105" s="95"/>
      <c r="X105" s="95"/>
      <c r="Y105" s="95"/>
      <c r="Z105" s="95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">
      <c r="A106" s="132" t="s">
        <v>132</v>
      </c>
      <c r="B106" s="131">
        <v>0</v>
      </c>
      <c r="C106" s="131">
        <v>133333</v>
      </c>
      <c r="D106" s="131">
        <v>0</v>
      </c>
      <c r="E106" s="131">
        <v>-30227</v>
      </c>
      <c r="F106" s="131">
        <v>-84089</v>
      </c>
      <c r="G106" s="131">
        <v>-126602</v>
      </c>
      <c r="H106" s="131">
        <v>-63508</v>
      </c>
      <c r="I106" s="131">
        <v>-217092</v>
      </c>
      <c r="J106" s="131">
        <v>-138903</v>
      </c>
      <c r="K106" s="131">
        <v>-88338</v>
      </c>
      <c r="L106" s="131">
        <v>-460675</v>
      </c>
      <c r="M106" s="131">
        <v>-836760</v>
      </c>
      <c r="N106" s="131">
        <v>-285218</v>
      </c>
      <c r="O106" s="131">
        <v>-160937</v>
      </c>
      <c r="P106" s="131">
        <v>-190617</v>
      </c>
      <c r="Q106" s="131">
        <v>-54401</v>
      </c>
      <c r="R106" s="131">
        <v>-466462</v>
      </c>
      <c r="S106" s="131">
        <v>-830140</v>
      </c>
      <c r="T106" s="131">
        <v>-592349</v>
      </c>
      <c r="U106" s="95"/>
      <c r="V106" s="95"/>
      <c r="W106" s="95"/>
      <c r="X106" s="95"/>
      <c r="Y106" s="95"/>
      <c r="Z106" s="95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">
      <c r="A107" s="132" t="s">
        <v>98</v>
      </c>
      <c r="B107" s="131">
        <v>5666</v>
      </c>
      <c r="C107" s="131">
        <v>13963</v>
      </c>
      <c r="D107" s="131">
        <v>16824</v>
      </c>
      <c r="E107" s="131">
        <v>679</v>
      </c>
      <c r="F107" s="131">
        <v>22146</v>
      </c>
      <c r="G107" s="131">
        <v>32564</v>
      </c>
      <c r="H107" s="131">
        <v>39035</v>
      </c>
      <c r="I107" s="131">
        <v>73938</v>
      </c>
      <c r="J107" s="131">
        <v>39088</v>
      </c>
      <c r="K107" s="131">
        <v>21377</v>
      </c>
      <c r="L107" s="131">
        <v>70039</v>
      </c>
      <c r="M107" s="131">
        <v>587</v>
      </c>
      <c r="N107" s="131">
        <v>1380</v>
      </c>
      <c r="O107" s="131">
        <v>-7055</v>
      </c>
      <c r="P107" s="131">
        <v>-10712</v>
      </c>
      <c r="Q107" s="131">
        <v>-49374</v>
      </c>
      <c r="R107" s="131">
        <v>-83183</v>
      </c>
      <c r="S107" s="131">
        <v>-100271</v>
      </c>
      <c r="T107" s="131">
        <v>-67922</v>
      </c>
      <c r="U107" s="95"/>
      <c r="V107" s="95"/>
      <c r="W107" s="95"/>
      <c r="X107" s="95"/>
      <c r="Y107" s="95"/>
      <c r="Z107" s="95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">
      <c r="A108" s="130" t="s">
        <v>133</v>
      </c>
      <c r="B108" s="131">
        <v>61</v>
      </c>
      <c r="C108" s="131">
        <v>153581</v>
      </c>
      <c r="D108" s="131">
        <v>-2466</v>
      </c>
      <c r="E108" s="131">
        <v>-63132</v>
      </c>
      <c r="F108" s="131">
        <v>131522</v>
      </c>
      <c r="G108" s="131">
        <v>5272</v>
      </c>
      <c r="H108" s="131">
        <v>176405</v>
      </c>
      <c r="I108" s="131">
        <v>-78690</v>
      </c>
      <c r="J108" s="131">
        <v>650</v>
      </c>
      <c r="K108" s="131">
        <v>96262</v>
      </c>
      <c r="L108" s="131">
        <v>-171460</v>
      </c>
      <c r="M108" s="131">
        <v>-154207</v>
      </c>
      <c r="N108" s="131">
        <v>97800</v>
      </c>
      <c r="O108" s="131">
        <v>65982</v>
      </c>
      <c r="P108" s="131">
        <v>228329</v>
      </c>
      <c r="Q108" s="131">
        <v>127355</v>
      </c>
      <c r="R108" s="131">
        <v>210394</v>
      </c>
      <c r="S108" s="131">
        <v>-437264</v>
      </c>
      <c r="T108" s="131">
        <v>177197</v>
      </c>
      <c r="U108" s="95"/>
      <c r="V108" s="95"/>
      <c r="W108" s="95"/>
      <c r="X108" s="95"/>
      <c r="Y108" s="95"/>
      <c r="Z108" s="95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10" spans="1:42" ht="17" x14ac:dyDescent="0.2">
      <c r="A110" s="7" t="s">
        <v>194</v>
      </c>
      <c r="B110" s="76">
        <f>B95/(B126+B132)</f>
        <v>7.8190563342558694E-2</v>
      </c>
      <c r="C110" s="76">
        <f t="shared" ref="C110:T110" si="199">C95/(C126+C132)</f>
        <v>8.1076411079393479E-2</v>
      </c>
      <c r="D110" s="76">
        <f t="shared" si="199"/>
        <v>8.4344389003790127E-2</v>
      </c>
      <c r="E110" s="76">
        <f t="shared" si="199"/>
        <v>8.681589502466118E-2</v>
      </c>
      <c r="F110" s="76">
        <f t="shared" si="199"/>
        <v>9.3123718386876275E-2</v>
      </c>
      <c r="G110" s="76">
        <f t="shared" si="199"/>
        <v>9.8624824704501873E-2</v>
      </c>
      <c r="H110" s="76">
        <f t="shared" si="199"/>
        <v>9.6832883226298308E-2</v>
      </c>
      <c r="I110" s="76">
        <f t="shared" si="199"/>
        <v>9.4672545299456928E-2</v>
      </c>
      <c r="J110" s="76">
        <f t="shared" si="199"/>
        <v>9.7499231102634351E-2</v>
      </c>
      <c r="K110" s="76">
        <f t="shared" si="199"/>
        <v>9.7857869845861936E-2</v>
      </c>
      <c r="L110" s="76">
        <f t="shared" si="199"/>
        <v>0.10520683786342189</v>
      </c>
      <c r="M110" s="76">
        <f t="shared" si="199"/>
        <v>0.11042499530364837</v>
      </c>
      <c r="N110" s="76">
        <f t="shared" si="199"/>
        <v>0.12008189339890686</v>
      </c>
      <c r="O110" s="76">
        <f t="shared" si="199"/>
        <v>0.14414787969965592</v>
      </c>
      <c r="P110" s="76">
        <f t="shared" si="199"/>
        <v>0.14370784308560752</v>
      </c>
      <c r="Q110" s="76">
        <f t="shared" si="199"/>
        <v>0.14850365758754863</v>
      </c>
      <c r="R110" s="76">
        <f t="shared" si="199"/>
        <v>0.14216982085364308</v>
      </c>
      <c r="S110" s="76">
        <f t="shared" si="199"/>
        <v>0.14536923377896352</v>
      </c>
      <c r="T110" s="76">
        <f t="shared" si="199"/>
        <v>0.14571047050219962</v>
      </c>
    </row>
    <row r="115" spans="1:42" x14ac:dyDescent="0.2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95"/>
      <c r="V115" s="95"/>
      <c r="W115" s="95"/>
      <c r="X115" s="95"/>
      <c r="Y115" s="95"/>
      <c r="Z115" s="95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2">
      <c r="A116" s="135" t="s">
        <v>53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95"/>
      <c r="V116" s="95"/>
      <c r="W116" s="95"/>
      <c r="X116" s="95"/>
      <c r="Y116" s="95"/>
      <c r="Z116" s="95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2">
      <c r="A117" s="136" t="s">
        <v>54</v>
      </c>
      <c r="B117" s="135"/>
      <c r="C117" s="135"/>
      <c r="D117" s="135"/>
      <c r="E117" s="28"/>
      <c r="F117" s="28"/>
      <c r="G117" s="28"/>
      <c r="H117" s="28"/>
      <c r="I117" s="28"/>
      <c r="J117" s="28"/>
      <c r="K117" s="26"/>
      <c r="L117" s="26"/>
      <c r="M117" s="26"/>
      <c r="N117" s="26"/>
      <c r="O117" s="26"/>
      <c r="P117" s="26"/>
      <c r="Q117" s="26"/>
      <c r="R117" s="26"/>
      <c r="S117" s="137" t="s">
        <v>55</v>
      </c>
      <c r="T117" s="137" t="s">
        <v>55</v>
      </c>
      <c r="U117" s="95"/>
      <c r="V117" s="95"/>
      <c r="W117" s="95"/>
      <c r="X117" s="95"/>
      <c r="Y117" s="95"/>
      <c r="Z117" s="95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2">
      <c r="A118" s="138" t="s">
        <v>56</v>
      </c>
      <c r="B118" s="139">
        <v>61</v>
      </c>
      <c r="C118" s="139">
        <v>153642</v>
      </c>
      <c r="D118" s="139">
        <v>151176</v>
      </c>
      <c r="E118" s="139">
        <v>88044</v>
      </c>
      <c r="F118" s="139">
        <v>219566</v>
      </c>
      <c r="G118" s="139">
        <v>224838</v>
      </c>
      <c r="H118" s="139">
        <v>401243</v>
      </c>
      <c r="I118" s="53">
        <v>322553</v>
      </c>
      <c r="J118" s="53">
        <v>323203</v>
      </c>
      <c r="K118" s="55">
        <v>419465</v>
      </c>
      <c r="L118" s="55">
        <v>248005</v>
      </c>
      <c r="M118" s="140">
        <v>87880</v>
      </c>
      <c r="N118" s="140">
        <v>184569</v>
      </c>
      <c r="O118" s="140">
        <v>249953</v>
      </c>
      <c r="P118" s="140">
        <v>480626</v>
      </c>
      <c r="Q118" s="140">
        <v>607987</v>
      </c>
      <c r="R118" s="140">
        <v>815374</v>
      </c>
      <c r="S118" s="140">
        <v>384000</v>
      </c>
      <c r="T118" s="140">
        <v>560609</v>
      </c>
      <c r="U118" s="95"/>
      <c r="V118" s="95"/>
      <c r="W118" s="95"/>
      <c r="X118" s="95"/>
      <c r="Y118" s="95"/>
      <c r="Z118" s="95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2">
      <c r="A119" s="138" t="s">
        <v>57</v>
      </c>
      <c r="B119" s="139">
        <f>1933+2248</f>
        <v>4181</v>
      </c>
      <c r="C119" s="139">
        <f>4865+8783</f>
        <v>13648</v>
      </c>
      <c r="D119" s="139">
        <v>5373</v>
      </c>
      <c r="E119" s="139">
        <v>3643</v>
      </c>
      <c r="F119" s="139">
        <v>4763</v>
      </c>
      <c r="G119" s="139">
        <v>5658</v>
      </c>
      <c r="H119" s="139">
        <v>8389</v>
      </c>
      <c r="I119" s="53">
        <v>16800</v>
      </c>
      <c r="J119" s="53">
        <v>24016</v>
      </c>
      <c r="K119" s="55">
        <v>34839</v>
      </c>
      <c r="L119" s="55">
        <v>38283</v>
      </c>
      <c r="M119" s="140">
        <v>40451</v>
      </c>
      <c r="N119" s="140">
        <v>40453</v>
      </c>
      <c r="O119" s="140">
        <v>62312</v>
      </c>
      <c r="P119" s="140">
        <v>80545</v>
      </c>
      <c r="Q119" s="140">
        <v>104500</v>
      </c>
      <c r="R119" s="140">
        <v>99599</v>
      </c>
      <c r="S119" s="140">
        <v>106880</v>
      </c>
      <c r="T119" s="140">
        <v>115535</v>
      </c>
      <c r="U119" s="95"/>
      <c r="V119" s="95"/>
      <c r="W119" s="95"/>
      <c r="X119" s="95"/>
      <c r="Y119" s="95"/>
      <c r="Z119" s="95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2">
      <c r="A120" s="138" t="s">
        <v>58</v>
      </c>
      <c r="B120" s="139">
        <v>2625</v>
      </c>
      <c r="C120" s="139">
        <v>3505</v>
      </c>
      <c r="D120" s="139">
        <v>4332</v>
      </c>
      <c r="E120" s="139">
        <v>4789</v>
      </c>
      <c r="F120" s="139">
        <v>5614</v>
      </c>
      <c r="G120" s="139">
        <v>7098</v>
      </c>
      <c r="H120" s="139">
        <v>8913</v>
      </c>
      <c r="I120" s="53">
        <v>11096</v>
      </c>
      <c r="J120" s="53">
        <v>13044</v>
      </c>
      <c r="K120" s="55">
        <v>15332</v>
      </c>
      <c r="L120" s="55">
        <v>15043</v>
      </c>
      <c r="M120" s="140">
        <v>15019</v>
      </c>
      <c r="N120" s="140">
        <v>19860</v>
      </c>
      <c r="O120" s="140">
        <v>21555</v>
      </c>
      <c r="P120" s="140">
        <v>26096</v>
      </c>
      <c r="Q120" s="140">
        <v>26445</v>
      </c>
      <c r="R120" s="140">
        <v>32826</v>
      </c>
      <c r="S120" s="140">
        <v>35668</v>
      </c>
      <c r="T120" s="140">
        <v>39309</v>
      </c>
      <c r="U120" s="95"/>
      <c r="V120" s="95"/>
      <c r="W120" s="95"/>
      <c r="X120" s="95"/>
      <c r="Y120" s="95"/>
      <c r="Z120" s="95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7" x14ac:dyDescent="0.2">
      <c r="A121" s="141" t="s">
        <v>153</v>
      </c>
      <c r="B121" s="53">
        <v>2346</v>
      </c>
      <c r="C121" s="53">
        <v>930</v>
      </c>
      <c r="D121" s="53">
        <v>2431</v>
      </c>
      <c r="E121" s="53">
        <v>2557</v>
      </c>
      <c r="F121" s="139">
        <v>3134</v>
      </c>
      <c r="G121" s="53">
        <v>4317</v>
      </c>
      <c r="H121" s="53">
        <v>6238</v>
      </c>
      <c r="I121" s="53">
        <v>8862</v>
      </c>
      <c r="J121" s="53">
        <v>13212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55">
        <v>0</v>
      </c>
      <c r="Q121" s="55">
        <v>0</v>
      </c>
      <c r="R121" s="55">
        <v>0</v>
      </c>
      <c r="S121" s="55">
        <v>0</v>
      </c>
      <c r="T121" s="55">
        <v>0</v>
      </c>
      <c r="U121" s="95"/>
      <c r="V121" s="95"/>
      <c r="W121" s="95"/>
      <c r="X121" s="95"/>
      <c r="Y121" s="95"/>
      <c r="Z121" s="95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2">
      <c r="A122" s="138" t="s">
        <v>59</v>
      </c>
      <c r="B122" s="139">
        <v>8611</v>
      </c>
      <c r="C122" s="139">
        <v>7112</v>
      </c>
      <c r="D122" s="139">
        <v>8997</v>
      </c>
      <c r="E122" s="139">
        <v>11764</v>
      </c>
      <c r="F122" s="53">
        <v>14377</v>
      </c>
      <c r="G122" s="139">
        <v>16016</v>
      </c>
      <c r="H122" s="139">
        <v>21404</v>
      </c>
      <c r="I122" s="53">
        <v>27378</v>
      </c>
      <c r="J122" s="53">
        <v>34204</v>
      </c>
      <c r="K122" s="55">
        <v>34795</v>
      </c>
      <c r="L122" s="55">
        <v>39965</v>
      </c>
      <c r="M122" s="140">
        <v>44080</v>
      </c>
      <c r="N122" s="140">
        <v>50918</v>
      </c>
      <c r="O122" s="140">
        <v>54129</v>
      </c>
      <c r="P122" s="140">
        <v>57076</v>
      </c>
      <c r="Q122" s="140">
        <v>54906</v>
      </c>
      <c r="R122" s="140">
        <v>78756</v>
      </c>
      <c r="S122" s="140">
        <v>86412</v>
      </c>
      <c r="T122" s="140">
        <v>117462</v>
      </c>
      <c r="U122" s="95"/>
      <c r="V122" s="95"/>
      <c r="W122" s="95"/>
      <c r="X122" s="95"/>
      <c r="Y122" s="95"/>
      <c r="Z122" s="95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2">
      <c r="A123" s="138" t="s">
        <v>60</v>
      </c>
      <c r="B123" s="139">
        <v>0</v>
      </c>
      <c r="C123" s="139">
        <v>0</v>
      </c>
      <c r="D123" s="139">
        <v>9535</v>
      </c>
      <c r="E123" s="139">
        <v>285</v>
      </c>
      <c r="F123" s="139">
        <v>0</v>
      </c>
      <c r="G123" s="139">
        <v>23528</v>
      </c>
      <c r="H123" s="139">
        <v>0</v>
      </c>
      <c r="I123" s="53">
        <v>9612</v>
      </c>
      <c r="J123" s="53">
        <v>3657</v>
      </c>
      <c r="K123" s="55">
        <v>16488</v>
      </c>
      <c r="L123" s="55">
        <v>58152</v>
      </c>
      <c r="M123" s="140">
        <v>5108</v>
      </c>
      <c r="N123" s="140">
        <v>9353</v>
      </c>
      <c r="O123" s="140">
        <v>0</v>
      </c>
      <c r="P123" s="140">
        <v>27705</v>
      </c>
      <c r="Q123" s="140">
        <v>282783</v>
      </c>
      <c r="R123" s="140">
        <v>94064</v>
      </c>
      <c r="S123" s="140">
        <v>47741</v>
      </c>
      <c r="T123" s="140">
        <v>52960</v>
      </c>
      <c r="U123" s="95"/>
      <c r="V123" s="95"/>
      <c r="W123" s="95"/>
      <c r="X123" s="95"/>
      <c r="Y123" s="95"/>
      <c r="Z123" s="95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2">
      <c r="A124" s="138" t="s">
        <v>61</v>
      </c>
      <c r="B124" s="139">
        <v>0</v>
      </c>
      <c r="C124" s="139">
        <v>0</v>
      </c>
      <c r="D124" s="139">
        <v>20000</v>
      </c>
      <c r="E124" s="139">
        <v>99990</v>
      </c>
      <c r="F124" s="139">
        <v>50000</v>
      </c>
      <c r="G124" s="139">
        <v>124766</v>
      </c>
      <c r="H124" s="139">
        <v>55005</v>
      </c>
      <c r="I124" s="53">
        <v>150306</v>
      </c>
      <c r="J124" s="53">
        <v>254971</v>
      </c>
      <c r="K124" s="55">
        <v>338592</v>
      </c>
      <c r="L124" s="55">
        <v>415199</v>
      </c>
      <c r="M124" s="140">
        <v>329836</v>
      </c>
      <c r="N124" s="140">
        <v>324382</v>
      </c>
      <c r="O124" s="140">
        <v>426845</v>
      </c>
      <c r="P124" s="140">
        <v>400156</v>
      </c>
      <c r="Q124" s="140">
        <v>343616</v>
      </c>
      <c r="R124" s="140">
        <v>260945</v>
      </c>
      <c r="S124" s="140">
        <v>515136</v>
      </c>
      <c r="T124" s="140">
        <v>734838</v>
      </c>
      <c r="U124" s="95"/>
      <c r="V124" s="95"/>
      <c r="W124" s="95"/>
      <c r="X124" s="95"/>
      <c r="Y124" s="95"/>
      <c r="Z124" s="95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x14ac:dyDescent="0.2">
      <c r="A125" s="138" t="s">
        <v>62</v>
      </c>
      <c r="B125" s="139">
        <f t="shared" ref="B125:F125" si="200">SUM(B118:B124)</f>
        <v>17824</v>
      </c>
      <c r="C125" s="139">
        <f t="shared" si="200"/>
        <v>178837</v>
      </c>
      <c r="D125" s="139">
        <f t="shared" si="200"/>
        <v>201844</v>
      </c>
      <c r="E125" s="139">
        <f t="shared" si="200"/>
        <v>211072</v>
      </c>
      <c r="F125" s="139">
        <f t="shared" si="200"/>
        <v>297454</v>
      </c>
      <c r="G125" s="139">
        <f>SUM(G118:G124)</f>
        <v>406221</v>
      </c>
      <c r="H125" s="139">
        <f>SUM(H118:H124)</f>
        <v>501192</v>
      </c>
      <c r="I125" s="139">
        <f t="shared" ref="I125:T125" si="201">SUM(I118:I124)</f>
        <v>546607</v>
      </c>
      <c r="J125" s="139">
        <f t="shared" si="201"/>
        <v>666307</v>
      </c>
      <c r="K125" s="139">
        <f t="shared" si="201"/>
        <v>859511</v>
      </c>
      <c r="L125" s="139">
        <f t="shared" si="201"/>
        <v>814647</v>
      </c>
      <c r="M125" s="139">
        <f t="shared" si="201"/>
        <v>522374</v>
      </c>
      <c r="N125" s="139">
        <f t="shared" si="201"/>
        <v>629535</v>
      </c>
      <c r="O125" s="139">
        <f t="shared" si="201"/>
        <v>814794</v>
      </c>
      <c r="P125" s="139">
        <f t="shared" si="201"/>
        <v>1072204</v>
      </c>
      <c r="Q125" s="139">
        <f t="shared" si="201"/>
        <v>1420237</v>
      </c>
      <c r="R125" s="139">
        <f t="shared" si="201"/>
        <v>1381564</v>
      </c>
      <c r="S125" s="139">
        <f t="shared" si="201"/>
        <v>1175837</v>
      </c>
      <c r="T125" s="139">
        <f t="shared" si="201"/>
        <v>1620713</v>
      </c>
      <c r="U125" s="95"/>
      <c r="V125" s="95"/>
      <c r="W125" s="95"/>
      <c r="X125" s="95"/>
      <c r="Y125" s="95"/>
      <c r="Z125" s="95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2">
      <c r="A126" s="138" t="s">
        <v>63</v>
      </c>
      <c r="B126" s="139">
        <v>340694</v>
      </c>
      <c r="C126" s="139">
        <v>404740</v>
      </c>
      <c r="D126" s="139">
        <v>494930</v>
      </c>
      <c r="E126" s="139">
        <v>585899</v>
      </c>
      <c r="F126" s="139">
        <v>636411</v>
      </c>
      <c r="G126" s="139">
        <v>676881</v>
      </c>
      <c r="H126" s="139">
        <v>751951</v>
      </c>
      <c r="I126" s="53">
        <v>866703</v>
      </c>
      <c r="J126" s="53">
        <v>963238</v>
      </c>
      <c r="K126" s="55">
        <v>1106984</v>
      </c>
      <c r="L126" s="55">
        <v>1217220</v>
      </c>
      <c r="M126" s="140">
        <v>1303558</v>
      </c>
      <c r="N126" s="140">
        <v>1338366</v>
      </c>
      <c r="O126" s="140">
        <v>1379254</v>
      </c>
      <c r="P126" s="140">
        <v>1458690</v>
      </c>
      <c r="Q126" s="140">
        <v>1584311</v>
      </c>
      <c r="R126" s="140">
        <v>1769278</v>
      </c>
      <c r="S126" s="140">
        <v>1951147</v>
      </c>
      <c r="T126" s="140">
        <v>2170038</v>
      </c>
      <c r="U126" s="95"/>
      <c r="V126" s="95"/>
      <c r="W126" s="95"/>
      <c r="X126" s="95"/>
      <c r="Y126" s="95"/>
      <c r="Z126" s="95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2">
      <c r="A127" s="138" t="s">
        <v>64</v>
      </c>
      <c r="B127" s="139">
        <v>0</v>
      </c>
      <c r="C127" s="139">
        <v>0</v>
      </c>
      <c r="D127" s="139">
        <v>0</v>
      </c>
      <c r="E127" s="139">
        <v>0</v>
      </c>
      <c r="F127" s="139">
        <v>0</v>
      </c>
      <c r="G127" s="139">
        <v>0</v>
      </c>
      <c r="H127" s="139">
        <v>128241</v>
      </c>
      <c r="I127" s="53">
        <v>190868</v>
      </c>
      <c r="J127" s="53">
        <v>313863</v>
      </c>
      <c r="K127" s="55">
        <v>496106</v>
      </c>
      <c r="L127" s="55">
        <v>622939</v>
      </c>
      <c r="M127" s="140">
        <v>125055</v>
      </c>
      <c r="N127" s="140">
        <v>0</v>
      </c>
      <c r="O127" s="140">
        <v>0</v>
      </c>
      <c r="P127" s="140">
        <v>0</v>
      </c>
      <c r="Q127" s="140">
        <v>102328</v>
      </c>
      <c r="R127" s="140">
        <v>274311</v>
      </c>
      <c r="S127" s="140">
        <v>388055</v>
      </c>
      <c r="T127" s="140">
        <v>564488</v>
      </c>
      <c r="U127" s="95"/>
      <c r="V127" s="95"/>
      <c r="W127" s="95"/>
      <c r="X127" s="95"/>
      <c r="Y127" s="95"/>
      <c r="Z127" s="95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2">
      <c r="A128" s="138" t="s">
        <v>65</v>
      </c>
      <c r="B128" s="139">
        <v>0</v>
      </c>
      <c r="C128" s="139">
        <v>0</v>
      </c>
      <c r="D128" s="139">
        <v>0</v>
      </c>
      <c r="E128" s="139">
        <v>0</v>
      </c>
      <c r="F128" s="139">
        <v>0</v>
      </c>
      <c r="G128" s="139">
        <v>0</v>
      </c>
      <c r="H128" s="139">
        <v>0</v>
      </c>
      <c r="I128" s="140">
        <v>0</v>
      </c>
      <c r="J128" s="140">
        <v>0</v>
      </c>
      <c r="K128" s="140">
        <v>0</v>
      </c>
      <c r="L128" s="140">
        <v>0</v>
      </c>
      <c r="M128" s="140">
        <v>0</v>
      </c>
      <c r="N128" s="140">
        <v>0</v>
      </c>
      <c r="O128" s="140">
        <v>30199</v>
      </c>
      <c r="P128" s="140">
        <v>27855</v>
      </c>
      <c r="Q128" s="140">
        <v>27849</v>
      </c>
      <c r="R128" s="140">
        <v>30856</v>
      </c>
      <c r="S128" s="140">
        <v>24966</v>
      </c>
      <c r="T128" s="140">
        <v>25554</v>
      </c>
      <c r="U128" s="95"/>
      <c r="V128" s="95"/>
      <c r="W128" s="95"/>
      <c r="X128" s="95"/>
      <c r="Y128" s="95"/>
      <c r="Z128" s="95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2">
      <c r="A129" s="138" t="s">
        <v>66</v>
      </c>
      <c r="B129" s="139">
        <v>0</v>
      </c>
      <c r="C129" s="139">
        <v>0</v>
      </c>
      <c r="D129" s="139">
        <v>0</v>
      </c>
      <c r="E129" s="139">
        <v>0</v>
      </c>
      <c r="F129" s="139">
        <v>0</v>
      </c>
      <c r="G129" s="139">
        <v>0</v>
      </c>
      <c r="H129" s="139">
        <v>0</v>
      </c>
      <c r="I129" s="140">
        <v>0</v>
      </c>
      <c r="J129" s="140">
        <v>0</v>
      </c>
      <c r="K129" s="140">
        <v>0</v>
      </c>
      <c r="L129" s="140">
        <v>0</v>
      </c>
      <c r="M129" s="140">
        <v>0</v>
      </c>
      <c r="N129" s="140">
        <v>0</v>
      </c>
      <c r="O129" s="140">
        <v>0</v>
      </c>
      <c r="P129" s="140">
        <v>2505466</v>
      </c>
      <c r="Q129" s="140">
        <v>2767185</v>
      </c>
      <c r="R129" s="140">
        <v>3118294</v>
      </c>
      <c r="S129" s="140">
        <v>3302402</v>
      </c>
      <c r="T129" s="140">
        <v>3578548</v>
      </c>
      <c r="U129" s="95"/>
      <c r="V129" s="95"/>
      <c r="W129" s="95"/>
      <c r="X129" s="95"/>
      <c r="Y129" s="95"/>
      <c r="Z129" s="95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2">
      <c r="A130" s="138" t="s">
        <v>67</v>
      </c>
      <c r="B130" s="139">
        <v>2653</v>
      </c>
      <c r="C130" s="139">
        <v>2893</v>
      </c>
      <c r="D130" s="139">
        <v>3402</v>
      </c>
      <c r="E130" s="139">
        <v>6075</v>
      </c>
      <c r="F130" s="139">
        <v>5701</v>
      </c>
      <c r="G130" s="139">
        <v>16564</v>
      </c>
      <c r="H130" s="139">
        <v>21985</v>
      </c>
      <c r="I130" s="53">
        <v>42550</v>
      </c>
      <c r="J130" s="53">
        <v>43933</v>
      </c>
      <c r="K130" s="55">
        <v>42777</v>
      </c>
      <c r="L130" s="55">
        <v>48321</v>
      </c>
      <c r="M130" s="140">
        <v>53177</v>
      </c>
      <c r="N130" s="140">
        <v>55852</v>
      </c>
      <c r="O130" s="140">
        <v>19332</v>
      </c>
      <c r="P130" s="140">
        <v>18450</v>
      </c>
      <c r="Q130" s="140">
        <v>59047</v>
      </c>
      <c r="R130" s="140">
        <v>56716</v>
      </c>
      <c r="S130" s="140">
        <v>63158</v>
      </c>
      <c r="T130" s="140">
        <v>63082</v>
      </c>
      <c r="U130" s="95"/>
      <c r="V130" s="95"/>
      <c r="W130" s="95"/>
      <c r="X130" s="95"/>
      <c r="Y130" s="95"/>
      <c r="Z130" s="95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2">
      <c r="A131" s="142" t="s">
        <v>156</v>
      </c>
      <c r="B131" s="139">
        <v>13586</v>
      </c>
      <c r="C131" s="139"/>
      <c r="D131" s="139"/>
      <c r="E131" s="139"/>
      <c r="F131" s="139"/>
      <c r="G131" s="139"/>
      <c r="H131" s="139"/>
      <c r="I131" s="53"/>
      <c r="J131" s="53"/>
      <c r="K131" s="55"/>
      <c r="L131" s="55"/>
      <c r="M131" s="140"/>
      <c r="N131" s="140"/>
      <c r="O131" s="140"/>
      <c r="P131" s="140"/>
      <c r="Q131" s="140"/>
      <c r="R131" s="140"/>
      <c r="S131" s="140"/>
      <c r="T131" s="140"/>
      <c r="U131" s="95"/>
      <c r="V131" s="95"/>
      <c r="W131" s="95"/>
      <c r="X131" s="95"/>
      <c r="Y131" s="95"/>
      <c r="Z131" s="95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2">
      <c r="A132" s="138" t="s">
        <v>68</v>
      </c>
      <c r="B132" s="139">
        <v>17738</v>
      </c>
      <c r="C132" s="139">
        <v>17738</v>
      </c>
      <c r="D132" s="139">
        <v>21939</v>
      </c>
      <c r="E132" s="139">
        <v>21939</v>
      </c>
      <c r="F132" s="139">
        <v>21939</v>
      </c>
      <c r="G132" s="139">
        <v>21939</v>
      </c>
      <c r="H132" s="139">
        <v>21939</v>
      </c>
      <c r="I132" s="53">
        <v>21939</v>
      </c>
      <c r="J132" s="53">
        <v>21939</v>
      </c>
      <c r="K132" s="55">
        <v>21939</v>
      </c>
      <c r="L132" s="55">
        <v>21939</v>
      </c>
      <c r="M132" s="140">
        <v>21939</v>
      </c>
      <c r="N132" s="140">
        <v>21939</v>
      </c>
      <c r="O132" s="140">
        <v>21939</v>
      </c>
      <c r="P132" s="140">
        <v>21939</v>
      </c>
      <c r="Q132" s="140">
        <v>21939</v>
      </c>
      <c r="R132" s="140">
        <v>21939</v>
      </c>
      <c r="S132" s="140">
        <v>21939</v>
      </c>
      <c r="T132" s="140">
        <v>21939</v>
      </c>
      <c r="U132" s="95"/>
      <c r="V132" s="95"/>
      <c r="W132" s="95"/>
      <c r="X132" s="95"/>
      <c r="Y132" s="95"/>
      <c r="Z132" s="95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2">
      <c r="A133" s="138" t="s">
        <v>69</v>
      </c>
      <c r="B133" s="139">
        <f t="shared" ref="B133:F133" si="202">SUM(B125:B132)</f>
        <v>392495</v>
      </c>
      <c r="C133" s="139">
        <f t="shared" si="202"/>
        <v>604208</v>
      </c>
      <c r="D133" s="139">
        <f t="shared" si="202"/>
        <v>722115</v>
      </c>
      <c r="E133" s="139">
        <f t="shared" si="202"/>
        <v>824985</v>
      </c>
      <c r="F133" s="139">
        <f t="shared" si="202"/>
        <v>961505</v>
      </c>
      <c r="G133" s="139">
        <f>SUM(G125:G132)</f>
        <v>1121605</v>
      </c>
      <c r="H133" s="139">
        <f>SUM(H125:H132)</f>
        <v>1425308</v>
      </c>
      <c r="I133" s="53">
        <v>1668667</v>
      </c>
      <c r="J133" s="53">
        <v>2009280</v>
      </c>
      <c r="K133" s="55">
        <v>2527317</v>
      </c>
      <c r="L133" s="55">
        <v>2725066</v>
      </c>
      <c r="M133" s="140">
        <v>2026103</v>
      </c>
      <c r="N133" s="140">
        <v>2045692</v>
      </c>
      <c r="O133" s="140">
        <v>2265518</v>
      </c>
      <c r="P133" s="140">
        <v>5104604</v>
      </c>
      <c r="Q133" s="140">
        <v>5982896</v>
      </c>
      <c r="R133" s="140">
        <v>6652958</v>
      </c>
      <c r="S133" s="140">
        <v>6927504</v>
      </c>
      <c r="T133" s="140">
        <v>8044362</v>
      </c>
      <c r="U133" s="95"/>
      <c r="V133" s="95"/>
      <c r="W133" s="95"/>
      <c r="X133" s="95"/>
      <c r="Y133" s="95"/>
      <c r="Z133" s="95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2">
      <c r="A134" s="136" t="s">
        <v>70</v>
      </c>
      <c r="B134" s="143"/>
      <c r="C134" s="143"/>
      <c r="D134" s="143"/>
      <c r="E134" s="143"/>
      <c r="F134" s="143"/>
      <c r="G134" s="143"/>
      <c r="H134" s="143"/>
      <c r="I134" s="53"/>
      <c r="J134" s="53"/>
      <c r="K134" s="55"/>
      <c r="L134" s="55"/>
      <c r="M134" s="55"/>
      <c r="N134" s="55"/>
      <c r="O134" s="55"/>
      <c r="P134" s="55"/>
      <c r="Q134" s="55"/>
      <c r="R134" s="55"/>
      <c r="S134" s="139" t="s">
        <v>55</v>
      </c>
      <c r="T134" s="139" t="s">
        <v>55</v>
      </c>
      <c r="U134" s="95"/>
      <c r="V134" s="95"/>
      <c r="W134" s="95"/>
      <c r="X134" s="95"/>
      <c r="Y134" s="95"/>
      <c r="Z134" s="95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2">
      <c r="A135" s="138" t="s">
        <v>71</v>
      </c>
      <c r="B135" s="139">
        <v>13188</v>
      </c>
      <c r="C135" s="139">
        <v>19567</v>
      </c>
      <c r="D135" s="139">
        <v>19880</v>
      </c>
      <c r="E135" s="139">
        <v>23890</v>
      </c>
      <c r="F135" s="139">
        <v>25230</v>
      </c>
      <c r="G135" s="139">
        <v>33705</v>
      </c>
      <c r="H135" s="139">
        <v>46382</v>
      </c>
      <c r="I135" s="53">
        <v>58700</v>
      </c>
      <c r="J135" s="53">
        <v>59022</v>
      </c>
      <c r="K135" s="55">
        <v>69613</v>
      </c>
      <c r="L135" s="55">
        <v>85709</v>
      </c>
      <c r="M135" s="140">
        <v>78363</v>
      </c>
      <c r="N135" s="140">
        <v>82028</v>
      </c>
      <c r="O135" s="140">
        <v>113071</v>
      </c>
      <c r="P135" s="140">
        <v>115816</v>
      </c>
      <c r="Q135" s="140">
        <v>121990</v>
      </c>
      <c r="R135" s="140">
        <v>163161</v>
      </c>
      <c r="S135" s="140">
        <v>184566</v>
      </c>
      <c r="T135" s="140">
        <v>197646</v>
      </c>
      <c r="U135" s="95"/>
      <c r="V135" s="95"/>
      <c r="W135" s="95"/>
      <c r="X135" s="95"/>
      <c r="Y135" s="95"/>
      <c r="Z135" s="95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x14ac:dyDescent="0.2">
      <c r="A136" s="138" t="s">
        <v>72</v>
      </c>
      <c r="B136" s="139">
        <v>9723</v>
      </c>
      <c r="C136" s="139">
        <v>16764</v>
      </c>
      <c r="D136" s="139">
        <v>26210</v>
      </c>
      <c r="E136" s="139">
        <v>24469</v>
      </c>
      <c r="F136" s="139">
        <v>41404</v>
      </c>
      <c r="G136" s="139">
        <v>50336</v>
      </c>
      <c r="H136" s="139">
        <v>60241</v>
      </c>
      <c r="I136" s="53">
        <v>71731</v>
      </c>
      <c r="J136" s="53">
        <v>67195</v>
      </c>
      <c r="K136" s="55">
        <v>73894</v>
      </c>
      <c r="L136" s="55">
        <v>64958</v>
      </c>
      <c r="M136" s="140">
        <v>76301</v>
      </c>
      <c r="N136" s="140">
        <v>82541</v>
      </c>
      <c r="O136" s="140">
        <v>113467</v>
      </c>
      <c r="P136" s="140">
        <v>126600</v>
      </c>
      <c r="Q136" s="140">
        <v>203054</v>
      </c>
      <c r="R136" s="140">
        <v>162405</v>
      </c>
      <c r="S136" s="140">
        <v>170456</v>
      </c>
      <c r="T136" s="140">
        <v>227537</v>
      </c>
      <c r="U136" s="95"/>
      <c r="V136" s="95"/>
      <c r="W136" s="95"/>
      <c r="X136" s="95"/>
      <c r="Y136" s="95"/>
      <c r="Z136" s="95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2">
      <c r="A137" s="138" t="s">
        <v>73</v>
      </c>
      <c r="B137" s="139">
        <v>19014</v>
      </c>
      <c r="C137" s="139">
        <v>23277</v>
      </c>
      <c r="D137" s="139">
        <v>27135</v>
      </c>
      <c r="E137" s="139">
        <v>28347</v>
      </c>
      <c r="F137" s="139">
        <v>31216</v>
      </c>
      <c r="G137" s="139">
        <v>38892</v>
      </c>
      <c r="H137" s="139">
        <v>46456</v>
      </c>
      <c r="I137" s="53">
        <v>56421</v>
      </c>
      <c r="J137" s="53">
        <v>73011</v>
      </c>
      <c r="K137" s="55">
        <v>102203</v>
      </c>
      <c r="L137" s="55">
        <v>129275</v>
      </c>
      <c r="M137" s="140">
        <v>127129</v>
      </c>
      <c r="N137" s="140">
        <v>159324</v>
      </c>
      <c r="O137" s="140">
        <v>147849</v>
      </c>
      <c r="P137" s="140">
        <v>155843</v>
      </c>
      <c r="Q137" s="140">
        <v>164649</v>
      </c>
      <c r="R137" s="140">
        <v>173052</v>
      </c>
      <c r="S137" s="140">
        <v>147539</v>
      </c>
      <c r="T137" s="140">
        <v>147688</v>
      </c>
      <c r="U137" s="95"/>
      <c r="V137" s="95"/>
      <c r="W137" s="95"/>
      <c r="X137" s="95"/>
      <c r="Y137" s="95"/>
      <c r="Z137" s="95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2">
      <c r="A138" s="138" t="s">
        <v>74</v>
      </c>
      <c r="B138" s="139">
        <v>0</v>
      </c>
      <c r="C138" s="139">
        <v>0</v>
      </c>
      <c r="D138" s="139">
        <v>0</v>
      </c>
      <c r="E138" s="139">
        <v>0</v>
      </c>
      <c r="F138" s="139">
        <v>0</v>
      </c>
      <c r="G138" s="139">
        <v>0</v>
      </c>
      <c r="H138" s="139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70474</v>
      </c>
      <c r="P138" s="140">
        <v>95195</v>
      </c>
      <c r="Q138" s="140">
        <v>127750</v>
      </c>
      <c r="R138" s="140">
        <v>156351</v>
      </c>
      <c r="S138" s="140">
        <v>183071</v>
      </c>
      <c r="T138" s="140">
        <v>209680</v>
      </c>
      <c r="U138" s="95"/>
      <c r="V138" s="95"/>
      <c r="W138" s="95"/>
      <c r="X138" s="95"/>
      <c r="Y138" s="95"/>
      <c r="Z138" s="95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2">
      <c r="A139" s="138" t="s">
        <v>75</v>
      </c>
      <c r="B139" s="139">
        <v>57</v>
      </c>
      <c r="C139" s="139">
        <v>71</v>
      </c>
      <c r="D139" s="139">
        <v>76</v>
      </c>
      <c r="E139" s="139">
        <v>82</v>
      </c>
      <c r="F139" s="139">
        <v>96</v>
      </c>
      <c r="G139" s="139">
        <v>121</v>
      </c>
      <c r="H139" s="139">
        <v>133</v>
      </c>
      <c r="I139" s="140">
        <v>0</v>
      </c>
      <c r="J139" s="140">
        <v>0</v>
      </c>
      <c r="K139" s="140">
        <v>0</v>
      </c>
      <c r="L139" s="140">
        <v>0</v>
      </c>
      <c r="M139" s="140">
        <v>0</v>
      </c>
      <c r="N139" s="140">
        <v>0</v>
      </c>
      <c r="O139" s="140">
        <v>0</v>
      </c>
      <c r="P139" s="140">
        <v>173139</v>
      </c>
      <c r="Q139" s="140">
        <v>204756</v>
      </c>
      <c r="R139" s="140">
        <v>218713</v>
      </c>
      <c r="S139" s="140">
        <v>236248</v>
      </c>
      <c r="T139" s="140">
        <v>248074</v>
      </c>
      <c r="U139" s="95"/>
      <c r="V139" s="95"/>
      <c r="W139" s="95"/>
      <c r="X139" s="95"/>
      <c r="Y139" s="95"/>
      <c r="Z139" s="95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2">
      <c r="A140" s="138" t="s">
        <v>155</v>
      </c>
      <c r="B140" s="139">
        <v>0</v>
      </c>
      <c r="C140" s="139">
        <v>1522</v>
      </c>
      <c r="D140" s="139">
        <v>0</v>
      </c>
      <c r="E140" s="139">
        <v>0</v>
      </c>
      <c r="F140" s="139">
        <v>4207</v>
      </c>
      <c r="G140" s="139">
        <v>0</v>
      </c>
      <c r="H140" s="139">
        <v>4241</v>
      </c>
      <c r="I140" s="140">
        <v>0</v>
      </c>
      <c r="J140" s="140">
        <v>0</v>
      </c>
      <c r="K140" s="140">
        <v>0</v>
      </c>
      <c r="L140" s="140">
        <v>0</v>
      </c>
      <c r="M140" s="140">
        <v>0</v>
      </c>
      <c r="N140" s="140">
        <v>0</v>
      </c>
      <c r="O140" s="140">
        <v>5129</v>
      </c>
      <c r="P140" s="140">
        <v>0</v>
      </c>
      <c r="Q140" s="140">
        <v>0</v>
      </c>
      <c r="R140" s="140">
        <v>0</v>
      </c>
      <c r="S140" s="140">
        <v>0</v>
      </c>
      <c r="T140" s="140">
        <v>0</v>
      </c>
      <c r="U140" s="95"/>
      <c r="V140" s="95"/>
      <c r="W140" s="95"/>
      <c r="X140" s="95"/>
      <c r="Y140" s="95"/>
      <c r="Z140" s="95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2">
      <c r="A141" s="138" t="s">
        <v>76</v>
      </c>
      <c r="B141" s="139">
        <f t="shared" ref="B141:F141" si="203">SUM(B135:B140)</f>
        <v>41982</v>
      </c>
      <c r="C141" s="139">
        <f t="shared" si="203"/>
        <v>61201</v>
      </c>
      <c r="D141" s="139">
        <f t="shared" si="203"/>
        <v>73301</v>
      </c>
      <c r="E141" s="139">
        <f t="shared" si="203"/>
        <v>76788</v>
      </c>
      <c r="F141" s="139">
        <f t="shared" si="203"/>
        <v>102153</v>
      </c>
      <c r="G141" s="139">
        <f>SUM(G135:G140)</f>
        <v>123054</v>
      </c>
      <c r="H141" s="139">
        <f>SUM(H135:H140)</f>
        <v>157453</v>
      </c>
      <c r="I141" s="53">
        <v>186852</v>
      </c>
      <c r="J141" s="53">
        <v>199228</v>
      </c>
      <c r="K141" s="55">
        <v>245710</v>
      </c>
      <c r="L141" s="55">
        <v>279942</v>
      </c>
      <c r="M141" s="140">
        <v>281793</v>
      </c>
      <c r="N141" s="140">
        <v>323893</v>
      </c>
      <c r="O141" s="140">
        <v>449990</v>
      </c>
      <c r="P141" s="140">
        <v>666593</v>
      </c>
      <c r="Q141" s="140">
        <v>822199</v>
      </c>
      <c r="R141" s="140">
        <v>873682</v>
      </c>
      <c r="S141" s="140">
        <v>921880</v>
      </c>
      <c r="T141" s="140">
        <v>1030625</v>
      </c>
      <c r="U141" s="95"/>
      <c r="V141" s="95"/>
      <c r="W141" s="95"/>
      <c r="X141" s="95"/>
      <c r="Y141" s="95"/>
      <c r="Z141" s="95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2">
      <c r="A142" s="138" t="s">
        <v>121</v>
      </c>
      <c r="B142" s="139">
        <v>37106</v>
      </c>
      <c r="C142" s="139">
        <v>46222</v>
      </c>
      <c r="D142" s="139">
        <v>63192</v>
      </c>
      <c r="E142" s="139">
        <v>87009</v>
      </c>
      <c r="F142" s="139">
        <v>106395</v>
      </c>
      <c r="G142" s="139">
        <v>123667</v>
      </c>
      <c r="H142" s="139">
        <v>143284</v>
      </c>
      <c r="I142" s="53">
        <v>167057</v>
      </c>
      <c r="J142" s="53">
        <v>192739</v>
      </c>
      <c r="K142" s="55">
        <v>219414</v>
      </c>
      <c r="L142" s="55">
        <v>251962</v>
      </c>
      <c r="M142" s="140">
        <v>288927</v>
      </c>
      <c r="N142" s="140">
        <v>316498</v>
      </c>
      <c r="O142" s="140">
        <v>330985</v>
      </c>
      <c r="P142" s="140">
        <v>0</v>
      </c>
      <c r="Q142" s="139">
        <v>0</v>
      </c>
      <c r="R142" s="139">
        <v>0</v>
      </c>
      <c r="S142" s="139">
        <v>0</v>
      </c>
      <c r="T142" s="139">
        <v>0</v>
      </c>
      <c r="U142" s="95"/>
      <c r="V142" s="95"/>
      <c r="W142" s="95"/>
      <c r="X142" s="95"/>
      <c r="Y142" s="95"/>
      <c r="Z142" s="95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2">
      <c r="A143" s="138" t="s">
        <v>77</v>
      </c>
      <c r="B143" s="139">
        <v>3476</v>
      </c>
      <c r="C143" s="139">
        <v>4036</v>
      </c>
      <c r="D143" s="139">
        <v>3960</v>
      </c>
      <c r="E143" s="139">
        <v>3878</v>
      </c>
      <c r="F143" s="139">
        <v>3782</v>
      </c>
      <c r="G143" s="139">
        <v>3661</v>
      </c>
      <c r="H143" s="139">
        <v>3529</v>
      </c>
      <c r="I143" s="140">
        <v>0</v>
      </c>
      <c r="J143" s="140">
        <v>0</v>
      </c>
      <c r="K143" s="140">
        <v>0</v>
      </c>
      <c r="L143" s="140">
        <v>0</v>
      </c>
      <c r="M143" s="140">
        <v>0</v>
      </c>
      <c r="N143" s="140">
        <v>0</v>
      </c>
      <c r="O143" s="140">
        <v>0</v>
      </c>
      <c r="P143" s="140">
        <v>2678374</v>
      </c>
      <c r="Q143" s="140">
        <v>2952296</v>
      </c>
      <c r="R143" s="140">
        <v>3301601</v>
      </c>
      <c r="S143" s="140">
        <v>3495162</v>
      </c>
      <c r="T143" s="140">
        <v>3803551</v>
      </c>
      <c r="U143" s="95"/>
      <c r="V143" s="95"/>
      <c r="W143" s="95"/>
      <c r="X143" s="95"/>
      <c r="Y143" s="95"/>
      <c r="Z143" s="95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2">
      <c r="A144" s="138" t="s">
        <v>78</v>
      </c>
      <c r="B144" s="139">
        <v>0</v>
      </c>
      <c r="C144" s="139">
        <v>18681</v>
      </c>
      <c r="D144" s="139">
        <v>16483</v>
      </c>
      <c r="E144" s="139">
        <v>29863</v>
      </c>
      <c r="F144" s="139">
        <v>38863</v>
      </c>
      <c r="G144" s="139">
        <v>50525</v>
      </c>
      <c r="H144" s="139">
        <v>64381</v>
      </c>
      <c r="I144" s="53">
        <v>48947</v>
      </c>
      <c r="J144" s="53">
        <v>55434</v>
      </c>
      <c r="K144" s="55">
        <v>21561</v>
      </c>
      <c r="L144" s="55">
        <v>32305</v>
      </c>
      <c r="M144" s="140">
        <v>18944</v>
      </c>
      <c r="N144" s="140">
        <v>814</v>
      </c>
      <c r="O144" s="140">
        <v>11566</v>
      </c>
      <c r="P144" s="140">
        <v>37814</v>
      </c>
      <c r="Q144" s="140">
        <v>149422</v>
      </c>
      <c r="R144" s="140">
        <v>141765</v>
      </c>
      <c r="S144" s="140">
        <v>98623</v>
      </c>
      <c r="T144" s="140">
        <v>89109</v>
      </c>
      <c r="U144" s="95"/>
      <c r="V144" s="95"/>
      <c r="W144" s="95"/>
      <c r="X144" s="95"/>
      <c r="Y144" s="95"/>
      <c r="Z144" s="95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2">
      <c r="A145" s="138" t="s">
        <v>79</v>
      </c>
      <c r="B145" s="139">
        <v>577</v>
      </c>
      <c r="C145" s="139">
        <v>111</v>
      </c>
      <c r="D145" s="139">
        <v>3069</v>
      </c>
      <c r="E145" s="139">
        <v>4857</v>
      </c>
      <c r="F145" s="139">
        <v>6851</v>
      </c>
      <c r="G145" s="139">
        <v>9825</v>
      </c>
      <c r="H145" s="139">
        <v>12435</v>
      </c>
      <c r="I145" s="53">
        <v>19885</v>
      </c>
      <c r="J145" s="53">
        <v>23591</v>
      </c>
      <c r="K145" s="55">
        <v>28263</v>
      </c>
      <c r="L145" s="55">
        <v>32883</v>
      </c>
      <c r="M145" s="140">
        <v>33946</v>
      </c>
      <c r="N145" s="140">
        <v>40042</v>
      </c>
      <c r="O145" s="140">
        <v>31638</v>
      </c>
      <c r="P145" s="140">
        <v>38797</v>
      </c>
      <c r="Q145" s="140">
        <v>38844</v>
      </c>
      <c r="R145" s="140">
        <v>38536</v>
      </c>
      <c r="S145" s="140">
        <v>43816</v>
      </c>
      <c r="T145" s="140">
        <v>58870</v>
      </c>
      <c r="U145" s="95"/>
      <c r="V145" s="95"/>
      <c r="W145" s="95"/>
      <c r="X145" s="95"/>
      <c r="Y145" s="95"/>
      <c r="Z145" s="95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2">
      <c r="A146" s="138" t="s">
        <v>80</v>
      </c>
      <c r="B146" s="139">
        <f t="shared" ref="B146:F146" si="204">SUM(B141:B145)</f>
        <v>83141</v>
      </c>
      <c r="C146" s="139">
        <f t="shared" si="204"/>
        <v>130251</v>
      </c>
      <c r="D146" s="139">
        <f t="shared" si="204"/>
        <v>160005</v>
      </c>
      <c r="E146" s="139">
        <f t="shared" si="204"/>
        <v>202395</v>
      </c>
      <c r="F146" s="139">
        <f t="shared" si="204"/>
        <v>258044</v>
      </c>
      <c r="G146" s="139">
        <f>SUM(G141:G145)</f>
        <v>310732</v>
      </c>
      <c r="H146" s="139">
        <f>SUM(H141:H145)</f>
        <v>381082</v>
      </c>
      <c r="I146" s="53">
        <v>422741</v>
      </c>
      <c r="J146" s="53">
        <v>470992</v>
      </c>
      <c r="K146" s="55">
        <v>514948</v>
      </c>
      <c r="L146" s="55">
        <v>597092</v>
      </c>
      <c r="M146" s="140">
        <v>623610</v>
      </c>
      <c r="N146" s="140">
        <v>681247</v>
      </c>
      <c r="O146" s="140">
        <v>824179</v>
      </c>
      <c r="P146" s="140">
        <v>3421578</v>
      </c>
      <c r="Q146" s="140">
        <v>3962761</v>
      </c>
      <c r="R146" s="140">
        <v>4355584</v>
      </c>
      <c r="S146" s="140">
        <v>4559481</v>
      </c>
      <c r="T146" s="140">
        <v>4982155</v>
      </c>
      <c r="U146" s="95"/>
      <c r="V146" s="95"/>
      <c r="W146" s="95"/>
      <c r="X146" s="95"/>
      <c r="Y146" s="95"/>
      <c r="Z146" s="95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2">
      <c r="A147" s="136" t="s">
        <v>81</v>
      </c>
      <c r="B147" s="143"/>
      <c r="C147" s="143"/>
      <c r="D147" s="143"/>
      <c r="E147" s="143"/>
      <c r="F147" s="143"/>
      <c r="G147" s="143"/>
      <c r="H147" s="143"/>
      <c r="I147" s="53"/>
      <c r="J147" s="53"/>
      <c r="K147" s="55"/>
      <c r="L147" s="55"/>
      <c r="M147" s="140"/>
      <c r="N147" s="55"/>
      <c r="O147" s="55"/>
      <c r="P147" s="55"/>
      <c r="Q147" s="55"/>
      <c r="R147" s="55"/>
      <c r="S147" s="139" t="s">
        <v>55</v>
      </c>
      <c r="T147" s="139" t="s">
        <v>55</v>
      </c>
      <c r="U147" s="95"/>
      <c r="V147" s="95"/>
      <c r="W147" s="95"/>
      <c r="X147" s="95"/>
      <c r="Y147" s="95"/>
      <c r="Z147" s="95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48" x14ac:dyDescent="0.2">
      <c r="A148" s="138" t="s">
        <v>82</v>
      </c>
      <c r="B148" s="139">
        <v>0</v>
      </c>
      <c r="C148" s="139">
        <v>0</v>
      </c>
      <c r="D148" s="139">
        <v>0</v>
      </c>
      <c r="E148" s="139">
        <v>0</v>
      </c>
      <c r="F148" s="139">
        <v>0</v>
      </c>
      <c r="G148" s="139">
        <v>0</v>
      </c>
      <c r="H148" s="139">
        <v>0</v>
      </c>
      <c r="I148" s="55">
        <v>0</v>
      </c>
      <c r="J148" s="55">
        <v>0</v>
      </c>
      <c r="K148" s="55">
        <v>0</v>
      </c>
      <c r="L148" s="55">
        <v>0</v>
      </c>
      <c r="M148" s="140">
        <v>0</v>
      </c>
      <c r="N148" s="140">
        <v>0</v>
      </c>
      <c r="O148" s="140">
        <v>0</v>
      </c>
      <c r="P148" s="140">
        <v>0</v>
      </c>
      <c r="Q148" s="140">
        <v>0</v>
      </c>
      <c r="R148" s="140">
        <v>0</v>
      </c>
      <c r="S148" s="140">
        <v>0</v>
      </c>
      <c r="T148" s="140">
        <v>0</v>
      </c>
      <c r="U148" s="95"/>
      <c r="V148" s="95"/>
      <c r="W148" s="95"/>
      <c r="X148" s="95"/>
      <c r="Y148" s="95"/>
      <c r="Z148" s="95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48" x14ac:dyDescent="0.2">
      <c r="A149" s="138" t="s">
        <v>83</v>
      </c>
      <c r="B149" s="139">
        <v>263</v>
      </c>
      <c r="C149" s="139">
        <f>142+183</f>
        <v>325</v>
      </c>
      <c r="D149" s="139">
        <f>144+184</f>
        <v>328</v>
      </c>
      <c r="E149" s="139">
        <v>329</v>
      </c>
      <c r="F149" s="139">
        <v>335</v>
      </c>
      <c r="G149" s="139">
        <v>340</v>
      </c>
      <c r="H149" s="139">
        <v>344</v>
      </c>
      <c r="I149" s="53">
        <v>349</v>
      </c>
      <c r="J149" s="53">
        <v>352</v>
      </c>
      <c r="K149" s="55">
        <v>354</v>
      </c>
      <c r="L149" s="55">
        <v>358</v>
      </c>
      <c r="M149" s="140">
        <v>358</v>
      </c>
      <c r="N149" s="140">
        <v>359</v>
      </c>
      <c r="O149" s="140">
        <v>360</v>
      </c>
      <c r="P149" s="140">
        <v>363</v>
      </c>
      <c r="Q149" s="140">
        <v>367</v>
      </c>
      <c r="R149" s="140">
        <v>371</v>
      </c>
      <c r="S149" s="140">
        <v>373</v>
      </c>
      <c r="T149" s="140">
        <v>375</v>
      </c>
      <c r="U149" s="95"/>
      <c r="V149" s="95"/>
      <c r="W149" s="95"/>
      <c r="X149" s="95"/>
      <c r="Y149" s="95"/>
      <c r="Z149" s="95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x14ac:dyDescent="0.2">
      <c r="A150" s="138" t="s">
        <v>84</v>
      </c>
      <c r="B150" s="139">
        <v>375728</v>
      </c>
      <c r="C150" s="139">
        <v>470653</v>
      </c>
      <c r="D150" s="139">
        <v>489296</v>
      </c>
      <c r="E150" s="139">
        <v>501993</v>
      </c>
      <c r="F150" s="139">
        <v>539880</v>
      </c>
      <c r="G150" s="139">
        <v>594331</v>
      </c>
      <c r="H150" s="139">
        <v>676652</v>
      </c>
      <c r="I150" s="53">
        <v>816612</v>
      </c>
      <c r="J150" s="53">
        <v>919840</v>
      </c>
      <c r="K150" s="55">
        <v>1038932</v>
      </c>
      <c r="L150" s="55">
        <v>1172628</v>
      </c>
      <c r="M150" s="140">
        <v>1238875</v>
      </c>
      <c r="N150" s="140">
        <v>1305090</v>
      </c>
      <c r="O150" s="140">
        <v>1374154</v>
      </c>
      <c r="P150" s="140">
        <v>1465697</v>
      </c>
      <c r="Q150" s="140">
        <v>1549909</v>
      </c>
      <c r="R150" s="140">
        <v>1729312</v>
      </c>
      <c r="S150" s="140">
        <v>1829304</v>
      </c>
      <c r="T150" s="140">
        <v>1956160</v>
      </c>
      <c r="U150" s="95"/>
      <c r="V150" s="95"/>
      <c r="W150" s="95"/>
      <c r="X150" s="95"/>
      <c r="Y150" s="95"/>
      <c r="Z150" s="95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48" x14ac:dyDescent="0.2">
      <c r="A151" s="138" t="s">
        <v>85</v>
      </c>
      <c r="B151" s="139">
        <v>0</v>
      </c>
      <c r="C151" s="139">
        <v>0</v>
      </c>
      <c r="D151" s="139">
        <v>0</v>
      </c>
      <c r="E151" s="139">
        <v>-30227</v>
      </c>
      <c r="F151" s="139">
        <v>-114316</v>
      </c>
      <c r="G151" s="139">
        <v>-240918</v>
      </c>
      <c r="H151" s="139">
        <v>-304426</v>
      </c>
      <c r="I151" s="53">
        <v>-521518</v>
      </c>
      <c r="J151" s="53">
        <v>-660421</v>
      </c>
      <c r="K151" s="55">
        <v>-748759</v>
      </c>
      <c r="L151" s="55">
        <v>-1234612</v>
      </c>
      <c r="M151" s="140">
        <v>-2049389</v>
      </c>
      <c r="N151" s="140">
        <v>-2334409</v>
      </c>
      <c r="O151" s="140">
        <v>-2500556</v>
      </c>
      <c r="P151" s="140">
        <v>-2699119</v>
      </c>
      <c r="Q151" s="140">
        <v>-2802075</v>
      </c>
      <c r="R151" s="140">
        <v>-3356102</v>
      </c>
      <c r="S151" s="140">
        <v>-4282014</v>
      </c>
      <c r="T151" s="140">
        <v>-4944656</v>
      </c>
      <c r="U151" s="95"/>
      <c r="V151" s="95"/>
      <c r="W151" s="95"/>
      <c r="X151" s="95"/>
      <c r="Y151" s="95"/>
      <c r="Z151" s="95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2">
      <c r="A152" s="142" t="s">
        <v>157</v>
      </c>
      <c r="B152" s="139">
        <v>-28195</v>
      </c>
      <c r="C152" s="139">
        <v>0</v>
      </c>
      <c r="D152" s="139">
        <v>0</v>
      </c>
      <c r="E152" s="139">
        <v>0</v>
      </c>
      <c r="F152" s="139">
        <v>0</v>
      </c>
      <c r="G152" s="139">
        <v>0</v>
      </c>
      <c r="H152" s="139">
        <v>0</v>
      </c>
      <c r="I152" s="139">
        <v>0</v>
      </c>
      <c r="J152" s="139">
        <v>0</v>
      </c>
      <c r="K152" s="139">
        <v>0</v>
      </c>
      <c r="L152" s="139">
        <v>0</v>
      </c>
      <c r="M152" s="139">
        <v>0</v>
      </c>
      <c r="N152" s="139">
        <v>0</v>
      </c>
      <c r="O152" s="139">
        <v>0</v>
      </c>
      <c r="P152" s="139">
        <v>0</v>
      </c>
      <c r="Q152" s="139">
        <v>0</v>
      </c>
      <c r="R152" s="139">
        <v>0</v>
      </c>
      <c r="S152" s="139">
        <v>0</v>
      </c>
      <c r="T152" s="139">
        <v>0</v>
      </c>
      <c r="U152" s="95"/>
      <c r="V152" s="95"/>
      <c r="W152" s="95"/>
      <c r="X152" s="95"/>
      <c r="Y152" s="95"/>
      <c r="Z152" s="95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2">
      <c r="A153" s="138" t="s">
        <v>86</v>
      </c>
      <c r="B153" s="139">
        <v>9</v>
      </c>
      <c r="C153" s="139">
        <v>7</v>
      </c>
      <c r="D153" s="139">
        <v>0</v>
      </c>
      <c r="E153" s="139">
        <v>-193</v>
      </c>
      <c r="F153" s="139">
        <v>29</v>
      </c>
      <c r="G153" s="139">
        <v>606</v>
      </c>
      <c r="H153" s="139">
        <v>197</v>
      </c>
      <c r="I153" s="53">
        <v>1024</v>
      </c>
      <c r="J153" s="53">
        <v>1620</v>
      </c>
      <c r="K153" s="55">
        <v>-429</v>
      </c>
      <c r="L153" s="55">
        <v>-8273</v>
      </c>
      <c r="M153" s="140">
        <v>-8162</v>
      </c>
      <c r="N153" s="140">
        <v>-3659</v>
      </c>
      <c r="O153" s="140">
        <v>-6236</v>
      </c>
      <c r="P153" s="140">
        <v>-5363</v>
      </c>
      <c r="Q153" s="140">
        <v>-4229</v>
      </c>
      <c r="R153" s="140">
        <v>-5354</v>
      </c>
      <c r="S153" s="140">
        <v>-7888</v>
      </c>
      <c r="T153" s="140">
        <v>-6657</v>
      </c>
      <c r="U153" s="95"/>
      <c r="V153" s="95"/>
      <c r="W153" s="95"/>
      <c r="X153" s="95"/>
      <c r="Y153" s="95"/>
      <c r="Z153" s="95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2">
      <c r="A154" s="138" t="s">
        <v>87</v>
      </c>
      <c r="B154" s="139">
        <v>-38451</v>
      </c>
      <c r="C154" s="139">
        <v>2972</v>
      </c>
      <c r="D154" s="139">
        <v>72486</v>
      </c>
      <c r="E154" s="139">
        <v>150688</v>
      </c>
      <c r="F154" s="139">
        <v>277533</v>
      </c>
      <c r="G154" s="139">
        <v>456514</v>
      </c>
      <c r="H154" s="139">
        <v>671459</v>
      </c>
      <c r="I154" s="53">
        <v>949459</v>
      </c>
      <c r="J154" s="53">
        <v>1276897</v>
      </c>
      <c r="K154" s="55">
        <v>1722271</v>
      </c>
      <c r="L154" s="55">
        <v>2197873</v>
      </c>
      <c r="M154" s="140">
        <v>2220811</v>
      </c>
      <c r="N154" s="140">
        <v>2397064</v>
      </c>
      <c r="O154" s="140">
        <v>2573617</v>
      </c>
      <c r="P154" s="140">
        <v>2921448</v>
      </c>
      <c r="Q154" s="140">
        <v>3276163</v>
      </c>
      <c r="R154" s="140">
        <v>3929147</v>
      </c>
      <c r="S154" s="140">
        <v>4828248</v>
      </c>
      <c r="T154" s="140">
        <v>6056985</v>
      </c>
      <c r="U154" s="95"/>
      <c r="V154" s="95"/>
      <c r="W154" s="95"/>
      <c r="X154" s="95"/>
      <c r="Y154" s="95"/>
      <c r="Z154" s="95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2">
      <c r="A155" s="138" t="s">
        <v>88</v>
      </c>
      <c r="B155" s="139">
        <f t="shared" ref="B155:F155" si="205">SUM(B148:B154)</f>
        <v>309354</v>
      </c>
      <c r="C155" s="139">
        <f t="shared" si="205"/>
        <v>473957</v>
      </c>
      <c r="D155" s="139">
        <f t="shared" si="205"/>
        <v>562110</v>
      </c>
      <c r="E155" s="139">
        <f t="shared" si="205"/>
        <v>622590</v>
      </c>
      <c r="F155" s="139">
        <f t="shared" si="205"/>
        <v>703461</v>
      </c>
      <c r="G155" s="139">
        <f>SUM(G148:G154)</f>
        <v>810873</v>
      </c>
      <c r="H155" s="139">
        <f>SUM(H148:H154)</f>
        <v>1044226</v>
      </c>
      <c r="I155" s="53">
        <v>1245926</v>
      </c>
      <c r="J155" s="53">
        <v>1538288</v>
      </c>
      <c r="K155" s="55">
        <v>2012369</v>
      </c>
      <c r="L155" s="55">
        <v>2127974</v>
      </c>
      <c r="M155" s="140">
        <v>1402493</v>
      </c>
      <c r="N155" s="140">
        <v>1364445</v>
      </c>
      <c r="O155" s="140">
        <v>1441339</v>
      </c>
      <c r="P155" s="140">
        <v>1683026</v>
      </c>
      <c r="Q155" s="140">
        <v>2020135</v>
      </c>
      <c r="R155" s="140">
        <v>2297374</v>
      </c>
      <c r="S155" s="140">
        <v>2368023</v>
      </c>
      <c r="T155" s="140">
        <v>3062207</v>
      </c>
      <c r="U155" s="95"/>
      <c r="V155" s="95"/>
      <c r="W155" s="95"/>
      <c r="X155" s="95"/>
      <c r="Y155" s="95"/>
      <c r="Z155" s="95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2">
      <c r="A156" s="138" t="s">
        <v>89</v>
      </c>
      <c r="B156" s="139">
        <f t="shared" ref="B156:F156" si="206">B155+B146</f>
        <v>392495</v>
      </c>
      <c r="C156" s="139">
        <f t="shared" si="206"/>
        <v>604208</v>
      </c>
      <c r="D156" s="139">
        <f t="shared" si="206"/>
        <v>722115</v>
      </c>
      <c r="E156" s="139">
        <f t="shared" si="206"/>
        <v>824985</v>
      </c>
      <c r="F156" s="139">
        <f t="shared" si="206"/>
        <v>961505</v>
      </c>
      <c r="G156" s="139">
        <f>G155+G146</f>
        <v>1121605</v>
      </c>
      <c r="H156" s="139">
        <f>H155+H146</f>
        <v>1425308</v>
      </c>
      <c r="I156" s="53">
        <v>1668667</v>
      </c>
      <c r="J156" s="53">
        <v>2009280</v>
      </c>
      <c r="K156" s="55">
        <v>2527317</v>
      </c>
      <c r="L156" s="55">
        <v>2725066</v>
      </c>
      <c r="M156" s="140">
        <v>2026103</v>
      </c>
      <c r="N156" s="140">
        <v>2045692</v>
      </c>
      <c r="O156" s="140">
        <v>2265518</v>
      </c>
      <c r="P156" s="140">
        <v>5104604</v>
      </c>
      <c r="Q156" s="140">
        <v>5982896</v>
      </c>
      <c r="R156" s="140">
        <v>6652958</v>
      </c>
      <c r="S156" s="140">
        <v>6927504</v>
      </c>
      <c r="T156" s="140">
        <v>8044362</v>
      </c>
      <c r="U156" s="95"/>
      <c r="V156" s="95"/>
      <c r="W156" s="95"/>
      <c r="X156" s="95"/>
      <c r="Y156" s="95"/>
      <c r="Z156" s="95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x14ac:dyDescent="0.2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95"/>
      <c r="V157" s="95"/>
      <c r="W157" s="95"/>
      <c r="X157" s="95"/>
      <c r="Y157" s="95"/>
      <c r="Z157" s="95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x14ac:dyDescent="0.2">
      <c r="A158" s="144" t="s">
        <v>177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95"/>
      <c r="V158" s="95"/>
      <c r="W158" s="95"/>
      <c r="X158" s="95"/>
      <c r="Y158" s="95"/>
      <c r="Z158" s="95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2">
      <c r="A159" s="14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95"/>
      <c r="V159" s="95"/>
      <c r="W159" s="95"/>
      <c r="X159" s="95"/>
      <c r="Y159" s="95"/>
      <c r="Z159" s="95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7" x14ac:dyDescent="0.2">
      <c r="A160" s="146" t="s">
        <v>158</v>
      </c>
      <c r="B160" s="131">
        <f>B44</f>
        <v>30994</v>
      </c>
      <c r="C160" s="131">
        <f t="shared" ref="C160:R160" si="207">C44</f>
        <v>161952</v>
      </c>
      <c r="D160" s="131">
        <f t="shared" si="207"/>
        <v>108183</v>
      </c>
      <c r="E160" s="131">
        <f t="shared" si="207"/>
        <v>124039</v>
      </c>
      <c r="F160" s="131">
        <f t="shared" si="207"/>
        <v>203705</v>
      </c>
      <c r="G160" s="131">
        <f t="shared" si="207"/>
        <v>287831</v>
      </c>
      <c r="H160" s="131">
        <f t="shared" si="207"/>
        <v>350562</v>
      </c>
      <c r="I160" s="131">
        <f t="shared" si="207"/>
        <v>455865</v>
      </c>
      <c r="J160" s="131">
        <f t="shared" si="207"/>
        <v>532720</v>
      </c>
      <c r="K160" s="131">
        <f t="shared" si="207"/>
        <v>710800</v>
      </c>
      <c r="L160" s="131">
        <f t="shared" si="207"/>
        <v>763589</v>
      </c>
      <c r="M160" s="131">
        <f t="shared" si="207"/>
        <v>34567</v>
      </c>
      <c r="N160" s="131">
        <f t="shared" si="207"/>
        <v>270782</v>
      </c>
      <c r="O160" s="131">
        <f t="shared" si="207"/>
        <v>258383</v>
      </c>
      <c r="P160" s="131">
        <f t="shared" si="207"/>
        <v>443958</v>
      </c>
      <c r="Q160" s="131">
        <f t="shared" si="207"/>
        <v>290164</v>
      </c>
      <c r="R160" s="131">
        <f t="shared" si="207"/>
        <v>804943</v>
      </c>
      <c r="S160" s="131">
        <f>S44</f>
        <v>1160403</v>
      </c>
      <c r="T160" s="131">
        <f>T44</f>
        <v>1557813</v>
      </c>
      <c r="U160" s="110">
        <f>U44</f>
        <v>1832946.9664046024</v>
      </c>
      <c r="V160" s="110">
        <f t="shared" ref="V160:Z160" si="208">V44</f>
        <v>1995307.4091102127</v>
      </c>
      <c r="W160" s="110">
        <f t="shared" si="208"/>
        <v>2190403.9356093816</v>
      </c>
      <c r="X160" s="110">
        <f t="shared" si="208"/>
        <v>2392758.2129286625</v>
      </c>
      <c r="Y160" s="110">
        <f t="shared" si="208"/>
        <v>2612623.1650422639</v>
      </c>
      <c r="Z160" s="110">
        <f t="shared" si="208"/>
        <v>2793259.9306732863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7" x14ac:dyDescent="0.2">
      <c r="A161" s="145" t="s">
        <v>159</v>
      </c>
      <c r="B161" s="131">
        <f>B164</f>
        <v>7456</v>
      </c>
      <c r="C161" s="131">
        <f t="shared" ref="C161:T161" si="209">C164</f>
        <v>-26832</v>
      </c>
      <c r="D161" s="131">
        <f t="shared" si="209"/>
        <v>-43439</v>
      </c>
      <c r="E161" s="131">
        <f t="shared" si="209"/>
        <v>-49004</v>
      </c>
      <c r="F161" s="131">
        <f t="shared" si="209"/>
        <v>-77380</v>
      </c>
      <c r="G161" s="131">
        <f t="shared" si="209"/>
        <v>-110080</v>
      </c>
      <c r="H161" s="131">
        <f t="shared" si="209"/>
        <v>-134760</v>
      </c>
      <c r="I161" s="131">
        <f t="shared" si="209"/>
        <v>-179685</v>
      </c>
      <c r="J161" s="131">
        <f t="shared" si="209"/>
        <v>-207033</v>
      </c>
      <c r="K161" s="131">
        <f t="shared" si="209"/>
        <v>-268929</v>
      </c>
      <c r="L161" s="131">
        <f t="shared" si="209"/>
        <v>-294265</v>
      </c>
      <c r="M161" s="131">
        <f t="shared" si="209"/>
        <v>-15801</v>
      </c>
      <c r="N161" s="131">
        <f t="shared" si="209"/>
        <v>-99490</v>
      </c>
      <c r="O161" s="131">
        <f t="shared" si="209"/>
        <v>-91883</v>
      </c>
      <c r="P161" s="131">
        <f t="shared" si="209"/>
        <v>-108127</v>
      </c>
      <c r="Q161" s="131">
        <f t="shared" si="209"/>
        <v>61985</v>
      </c>
      <c r="R161" s="131">
        <f t="shared" si="209"/>
        <v>-159779</v>
      </c>
      <c r="S161" s="131">
        <f t="shared" si="209"/>
        <v>-282430</v>
      </c>
      <c r="T161" s="131">
        <f t="shared" si="209"/>
        <v>-391769</v>
      </c>
      <c r="U161" s="110">
        <f t="shared" ref="U161:Z161" si="210">U164</f>
        <v>-494895.68092924269</v>
      </c>
      <c r="V161" s="110">
        <f t="shared" si="210"/>
        <v>-538733.00045975752</v>
      </c>
      <c r="W161" s="110">
        <f t="shared" si="210"/>
        <v>-591409.06261453312</v>
      </c>
      <c r="X161" s="110">
        <f t="shared" si="210"/>
        <v>-646044.71749073896</v>
      </c>
      <c r="Y161" s="110">
        <f t="shared" si="210"/>
        <v>-705408.25456141133</v>
      </c>
      <c r="Z161" s="110">
        <f t="shared" si="210"/>
        <v>-754180.18128178734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7" x14ac:dyDescent="0.2">
      <c r="A162" s="145" t="s">
        <v>160</v>
      </c>
      <c r="B162" s="131">
        <f>B160+B161</f>
        <v>38450</v>
      </c>
      <c r="C162" s="131">
        <f>C160+C161</f>
        <v>135120</v>
      </c>
      <c r="D162" s="131">
        <f t="shared" ref="D162:Z162" si="211">D160+D161</f>
        <v>64744</v>
      </c>
      <c r="E162" s="131">
        <f t="shared" si="211"/>
        <v>75035</v>
      </c>
      <c r="F162" s="131">
        <f t="shared" si="211"/>
        <v>126325</v>
      </c>
      <c r="G162" s="131">
        <f t="shared" si="211"/>
        <v>177751</v>
      </c>
      <c r="H162" s="131">
        <f t="shared" si="211"/>
        <v>215802</v>
      </c>
      <c r="I162" s="131">
        <f t="shared" si="211"/>
        <v>276180</v>
      </c>
      <c r="J162" s="131">
        <f t="shared" si="211"/>
        <v>325687</v>
      </c>
      <c r="K162" s="131">
        <f t="shared" si="211"/>
        <v>441871</v>
      </c>
      <c r="L162" s="131">
        <f t="shared" si="211"/>
        <v>469324</v>
      </c>
      <c r="M162" s="131">
        <f t="shared" si="211"/>
        <v>18766</v>
      </c>
      <c r="N162" s="131">
        <f t="shared" si="211"/>
        <v>171292</v>
      </c>
      <c r="O162" s="131">
        <f t="shared" si="211"/>
        <v>166500</v>
      </c>
      <c r="P162" s="131">
        <f t="shared" si="211"/>
        <v>335831</v>
      </c>
      <c r="Q162" s="131">
        <f t="shared" si="211"/>
        <v>352149</v>
      </c>
      <c r="R162" s="131">
        <f t="shared" si="211"/>
        <v>645164</v>
      </c>
      <c r="S162" s="131">
        <f t="shared" si="211"/>
        <v>877973</v>
      </c>
      <c r="T162" s="131">
        <f t="shared" si="211"/>
        <v>1166044</v>
      </c>
      <c r="U162" s="110">
        <f t="shared" si="211"/>
        <v>1338051.2854753598</v>
      </c>
      <c r="V162" s="110">
        <f t="shared" si="211"/>
        <v>1456574.4086504551</v>
      </c>
      <c r="W162" s="110">
        <f t="shared" si="211"/>
        <v>1598994.8729948485</v>
      </c>
      <c r="X162" s="110">
        <f t="shared" si="211"/>
        <v>1746713.4954379236</v>
      </c>
      <c r="Y162" s="110">
        <f t="shared" si="211"/>
        <v>1907214.9104808527</v>
      </c>
      <c r="Z162" s="110">
        <f t="shared" si="211"/>
        <v>2039079.749391499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2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95"/>
      <c r="V163" s="95"/>
      <c r="W163" s="95"/>
      <c r="X163" s="95"/>
      <c r="Y163" s="95"/>
      <c r="Z163" s="95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7" x14ac:dyDescent="0.2">
      <c r="A164" s="147" t="s">
        <v>161</v>
      </c>
      <c r="B164" s="131">
        <f>B47</f>
        <v>7456</v>
      </c>
      <c r="C164" s="131">
        <f t="shared" ref="C164:R164" si="212">C47</f>
        <v>-26832</v>
      </c>
      <c r="D164" s="131">
        <f t="shared" si="212"/>
        <v>-43439</v>
      </c>
      <c r="E164" s="131">
        <f t="shared" si="212"/>
        <v>-49004</v>
      </c>
      <c r="F164" s="131">
        <f t="shared" si="212"/>
        <v>-77380</v>
      </c>
      <c r="G164" s="131">
        <f t="shared" si="212"/>
        <v>-110080</v>
      </c>
      <c r="H164" s="131">
        <f t="shared" si="212"/>
        <v>-134760</v>
      </c>
      <c r="I164" s="131">
        <f t="shared" si="212"/>
        <v>-179685</v>
      </c>
      <c r="J164" s="131">
        <f t="shared" si="212"/>
        <v>-207033</v>
      </c>
      <c r="K164" s="131">
        <f t="shared" si="212"/>
        <v>-268929</v>
      </c>
      <c r="L164" s="131">
        <f t="shared" si="212"/>
        <v>-294265</v>
      </c>
      <c r="M164" s="131">
        <f t="shared" si="212"/>
        <v>-15801</v>
      </c>
      <c r="N164" s="131">
        <f t="shared" si="212"/>
        <v>-99490</v>
      </c>
      <c r="O164" s="131">
        <f t="shared" si="212"/>
        <v>-91883</v>
      </c>
      <c r="P164" s="131">
        <f t="shared" si="212"/>
        <v>-108127</v>
      </c>
      <c r="Q164" s="131">
        <f t="shared" si="212"/>
        <v>61985</v>
      </c>
      <c r="R164" s="131">
        <f t="shared" si="212"/>
        <v>-159779</v>
      </c>
      <c r="S164" s="131">
        <f>S47</f>
        <v>-282430</v>
      </c>
      <c r="T164" s="131">
        <f>T47</f>
        <v>-391769</v>
      </c>
      <c r="U164" s="110">
        <f>U47</f>
        <v>-494895.68092924269</v>
      </c>
      <c r="V164" s="110">
        <f t="shared" ref="V164:Z164" si="213">V47</f>
        <v>-538733.00045975752</v>
      </c>
      <c r="W164" s="110">
        <f t="shared" si="213"/>
        <v>-591409.06261453312</v>
      </c>
      <c r="X164" s="110">
        <f t="shared" si="213"/>
        <v>-646044.71749073896</v>
      </c>
      <c r="Y164" s="110">
        <f t="shared" si="213"/>
        <v>-705408.25456141133</v>
      </c>
      <c r="Z164" s="110">
        <f t="shared" si="213"/>
        <v>-754180.18128178734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7" x14ac:dyDescent="0.2">
      <c r="A165" s="147" t="s">
        <v>162</v>
      </c>
      <c r="B165" s="131">
        <f>B46</f>
        <v>30240</v>
      </c>
      <c r="C165" s="131">
        <f t="shared" ref="C165:R165" si="214">C46</f>
        <v>168255</v>
      </c>
      <c r="D165" s="131">
        <f t="shared" si="214"/>
        <v>114002</v>
      </c>
      <c r="E165" s="131">
        <f t="shared" si="214"/>
        <v>127206</v>
      </c>
      <c r="F165" s="131">
        <f t="shared" si="214"/>
        <v>204225</v>
      </c>
      <c r="G165" s="131">
        <f t="shared" si="214"/>
        <v>289061</v>
      </c>
      <c r="H165" s="131">
        <f t="shared" si="214"/>
        <v>349705</v>
      </c>
      <c r="I165" s="131">
        <f t="shared" si="214"/>
        <v>457685</v>
      </c>
      <c r="J165" s="131">
        <f t="shared" si="214"/>
        <v>534471</v>
      </c>
      <c r="K165" s="131">
        <f t="shared" si="214"/>
        <v>714303</v>
      </c>
      <c r="L165" s="131">
        <f t="shared" si="214"/>
        <v>769867</v>
      </c>
      <c r="M165" s="131">
        <f t="shared" si="214"/>
        <v>38739</v>
      </c>
      <c r="N165" s="131">
        <f t="shared" si="214"/>
        <v>275731</v>
      </c>
      <c r="O165" s="131">
        <f t="shared" si="214"/>
        <v>268451</v>
      </c>
      <c r="P165" s="131">
        <f t="shared" si="214"/>
        <v>458285</v>
      </c>
      <c r="Q165" s="131">
        <f t="shared" si="214"/>
        <v>293781</v>
      </c>
      <c r="R165" s="131">
        <f t="shared" si="214"/>
        <v>812763</v>
      </c>
      <c r="S165" s="131">
        <f>S46</f>
        <v>1181531</v>
      </c>
      <c r="T165" s="131">
        <f>T46</f>
        <v>1620506</v>
      </c>
      <c r="U165" s="110">
        <f>U46</f>
        <v>1832946.9664046024</v>
      </c>
      <c r="V165" s="110">
        <f t="shared" ref="V165:Z165" si="215">V46</f>
        <v>1995307.4091102127</v>
      </c>
      <c r="W165" s="110">
        <f t="shared" si="215"/>
        <v>2190403.9356093816</v>
      </c>
      <c r="X165" s="110">
        <f t="shared" si="215"/>
        <v>2392758.2129286625</v>
      </c>
      <c r="Y165" s="110">
        <f t="shared" si="215"/>
        <v>2612623.1650422639</v>
      </c>
      <c r="Z165" s="110">
        <f t="shared" si="215"/>
        <v>2793259.9306732863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7" x14ac:dyDescent="0.2">
      <c r="A166" s="148" t="s">
        <v>163</v>
      </c>
      <c r="B166" s="149">
        <f>B164/B165</f>
        <v>0.24656084656084656</v>
      </c>
      <c r="C166" s="149">
        <f t="shared" ref="C166:T166" si="216">C164/C165</f>
        <v>-0.15947222965142194</v>
      </c>
      <c r="D166" s="149">
        <f t="shared" si="216"/>
        <v>-0.38103717478640725</v>
      </c>
      <c r="E166" s="149">
        <f t="shared" si="216"/>
        <v>-0.38523340094020725</v>
      </c>
      <c r="F166" s="149">
        <f t="shared" si="216"/>
        <v>-0.37889582568245805</v>
      </c>
      <c r="G166" s="149">
        <f t="shared" si="216"/>
        <v>-0.38081927344055405</v>
      </c>
      <c r="H166" s="149">
        <f t="shared" si="216"/>
        <v>-0.38535336926838337</v>
      </c>
      <c r="I166" s="149">
        <f t="shared" si="216"/>
        <v>-0.39259534395927331</v>
      </c>
      <c r="J166" s="149">
        <f t="shared" si="216"/>
        <v>-0.38736058644903093</v>
      </c>
      <c r="K166" s="149">
        <f t="shared" si="216"/>
        <v>-0.37649148890596845</v>
      </c>
      <c r="L166" s="149">
        <f t="shared" si="216"/>
        <v>-0.38222835892433371</v>
      </c>
      <c r="M166" s="149">
        <f t="shared" si="216"/>
        <v>-0.40788352822736779</v>
      </c>
      <c r="N166" s="149">
        <f t="shared" si="216"/>
        <v>-0.36082268587862809</v>
      </c>
      <c r="O166" s="149">
        <f t="shared" si="216"/>
        <v>-0.34227102897735528</v>
      </c>
      <c r="P166" s="149">
        <f t="shared" si="216"/>
        <v>-0.23593833531536054</v>
      </c>
      <c r="Q166" s="149">
        <f t="shared" si="216"/>
        <v>0.21099049972598635</v>
      </c>
      <c r="R166" s="149">
        <f t="shared" si="216"/>
        <v>-0.19658744307996304</v>
      </c>
      <c r="S166" s="149">
        <f t="shared" si="216"/>
        <v>-0.23903731683722221</v>
      </c>
      <c r="T166" s="149">
        <f t="shared" si="216"/>
        <v>-0.24175720423127098</v>
      </c>
      <c r="U166" s="111">
        <f t="shared" ref="U166:Z166" si="217">U164/U165</f>
        <v>-0.27</v>
      </c>
      <c r="V166" s="111">
        <f t="shared" si="217"/>
        <v>-0.27</v>
      </c>
      <c r="W166" s="111">
        <f t="shared" si="217"/>
        <v>-0.27</v>
      </c>
      <c r="X166" s="111">
        <f t="shared" si="217"/>
        <v>-0.27</v>
      </c>
      <c r="Y166" s="111">
        <f t="shared" si="217"/>
        <v>-0.27</v>
      </c>
      <c r="Z166" s="111">
        <f t="shared" si="217"/>
        <v>-0.27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2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95"/>
      <c r="V167" s="95"/>
      <c r="W167" s="95"/>
      <c r="X167" s="95"/>
      <c r="Y167" s="95"/>
      <c r="Z167" s="95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7" x14ac:dyDescent="0.2">
      <c r="A168" s="150" t="s">
        <v>143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95"/>
      <c r="V168" s="95"/>
      <c r="W168" s="95"/>
      <c r="X168" s="95"/>
      <c r="Y168" s="95"/>
      <c r="Z168" s="95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x14ac:dyDescent="0.2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95"/>
      <c r="V169" s="95"/>
      <c r="W169" s="95"/>
      <c r="X169" s="95"/>
      <c r="Y169" s="95"/>
      <c r="Z169" s="95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7" x14ac:dyDescent="0.2">
      <c r="A170" s="145" t="s">
        <v>164</v>
      </c>
      <c r="B170" s="151">
        <f>B125-B118-B124-B141</f>
        <v>-24219</v>
      </c>
      <c r="C170" s="151">
        <f t="shared" ref="C170:T170" si="218">C125-C118-C124-C141</f>
        <v>-36006</v>
      </c>
      <c r="D170" s="151">
        <f t="shared" si="218"/>
        <v>-42633</v>
      </c>
      <c r="E170" s="151">
        <f t="shared" si="218"/>
        <v>-53750</v>
      </c>
      <c r="F170" s="151">
        <f t="shared" si="218"/>
        <v>-74265</v>
      </c>
      <c r="G170" s="151">
        <f t="shared" si="218"/>
        <v>-66437</v>
      </c>
      <c r="H170" s="151">
        <f t="shared" si="218"/>
        <v>-112509</v>
      </c>
      <c r="I170" s="151">
        <f t="shared" si="218"/>
        <v>-113104</v>
      </c>
      <c r="J170" s="151">
        <f t="shared" si="218"/>
        <v>-111095</v>
      </c>
      <c r="K170" s="151">
        <f t="shared" si="218"/>
        <v>-144256</v>
      </c>
      <c r="L170" s="151">
        <f t="shared" si="218"/>
        <v>-128499</v>
      </c>
      <c r="M170" s="151">
        <f t="shared" si="218"/>
        <v>-177135</v>
      </c>
      <c r="N170" s="151">
        <f t="shared" si="218"/>
        <v>-203309</v>
      </c>
      <c r="O170" s="151">
        <f t="shared" si="218"/>
        <v>-311994</v>
      </c>
      <c r="P170" s="151">
        <f t="shared" si="218"/>
        <v>-475171</v>
      </c>
      <c r="Q170" s="151">
        <f t="shared" si="218"/>
        <v>-353565</v>
      </c>
      <c r="R170" s="151">
        <f t="shared" si="218"/>
        <v>-568437</v>
      </c>
      <c r="S170" s="151">
        <f t="shared" si="218"/>
        <v>-645179</v>
      </c>
      <c r="T170" s="151">
        <f t="shared" si="218"/>
        <v>-705359</v>
      </c>
      <c r="U170" s="95"/>
      <c r="V170" s="95"/>
      <c r="W170" s="95"/>
      <c r="X170" s="95"/>
      <c r="Y170" s="95"/>
      <c r="Z170" s="95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7" x14ac:dyDescent="0.2">
      <c r="A171" s="145" t="s">
        <v>165</v>
      </c>
      <c r="B171" s="151">
        <f>B126</f>
        <v>340694</v>
      </c>
      <c r="C171" s="151">
        <f t="shared" ref="C171:T171" si="219">C126</f>
        <v>404740</v>
      </c>
      <c r="D171" s="151">
        <f t="shared" si="219"/>
        <v>494930</v>
      </c>
      <c r="E171" s="151">
        <f t="shared" si="219"/>
        <v>585899</v>
      </c>
      <c r="F171" s="151">
        <f t="shared" si="219"/>
        <v>636411</v>
      </c>
      <c r="G171" s="151">
        <f t="shared" si="219"/>
        <v>676881</v>
      </c>
      <c r="H171" s="151">
        <f t="shared" si="219"/>
        <v>751951</v>
      </c>
      <c r="I171" s="151">
        <f t="shared" si="219"/>
        <v>866703</v>
      </c>
      <c r="J171" s="151">
        <f t="shared" si="219"/>
        <v>963238</v>
      </c>
      <c r="K171" s="151">
        <f t="shared" si="219"/>
        <v>1106984</v>
      </c>
      <c r="L171" s="151">
        <f t="shared" si="219"/>
        <v>1217220</v>
      </c>
      <c r="M171" s="151">
        <f t="shared" si="219"/>
        <v>1303558</v>
      </c>
      <c r="N171" s="151">
        <f t="shared" si="219"/>
        <v>1338366</v>
      </c>
      <c r="O171" s="151">
        <f t="shared" si="219"/>
        <v>1379254</v>
      </c>
      <c r="P171" s="151">
        <f t="shared" si="219"/>
        <v>1458690</v>
      </c>
      <c r="Q171" s="151">
        <f t="shared" si="219"/>
        <v>1584311</v>
      </c>
      <c r="R171" s="151">
        <f t="shared" si="219"/>
        <v>1769278</v>
      </c>
      <c r="S171" s="151">
        <f t="shared" si="219"/>
        <v>1951147</v>
      </c>
      <c r="T171" s="151">
        <f t="shared" si="219"/>
        <v>2170038</v>
      </c>
      <c r="U171" s="95"/>
      <c r="V171" s="95"/>
      <c r="W171" s="95"/>
      <c r="X171" s="95"/>
      <c r="Y171" s="95"/>
      <c r="Z171" s="95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7" x14ac:dyDescent="0.2">
      <c r="A172" s="145" t="s">
        <v>67</v>
      </c>
      <c r="B172" s="151">
        <f>SUM(C127:C132)</f>
        <v>20631</v>
      </c>
      <c r="C172" s="151">
        <f t="shared" ref="C172:S172" si="220">SUM(D127:D132)</f>
        <v>25341</v>
      </c>
      <c r="D172" s="151">
        <f t="shared" si="220"/>
        <v>28014</v>
      </c>
      <c r="E172" s="151">
        <f t="shared" si="220"/>
        <v>27640</v>
      </c>
      <c r="F172" s="151">
        <f t="shared" si="220"/>
        <v>38503</v>
      </c>
      <c r="G172" s="151">
        <f t="shared" si="220"/>
        <v>172165</v>
      </c>
      <c r="H172" s="151">
        <f t="shared" si="220"/>
        <v>255357</v>
      </c>
      <c r="I172" s="151">
        <f t="shared" si="220"/>
        <v>379735</v>
      </c>
      <c r="J172" s="151">
        <f t="shared" si="220"/>
        <v>560822</v>
      </c>
      <c r="K172" s="151">
        <f t="shared" si="220"/>
        <v>693199</v>
      </c>
      <c r="L172" s="151">
        <f t="shared" si="220"/>
        <v>200171</v>
      </c>
      <c r="M172" s="151">
        <f t="shared" si="220"/>
        <v>77791</v>
      </c>
      <c r="N172" s="151">
        <f t="shared" si="220"/>
        <v>71470</v>
      </c>
      <c r="O172" s="151">
        <f t="shared" si="220"/>
        <v>2573710</v>
      </c>
      <c r="P172" s="151">
        <f t="shared" si="220"/>
        <v>2978348</v>
      </c>
      <c r="Q172" s="151">
        <f t="shared" si="220"/>
        <v>3502116</v>
      </c>
      <c r="R172" s="151">
        <f>SUM(S127:S132)</f>
        <v>3800520</v>
      </c>
      <c r="S172" s="151">
        <f t="shared" si="220"/>
        <v>4253611</v>
      </c>
      <c r="T172" s="151">
        <f>SUM(T127:T132)</f>
        <v>4253611</v>
      </c>
      <c r="U172" s="95"/>
      <c r="V172" s="95"/>
      <c r="W172" s="95"/>
      <c r="X172" s="95"/>
      <c r="Y172" s="95"/>
      <c r="Z172" s="95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7" x14ac:dyDescent="0.2">
      <c r="A173" s="145" t="s">
        <v>166</v>
      </c>
      <c r="B173" s="151">
        <f>SUM(B170:B172)</f>
        <v>337106</v>
      </c>
      <c r="C173" s="151">
        <f t="shared" ref="C173:T173" si="221">SUM(C170:C172)</f>
        <v>394075</v>
      </c>
      <c r="D173" s="151">
        <f t="shared" si="221"/>
        <v>480311</v>
      </c>
      <c r="E173" s="151">
        <f t="shared" si="221"/>
        <v>559789</v>
      </c>
      <c r="F173" s="151">
        <f t="shared" si="221"/>
        <v>600649</v>
      </c>
      <c r="G173" s="151">
        <f t="shared" si="221"/>
        <v>782609</v>
      </c>
      <c r="H173" s="151">
        <f t="shared" si="221"/>
        <v>894799</v>
      </c>
      <c r="I173" s="151">
        <f t="shared" si="221"/>
        <v>1133334</v>
      </c>
      <c r="J173" s="151">
        <f t="shared" si="221"/>
        <v>1412965</v>
      </c>
      <c r="K173" s="151">
        <f t="shared" si="221"/>
        <v>1655927</v>
      </c>
      <c r="L173" s="151">
        <f t="shared" si="221"/>
        <v>1288892</v>
      </c>
      <c r="M173" s="151">
        <f t="shared" si="221"/>
        <v>1204214</v>
      </c>
      <c r="N173" s="151">
        <f t="shared" si="221"/>
        <v>1206527</v>
      </c>
      <c r="O173" s="151">
        <f t="shared" si="221"/>
        <v>3640970</v>
      </c>
      <c r="P173" s="151">
        <f t="shared" si="221"/>
        <v>3961867</v>
      </c>
      <c r="Q173" s="151">
        <f t="shared" si="221"/>
        <v>4732862</v>
      </c>
      <c r="R173" s="151">
        <f t="shared" si="221"/>
        <v>5001361</v>
      </c>
      <c r="S173" s="151">
        <f t="shared" si="221"/>
        <v>5559579</v>
      </c>
      <c r="T173" s="151">
        <f t="shared" si="221"/>
        <v>5718290</v>
      </c>
      <c r="U173" s="112">
        <f>T173*1.06</f>
        <v>6061387.4000000004</v>
      </c>
      <c r="V173" s="112">
        <f t="shared" ref="V173:Z173" si="222">U173*1.06</f>
        <v>6425070.6440000003</v>
      </c>
      <c r="W173" s="112">
        <f t="shared" si="222"/>
        <v>6810574.8826400004</v>
      </c>
      <c r="X173" s="112">
        <f t="shared" si="222"/>
        <v>7219209.3755984008</v>
      </c>
      <c r="Y173" s="112">
        <f t="shared" si="222"/>
        <v>7652361.9381343052</v>
      </c>
      <c r="Z173" s="112">
        <f t="shared" si="222"/>
        <v>8111503.6544223642</v>
      </c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2">
      <c r="A174" s="14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95"/>
      <c r="V174" s="95"/>
      <c r="W174" s="95"/>
      <c r="X174" s="95"/>
      <c r="Y174" s="95"/>
      <c r="Z174" s="95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7" x14ac:dyDescent="0.2">
      <c r="A175" s="145" t="s">
        <v>167</v>
      </c>
      <c r="B175" s="152">
        <f>B162/B173</f>
        <v>0.11405907934002954</v>
      </c>
      <c r="C175" s="152">
        <f t="shared" ref="C175:T175" si="223">C162/C173</f>
        <v>0.34287889361162216</v>
      </c>
      <c r="D175" s="152">
        <f t="shared" si="223"/>
        <v>0.1347959967604323</v>
      </c>
      <c r="E175" s="152">
        <f t="shared" si="223"/>
        <v>0.13404157637967162</v>
      </c>
      <c r="F175" s="152">
        <f t="shared" si="223"/>
        <v>0.21031417683206</v>
      </c>
      <c r="G175" s="152">
        <f t="shared" si="223"/>
        <v>0.22712618945092633</v>
      </c>
      <c r="H175" s="152">
        <f t="shared" si="223"/>
        <v>0.24117371610831037</v>
      </c>
      <c r="I175" s="152">
        <f t="shared" si="223"/>
        <v>0.2436880919481812</v>
      </c>
      <c r="J175" s="152">
        <f t="shared" si="223"/>
        <v>0.23049898617446293</v>
      </c>
      <c r="K175" s="152">
        <f t="shared" si="223"/>
        <v>0.26684207697561546</v>
      </c>
      <c r="L175" s="152">
        <f t="shared" si="223"/>
        <v>0.36412981072114653</v>
      </c>
      <c r="M175" s="152">
        <f t="shared" si="223"/>
        <v>1.5583608893435885E-2</v>
      </c>
      <c r="N175" s="152">
        <f t="shared" si="223"/>
        <v>0.14197112870246584</v>
      </c>
      <c r="O175" s="152">
        <f t="shared" si="223"/>
        <v>4.5729572064587186E-2</v>
      </c>
      <c r="P175" s="152">
        <f t="shared" si="223"/>
        <v>8.4765843982142763E-2</v>
      </c>
      <c r="Q175" s="152">
        <f t="shared" si="223"/>
        <v>7.4405085126082279E-2</v>
      </c>
      <c r="R175" s="152">
        <f t="shared" si="223"/>
        <v>0.12899768682964496</v>
      </c>
      <c r="S175" s="152">
        <f t="shared" si="223"/>
        <v>0.15792077061950194</v>
      </c>
      <c r="T175" s="152">
        <f t="shared" si="223"/>
        <v>0.20391480669920553</v>
      </c>
      <c r="U175" s="113">
        <f>U162/U173</f>
        <v>0.22075000279232435</v>
      </c>
      <c r="V175" s="113">
        <f t="shared" ref="V175:Z175" si="224">V162/V173</f>
        <v>0.22670169549196556</v>
      </c>
      <c r="W175" s="113">
        <f t="shared" si="224"/>
        <v>0.23478118962771408</v>
      </c>
      <c r="X175" s="113">
        <f t="shared" si="224"/>
        <v>0.24195357199944603</v>
      </c>
      <c r="Y175" s="113">
        <f t="shared" si="224"/>
        <v>0.2492321881661865</v>
      </c>
      <c r="Z175" s="113">
        <f t="shared" si="224"/>
        <v>0.25138122797735529</v>
      </c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95"/>
      <c r="V176" s="95"/>
      <c r="W176" s="95"/>
      <c r="X176" s="95"/>
      <c r="Y176" s="95"/>
      <c r="Z176" s="95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7" x14ac:dyDescent="0.2">
      <c r="A177" s="153" t="s">
        <v>168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95"/>
      <c r="V177" s="95"/>
      <c r="W177" s="95"/>
      <c r="X177" s="95"/>
      <c r="Y177" s="95"/>
      <c r="Z177" s="95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2">
      <c r="A178" s="15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95"/>
      <c r="V178" s="95"/>
      <c r="W178" s="95"/>
      <c r="X178" s="95"/>
      <c r="Y178" s="95"/>
      <c r="Z178" s="95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7" x14ac:dyDescent="0.2">
      <c r="A179" s="154" t="s">
        <v>158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95"/>
      <c r="V179" s="95"/>
      <c r="W179" s="95"/>
      <c r="X179" s="95"/>
      <c r="Y179" s="95"/>
      <c r="Z179" s="95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7" x14ac:dyDescent="0.2">
      <c r="A180" s="155" t="s">
        <v>169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95"/>
      <c r="V180" s="95"/>
      <c r="W180" s="95"/>
      <c r="X180" s="95"/>
      <c r="Y180" s="95"/>
      <c r="Z180" s="95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7" x14ac:dyDescent="0.2">
      <c r="A181" s="155" t="s">
        <v>159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95"/>
      <c r="V181" s="95"/>
      <c r="W181" s="95"/>
      <c r="X181" s="95"/>
      <c r="Y181" s="95"/>
      <c r="Z181" s="95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7" x14ac:dyDescent="0.2">
      <c r="A182" s="154" t="s">
        <v>160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95"/>
      <c r="V182" s="95"/>
      <c r="W182" s="95"/>
      <c r="X182" s="95"/>
      <c r="Y182" s="95"/>
      <c r="Z182" s="95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7" x14ac:dyDescent="0.2">
      <c r="A183" s="154" t="s">
        <v>122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95"/>
      <c r="V183" s="95"/>
      <c r="W183" s="95"/>
      <c r="X183" s="95"/>
      <c r="Y183" s="95"/>
      <c r="Z183" s="95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7" x14ac:dyDescent="0.2">
      <c r="A184" s="154" t="s">
        <v>127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95"/>
      <c r="V184" s="95"/>
      <c r="W184" s="95"/>
      <c r="X184" s="95"/>
      <c r="Y184" s="95"/>
      <c r="Z184" s="95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7" x14ac:dyDescent="0.2">
      <c r="A185" s="156" t="s">
        <v>164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95"/>
      <c r="V185" s="95"/>
      <c r="W185" s="95"/>
      <c r="X185" s="95"/>
      <c r="Y185" s="95"/>
      <c r="Z185" s="95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7" x14ac:dyDescent="0.2">
      <c r="A186" s="156" t="s">
        <v>170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95"/>
      <c r="V186" s="95"/>
      <c r="W186" s="95"/>
      <c r="X186" s="95"/>
      <c r="Y186" s="95"/>
      <c r="Z186" s="95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x14ac:dyDescent="0.2">
      <c r="A187" s="15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95"/>
      <c r="V187" s="95"/>
      <c r="W187" s="95"/>
      <c r="X187" s="95"/>
      <c r="Y187" s="95"/>
      <c r="Z187" s="95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7" x14ac:dyDescent="0.2">
      <c r="A188" s="155" t="s">
        <v>170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95"/>
      <c r="V188" s="95"/>
      <c r="W188" s="95"/>
      <c r="X188" s="95"/>
      <c r="Y188" s="95"/>
      <c r="Z188" s="95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7" x14ac:dyDescent="0.2">
      <c r="A189" s="155" t="s">
        <v>171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95"/>
      <c r="V189" s="95"/>
      <c r="W189" s="95"/>
      <c r="X189" s="95"/>
      <c r="Y189" s="95"/>
      <c r="Z189" s="95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x14ac:dyDescent="0.2">
      <c r="A190" s="15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95"/>
      <c r="V190" s="95"/>
      <c r="W190" s="95"/>
      <c r="X190" s="95"/>
      <c r="Y190" s="95"/>
      <c r="Z190" s="95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x14ac:dyDescent="0.2">
      <c r="A191" s="15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95"/>
      <c r="V191" s="95"/>
      <c r="W191" s="95"/>
      <c r="X191" s="95"/>
      <c r="Y191" s="95"/>
      <c r="Z191" s="95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7" x14ac:dyDescent="0.2">
      <c r="A192" s="155" t="s">
        <v>172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95"/>
      <c r="V192" s="95"/>
      <c r="W192" s="95"/>
      <c r="X192" s="95"/>
      <c r="Y192" s="95"/>
      <c r="Z192" s="95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7" x14ac:dyDescent="0.2">
      <c r="A193" s="155" t="s">
        <v>173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95"/>
      <c r="V193" s="95"/>
      <c r="W193" s="95"/>
      <c r="X193" s="95"/>
      <c r="Y193" s="95"/>
      <c r="Z193" s="95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2">
      <c r="A194" s="15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95"/>
      <c r="V194" s="95"/>
      <c r="W194" s="95"/>
      <c r="X194" s="95"/>
      <c r="Y194" s="95"/>
      <c r="Z194" s="95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7" x14ac:dyDescent="0.2">
      <c r="A195" s="155" t="s">
        <v>171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95"/>
      <c r="V195" s="95"/>
      <c r="W195" s="95"/>
      <c r="X195" s="95"/>
      <c r="Y195" s="95"/>
      <c r="Z195" s="95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7" x14ac:dyDescent="0.2">
      <c r="A196" s="155" t="s">
        <v>140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95"/>
      <c r="V196" s="95"/>
      <c r="W196" s="95"/>
      <c r="X196" s="95"/>
      <c r="Y196" s="95"/>
      <c r="Z196" s="95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7" x14ac:dyDescent="0.2">
      <c r="A197" s="155" t="s">
        <v>174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95"/>
      <c r="V197" s="95"/>
      <c r="W197" s="95"/>
      <c r="X197" s="95"/>
      <c r="Y197" s="95"/>
      <c r="Z197" s="95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7" x14ac:dyDescent="0.2">
      <c r="A198" s="155" t="s">
        <v>175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95"/>
      <c r="V198" s="95"/>
      <c r="W198" s="95"/>
      <c r="X198" s="95"/>
      <c r="Y198" s="95"/>
      <c r="Z198" s="95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7" x14ac:dyDescent="0.2">
      <c r="A199" s="155" t="s">
        <v>176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95"/>
      <c r="V199" s="95"/>
      <c r="W199" s="95"/>
      <c r="X199" s="95"/>
      <c r="Y199" s="95"/>
      <c r="Z199" s="95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2">
      <c r="A200" s="15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95"/>
      <c r="V200" s="95"/>
      <c r="W200" s="95"/>
      <c r="X200" s="95"/>
      <c r="Y200" s="95"/>
      <c r="Z200" s="95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7" x14ac:dyDescent="0.2">
      <c r="A201" s="154" t="s">
        <v>139</v>
      </c>
      <c r="B201" s="1"/>
      <c r="C201" s="1">
        <v>57</v>
      </c>
      <c r="D201" s="1">
        <v>147</v>
      </c>
      <c r="E201" s="1">
        <v>62</v>
      </c>
      <c r="F201" s="1">
        <v>88</v>
      </c>
      <c r="G201" s="1">
        <v>212</v>
      </c>
      <c r="H201" s="1">
        <v>337</v>
      </c>
      <c r="I201" s="1">
        <v>297</v>
      </c>
      <c r="J201" s="1">
        <v>532</v>
      </c>
      <c r="K201" s="1">
        <v>684</v>
      </c>
      <c r="L201" s="1">
        <v>480</v>
      </c>
      <c r="M201" s="1">
        <v>377</v>
      </c>
      <c r="N201" s="1">
        <v>289</v>
      </c>
      <c r="O201" s="1">
        <v>432</v>
      </c>
      <c r="P201" s="1">
        <v>837</v>
      </c>
      <c r="Q201" s="1">
        <v>1386</v>
      </c>
      <c r="R201" s="1">
        <v>1748</v>
      </c>
      <c r="S201" s="1">
        <v>1387</v>
      </c>
      <c r="T201" s="1">
        <v>2286</v>
      </c>
      <c r="U201" s="95">
        <v>2535</v>
      </c>
      <c r="V201" s="95">
        <v>2535</v>
      </c>
      <c r="W201" s="95">
        <v>2535</v>
      </c>
      <c r="X201" s="95">
        <v>2535</v>
      </c>
      <c r="Y201" s="95">
        <v>2535</v>
      </c>
      <c r="Z201" s="95">
        <v>2535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7" x14ac:dyDescent="0.2">
      <c r="A202" s="153" t="s">
        <v>140</v>
      </c>
      <c r="B202" s="1"/>
      <c r="C202" s="131">
        <f>-C118</f>
        <v>-153642</v>
      </c>
      <c r="D202" s="131">
        <f t="shared" ref="D202:K202" si="225">-D118</f>
        <v>-151176</v>
      </c>
      <c r="E202" s="131">
        <f t="shared" si="225"/>
        <v>-88044</v>
      </c>
      <c r="F202" s="131">
        <f t="shared" si="225"/>
        <v>-219566</v>
      </c>
      <c r="G202" s="131">
        <f t="shared" si="225"/>
        <v>-224838</v>
      </c>
      <c r="H202" s="131">
        <f t="shared" si="225"/>
        <v>-401243</v>
      </c>
      <c r="I202" s="131">
        <f t="shared" si="225"/>
        <v>-322553</v>
      </c>
      <c r="J202" s="131">
        <f t="shared" si="225"/>
        <v>-323203</v>
      </c>
      <c r="K202" s="131">
        <f t="shared" si="225"/>
        <v>-419465</v>
      </c>
      <c r="L202" s="131">
        <f t="shared" ref="L202:T202" si="226">-L118</f>
        <v>-248005</v>
      </c>
      <c r="M202" s="131">
        <f t="shared" si="226"/>
        <v>-87880</v>
      </c>
      <c r="N202" s="131">
        <f t="shared" si="226"/>
        <v>-184569</v>
      </c>
      <c r="O202" s="131">
        <f t="shared" si="226"/>
        <v>-249953</v>
      </c>
      <c r="P202" s="131">
        <f t="shared" si="226"/>
        <v>-480626</v>
      </c>
      <c r="Q202" s="131">
        <f t="shared" si="226"/>
        <v>-607987</v>
      </c>
      <c r="R202" s="131">
        <f t="shared" si="226"/>
        <v>-815374</v>
      </c>
      <c r="S202" s="131">
        <f t="shared" si="226"/>
        <v>-384000</v>
      </c>
      <c r="T202" s="131">
        <f t="shared" si="226"/>
        <v>-560609</v>
      </c>
      <c r="U202" s="110">
        <f>-U203*0.01</f>
        <v>-702448.5</v>
      </c>
      <c r="V202" s="110">
        <f t="shared" ref="V202:Z202" si="227">-V203*0.01</f>
        <v>-702448.5</v>
      </c>
      <c r="W202" s="110">
        <f t="shared" si="227"/>
        <v>-702448.5</v>
      </c>
      <c r="X202" s="110">
        <f t="shared" si="227"/>
        <v>-702448.5</v>
      </c>
      <c r="Y202" s="110">
        <f t="shared" si="227"/>
        <v>-702448.5</v>
      </c>
      <c r="Z202" s="110">
        <f t="shared" si="227"/>
        <v>-702448.5</v>
      </c>
      <c r="AA202" s="13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7" x14ac:dyDescent="0.2">
      <c r="A203" s="153" t="s">
        <v>141</v>
      </c>
      <c r="B203" s="1"/>
      <c r="C203" s="131">
        <f t="shared" ref="C203:H203" si="228">C201*C51</f>
        <v>1850505</v>
      </c>
      <c r="D203" s="131">
        <f t="shared" si="228"/>
        <v>4872462</v>
      </c>
      <c r="E203" s="131">
        <f t="shared" si="228"/>
        <v>2055052</v>
      </c>
      <c r="F203" s="131">
        <f t="shared" si="228"/>
        <v>2824976</v>
      </c>
      <c r="G203" s="131">
        <f t="shared" si="228"/>
        <v>6727820</v>
      </c>
      <c r="H203" s="131">
        <f t="shared" si="228"/>
        <v>10708175</v>
      </c>
      <c r="I203" s="131">
        <f t="shared" ref="I203:K203" si="229">I201*I51</f>
        <v>9439551</v>
      </c>
      <c r="J203" s="131">
        <f t="shared" si="229"/>
        <v>16641492</v>
      </c>
      <c r="K203" s="131">
        <f t="shared" si="229"/>
        <v>21554208</v>
      </c>
      <c r="L203" s="131">
        <f t="shared" ref="L203:T203" si="230">L201*L51</f>
        <v>15117120</v>
      </c>
      <c r="M203" s="131">
        <f t="shared" si="230"/>
        <v>11223290</v>
      </c>
      <c r="N203" s="131">
        <f t="shared" si="230"/>
        <v>8254129</v>
      </c>
      <c r="O203" s="131">
        <f t="shared" si="230"/>
        <v>12079584</v>
      </c>
      <c r="P203" s="131">
        <f t="shared" si="230"/>
        <v>23682915</v>
      </c>
      <c r="Q203" s="131">
        <f t="shared" si="230"/>
        <v>39384576</v>
      </c>
      <c r="R203" s="131">
        <f t="shared" si="230"/>
        <v>49837228</v>
      </c>
      <c r="S203" s="131">
        <f t="shared" si="230"/>
        <v>38921994</v>
      </c>
      <c r="T203" s="131">
        <f t="shared" si="230"/>
        <v>63345060</v>
      </c>
      <c r="U203" s="110">
        <f t="shared" ref="U203:Z203" si="231">U201*U51</f>
        <v>70244850</v>
      </c>
      <c r="V203" s="110">
        <f t="shared" si="231"/>
        <v>70244850</v>
      </c>
      <c r="W203" s="110">
        <f t="shared" si="231"/>
        <v>70244850</v>
      </c>
      <c r="X203" s="110">
        <f t="shared" si="231"/>
        <v>70244850</v>
      </c>
      <c r="Y203" s="110">
        <f t="shared" si="231"/>
        <v>70244850</v>
      </c>
      <c r="Z203" s="110">
        <f t="shared" si="231"/>
        <v>70244850</v>
      </c>
      <c r="AA203" s="13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7" x14ac:dyDescent="0.2">
      <c r="A204" s="153" t="s">
        <v>142</v>
      </c>
      <c r="B204" s="1"/>
      <c r="C204" s="131">
        <f>C203+C202</f>
        <v>1696863</v>
      </c>
      <c r="D204" s="131">
        <f t="shared" ref="D204:H204" si="232">D203+D202</f>
        <v>4721286</v>
      </c>
      <c r="E204" s="131">
        <f t="shared" si="232"/>
        <v>1967008</v>
      </c>
      <c r="F204" s="131">
        <f t="shared" si="232"/>
        <v>2605410</v>
      </c>
      <c r="G204" s="131">
        <f t="shared" si="232"/>
        <v>6502982</v>
      </c>
      <c r="H204" s="131">
        <f t="shared" si="232"/>
        <v>10306932</v>
      </c>
      <c r="I204" s="131">
        <f t="shared" ref="I204" si="233">I203+I202</f>
        <v>9116998</v>
      </c>
      <c r="J204" s="131">
        <f t="shared" ref="J204" si="234">J203+J202</f>
        <v>16318289</v>
      </c>
      <c r="K204" s="131">
        <f t="shared" ref="K204" si="235">K203+K202</f>
        <v>21134743</v>
      </c>
      <c r="L204" s="131">
        <f t="shared" ref="L204" si="236">L203+L202</f>
        <v>14869115</v>
      </c>
      <c r="M204" s="131">
        <f t="shared" ref="M204" si="237">M203+M202</f>
        <v>11135410</v>
      </c>
      <c r="N204" s="131">
        <f t="shared" ref="N204" si="238">N203+N202</f>
        <v>8069560</v>
      </c>
      <c r="O204" s="131">
        <f t="shared" ref="O204" si="239">O203+O202</f>
        <v>11829631</v>
      </c>
      <c r="P204" s="131">
        <f t="shared" ref="P204" si="240">P203+P202</f>
        <v>23202289</v>
      </c>
      <c r="Q204" s="131">
        <f t="shared" ref="Q204" si="241">Q203+Q202</f>
        <v>38776589</v>
      </c>
      <c r="R204" s="131">
        <f t="shared" ref="R204" si="242">R203+R202</f>
        <v>49021854</v>
      </c>
      <c r="S204" s="131">
        <f t="shared" ref="S204" si="243">S203+S202</f>
        <v>38537994</v>
      </c>
      <c r="T204" s="131">
        <f t="shared" ref="T204:Z204" si="244">T203+T202</f>
        <v>62784451</v>
      </c>
      <c r="U204" s="110">
        <f t="shared" si="244"/>
        <v>69542401.5</v>
      </c>
      <c r="V204" s="110">
        <f t="shared" si="244"/>
        <v>69542401.5</v>
      </c>
      <c r="W204" s="110">
        <f t="shared" si="244"/>
        <v>69542401.5</v>
      </c>
      <c r="X204" s="110">
        <f t="shared" si="244"/>
        <v>69542401.5</v>
      </c>
      <c r="Y204" s="110">
        <f t="shared" si="244"/>
        <v>69542401.5</v>
      </c>
      <c r="Z204" s="110">
        <f t="shared" si="244"/>
        <v>69542401.5</v>
      </c>
      <c r="AA204" s="13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7" x14ac:dyDescent="0.2">
      <c r="A205" s="153" t="s">
        <v>143</v>
      </c>
      <c r="B205" s="151">
        <f>B173</f>
        <v>337106</v>
      </c>
      <c r="C205" s="151">
        <f>C173</f>
        <v>394075</v>
      </c>
      <c r="D205" s="151">
        <f t="shared" ref="D205:Z205" si="245">D173</f>
        <v>480311</v>
      </c>
      <c r="E205" s="151">
        <f t="shared" si="245"/>
        <v>559789</v>
      </c>
      <c r="F205" s="151">
        <f t="shared" si="245"/>
        <v>600649</v>
      </c>
      <c r="G205" s="151">
        <f t="shared" si="245"/>
        <v>782609</v>
      </c>
      <c r="H205" s="151">
        <f t="shared" si="245"/>
        <v>894799</v>
      </c>
      <c r="I205" s="151">
        <f t="shared" si="245"/>
        <v>1133334</v>
      </c>
      <c r="J205" s="151">
        <f t="shared" si="245"/>
        <v>1412965</v>
      </c>
      <c r="K205" s="151">
        <f t="shared" si="245"/>
        <v>1655927</v>
      </c>
      <c r="L205" s="151">
        <f t="shared" si="245"/>
        <v>1288892</v>
      </c>
      <c r="M205" s="151">
        <f t="shared" si="245"/>
        <v>1204214</v>
      </c>
      <c r="N205" s="151">
        <f t="shared" si="245"/>
        <v>1206527</v>
      </c>
      <c r="O205" s="151">
        <f t="shared" si="245"/>
        <v>3640970</v>
      </c>
      <c r="P205" s="151">
        <f t="shared" si="245"/>
        <v>3961867</v>
      </c>
      <c r="Q205" s="151">
        <f t="shared" si="245"/>
        <v>4732862</v>
      </c>
      <c r="R205" s="151">
        <f t="shared" si="245"/>
        <v>5001361</v>
      </c>
      <c r="S205" s="151">
        <f t="shared" si="245"/>
        <v>5559579</v>
      </c>
      <c r="T205" s="151">
        <f t="shared" si="245"/>
        <v>5718290</v>
      </c>
      <c r="U205" s="112">
        <f t="shared" si="245"/>
        <v>6061387.4000000004</v>
      </c>
      <c r="V205" s="112">
        <f t="shared" si="245"/>
        <v>6425070.6440000003</v>
      </c>
      <c r="W205" s="112">
        <f t="shared" si="245"/>
        <v>6810574.8826400004</v>
      </c>
      <c r="X205" s="112">
        <f t="shared" si="245"/>
        <v>7219209.3755984008</v>
      </c>
      <c r="Y205" s="112">
        <f t="shared" si="245"/>
        <v>7652361.9381343052</v>
      </c>
      <c r="Z205" s="112">
        <f t="shared" si="245"/>
        <v>8111503.6544223642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7" x14ac:dyDescent="0.2">
      <c r="A206" s="157" t="s">
        <v>193</v>
      </c>
      <c r="B206" s="1"/>
      <c r="C206" s="131">
        <f>C46+C95</f>
        <v>202508</v>
      </c>
      <c r="D206" s="131">
        <f>D46+D95</f>
        <v>157597</v>
      </c>
      <c r="E206" s="131">
        <f>E46+E95</f>
        <v>179976</v>
      </c>
      <c r="F206" s="131">
        <f>F46+F95</f>
        <v>265533</v>
      </c>
      <c r="G206" s="131">
        <f>G46+G95</f>
        <v>357982</v>
      </c>
      <c r="H206" s="131">
        <f>H46+H95</f>
        <v>424643</v>
      </c>
      <c r="I206" s="131">
        <f>I46+I95</f>
        <v>541815</v>
      </c>
      <c r="J206" s="131">
        <f>J46+J95</f>
        <v>630525</v>
      </c>
      <c r="K206" s="131">
        <f>K46+K95</f>
        <v>824777</v>
      </c>
      <c r="L206" s="131">
        <f>L46+L95</f>
        <v>900235</v>
      </c>
      <c r="M206" s="131">
        <f>M46+M95</f>
        <v>185107</v>
      </c>
      <c r="N206" s="131">
        <f>N46+N95</f>
        <v>439079</v>
      </c>
      <c r="O206" s="131">
        <f>O46+O95</f>
        <v>470430</v>
      </c>
      <c r="P206" s="131">
        <f>P46+P95</f>
        <v>671063</v>
      </c>
      <c r="Q206" s="131">
        <f>Q46+Q95</f>
        <v>532315</v>
      </c>
      <c r="R206" s="131">
        <f>R46+R95</f>
        <v>1067420</v>
      </c>
      <c r="S206" s="131">
        <f>S46+S95</f>
        <v>1468357</v>
      </c>
      <c r="T206" s="131">
        <f>T46+T95</f>
        <v>1939900</v>
      </c>
      <c r="U206" s="110">
        <f>U46+U95</f>
        <v>1832946.9664046024</v>
      </c>
      <c r="V206" s="110">
        <f>V46+V95</f>
        <v>1995307.4091102127</v>
      </c>
      <c r="W206" s="110">
        <f>W46+W95</f>
        <v>2190403.9356093816</v>
      </c>
      <c r="X206" s="110">
        <f>X46+X95</f>
        <v>2392758.2129286625</v>
      </c>
      <c r="Y206" s="110">
        <f>Y46+Y95</f>
        <v>2612623.1650422639</v>
      </c>
      <c r="Z206" s="110">
        <f>Z46+Z95</f>
        <v>2793259.9306732863</v>
      </c>
      <c r="AA206" s="13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7" x14ac:dyDescent="0.2">
      <c r="A207" s="157" t="s">
        <v>144</v>
      </c>
      <c r="B207" s="1"/>
      <c r="C207" s="131">
        <f>C206+SUM(C96:C99)+C101</f>
        <v>133117</v>
      </c>
      <c r="D207" s="131">
        <f t="shared" ref="D207:Z207" si="246">D206+SUM(D96:D99)+D101</f>
        <v>49817</v>
      </c>
      <c r="E207" s="131">
        <f t="shared" si="246"/>
        <v>95410</v>
      </c>
      <c r="F207" s="131">
        <f t="shared" si="246"/>
        <v>220855</v>
      </c>
      <c r="G207" s="131">
        <f t="shared" si="246"/>
        <v>286056</v>
      </c>
      <c r="H207" s="131">
        <f t="shared" si="246"/>
        <v>394709</v>
      </c>
      <c r="I207" s="131">
        <f t="shared" si="246"/>
        <v>402611</v>
      </c>
      <c r="J207" s="131">
        <f t="shared" si="246"/>
        <v>535887</v>
      </c>
      <c r="K207" s="131">
        <f t="shared" si="246"/>
        <v>698406</v>
      </c>
      <c r="L207" s="131">
        <f t="shared" si="246"/>
        <v>720163</v>
      </c>
      <c r="M207" s="131">
        <f t="shared" si="246"/>
        <v>652767</v>
      </c>
      <c r="N207" s="131">
        <f t="shared" si="246"/>
        <v>350917</v>
      </c>
      <c r="O207" s="131">
        <f t="shared" si="246"/>
        <v>426060</v>
      </c>
      <c r="P207" s="131">
        <f t="shared" si="246"/>
        <v>509816</v>
      </c>
      <c r="Q207" s="131">
        <f t="shared" si="246"/>
        <v>228510</v>
      </c>
      <c r="R207" s="131">
        <f t="shared" si="246"/>
        <v>1003420</v>
      </c>
      <c r="S207" s="131">
        <f t="shared" si="246"/>
        <v>1126445</v>
      </c>
      <c r="T207" s="131">
        <f t="shared" si="246"/>
        <v>1614515</v>
      </c>
      <c r="U207" s="110">
        <f t="shared" si="246"/>
        <v>1832946.9664046024</v>
      </c>
      <c r="V207" s="110">
        <f t="shared" si="246"/>
        <v>1995307.4091102127</v>
      </c>
      <c r="W207" s="110">
        <f t="shared" si="246"/>
        <v>2190403.9356093816</v>
      </c>
      <c r="X207" s="110">
        <f t="shared" si="246"/>
        <v>2392758.2129286625</v>
      </c>
      <c r="Y207" s="110">
        <f t="shared" si="246"/>
        <v>2612623.1650422639</v>
      </c>
      <c r="Z207" s="110">
        <f t="shared" si="246"/>
        <v>2793259.9306732863</v>
      </c>
      <c r="AA207" s="13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7" x14ac:dyDescent="0.2">
      <c r="A208" s="153" t="s">
        <v>145</v>
      </c>
      <c r="B208" s="1"/>
      <c r="C208" s="158">
        <f>C206/C$32</f>
        <v>0.24608168373980777</v>
      </c>
      <c r="D208" s="158">
        <f>D206/D$32</f>
        <v>0.14514607904717522</v>
      </c>
      <c r="E208" s="158">
        <f t="shared" ref="E208:H208" si="247">E206/E$32</f>
        <v>0.13512036325197002</v>
      </c>
      <c r="F208" s="158">
        <f t="shared" si="247"/>
        <v>0.17487488614787638</v>
      </c>
      <c r="G208" s="158">
        <f t="shared" si="247"/>
        <v>0.19498758661860363</v>
      </c>
      <c r="H208" s="158">
        <f t="shared" si="247"/>
        <v>0.18710465696253176</v>
      </c>
      <c r="I208" s="158">
        <f t="shared" ref="I208:K208" si="248">I206/I$32</f>
        <v>0.19837808982346378</v>
      </c>
      <c r="J208" s="158">
        <f t="shared" si="248"/>
        <v>0.19614470394522973</v>
      </c>
      <c r="K208" s="158">
        <f t="shared" si="248"/>
        <v>0.20076022285785083</v>
      </c>
      <c r="L208" s="158">
        <f t="shared" ref="L208:T208" si="249">L206/L$32</f>
        <v>0.19999786724630172</v>
      </c>
      <c r="M208" s="158">
        <f t="shared" si="249"/>
        <v>4.74100395862702E-2</v>
      </c>
      <c r="N208" s="158">
        <f t="shared" si="249"/>
        <v>9.8087525690286836E-2</v>
      </c>
      <c r="O208" s="158">
        <f t="shared" si="249"/>
        <v>9.6696813977389523E-2</v>
      </c>
      <c r="P208" s="158">
        <f t="shared" si="249"/>
        <v>0.12012507587665619</v>
      </c>
      <c r="Q208" s="158">
        <f t="shared" si="249"/>
        <v>8.8946959830793329E-2</v>
      </c>
      <c r="R208" s="158">
        <f t="shared" si="249"/>
        <v>0.14143518914183945</v>
      </c>
      <c r="S208" s="158">
        <f t="shared" si="249"/>
        <v>0.17005398712073166</v>
      </c>
      <c r="T208" s="158">
        <f t="shared" si="249"/>
        <v>0.19651225443692336</v>
      </c>
      <c r="U208" s="114">
        <f t="shared" ref="U208:Z208" si="250">U206/U$32</f>
        <v>0.16254096858589687</v>
      </c>
      <c r="V208" s="114">
        <f t="shared" si="250"/>
        <v>0.16741719764347376</v>
      </c>
      <c r="W208" s="114">
        <f>W206/W$32</f>
        <v>0.17243971357277799</v>
      </c>
      <c r="X208" s="114">
        <f t="shared" si="250"/>
        <v>0.17761290497996135</v>
      </c>
      <c r="Y208" s="114">
        <f t="shared" si="250"/>
        <v>0.18294129212936019</v>
      </c>
      <c r="Z208" s="114">
        <f t="shared" si="250"/>
        <v>0.18842953089324097</v>
      </c>
      <c r="AA208" s="15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7" x14ac:dyDescent="0.2">
      <c r="A209" s="159" t="s">
        <v>146</v>
      </c>
      <c r="B209" s="1"/>
      <c r="C209" s="158">
        <f>C207/C$32</f>
        <v>0.16175980946131505</v>
      </c>
      <c r="D209" s="158">
        <f>D207/D$32</f>
        <v>4.5881217408282694E-2</v>
      </c>
      <c r="E209" s="158">
        <f t="shared" ref="E209:H209" si="251">E207/E$32</f>
        <v>7.1630849990390155E-2</v>
      </c>
      <c r="F209" s="158">
        <f t="shared" si="251"/>
        <v>0.14545082148052874</v>
      </c>
      <c r="G209" s="158">
        <f t="shared" si="251"/>
        <v>0.15581054097069483</v>
      </c>
      <c r="H209" s="158">
        <f t="shared" si="251"/>
        <v>0.17391524656010801</v>
      </c>
      <c r="I209" s="158">
        <f t="shared" ref="I209:K209" si="252">I207/I$32</f>
        <v>0.14741046505156663</v>
      </c>
      <c r="J209" s="158">
        <f t="shared" si="252"/>
        <v>0.16670456677070272</v>
      </c>
      <c r="K209" s="158">
        <f t="shared" si="252"/>
        <v>0.17000006572111029</v>
      </c>
      <c r="L209" s="158">
        <f t="shared" ref="L209:T209" si="253">L207/L$32</f>
        <v>0.15999273975095213</v>
      </c>
      <c r="M209" s="158">
        <f t="shared" si="253"/>
        <v>0.16718821714257615</v>
      </c>
      <c r="N209" s="158">
        <f t="shared" si="253"/>
        <v>7.8392681619158258E-2</v>
      </c>
      <c r="O209" s="158">
        <f t="shared" si="253"/>
        <v>8.7576567317574516E-2</v>
      </c>
      <c r="P209" s="158">
        <f t="shared" si="253"/>
        <v>9.126070977409477E-2</v>
      </c>
      <c r="Q209" s="158">
        <f t="shared" si="253"/>
        <v>3.8182786115241132E-2</v>
      </c>
      <c r="R209" s="158">
        <f t="shared" si="253"/>
        <v>0.13295506687967673</v>
      </c>
      <c r="S209" s="158">
        <f t="shared" si="253"/>
        <v>0.13045632875534532</v>
      </c>
      <c r="T209" s="158">
        <f t="shared" si="253"/>
        <v>0.16355068945421378</v>
      </c>
      <c r="U209" s="114">
        <f t="shared" ref="U209:Z209" si="254">U207/U$32</f>
        <v>0.16254096858589687</v>
      </c>
      <c r="V209" s="114">
        <f t="shared" si="254"/>
        <v>0.16741719764347376</v>
      </c>
      <c r="W209" s="114">
        <f t="shared" si="254"/>
        <v>0.17243971357277799</v>
      </c>
      <c r="X209" s="114">
        <f t="shared" si="254"/>
        <v>0.17761290497996135</v>
      </c>
      <c r="Y209" s="114">
        <f t="shared" si="254"/>
        <v>0.18294129212936019</v>
      </c>
      <c r="Z209" s="114">
        <f t="shared" si="254"/>
        <v>0.18842953089324097</v>
      </c>
      <c r="AA209" s="15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7" x14ac:dyDescent="0.2">
      <c r="A210" s="153" t="s">
        <v>147</v>
      </c>
      <c r="B210" s="1"/>
      <c r="C210" s="1"/>
      <c r="D210" s="129">
        <f>D206/C206-1</f>
        <v>-0.22177395460920057</v>
      </c>
      <c r="E210" s="129">
        <f t="shared" ref="E210:H210" si="255">E206/D206-1</f>
        <v>0.14200143403745003</v>
      </c>
      <c r="F210" s="129">
        <f t="shared" si="255"/>
        <v>0.47538005067342315</v>
      </c>
      <c r="G210" s="129">
        <f t="shared" si="255"/>
        <v>0.34816388170208601</v>
      </c>
      <c r="H210" s="129">
        <f t="shared" si="255"/>
        <v>0.18621327329307058</v>
      </c>
      <c r="I210" s="129">
        <f t="shared" ref="I210:K210" si="256">I206/H206-1</f>
        <v>0.27593060523781143</v>
      </c>
      <c r="J210" s="129">
        <f t="shared" si="256"/>
        <v>0.16372747155394363</v>
      </c>
      <c r="K210" s="129">
        <f t="shared" si="256"/>
        <v>0.3080797747908488</v>
      </c>
      <c r="L210" s="129">
        <f t="shared" ref="L210:T210" si="257">L206/K206-1</f>
        <v>9.1488972170659544E-2</v>
      </c>
      <c r="M210" s="129">
        <f t="shared" si="257"/>
        <v>-0.79437924541925165</v>
      </c>
      <c r="N210" s="129">
        <f t="shared" si="257"/>
        <v>1.3720280702512602</v>
      </c>
      <c r="O210" s="129">
        <f t="shared" si="257"/>
        <v>7.1401729529310121E-2</v>
      </c>
      <c r="P210" s="129">
        <f t="shared" si="257"/>
        <v>0.42648853176880719</v>
      </c>
      <c r="Q210" s="129">
        <f t="shared" si="257"/>
        <v>-0.20675853086818974</v>
      </c>
      <c r="R210" s="129">
        <f t="shared" si="257"/>
        <v>1.0052412575260887</v>
      </c>
      <c r="S210" s="129">
        <f>S206/R206-1</f>
        <v>0.37561316070525197</v>
      </c>
      <c r="T210" s="129">
        <f t="shared" si="257"/>
        <v>0.32113648111460624</v>
      </c>
      <c r="U210" s="109">
        <f t="shared" ref="U210:U211" si="258">U206/T206-1</f>
        <v>-5.513327160956627E-2</v>
      </c>
      <c r="V210" s="109">
        <f t="shared" ref="V210:V211" si="259">V206/U206-1</f>
        <v>8.8578909090908819E-2</v>
      </c>
      <c r="W210" s="109">
        <f t="shared" ref="W210:W211" si="260">W206/V206-1</f>
        <v>9.7777678571428828E-2</v>
      </c>
      <c r="X210" s="109">
        <f t="shared" ref="X210:X211" si="261">X206/W206-1</f>
        <v>9.2382173913043486E-2</v>
      </c>
      <c r="Y210" s="109">
        <f t="shared" ref="Y210:Y211" si="262">Y206/X206-1</f>
        <v>9.1887659574467984E-2</v>
      </c>
      <c r="Z210" s="109">
        <f t="shared" ref="Z210:Z211" si="263">Z206/Y206-1</f>
        <v>6.9140000000000201E-2</v>
      </c>
      <c r="AA210" s="12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7" x14ac:dyDescent="0.2">
      <c r="A211" s="153" t="s">
        <v>148</v>
      </c>
      <c r="B211" s="1"/>
      <c r="C211" s="1"/>
      <c r="D211" s="129">
        <f>D207/C207-1</f>
        <v>-0.62576530420607435</v>
      </c>
      <c r="E211" s="129">
        <f t="shared" ref="E211:H211" si="264">E207/D207-1</f>
        <v>0.91520966738262044</v>
      </c>
      <c r="F211" s="129">
        <f t="shared" si="264"/>
        <v>1.3147992872864478</v>
      </c>
      <c r="G211" s="129">
        <f t="shared" si="264"/>
        <v>0.29522084625659373</v>
      </c>
      <c r="H211" s="129">
        <f t="shared" si="264"/>
        <v>0.37983122185865703</v>
      </c>
      <c r="I211" s="129">
        <f t="shared" ref="I211:K211" si="265">I207/H207-1</f>
        <v>2.0019812064077547E-2</v>
      </c>
      <c r="J211" s="129">
        <f t="shared" si="265"/>
        <v>0.33102920685227177</v>
      </c>
      <c r="K211" s="129">
        <f t="shared" si="265"/>
        <v>0.30327102542140416</v>
      </c>
      <c r="L211" s="129">
        <f t="shared" ref="L211:T211" si="266">L207/K207-1</f>
        <v>3.1152366961337608E-2</v>
      </c>
      <c r="M211" s="129">
        <f t="shared" si="266"/>
        <v>-9.3584369094218967E-2</v>
      </c>
      <c r="N211" s="129">
        <f t="shared" si="266"/>
        <v>-0.4624161454240181</v>
      </c>
      <c r="O211" s="129">
        <f t="shared" si="266"/>
        <v>0.21413325658204085</v>
      </c>
      <c r="P211" s="129">
        <f t="shared" si="266"/>
        <v>0.19658264094259015</v>
      </c>
      <c r="Q211" s="129">
        <f t="shared" si="266"/>
        <v>-0.55177946553266277</v>
      </c>
      <c r="R211" s="129">
        <f t="shared" si="266"/>
        <v>3.3911426195790115</v>
      </c>
      <c r="S211" s="129">
        <f>S207/R207-1</f>
        <v>0.1226056885451754</v>
      </c>
      <c r="T211" s="129">
        <f t="shared" si="266"/>
        <v>0.43328347145222357</v>
      </c>
      <c r="U211" s="109">
        <f t="shared" si="258"/>
        <v>0.13529262125443386</v>
      </c>
      <c r="V211" s="109">
        <f t="shared" si="259"/>
        <v>8.8578909090908819E-2</v>
      </c>
      <c r="W211" s="109">
        <f t="shared" si="260"/>
        <v>9.7777678571428828E-2</v>
      </c>
      <c r="X211" s="109">
        <f t="shared" si="261"/>
        <v>9.2382173913043486E-2</v>
      </c>
      <c r="Y211" s="109">
        <f t="shared" si="262"/>
        <v>9.1887659574467984E-2</v>
      </c>
      <c r="Z211" s="109">
        <f t="shared" si="263"/>
        <v>6.9140000000000201E-2</v>
      </c>
      <c r="AA211" s="12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7" x14ac:dyDescent="0.2">
      <c r="A212" s="153" t="s">
        <v>149</v>
      </c>
      <c r="B212" s="1"/>
      <c r="C212" s="160">
        <f>C175</f>
        <v>0.34287889361162216</v>
      </c>
      <c r="D212" s="160">
        <f>D175</f>
        <v>0.1347959967604323</v>
      </c>
      <c r="E212" s="160">
        <f t="shared" ref="E212:H212" si="267">E175</f>
        <v>0.13404157637967162</v>
      </c>
      <c r="F212" s="160">
        <f t="shared" si="267"/>
        <v>0.21031417683206</v>
      </c>
      <c r="G212" s="160">
        <f t="shared" si="267"/>
        <v>0.22712618945092633</v>
      </c>
      <c r="H212" s="160">
        <f t="shared" si="267"/>
        <v>0.24117371610831037</v>
      </c>
      <c r="I212" s="160">
        <f t="shared" ref="I212:K212" si="268">I175</f>
        <v>0.2436880919481812</v>
      </c>
      <c r="J212" s="160">
        <f t="shared" si="268"/>
        <v>0.23049898617446293</v>
      </c>
      <c r="K212" s="160">
        <f t="shared" si="268"/>
        <v>0.26684207697561546</v>
      </c>
      <c r="L212" s="160">
        <f t="shared" ref="L212:T212" si="269">L175</f>
        <v>0.36412981072114653</v>
      </c>
      <c r="M212" s="160">
        <f t="shared" si="269"/>
        <v>1.5583608893435885E-2</v>
      </c>
      <c r="N212" s="160">
        <f t="shared" si="269"/>
        <v>0.14197112870246584</v>
      </c>
      <c r="O212" s="160">
        <f t="shared" si="269"/>
        <v>4.5729572064587186E-2</v>
      </c>
      <c r="P212" s="160">
        <f t="shared" si="269"/>
        <v>8.4765843982142763E-2</v>
      </c>
      <c r="Q212" s="160">
        <f t="shared" si="269"/>
        <v>7.4405085126082279E-2</v>
      </c>
      <c r="R212" s="160">
        <f t="shared" si="269"/>
        <v>0.12899768682964496</v>
      </c>
      <c r="S212" s="160">
        <f t="shared" si="269"/>
        <v>0.15792077061950194</v>
      </c>
      <c r="T212" s="160">
        <f t="shared" si="269"/>
        <v>0.20391480669920553</v>
      </c>
      <c r="U212" s="115">
        <f>U175</f>
        <v>0.22075000279232435</v>
      </c>
      <c r="V212" s="115">
        <f t="shared" ref="V212:Z212" si="270">V175</f>
        <v>0.22670169549196556</v>
      </c>
      <c r="W212" s="115">
        <f t="shared" si="270"/>
        <v>0.23478118962771408</v>
      </c>
      <c r="X212" s="115">
        <f t="shared" si="270"/>
        <v>0.24195357199944603</v>
      </c>
      <c r="Y212" s="115">
        <f t="shared" si="270"/>
        <v>0.2492321881661865</v>
      </c>
      <c r="Z212" s="115">
        <f t="shared" si="270"/>
        <v>0.25138122797735529</v>
      </c>
      <c r="AA212" s="160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7" x14ac:dyDescent="0.2">
      <c r="A213" s="153" t="s">
        <v>195</v>
      </c>
      <c r="B213" s="1"/>
      <c r="C213" s="161">
        <f>C$204/D206</f>
        <v>10.76710216565036</v>
      </c>
      <c r="D213" s="161">
        <f t="shared" ref="D213:Z213" si="271">D$204/E206</f>
        <v>26.23286438191759</v>
      </c>
      <c r="E213" s="161">
        <f t="shared" si="271"/>
        <v>7.4077722919561788</v>
      </c>
      <c r="F213" s="161">
        <f t="shared" si="271"/>
        <v>7.278047499594952</v>
      </c>
      <c r="G213" s="161">
        <f t="shared" si="271"/>
        <v>15.313997875862784</v>
      </c>
      <c r="H213" s="161">
        <f t="shared" si="271"/>
        <v>19.022972785914011</v>
      </c>
      <c r="I213" s="161">
        <f t="shared" si="271"/>
        <v>14.459375916894651</v>
      </c>
      <c r="J213" s="161">
        <f t="shared" si="271"/>
        <v>19.785092212804187</v>
      </c>
      <c r="K213" s="161">
        <f t="shared" si="271"/>
        <v>23.476917693713308</v>
      </c>
      <c r="L213" s="161">
        <f t="shared" si="271"/>
        <v>80.327135116446158</v>
      </c>
      <c r="M213" s="161">
        <f t="shared" si="271"/>
        <v>25.360834838377603</v>
      </c>
      <c r="N213" s="161">
        <f t="shared" si="271"/>
        <v>17.153582892247517</v>
      </c>
      <c r="O213" s="161">
        <f t="shared" si="271"/>
        <v>17.628197352558551</v>
      </c>
      <c r="P213" s="161">
        <f t="shared" si="271"/>
        <v>43.587516789870662</v>
      </c>
      <c r="Q213" s="161">
        <f t="shared" si="271"/>
        <v>36.327395964100354</v>
      </c>
      <c r="R213" s="161">
        <f t="shared" si="271"/>
        <v>33.385514558108142</v>
      </c>
      <c r="S213" s="161">
        <f t="shared" si="271"/>
        <v>19.865969379864943</v>
      </c>
      <c r="T213" s="161">
        <f t="shared" si="271"/>
        <v>34.253282910391114</v>
      </c>
      <c r="U213" s="116">
        <f t="shared" si="271"/>
        <v>34.85297612913277</v>
      </c>
      <c r="V213" s="116">
        <f t="shared" si="271"/>
        <v>31.748665334941041</v>
      </c>
      <c r="W213" s="116">
        <f t="shared" si="271"/>
        <v>29.06369775443472</v>
      </c>
      <c r="X213" s="116">
        <f t="shared" si="271"/>
        <v>26.617846167216015</v>
      </c>
      <c r="Y213" s="116">
        <f t="shared" si="271"/>
        <v>24.896502017711445</v>
      </c>
      <c r="Z213" s="161"/>
      <c r="AA213" s="16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7" x14ac:dyDescent="0.2">
      <c r="A214" s="153" t="s">
        <v>150</v>
      </c>
      <c r="B214" s="1"/>
      <c r="C214" s="161">
        <f t="shared" ref="C214:D214" si="272">C$204/C207</f>
        <v>12.747154758595821</v>
      </c>
      <c r="D214" s="161">
        <f t="shared" si="272"/>
        <v>94.77258767087541</v>
      </c>
      <c r="E214" s="161">
        <f t="shared" ref="E214:H214" si="273">E$204/E207</f>
        <v>20.616371449533592</v>
      </c>
      <c r="F214" s="161">
        <f t="shared" si="273"/>
        <v>11.796925584659618</v>
      </c>
      <c r="G214" s="161">
        <f t="shared" si="273"/>
        <v>22.733248035349721</v>
      </c>
      <c r="H214" s="161">
        <f t="shared" si="273"/>
        <v>26.112736218327932</v>
      </c>
      <c r="I214" s="161">
        <f t="shared" ref="I214:K214" si="274">I$204/I207</f>
        <v>22.644681839294009</v>
      </c>
      <c r="J214" s="161">
        <f t="shared" si="274"/>
        <v>30.450988734565311</v>
      </c>
      <c r="K214" s="161">
        <f t="shared" si="274"/>
        <v>30.261399529786399</v>
      </c>
      <c r="L214" s="161">
        <f t="shared" ref="L214:R214" si="275">L$204/L207</f>
        <v>20.646874388159347</v>
      </c>
      <c r="M214" s="161">
        <f t="shared" si="275"/>
        <v>17.058782076912589</v>
      </c>
      <c r="N214" s="161">
        <f t="shared" si="275"/>
        <v>22.995637144965904</v>
      </c>
      <c r="O214" s="161">
        <f t="shared" si="275"/>
        <v>27.765176266253579</v>
      </c>
      <c r="P214" s="161">
        <f t="shared" si="275"/>
        <v>45.511104006151236</v>
      </c>
      <c r="Q214" s="161">
        <f t="shared" si="275"/>
        <v>169.69318191764037</v>
      </c>
      <c r="R214" s="161">
        <f t="shared" si="275"/>
        <v>48.854770684259833</v>
      </c>
      <c r="S214" s="161">
        <f>S$204/S207</f>
        <v>34.212051187585722</v>
      </c>
      <c r="T214" s="161">
        <f>T$204/T207</f>
        <v>38.887499341907635</v>
      </c>
      <c r="U214" s="116">
        <f t="shared" ref="U214:Y214" si="276">U$204/U207</f>
        <v>37.940214733222838</v>
      </c>
      <c r="V214" s="116">
        <f t="shared" si="276"/>
        <v>34.85297612913277</v>
      </c>
      <c r="W214" s="116">
        <f t="shared" si="276"/>
        <v>31.748665334941041</v>
      </c>
      <c r="X214" s="116">
        <f t="shared" si="276"/>
        <v>29.06369775443472</v>
      </c>
      <c r="Y214" s="116">
        <f t="shared" si="276"/>
        <v>26.617846167216015</v>
      </c>
      <c r="Z214" s="116">
        <f>Z$204/Z207</f>
        <v>24.896502017711445</v>
      </c>
      <c r="AA214" s="16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7" x14ac:dyDescent="0.2">
      <c r="A215" s="153" t="s">
        <v>151</v>
      </c>
      <c r="B215" s="1"/>
      <c r="C215" s="161">
        <f>C204/C173</f>
        <v>4.3059392247668589</v>
      </c>
      <c r="D215" s="161">
        <f>D204/D173</f>
        <v>9.8296437100128866</v>
      </c>
      <c r="E215" s="161">
        <f t="shared" ref="E215:H215" si="277">E204/E173</f>
        <v>3.5138382497691096</v>
      </c>
      <c r="F215" s="161">
        <f t="shared" si="277"/>
        <v>4.3376580998220255</v>
      </c>
      <c r="G215" s="161">
        <f t="shared" si="277"/>
        <v>8.3093626574700785</v>
      </c>
      <c r="H215" s="161">
        <f t="shared" si="277"/>
        <v>11.518712023594126</v>
      </c>
      <c r="I215" s="161">
        <f t="shared" ref="I215:K215" si="278">I204/I173</f>
        <v>8.0444052679969005</v>
      </c>
      <c r="J215" s="161">
        <f t="shared" si="278"/>
        <v>11.54896901197128</v>
      </c>
      <c r="K215" s="161">
        <f t="shared" si="278"/>
        <v>12.763088590257905</v>
      </c>
      <c r="L215" s="161">
        <f t="shared" ref="L215:S215" si="279">L204/L173</f>
        <v>11.536354481213321</v>
      </c>
      <c r="M215" s="161">
        <f t="shared" si="279"/>
        <v>9.2470358258581946</v>
      </c>
      <c r="N215" s="161">
        <f t="shared" si="279"/>
        <v>6.6882548007628504</v>
      </c>
      <c r="O215" s="161">
        <f t="shared" si="279"/>
        <v>3.2490328126845318</v>
      </c>
      <c r="P215" s="161">
        <f t="shared" si="279"/>
        <v>5.8564028020122834</v>
      </c>
      <c r="Q215" s="161">
        <f t="shared" si="279"/>
        <v>8.1930529561183061</v>
      </c>
      <c r="R215" s="161">
        <f t="shared" si="279"/>
        <v>9.8017027765042357</v>
      </c>
      <c r="S215" s="161">
        <f t="shared" si="279"/>
        <v>6.931818758218923</v>
      </c>
      <c r="T215" s="161">
        <f>T204/T173</f>
        <v>10.979584980824686</v>
      </c>
      <c r="U215" s="116">
        <f t="shared" ref="U215:Z215" si="280">U204/U173</f>
        <v>11.473017134657981</v>
      </c>
      <c r="V215" s="116">
        <f t="shared" si="280"/>
        <v>10.823601070432058</v>
      </c>
      <c r="W215" s="116">
        <f t="shared" si="280"/>
        <v>10.210944406067981</v>
      </c>
      <c r="X215" s="116">
        <f t="shared" si="280"/>
        <v>9.6329664208188479</v>
      </c>
      <c r="Y215" s="116">
        <f t="shared" si="280"/>
        <v>9.0877041705838195</v>
      </c>
      <c r="Z215" s="116">
        <f t="shared" si="280"/>
        <v>8.5733058213054889</v>
      </c>
      <c r="AA215" s="16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7" x14ac:dyDescent="0.2">
      <c r="A216" s="153" t="s">
        <v>152</v>
      </c>
      <c r="B216" s="1"/>
      <c r="C216" s="134">
        <f>C103/C201</f>
        <v>3.396370180031937E-3</v>
      </c>
      <c r="D216" s="134">
        <f t="shared" ref="D216:K216" si="281">D103/D201</f>
        <v>1.3089891722090393E-3</v>
      </c>
      <c r="E216" s="134">
        <f t="shared" si="281"/>
        <v>2.258142373039709E-2</v>
      </c>
      <c r="F216" s="134">
        <f t="shared" si="281"/>
        <v>5.078804209310097E-2</v>
      </c>
      <c r="G216" s="134">
        <f t="shared" si="281"/>
        <v>2.6156466730679478E-2</v>
      </c>
      <c r="H216" s="134">
        <f t="shared" si="281"/>
        <v>2.4275751937188179E-2</v>
      </c>
      <c r="I216" s="134">
        <f t="shared" si="281"/>
        <v>2.3616165641776817E-2</v>
      </c>
      <c r="J216" s="134">
        <f t="shared" si="281"/>
        <v>1.9761088729303839E-2</v>
      </c>
      <c r="K216" s="134">
        <f t="shared" si="281"/>
        <v>1.9925436369547887E-2</v>
      </c>
      <c r="L216" s="134">
        <f t="shared" ref="L216:T216" si="282">L103/L201</f>
        <v>2.8173223471137359E-2</v>
      </c>
      <c r="M216" s="134">
        <f t="shared" si="282"/>
        <v>5.6753946480933848E-2</v>
      </c>
      <c r="N216" s="134">
        <f t="shared" si="282"/>
        <v>3.0462208671563046E-2</v>
      </c>
      <c r="O216" s="134">
        <f t="shared" si="282"/>
        <v>2.7663369864392683E-2</v>
      </c>
      <c r="P216" s="134">
        <f t="shared" si="282"/>
        <v>1.6961129996033004E-2</v>
      </c>
      <c r="Q216" s="134">
        <f t="shared" si="282"/>
        <v>7.3758569852319846E-3</v>
      </c>
      <c r="R216" s="134">
        <f t="shared" si="282"/>
        <v>1.6927927853451239E-2</v>
      </c>
      <c r="S216" s="134">
        <f t="shared" si="282"/>
        <v>2.1684783158848437E-2</v>
      </c>
      <c r="T216" s="134">
        <f t="shared" si="282"/>
        <v>1.9302941697426763E-2</v>
      </c>
      <c r="U216" s="117">
        <f>U103/U201</f>
        <v>0</v>
      </c>
      <c r="V216" s="117">
        <f t="shared" ref="V216:Z216" si="283">V103/V201</f>
        <v>0</v>
      </c>
      <c r="W216" s="117">
        <f t="shared" si="283"/>
        <v>0</v>
      </c>
      <c r="X216" s="117">
        <f t="shared" si="283"/>
        <v>0</v>
      </c>
      <c r="Y216" s="117">
        <f t="shared" si="283"/>
        <v>0</v>
      </c>
      <c r="Z216" s="117">
        <f t="shared" si="283"/>
        <v>0</v>
      </c>
      <c r="AA216" s="13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8" spans="1:42" x14ac:dyDescent="0.2"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</row>
  </sheetData>
  <mergeCells count="5">
    <mergeCell ref="AM4:AP4"/>
    <mergeCell ref="AR4:AU4"/>
    <mergeCell ref="AW4:AZ4"/>
    <mergeCell ref="AH4:AK4"/>
    <mergeCell ref="AC4:AF4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79B2-EDB0-324E-90E8-11C6FE335FC8}">
  <dimension ref="A1:W62"/>
  <sheetViews>
    <sheetView zoomScale="57" workbookViewId="0">
      <pane xSplit="1" ySplit="5" topLeftCell="O6" activePane="bottomRight" state="frozen"/>
      <selection pane="topRight" activeCell="B1" sqref="B1"/>
      <selection pane="bottomLeft" activeCell="A6" sqref="A6"/>
      <selection pane="bottomRight" activeCell="K27" sqref="K27"/>
    </sheetView>
  </sheetViews>
  <sheetFormatPr baseColWidth="10" defaultRowHeight="16" x14ac:dyDescent="0.2"/>
  <cols>
    <col min="1" max="1" width="47.1640625" style="7" bestFit="1" customWidth="1"/>
    <col min="2" max="2" width="10.83203125" style="7" bestFit="1" customWidth="1"/>
    <col min="3" max="3" width="11.5" style="7" bestFit="1" customWidth="1"/>
    <col min="4" max="13" width="13" bestFit="1" customWidth="1"/>
    <col min="14" max="15" width="12.33203125" style="18" bestFit="1" customWidth="1"/>
    <col min="16" max="16" width="13" style="18" bestFit="1" customWidth="1"/>
    <col min="17" max="20" width="13" style="19" bestFit="1" customWidth="1"/>
    <col min="21" max="22" width="14.1640625" style="19" bestFit="1" customWidth="1"/>
  </cols>
  <sheetData>
    <row r="1" spans="1:22" ht="22" x14ac:dyDescent="0.25">
      <c r="A1" s="23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4"/>
      <c r="O1" s="14"/>
      <c r="P1" s="14"/>
      <c r="Q1" s="15"/>
      <c r="R1" s="15"/>
      <c r="S1" s="15"/>
      <c r="T1" s="15"/>
      <c r="U1" s="15"/>
      <c r="V1" s="15"/>
    </row>
    <row r="2" spans="1:22" x14ac:dyDescent="0.2">
      <c r="A2" s="22" t="s">
        <v>52</v>
      </c>
      <c r="B2" s="9"/>
      <c r="C2" s="9"/>
      <c r="D2" s="1"/>
      <c r="E2" s="1"/>
      <c r="F2" s="1"/>
      <c r="G2" s="1"/>
      <c r="H2" s="1"/>
      <c r="I2" s="1"/>
      <c r="J2" s="1"/>
      <c r="K2" s="1"/>
      <c r="L2" s="1"/>
      <c r="M2" s="1"/>
      <c r="N2" s="9"/>
      <c r="O2" s="9"/>
      <c r="P2" s="9"/>
      <c r="Q2" s="15"/>
      <c r="R2" s="15"/>
      <c r="S2" s="15"/>
      <c r="T2" s="15"/>
      <c r="U2" s="15"/>
      <c r="V2" s="15"/>
    </row>
    <row r="3" spans="1:22" x14ac:dyDescent="0.2">
      <c r="A3" s="10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3"/>
      <c r="O3" s="13"/>
      <c r="P3" s="13"/>
      <c r="Q3" s="15"/>
      <c r="R3" s="15"/>
      <c r="S3" s="15"/>
      <c r="T3" s="15"/>
      <c r="U3" s="15"/>
      <c r="V3" s="15"/>
    </row>
    <row r="4" spans="1:22" x14ac:dyDescent="0.2">
      <c r="A4" s="22" t="s">
        <v>48</v>
      </c>
      <c r="B4" s="16">
        <f t="shared" ref="B4" si="0">C4-1</f>
        <v>2005</v>
      </c>
      <c r="C4" s="16">
        <f t="shared" ref="C4" si="1">D4-1</f>
        <v>2006</v>
      </c>
      <c r="D4" s="16">
        <f t="shared" ref="D4" si="2">E4-1</f>
        <v>2007</v>
      </c>
      <c r="E4" s="16">
        <f t="shared" ref="E4" si="3">F4-1</f>
        <v>2008</v>
      </c>
      <c r="F4" s="16">
        <f t="shared" ref="F4" si="4">G4-1</f>
        <v>2009</v>
      </c>
      <c r="G4" s="16">
        <f t="shared" ref="G4" si="5">H4-1</f>
        <v>2010</v>
      </c>
      <c r="H4" s="16">
        <f t="shared" ref="H4" si="6">I4-1</f>
        <v>2011</v>
      </c>
      <c r="I4" s="16">
        <f t="shared" ref="I4" si="7">J4-1</f>
        <v>2012</v>
      </c>
      <c r="J4" s="16">
        <f t="shared" ref="J4" si="8">K4-1</f>
        <v>2013</v>
      </c>
      <c r="K4" s="16">
        <f t="shared" ref="K4" si="9">L4-1</f>
        <v>2014</v>
      </c>
      <c r="L4" s="16">
        <f t="shared" ref="L4:M4" si="10">M4-1</f>
        <v>2015</v>
      </c>
      <c r="M4" s="16">
        <f t="shared" si="10"/>
        <v>2016</v>
      </c>
      <c r="N4" s="16">
        <f>O4-1</f>
        <v>2017</v>
      </c>
      <c r="O4" s="16">
        <f>P4-1</f>
        <v>2018</v>
      </c>
      <c r="P4" s="16">
        <f>Q4-1</f>
        <v>2019</v>
      </c>
      <c r="Q4" s="17">
        <v>2020</v>
      </c>
      <c r="R4" s="17">
        <v>2021</v>
      </c>
      <c r="S4" s="17">
        <v>2022</v>
      </c>
      <c r="T4" s="17">
        <v>2023</v>
      </c>
      <c r="U4" s="17" t="s">
        <v>1</v>
      </c>
      <c r="V4" s="17" t="s">
        <v>2</v>
      </c>
    </row>
    <row r="5" spans="1:22" x14ac:dyDescent="0.2">
      <c r="A5" s="10"/>
      <c r="B5" s="3"/>
      <c r="C5" s="3"/>
      <c r="L5" s="1"/>
      <c r="M5" s="1"/>
      <c r="N5" s="13"/>
      <c r="O5" s="13"/>
      <c r="P5" s="13"/>
      <c r="Q5" s="15"/>
      <c r="R5" s="15"/>
      <c r="S5" s="15"/>
      <c r="T5" s="15"/>
      <c r="U5" s="15"/>
      <c r="V5" s="15"/>
    </row>
    <row r="6" spans="1:22" ht="17" x14ac:dyDescent="0.2">
      <c r="A6" s="10" t="s">
        <v>3</v>
      </c>
      <c r="B6" s="24">
        <v>401</v>
      </c>
      <c r="C6" s="24">
        <v>481</v>
      </c>
      <c r="D6" s="26">
        <v>573</v>
      </c>
      <c r="E6" s="26">
        <v>704</v>
      </c>
      <c r="F6" s="26">
        <v>837</v>
      </c>
      <c r="G6" s="26">
        <v>956</v>
      </c>
      <c r="H6" s="26">
        <v>1084</v>
      </c>
      <c r="I6" s="26">
        <v>1230</v>
      </c>
      <c r="J6" s="26">
        <v>1410</v>
      </c>
      <c r="K6" s="26">
        <v>1595</v>
      </c>
      <c r="L6" s="26">
        <v>1783</v>
      </c>
      <c r="M6" s="26">
        <v>2010</v>
      </c>
      <c r="N6" s="24">
        <v>2250</v>
      </c>
      <c r="O6" s="24">
        <v>2408</v>
      </c>
      <c r="P6" s="24">
        <v>2491</v>
      </c>
      <c r="Q6" s="26">
        <v>2622</v>
      </c>
      <c r="R6" s="26">
        <f>Q10</f>
        <v>2768</v>
      </c>
      <c r="S6" s="26">
        <f t="shared" ref="S6:T6" si="11">R10</f>
        <v>2966</v>
      </c>
      <c r="T6" s="26">
        <f t="shared" si="11"/>
        <v>3187</v>
      </c>
      <c r="U6" s="26"/>
      <c r="V6" s="27"/>
    </row>
    <row r="7" spans="1:22" ht="17" x14ac:dyDescent="0.2">
      <c r="A7" s="10" t="s">
        <v>4</v>
      </c>
      <c r="B7" s="24">
        <v>80</v>
      </c>
      <c r="C7" s="24">
        <v>94</v>
      </c>
      <c r="D7" s="26">
        <v>125</v>
      </c>
      <c r="E7" s="26">
        <v>136</v>
      </c>
      <c r="F7" s="26">
        <v>121</v>
      </c>
      <c r="G7" s="26">
        <v>129</v>
      </c>
      <c r="H7" s="26">
        <v>150</v>
      </c>
      <c r="I7" s="26">
        <v>183</v>
      </c>
      <c r="J7" s="26">
        <v>185</v>
      </c>
      <c r="K7" s="26">
        <v>192</v>
      </c>
      <c r="L7" s="26">
        <v>229</v>
      </c>
      <c r="M7" s="26">
        <v>243</v>
      </c>
      <c r="N7" s="24">
        <v>183</v>
      </c>
      <c r="O7" s="24">
        <v>137</v>
      </c>
      <c r="P7" s="24">
        <v>140</v>
      </c>
      <c r="Q7" s="26">
        <v>160</v>
      </c>
      <c r="R7" s="26">
        <v>215</v>
      </c>
      <c r="S7" s="26">
        <v>235</v>
      </c>
      <c r="T7" s="26">
        <v>210</v>
      </c>
      <c r="U7" s="26"/>
      <c r="V7" s="26"/>
    </row>
    <row r="8" spans="1:22" ht="17" x14ac:dyDescent="0.2">
      <c r="A8" s="10" t="s">
        <v>5</v>
      </c>
      <c r="B8" s="24"/>
      <c r="C8" s="24">
        <v>-2</v>
      </c>
      <c r="D8" s="26">
        <v>-2</v>
      </c>
      <c r="E8" s="26"/>
      <c r="F8" s="26"/>
      <c r="G8" s="26"/>
      <c r="H8" s="26"/>
      <c r="I8" s="26"/>
      <c r="J8" s="26"/>
      <c r="K8" s="26"/>
      <c r="L8" s="26"/>
      <c r="M8" s="26"/>
      <c r="N8" s="24">
        <v>-8</v>
      </c>
      <c r="O8" s="24">
        <v>-43</v>
      </c>
      <c r="P8" s="24">
        <v>-7</v>
      </c>
      <c r="Q8" s="26">
        <v>-9</v>
      </c>
      <c r="R8" s="26">
        <v>-10</v>
      </c>
      <c r="S8" s="26">
        <v>-3</v>
      </c>
      <c r="T8" s="26">
        <v>-3</v>
      </c>
      <c r="U8" s="26"/>
      <c r="V8" s="26"/>
    </row>
    <row r="9" spans="1:22" ht="17" x14ac:dyDescent="0.2">
      <c r="A9" s="10" t="s">
        <v>6</v>
      </c>
      <c r="B9" s="24"/>
      <c r="C9" s="24"/>
      <c r="D9" s="26">
        <v>8</v>
      </c>
      <c r="E9" s="26">
        <v>-3</v>
      </c>
      <c r="F9" s="26">
        <v>-2</v>
      </c>
      <c r="G9" s="26">
        <v>-1</v>
      </c>
      <c r="H9" s="26">
        <v>-4</v>
      </c>
      <c r="I9" s="26">
        <v>-3</v>
      </c>
      <c r="J9" s="26"/>
      <c r="K9" s="26">
        <v>-4</v>
      </c>
      <c r="L9" s="26">
        <v>-2</v>
      </c>
      <c r="M9" s="26">
        <v>-3</v>
      </c>
      <c r="N9" s="24">
        <v>-2</v>
      </c>
      <c r="O9" s="24">
        <v>-5</v>
      </c>
      <c r="P9" s="24">
        <v>-2</v>
      </c>
      <c r="Q9" s="26">
        <v>-6</v>
      </c>
      <c r="R9" s="26">
        <v>-7</v>
      </c>
      <c r="S9" s="26">
        <v>-12</v>
      </c>
      <c r="T9" s="26">
        <v>-12</v>
      </c>
      <c r="U9" s="26"/>
      <c r="V9" s="26"/>
    </row>
    <row r="10" spans="1:22" x14ac:dyDescent="0.2">
      <c r="A10" s="22" t="s">
        <v>7</v>
      </c>
      <c r="B10" s="28">
        <f>SUM(B6:B9)</f>
        <v>481</v>
      </c>
      <c r="C10" s="28">
        <f t="shared" ref="C10:M10" si="12">SUM(C6:C9)</f>
        <v>573</v>
      </c>
      <c r="D10" s="28">
        <f t="shared" si="12"/>
        <v>704</v>
      </c>
      <c r="E10" s="28">
        <f t="shared" si="12"/>
        <v>837</v>
      </c>
      <c r="F10" s="28">
        <f t="shared" si="12"/>
        <v>956</v>
      </c>
      <c r="G10" s="28">
        <f t="shared" si="12"/>
        <v>1084</v>
      </c>
      <c r="H10" s="28">
        <f t="shared" si="12"/>
        <v>1230</v>
      </c>
      <c r="I10" s="28">
        <f t="shared" si="12"/>
        <v>1410</v>
      </c>
      <c r="J10" s="28">
        <f t="shared" si="12"/>
        <v>1595</v>
      </c>
      <c r="K10" s="28">
        <f t="shared" si="12"/>
        <v>1783</v>
      </c>
      <c r="L10" s="28">
        <f t="shared" si="12"/>
        <v>2010</v>
      </c>
      <c r="M10" s="28">
        <f t="shared" si="12"/>
        <v>2250</v>
      </c>
      <c r="N10" s="28">
        <f>SUM(N6:N9)</f>
        <v>2423</v>
      </c>
      <c r="O10" s="28">
        <f>SUM(O6:O9)</f>
        <v>2497</v>
      </c>
      <c r="P10" s="28">
        <f>SUM(P6:P9)</f>
        <v>2622</v>
      </c>
      <c r="Q10" s="29">
        <v>2768</v>
      </c>
      <c r="R10" s="29">
        <v>2966</v>
      </c>
      <c r="S10" s="29">
        <v>3187</v>
      </c>
      <c r="T10" s="29">
        <v>3437</v>
      </c>
      <c r="U10" s="29"/>
      <c r="V10" s="29"/>
    </row>
    <row r="11" spans="1:22" x14ac:dyDescent="0.2">
      <c r="A11" s="22"/>
      <c r="B11" s="28"/>
      <c r="C11" s="28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8"/>
      <c r="O11" s="28"/>
      <c r="P11" s="28"/>
      <c r="Q11" s="29"/>
      <c r="R11" s="30">
        <f>R10/Q10-1</f>
        <v>7.1531791907514464E-2</v>
      </c>
      <c r="S11" s="30">
        <f t="shared" ref="S11:T11" si="13">S10/R10-1</f>
        <v>7.4511126095751834E-2</v>
      </c>
      <c r="T11" s="30">
        <f t="shared" si="13"/>
        <v>7.8443677439598458E-2</v>
      </c>
      <c r="U11" s="30"/>
      <c r="V11" s="30"/>
    </row>
    <row r="12" spans="1:22" ht="17" x14ac:dyDescent="0.2">
      <c r="A12" s="10" t="s">
        <v>11</v>
      </c>
      <c r="B12" s="34">
        <v>0.10199999999999999</v>
      </c>
      <c r="C12" s="34">
        <v>0.13700000000000001</v>
      </c>
      <c r="D12" s="35">
        <v>0.108</v>
      </c>
      <c r="E12" s="35">
        <v>5.8000000000000003E-2</v>
      </c>
      <c r="F12" s="35">
        <v>2.1999999999999999E-2</v>
      </c>
      <c r="G12" s="35">
        <v>9.4E-2</v>
      </c>
      <c r="H12" s="35">
        <v>0.112</v>
      </c>
      <c r="I12" s="35">
        <v>7.0999999999999994E-2</v>
      </c>
      <c r="J12" s="35">
        <v>5.6000000000000001E-2</v>
      </c>
      <c r="K12" s="35">
        <v>0.16800000000000001</v>
      </c>
      <c r="L12" s="35">
        <v>2E-3</v>
      </c>
      <c r="M12" s="35">
        <v>-0.20399999999999999</v>
      </c>
      <c r="N12" s="34">
        <v>6.4000000000000001E-2</v>
      </c>
      <c r="O12" s="34">
        <v>0.04</v>
      </c>
      <c r="P12" s="34">
        <v>0.111</v>
      </c>
      <c r="Q12" s="33" t="s">
        <v>135</v>
      </c>
      <c r="R12" s="33" t="s">
        <v>134</v>
      </c>
      <c r="S12" s="33">
        <v>0.08</v>
      </c>
      <c r="T12" s="33">
        <v>7.9000000000000001E-2</v>
      </c>
      <c r="U12" s="33"/>
      <c r="V12" s="33"/>
    </row>
    <row r="13" spans="1:22" s="1" customFormat="1" ht="17" x14ac:dyDescent="0.2">
      <c r="A13" s="13" t="s">
        <v>43</v>
      </c>
      <c r="B13" s="24"/>
      <c r="C13" s="24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4"/>
      <c r="O13" s="24"/>
      <c r="P13" s="24"/>
      <c r="Q13" s="33" t="s">
        <v>47</v>
      </c>
      <c r="R13" s="33"/>
      <c r="S13" s="33">
        <v>8.9999999999999993E-3</v>
      </c>
      <c r="T13" s="33">
        <v>0.05</v>
      </c>
      <c r="U13" s="33"/>
      <c r="V13" s="33"/>
    </row>
    <row r="14" spans="1:22" s="1" customFormat="1" ht="17" x14ac:dyDescent="0.2">
      <c r="A14" s="13" t="s">
        <v>44</v>
      </c>
      <c r="B14" s="24"/>
      <c r="C14" s="2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4"/>
      <c r="O14" s="24"/>
      <c r="P14" s="24"/>
      <c r="Q14" s="33"/>
      <c r="R14" s="33"/>
      <c r="S14" s="33">
        <v>7.0999999999999994E-2</v>
      </c>
      <c r="T14" s="33">
        <v>2.9000000000000001E-2</v>
      </c>
      <c r="U14" s="33"/>
      <c r="V14" s="33"/>
    </row>
    <row r="15" spans="1:22" s="1" customFormat="1" ht="17" x14ac:dyDescent="0.2">
      <c r="A15" s="5" t="s">
        <v>45</v>
      </c>
      <c r="B15" s="24"/>
      <c r="C15" s="24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4"/>
      <c r="O15" s="24"/>
      <c r="P15" s="24"/>
      <c r="Q15" s="33"/>
      <c r="R15" s="33"/>
      <c r="S15" s="33">
        <v>0.12</v>
      </c>
      <c r="T15" s="33">
        <v>5.1999999999999998E-2</v>
      </c>
      <c r="U15" s="33"/>
      <c r="V15" s="33"/>
    </row>
    <row r="16" spans="1:22" s="1" customFormat="1" ht="17" x14ac:dyDescent="0.2">
      <c r="A16" s="5" t="s">
        <v>46</v>
      </c>
      <c r="B16" s="24"/>
      <c r="C16" s="24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4"/>
      <c r="O16" s="24"/>
      <c r="P16" s="24"/>
      <c r="Q16" s="33"/>
      <c r="R16" s="33"/>
      <c r="S16" s="33">
        <v>-4.9000000000000002E-2</v>
      </c>
      <c r="T16" s="33">
        <v>-2.3E-2</v>
      </c>
      <c r="U16" s="33"/>
      <c r="V16" s="33"/>
    </row>
    <row r="17" spans="1:22" x14ac:dyDescent="0.2">
      <c r="A17" s="3"/>
      <c r="B17" s="24"/>
      <c r="C17" s="24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4"/>
      <c r="O17" s="24"/>
      <c r="P17" s="24"/>
      <c r="Q17" s="26"/>
      <c r="R17" s="26"/>
      <c r="S17" s="26"/>
      <c r="T17" s="26"/>
      <c r="U17" s="26"/>
      <c r="V17" s="26"/>
    </row>
    <row r="18" spans="1:22" ht="17" x14ac:dyDescent="0.2">
      <c r="A18" s="8" t="s">
        <v>42</v>
      </c>
      <c r="B18" s="31"/>
      <c r="C18" s="31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31"/>
      <c r="O18" s="31"/>
      <c r="P18" s="31"/>
      <c r="Q18" s="26"/>
      <c r="R18" s="26"/>
      <c r="S18" s="26"/>
      <c r="T18" s="26"/>
      <c r="U18" s="26"/>
      <c r="V18" s="26"/>
    </row>
    <row r="19" spans="1:22" ht="17" x14ac:dyDescent="0.2">
      <c r="A19" s="5" t="s">
        <v>12</v>
      </c>
      <c r="B19" s="35">
        <f t="shared" ref="B19:T19" si="14">B35/B$32</f>
        <v>0.32227116672906425</v>
      </c>
      <c r="C19" s="35">
        <f>C35/C$32</f>
        <v>0.1919944588239583</v>
      </c>
      <c r="D19" s="35">
        <f t="shared" si="14"/>
        <v>0.31902628704472907</v>
      </c>
      <c r="E19" s="35">
        <f t="shared" si="14"/>
        <v>0.32429232534114932</v>
      </c>
      <c r="F19" s="35">
        <f t="shared" si="14"/>
        <v>0.30691634774900439</v>
      </c>
      <c r="G19" s="35">
        <f t="shared" si="14"/>
        <v>0.30562681856854484</v>
      </c>
      <c r="H19" s="35">
        <f t="shared" si="14"/>
        <v>0.32549212442301284</v>
      </c>
      <c r="I19" s="35">
        <f t="shared" si="14"/>
        <v>0.32622846020685231</v>
      </c>
      <c r="J19" s="35">
        <f t="shared" si="14"/>
        <v>0.3339504154649845</v>
      </c>
      <c r="K19" s="35">
        <f t="shared" si="14"/>
        <v>0.34588630880791887</v>
      </c>
      <c r="L19" s="35">
        <f t="shared" si="14"/>
        <v>0.33409475602519584</v>
      </c>
      <c r="M19" s="35">
        <f t="shared" si="14"/>
        <v>0.34975555683047571</v>
      </c>
      <c r="N19" s="35">
        <f t="shared" si="14"/>
        <v>0.34300509337860779</v>
      </c>
      <c r="O19" s="35">
        <f t="shared" si="14"/>
        <v>0.32903597122302158</v>
      </c>
      <c r="P19" s="35">
        <f t="shared" si="14"/>
        <v>0.33079017873685035</v>
      </c>
      <c r="Q19" s="35">
        <f t="shared" si="14"/>
        <v>0.32295475379112576</v>
      </c>
      <c r="R19" s="35">
        <f t="shared" si="14"/>
        <v>0.30589801778467141</v>
      </c>
      <c r="S19" s="35">
        <f t="shared" si="14"/>
        <v>0.30137230776642765</v>
      </c>
      <c r="T19" s="35">
        <f t="shared" si="14"/>
        <v>0.29504331039322812</v>
      </c>
      <c r="U19" s="35"/>
      <c r="V19" s="35"/>
    </row>
    <row r="20" spans="1:22" ht="17" x14ac:dyDescent="0.2">
      <c r="A20" s="5" t="s">
        <v>13</v>
      </c>
      <c r="B20" s="35">
        <f t="shared" ref="B20:T20" si="15">B36/B$32</f>
        <v>0.2847258620826994</v>
      </c>
      <c r="C20" s="35">
        <f t="shared" si="15"/>
        <v>0.28086714544371938</v>
      </c>
      <c r="D20" s="35">
        <f t="shared" si="15"/>
        <v>0.26655166506720501</v>
      </c>
      <c r="E20" s="35">
        <f t="shared" si="15"/>
        <v>0.26352359816452048</v>
      </c>
      <c r="F20" s="35">
        <f t="shared" si="15"/>
        <v>0.25360095415159339</v>
      </c>
      <c r="G20" s="35">
        <f t="shared" si="15"/>
        <v>0.24705461343128957</v>
      </c>
      <c r="H20" s="35">
        <f t="shared" si="15"/>
        <v>0.23930712194674886</v>
      </c>
      <c r="I20" s="35">
        <f t="shared" si="15"/>
        <v>0.23499939953661803</v>
      </c>
      <c r="J20" s="35">
        <f t="shared" si="15"/>
        <v>0.23013814199069182</v>
      </c>
      <c r="K20" s="35">
        <f t="shared" si="15"/>
        <v>0.22014308215942044</v>
      </c>
      <c r="L20" s="35">
        <f t="shared" si="15"/>
        <v>0.23232041602915474</v>
      </c>
      <c r="M20" s="35">
        <f t="shared" si="15"/>
        <v>0.28301545134904765</v>
      </c>
      <c r="N20" s="35">
        <f t="shared" si="15"/>
        <v>0.26941113394692162</v>
      </c>
      <c r="O20" s="35">
        <f t="shared" si="15"/>
        <v>0.27257533401849948</v>
      </c>
      <c r="P20" s="35">
        <f t="shared" si="15"/>
        <v>0.26350926693170468</v>
      </c>
      <c r="Q20" s="35">
        <f t="shared" si="15"/>
        <v>0.26618386354119566</v>
      </c>
      <c r="R20" s="35">
        <f t="shared" si="15"/>
        <v>0.25410699608761611</v>
      </c>
      <c r="S20" s="35">
        <f t="shared" si="15"/>
        <v>0.25455084929884841</v>
      </c>
      <c r="T20" s="35">
        <f t="shared" si="15"/>
        <v>0.247271960338136</v>
      </c>
      <c r="U20" s="36"/>
      <c r="V20" s="36"/>
    </row>
    <row r="21" spans="1:22" ht="17" x14ac:dyDescent="0.2">
      <c r="A21" s="5" t="s">
        <v>14</v>
      </c>
      <c r="B21" s="35">
        <f t="shared" ref="B21:T21" si="16">B37/B$32</f>
        <v>7.5890360764383977E-2</v>
      </c>
      <c r="C21" s="35">
        <f t="shared" si="16"/>
        <v>7.1456867534298182E-2</v>
      </c>
      <c r="D21" s="35">
        <f t="shared" si="16"/>
        <v>6.9895246007025347E-2</v>
      </c>
      <c r="E21" s="35">
        <f t="shared" si="16"/>
        <v>7.362864573323083E-2</v>
      </c>
      <c r="F21" s="35">
        <f t="shared" si="16"/>
        <v>7.5221760557211886E-2</v>
      </c>
      <c r="G21" s="35">
        <f t="shared" si="16"/>
        <v>7.0227929073239492E-2</v>
      </c>
      <c r="H21" s="35">
        <f t="shared" si="16"/>
        <v>6.4891335190971941E-2</v>
      </c>
      <c r="I21" s="35">
        <f t="shared" si="16"/>
        <v>6.2768560908955107E-2</v>
      </c>
      <c r="J21" s="35">
        <f t="shared" si="16"/>
        <v>6.1938517217275856E-2</v>
      </c>
      <c r="K21" s="35">
        <f t="shared" si="16"/>
        <v>5.6195930694898505E-2</v>
      </c>
      <c r="L21" s="35">
        <f t="shared" si="16"/>
        <v>5.829793369490914E-2</v>
      </c>
      <c r="M21" s="35">
        <f t="shared" si="16"/>
        <v>7.5206741959807227E-2</v>
      </c>
      <c r="N21" s="35">
        <f t="shared" si="16"/>
        <v>7.3079260119739073E-2</v>
      </c>
      <c r="O21" s="35">
        <f t="shared" si="16"/>
        <v>7.1351079136690643E-2</v>
      </c>
      <c r="P21" s="35">
        <f t="shared" si="16"/>
        <v>6.4992484384758686E-2</v>
      </c>
      <c r="Q21" s="35">
        <f t="shared" si="16"/>
        <v>6.4792934705781513E-2</v>
      </c>
      <c r="R21" s="35">
        <f t="shared" si="16"/>
        <v>5.5201090861727496E-2</v>
      </c>
      <c r="S21" s="35">
        <f t="shared" si="16"/>
        <v>5.332293646576608E-2</v>
      </c>
      <c r="T21" s="35">
        <f t="shared" si="16"/>
        <v>5.09807429336274E-2</v>
      </c>
      <c r="U21" s="35"/>
      <c r="V21" s="36"/>
    </row>
    <row r="22" spans="1:22" ht="17" x14ac:dyDescent="0.2">
      <c r="A22" s="5" t="s">
        <v>15</v>
      </c>
      <c r="B22" s="35">
        <f t="shared" ref="B22:T22" si="17">B38/B$32</f>
        <v>0.13219158986450424</v>
      </c>
      <c r="C22" s="35">
        <f t="shared" si="17"/>
        <v>0.12485266061511915</v>
      </c>
      <c r="D22" s="35">
        <f t="shared" si="17"/>
        <v>0.12112191950133637</v>
      </c>
      <c r="E22" s="35">
        <f t="shared" si="17"/>
        <v>0.1231395949452239</v>
      </c>
      <c r="F22" s="35">
        <f t="shared" si="17"/>
        <v>0.11497566215341372</v>
      </c>
      <c r="G22" s="35">
        <f t="shared" si="17"/>
        <v>0.1105188564655797</v>
      </c>
      <c r="H22" s="35">
        <f t="shared" si="17"/>
        <v>0.11068635693098361</v>
      </c>
      <c r="I22" s="35">
        <f t="shared" si="17"/>
        <v>0.1049382987261389</v>
      </c>
      <c r="J22" s="35">
        <f t="shared" si="17"/>
        <v>0.10807004685821618</v>
      </c>
      <c r="K22" s="35">
        <f t="shared" si="17"/>
        <v>0.1056999918943964</v>
      </c>
      <c r="L22" s="35">
        <f t="shared" si="17"/>
        <v>0.11440512945037382</v>
      </c>
      <c r="M22" s="35">
        <f t="shared" si="17"/>
        <v>0.1644185100645838</v>
      </c>
      <c r="N22" s="35">
        <f t="shared" si="17"/>
        <v>0.14557322848717719</v>
      </c>
      <c r="O22" s="35">
        <f t="shared" si="17"/>
        <v>0.13978026721479958</v>
      </c>
      <c r="P22" s="35">
        <f t="shared" si="17"/>
        <v>0.13619418982168918</v>
      </c>
      <c r="Q22" s="35">
        <f t="shared" si="17"/>
        <v>0.17210943893979147</v>
      </c>
      <c r="R22" s="35">
        <f t="shared" si="17"/>
        <v>0.15861194178767071</v>
      </c>
      <c r="S22" s="35">
        <f t="shared" si="17"/>
        <v>0.15193490137182136</v>
      </c>
      <c r="T22" s="35">
        <f t="shared" si="17"/>
        <v>0.1447323542399046</v>
      </c>
      <c r="U22" s="36"/>
      <c r="V22" s="37"/>
    </row>
    <row r="23" spans="1:22" ht="17" x14ac:dyDescent="0.2">
      <c r="A23" s="74" t="s">
        <v>138</v>
      </c>
      <c r="B23" s="35">
        <f>SUM(B19:B22)</f>
        <v>0.81507897944065189</v>
      </c>
      <c r="C23" s="35">
        <f t="shared" ref="C23:M23" si="18">SUM(C19:C22)</f>
        <v>0.66917113241709492</v>
      </c>
      <c r="D23" s="35">
        <f t="shared" si="18"/>
        <v>0.77659511762029576</v>
      </c>
      <c r="E23" s="35">
        <f t="shared" si="18"/>
        <v>0.78458416418412447</v>
      </c>
      <c r="F23" s="35">
        <f t="shared" si="18"/>
        <v>0.75071472461122335</v>
      </c>
      <c r="G23" s="35">
        <f t="shared" si="18"/>
        <v>0.73342821753865362</v>
      </c>
      <c r="H23" s="35">
        <f t="shared" si="18"/>
        <v>0.74037693849171726</v>
      </c>
      <c r="I23" s="35">
        <f t="shared" si="18"/>
        <v>0.72893471937856436</v>
      </c>
      <c r="J23" s="35">
        <f t="shared" si="18"/>
        <v>0.73409712153116835</v>
      </c>
      <c r="K23" s="35">
        <f t="shared" si="18"/>
        <v>0.72792531355663415</v>
      </c>
      <c r="L23" s="35">
        <f t="shared" si="18"/>
        <v>0.73911823519963349</v>
      </c>
      <c r="M23" s="35">
        <f t="shared" si="18"/>
        <v>0.87239626020391436</v>
      </c>
      <c r="N23" s="35">
        <f>SUM(N19:N22)</f>
        <v>0.83106871593244569</v>
      </c>
      <c r="O23" s="35">
        <f t="shared" ref="O23" si="19">SUM(O19:O22)</f>
        <v>0.8127426515930114</v>
      </c>
      <c r="P23" s="35">
        <f t="shared" ref="P23" si="20">SUM(P19:P22)</f>
        <v>0.79548611987500295</v>
      </c>
      <c r="Q23" s="35">
        <f t="shared" ref="Q23" si="21">SUM(Q19:Q22)</f>
        <v>0.82604099097789441</v>
      </c>
      <c r="R23" s="35">
        <f>SUM(R19:R22)</f>
        <v>0.77381804652168573</v>
      </c>
      <c r="S23" s="35">
        <f t="shared" ref="S23" si="22">SUM(S19:S22)</f>
        <v>0.76118099490286362</v>
      </c>
      <c r="T23" s="35">
        <f t="shared" ref="T23" si="23">SUM(T19:T22)</f>
        <v>0.73802836790489612</v>
      </c>
      <c r="U23" s="35"/>
      <c r="V23" s="35"/>
    </row>
    <row r="24" spans="1:22" ht="17" x14ac:dyDescent="0.2">
      <c r="A24" s="10" t="s">
        <v>16</v>
      </c>
      <c r="B24" s="35">
        <f t="shared" ref="B24:T24" si="24">B39/B$32</f>
        <v>8.2785429229163848E-2</v>
      </c>
      <c r="C24" s="35">
        <f t="shared" si="24"/>
        <v>7.9331170330404779E-2</v>
      </c>
      <c r="D24" s="35">
        <f t="shared" si="24"/>
        <v>6.9109637109475014E-2</v>
      </c>
      <c r="E24" s="35">
        <f t="shared" si="24"/>
        <v>6.6934791226215651E-2</v>
      </c>
      <c r="F24" s="35">
        <f t="shared" si="24"/>
        <v>6.5297609286513514E-2</v>
      </c>
      <c r="G24" s="35">
        <f t="shared" si="24"/>
        <v>6.4594247468029692E-2</v>
      </c>
      <c r="H24" s="35">
        <f t="shared" si="24"/>
        <v>6.5839541617978559E-2</v>
      </c>
      <c r="I24" s="35">
        <f t="shared" si="24"/>
        <v>6.715267586986641E-2</v>
      </c>
      <c r="J24" s="35">
        <f t="shared" si="24"/>
        <v>6.3377580538239539E-2</v>
      </c>
      <c r="K24" s="35">
        <f t="shared" si="24"/>
        <v>6.6669684969509049E-2</v>
      </c>
      <c r="L24" s="35">
        <f t="shared" si="24"/>
        <v>5.5588003527041428E-2</v>
      </c>
      <c r="M24" s="35">
        <f t="shared" si="24"/>
        <v>7.0751237583188534E-2</v>
      </c>
      <c r="N24" s="35">
        <f t="shared" si="24"/>
        <v>6.6211241175944957E-2</v>
      </c>
      <c r="O24" s="35">
        <f t="shared" si="24"/>
        <v>7.7175745118191155E-2</v>
      </c>
      <c r="P24" s="35">
        <f t="shared" si="24"/>
        <v>8.0831037119101876E-2</v>
      </c>
      <c r="Q24" s="35">
        <f t="shared" si="24"/>
        <v>7.7914706229319952E-2</v>
      </c>
      <c r="R24" s="35">
        <f t="shared" si="24"/>
        <v>8.0409314301288934E-2</v>
      </c>
      <c r="S24" s="35">
        <f t="shared" si="24"/>
        <v>6.5340328712726353E-2</v>
      </c>
      <c r="T24" s="35">
        <f t="shared" si="24"/>
        <v>6.4182184759608046E-2</v>
      </c>
      <c r="U24" s="37"/>
      <c r="V24" s="37"/>
    </row>
    <row r="25" spans="1:22" ht="17" x14ac:dyDescent="0.2">
      <c r="A25" s="3" t="s">
        <v>17</v>
      </c>
      <c r="B25" s="51">
        <f t="shared" ref="B25:J25" si="25">B40/B32</f>
        <v>4.4649073196377224E-2</v>
      </c>
      <c r="C25" s="51">
        <f t="shared" si="25"/>
        <v>4.1623224332567779E-2</v>
      </c>
      <c r="D25" s="51">
        <f t="shared" si="25"/>
        <v>4.0150785332598991E-2</v>
      </c>
      <c r="E25" s="51">
        <f t="shared" si="25"/>
        <v>3.9618068902556217E-2</v>
      </c>
      <c r="F25" s="51">
        <f t="shared" si="25"/>
        <v>4.0376260276327257E-2</v>
      </c>
      <c r="G25" s="51">
        <f t="shared" si="25"/>
        <v>3.7540265871861656E-2</v>
      </c>
      <c r="H25" s="51">
        <f t="shared" si="25"/>
        <v>3.3018909492110324E-2</v>
      </c>
      <c r="I25" s="51">
        <f t="shared" si="25"/>
        <v>3.0803039223439747E-2</v>
      </c>
      <c r="J25" s="51">
        <f t="shared" si="25"/>
        <v>2.9880628670956897E-2</v>
      </c>
      <c r="K25" s="51">
        <f>K40/K32</f>
        <v>2.689064421049352E-2</v>
      </c>
      <c r="L25" s="35">
        <f t="shared" ref="L25:M25" si="26">L40/L32</f>
        <v>2.8962795222542852E-2</v>
      </c>
      <c r="M25" s="35">
        <f t="shared" si="26"/>
        <v>3.7488115923023965E-2</v>
      </c>
      <c r="N25" s="35">
        <f t="shared" ref="N25:P25" si="27">N40/N32</f>
        <v>3.6490930211777323E-2</v>
      </c>
      <c r="O25" s="35">
        <f t="shared" si="27"/>
        <v>4.1516752312435769E-2</v>
      </c>
      <c r="P25" s="35">
        <f t="shared" si="27"/>
        <v>3.8088783608816387E-2</v>
      </c>
      <c r="Q25" s="35">
        <f>Q40/Q32</f>
        <v>3.9857742344811729E-2</v>
      </c>
      <c r="R25" s="35">
        <f t="shared" ref="R25:T25" si="28">R40/R32</f>
        <v>3.3742538983055785E-2</v>
      </c>
      <c r="S25" s="35">
        <f t="shared" si="28"/>
        <v>3.3218015039864955E-2</v>
      </c>
      <c r="T25" s="35">
        <f t="shared" si="28"/>
        <v>3.2354675495451672E-2</v>
      </c>
      <c r="U25" s="35"/>
      <c r="V25" s="35"/>
    </row>
    <row r="26" spans="1:22" ht="17" x14ac:dyDescent="0.2">
      <c r="A26" s="3" t="s">
        <v>18</v>
      </c>
      <c r="B26" s="51">
        <f t="shared" ref="B26:J26" si="29">B42/B32</f>
        <v>4.9689737850389121E-3</v>
      </c>
      <c r="C26" s="51">
        <f t="shared" si="29"/>
        <v>4.8388076750148857E-3</v>
      </c>
      <c r="D26" s="51">
        <f t="shared" si="29"/>
        <v>5.6806983353932927E-3</v>
      </c>
      <c r="E26" s="51">
        <f t="shared" si="29"/>
        <v>7.0114297040169129E-3</v>
      </c>
      <c r="F26" s="51">
        <f t="shared" si="29"/>
        <v>3.9225061363248699E-3</v>
      </c>
      <c r="G26" s="51">
        <f t="shared" si="29"/>
        <v>3.4293395906797785E-3</v>
      </c>
      <c r="H26" s="51">
        <f t="shared" si="29"/>
        <v>2.5582186408923714E-3</v>
      </c>
      <c r="I26" s="51">
        <f t="shared" si="29"/>
        <v>1.8405667202690075E-3</v>
      </c>
      <c r="J26" s="51">
        <f t="shared" si="29"/>
        <v>2.1001116471737772E-3</v>
      </c>
      <c r="K26" s="51">
        <f>K42/K32</f>
        <v>1.6980387603635497E-3</v>
      </c>
      <c r="L26" s="35">
        <f t="shared" ref="L26:M26" si="30">L42/L32</f>
        <v>2.9312033640635001E-3</v>
      </c>
      <c r="M26" s="35">
        <f t="shared" si="30"/>
        <v>6.1154333180342916E-3</v>
      </c>
      <c r="N26" s="35">
        <f t="shared" ref="N26:P26" si="31">N42/N32</f>
        <v>2.9811902421588775E-3</v>
      </c>
      <c r="O26" s="35">
        <f t="shared" si="31"/>
        <v>1.3697636176772868E-2</v>
      </c>
      <c r="P26" s="35">
        <f t="shared" si="31"/>
        <v>4.1339911488124043E-3</v>
      </c>
      <c r="Q26" s="35">
        <f>Q42/Q32</f>
        <v>5.1092514596548424E-3</v>
      </c>
      <c r="R26" s="35">
        <f t="shared" ref="R26:T26" si="32">R42/R32</f>
        <v>2.5560943524903269E-3</v>
      </c>
      <c r="S26" s="35">
        <f t="shared" si="32"/>
        <v>2.4481588835311486E-3</v>
      </c>
      <c r="T26" s="35">
        <f t="shared" si="32"/>
        <v>3.8868886039201758E-3</v>
      </c>
      <c r="U26" s="35"/>
      <c r="V26" s="35"/>
    </row>
    <row r="27" spans="1:22" ht="17" x14ac:dyDescent="0.2">
      <c r="A27" s="21" t="s">
        <v>19</v>
      </c>
      <c r="B27" s="38">
        <f t="shared" ref="B27:J27" si="33">-B47/B46</f>
        <v>-0.24656084656084656</v>
      </c>
      <c r="C27" s="38">
        <f t="shared" si="33"/>
        <v>0.15947222965142194</v>
      </c>
      <c r="D27" s="38">
        <f t="shared" si="33"/>
        <v>0.38103717478640725</v>
      </c>
      <c r="E27" s="38">
        <f t="shared" si="33"/>
        <v>0.38523340094020725</v>
      </c>
      <c r="F27" s="38">
        <f t="shared" si="33"/>
        <v>0.37889582568245805</v>
      </c>
      <c r="G27" s="38">
        <f t="shared" si="33"/>
        <v>0.38081927344055405</v>
      </c>
      <c r="H27" s="38">
        <f t="shared" si="33"/>
        <v>0.38535336926838337</v>
      </c>
      <c r="I27" s="38">
        <f t="shared" si="33"/>
        <v>0.39259534395927331</v>
      </c>
      <c r="J27" s="38">
        <f t="shared" si="33"/>
        <v>0.38736058644903093</v>
      </c>
      <c r="K27" s="38">
        <f>-K47/K46</f>
        <v>0.37649148890596845</v>
      </c>
      <c r="L27" s="38">
        <f t="shared" ref="L27:V27" si="34">-L47/L46</f>
        <v>0.38222835892433371</v>
      </c>
      <c r="M27" s="38">
        <f t="shared" si="34"/>
        <v>0.40788352822736779</v>
      </c>
      <c r="N27" s="38">
        <f t="shared" si="34"/>
        <v>0.36082268587862809</v>
      </c>
      <c r="O27" s="38">
        <f t="shared" si="34"/>
        <v>0.34227102897735528</v>
      </c>
      <c r="P27" s="38">
        <f t="shared" si="34"/>
        <v>0.23593833531536054</v>
      </c>
      <c r="Q27" s="38">
        <f t="shared" si="34"/>
        <v>-0.21099049972598635</v>
      </c>
      <c r="R27" s="38">
        <f t="shared" si="34"/>
        <v>0.19658744307996304</v>
      </c>
      <c r="S27" s="38">
        <f t="shared" si="34"/>
        <v>0.23903731683722221</v>
      </c>
      <c r="T27" s="38">
        <f t="shared" si="34"/>
        <v>0.24175720423127098</v>
      </c>
      <c r="U27" s="38" t="e">
        <f t="shared" si="34"/>
        <v>#DIV/0!</v>
      </c>
      <c r="V27" s="38" t="e">
        <f t="shared" si="34"/>
        <v>#DIV/0!</v>
      </c>
    </row>
    <row r="28" spans="1:22" x14ac:dyDescent="0.2">
      <c r="A28" s="3"/>
      <c r="B28" s="24"/>
      <c r="C28" s="24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4"/>
      <c r="O28" s="24"/>
      <c r="P28" s="24"/>
      <c r="Q28" s="26"/>
      <c r="R28" s="26"/>
      <c r="S28" s="26"/>
      <c r="T28" s="26"/>
      <c r="U28" s="26"/>
      <c r="V28" s="26"/>
    </row>
    <row r="29" spans="1:22" x14ac:dyDescent="0.2">
      <c r="A29" s="6" t="s">
        <v>20</v>
      </c>
      <c r="B29" s="39"/>
      <c r="C29" s="39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40"/>
      <c r="O29" s="40"/>
      <c r="P29" s="40"/>
      <c r="Q29" s="41"/>
      <c r="R29" s="41"/>
      <c r="S29" s="41"/>
      <c r="T29" s="41"/>
      <c r="U29" s="41"/>
      <c r="V29" s="41"/>
    </row>
    <row r="30" spans="1:22" ht="17" x14ac:dyDescent="0.2">
      <c r="A30" s="3" t="s">
        <v>8</v>
      </c>
      <c r="B30" s="53"/>
      <c r="C30" s="53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42"/>
      <c r="O30" s="42"/>
      <c r="P30" s="42">
        <v>5561036</v>
      </c>
      <c r="Q30" s="41">
        <v>5920545</v>
      </c>
      <c r="R30" s="41">
        <v>7457169</v>
      </c>
      <c r="S30" s="41">
        <v>8558001</v>
      </c>
      <c r="T30" s="41">
        <v>9804124</v>
      </c>
      <c r="U30" s="41"/>
      <c r="V30" s="41"/>
    </row>
    <row r="31" spans="1:22" ht="17" x14ac:dyDescent="0.2">
      <c r="A31" s="3" t="s">
        <v>9</v>
      </c>
      <c r="B31" s="53"/>
      <c r="C31" s="53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42"/>
      <c r="O31" s="42"/>
      <c r="P31" s="42">
        <v>25333</v>
      </c>
      <c r="Q31" s="43">
        <v>64089</v>
      </c>
      <c r="R31" s="43">
        <v>89892</v>
      </c>
      <c r="S31" s="43">
        <v>76651</v>
      </c>
      <c r="T31" s="43">
        <v>67525</v>
      </c>
      <c r="U31" s="41"/>
      <c r="V31" s="41"/>
    </row>
    <row r="32" spans="1:22" s="71" customFormat="1" ht="19" x14ac:dyDescent="0.2">
      <c r="A32" s="70" t="s">
        <v>10</v>
      </c>
      <c r="B32" s="67">
        <v>627695</v>
      </c>
      <c r="C32" s="67">
        <v>822930</v>
      </c>
      <c r="D32" s="67">
        <v>1085782</v>
      </c>
      <c r="E32" s="67">
        <v>1331968</v>
      </c>
      <c r="F32" s="67">
        <v>1518417</v>
      </c>
      <c r="G32" s="67">
        <v>1835922</v>
      </c>
      <c r="H32" s="67">
        <v>2269548</v>
      </c>
      <c r="I32" s="67">
        <v>2731224</v>
      </c>
      <c r="J32" s="67">
        <v>3214591</v>
      </c>
      <c r="K32" s="67">
        <v>4108269</v>
      </c>
      <c r="L32" s="68">
        <v>4501223</v>
      </c>
      <c r="M32" s="68">
        <v>3904384</v>
      </c>
      <c r="N32" s="68">
        <v>4476400</v>
      </c>
      <c r="O32" s="68">
        <v>4865000</v>
      </c>
      <c r="P32" s="69">
        <f t="shared" ref="P32:S32" si="35">SUM(P30:P31)</f>
        <v>5586369</v>
      </c>
      <c r="Q32" s="69">
        <f t="shared" si="35"/>
        <v>5984634</v>
      </c>
      <c r="R32" s="69">
        <f t="shared" si="35"/>
        <v>7547061</v>
      </c>
      <c r="S32" s="69">
        <f t="shared" si="35"/>
        <v>8634652</v>
      </c>
      <c r="T32" s="69">
        <f>SUM(T30:T31)</f>
        <v>9871649</v>
      </c>
      <c r="U32" s="69">
        <f t="shared" ref="U32" si="36">SUM(U30:U31)</f>
        <v>0</v>
      </c>
      <c r="V32" s="69">
        <f>SUM(V30:V31)</f>
        <v>0</v>
      </c>
    </row>
    <row r="33" spans="1:22" x14ac:dyDescent="0.2">
      <c r="A33" s="3"/>
      <c r="B33" s="53"/>
      <c r="C33" s="53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42"/>
      <c r="O33" s="42"/>
      <c r="P33" s="42"/>
      <c r="Q33" s="45"/>
      <c r="R33" s="46"/>
      <c r="S33" s="46"/>
      <c r="T33" s="46"/>
      <c r="U33" s="46"/>
      <c r="V33" s="46"/>
    </row>
    <row r="34" spans="1:22" ht="51" x14ac:dyDescent="0.2">
      <c r="A34" s="11" t="s">
        <v>21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47"/>
      <c r="O34" s="47"/>
      <c r="P34" s="47"/>
      <c r="Q34" s="43"/>
      <c r="R34" s="43"/>
      <c r="S34" s="43"/>
      <c r="T34" s="43"/>
      <c r="U34" s="43"/>
      <c r="V34" s="43"/>
    </row>
    <row r="35" spans="1:22" ht="17" x14ac:dyDescent="0.2">
      <c r="A35" s="5" t="s">
        <v>22</v>
      </c>
      <c r="B35" s="53">
        <v>202288</v>
      </c>
      <c r="C35" s="53">
        <v>157998</v>
      </c>
      <c r="D35" s="55">
        <v>346393</v>
      </c>
      <c r="E35" s="55">
        <v>431947</v>
      </c>
      <c r="F35" s="55">
        <v>466027</v>
      </c>
      <c r="G35" s="55">
        <v>561107</v>
      </c>
      <c r="H35" s="55">
        <v>738720</v>
      </c>
      <c r="I35" s="55">
        <v>891003</v>
      </c>
      <c r="J35" s="55">
        <v>1073514</v>
      </c>
      <c r="K35" s="55">
        <v>1420994</v>
      </c>
      <c r="L35" s="55">
        <v>1503835</v>
      </c>
      <c r="M35" s="55">
        <v>1365580</v>
      </c>
      <c r="N35" s="42">
        <v>1535428</v>
      </c>
      <c r="O35" s="42">
        <v>1600760</v>
      </c>
      <c r="P35" s="42">
        <v>1847916</v>
      </c>
      <c r="Q35" s="43">
        <v>1932766</v>
      </c>
      <c r="R35" s="43">
        <v>2308631</v>
      </c>
      <c r="S35" s="43">
        <v>2602245</v>
      </c>
      <c r="T35" s="43">
        <v>2912564</v>
      </c>
      <c r="U35" s="41">
        <f>U32*U19</f>
        <v>0</v>
      </c>
      <c r="V35" s="41">
        <f>V32*V19</f>
        <v>0</v>
      </c>
    </row>
    <row r="36" spans="1:22" ht="17" x14ac:dyDescent="0.2">
      <c r="A36" s="5" t="s">
        <v>23</v>
      </c>
      <c r="B36" s="53">
        <v>178721</v>
      </c>
      <c r="C36" s="53">
        <v>231134</v>
      </c>
      <c r="D36" s="55">
        <v>289417</v>
      </c>
      <c r="E36" s="55">
        <v>351005</v>
      </c>
      <c r="F36" s="55">
        <v>385072</v>
      </c>
      <c r="G36" s="55">
        <v>453573</v>
      </c>
      <c r="H36" s="55">
        <v>543119</v>
      </c>
      <c r="I36" s="55">
        <v>641836</v>
      </c>
      <c r="J36" s="55">
        <v>739800</v>
      </c>
      <c r="K36" s="55">
        <v>904407</v>
      </c>
      <c r="L36" s="55">
        <v>1045726</v>
      </c>
      <c r="M36" s="55">
        <v>1105001</v>
      </c>
      <c r="N36" s="42">
        <v>1205992</v>
      </c>
      <c r="O36" s="42">
        <v>1326079</v>
      </c>
      <c r="P36" s="42">
        <v>1472060</v>
      </c>
      <c r="Q36" s="43">
        <v>1593013</v>
      </c>
      <c r="R36" s="43">
        <v>1917761</v>
      </c>
      <c r="S36" s="43">
        <v>2197958</v>
      </c>
      <c r="T36" s="43">
        <v>2440982</v>
      </c>
      <c r="U36" s="41">
        <f>U32*U20</f>
        <v>0</v>
      </c>
      <c r="V36" s="41">
        <f>V32*V20</f>
        <v>0</v>
      </c>
    </row>
    <row r="37" spans="1:22" ht="17" x14ac:dyDescent="0.2">
      <c r="A37" s="5" t="s">
        <v>24</v>
      </c>
      <c r="B37" s="53">
        <v>47636</v>
      </c>
      <c r="C37" s="53">
        <v>58804</v>
      </c>
      <c r="D37" s="55">
        <v>75891</v>
      </c>
      <c r="E37" s="55">
        <v>98071</v>
      </c>
      <c r="F37" s="55">
        <v>114218</v>
      </c>
      <c r="G37" s="55">
        <v>128933</v>
      </c>
      <c r="H37" s="55">
        <v>147274</v>
      </c>
      <c r="I37" s="55">
        <v>171435</v>
      </c>
      <c r="J37" s="55">
        <v>199107</v>
      </c>
      <c r="K37" s="55">
        <v>230868</v>
      </c>
      <c r="L37" s="55">
        <v>262412</v>
      </c>
      <c r="M37" s="55">
        <v>293636</v>
      </c>
      <c r="N37" s="42">
        <v>327132</v>
      </c>
      <c r="O37" s="42">
        <v>347123</v>
      </c>
      <c r="P37" s="42">
        <v>363072</v>
      </c>
      <c r="Q37" s="43">
        <v>387762</v>
      </c>
      <c r="R37" s="43">
        <v>416606</v>
      </c>
      <c r="S37" s="43">
        <v>460425</v>
      </c>
      <c r="T37" s="43">
        <v>503264</v>
      </c>
      <c r="U37" s="41">
        <f>U32*U21</f>
        <v>0</v>
      </c>
      <c r="V37" s="41">
        <f>V32*V21</f>
        <v>0</v>
      </c>
    </row>
    <row r="38" spans="1:22" ht="17" x14ac:dyDescent="0.2">
      <c r="A38" s="5" t="s">
        <v>25</v>
      </c>
      <c r="B38" s="53">
        <v>82976</v>
      </c>
      <c r="C38" s="53">
        <v>102745</v>
      </c>
      <c r="D38" s="55">
        <v>131512</v>
      </c>
      <c r="E38" s="55">
        <v>164018</v>
      </c>
      <c r="F38" s="55">
        <v>174581</v>
      </c>
      <c r="G38" s="55">
        <v>202904</v>
      </c>
      <c r="H38" s="55">
        <v>251208</v>
      </c>
      <c r="I38" s="55">
        <v>286610</v>
      </c>
      <c r="J38" s="55">
        <v>347401</v>
      </c>
      <c r="K38" s="55">
        <v>434244</v>
      </c>
      <c r="L38" s="55">
        <v>514963</v>
      </c>
      <c r="M38" s="55">
        <v>641953</v>
      </c>
      <c r="N38" s="42">
        <v>651644</v>
      </c>
      <c r="O38" s="42">
        <v>680031</v>
      </c>
      <c r="P38" s="42">
        <v>760831</v>
      </c>
      <c r="Q38" s="43">
        <v>1030012</v>
      </c>
      <c r="R38" s="43">
        <v>1197054</v>
      </c>
      <c r="S38" s="43">
        <v>1311905</v>
      </c>
      <c r="T38" s="43">
        <v>1428747</v>
      </c>
      <c r="U38" s="41">
        <f>U22*U32</f>
        <v>0</v>
      </c>
      <c r="V38" s="41">
        <f>V22*V32</f>
        <v>0</v>
      </c>
    </row>
    <row r="39" spans="1:22" ht="17" x14ac:dyDescent="0.2">
      <c r="A39" s="3" t="s">
        <v>26</v>
      </c>
      <c r="B39" s="53">
        <v>51964</v>
      </c>
      <c r="C39" s="53">
        <v>65284</v>
      </c>
      <c r="D39" s="55">
        <v>75038</v>
      </c>
      <c r="E39" s="55">
        <v>89155</v>
      </c>
      <c r="F39" s="55">
        <v>99149</v>
      </c>
      <c r="G39" s="55">
        <v>118590</v>
      </c>
      <c r="H39" s="55">
        <v>149426</v>
      </c>
      <c r="I39" s="55">
        <v>183409</v>
      </c>
      <c r="J39" s="55">
        <v>203733</v>
      </c>
      <c r="K39" s="55">
        <v>273897</v>
      </c>
      <c r="L39" s="55">
        <v>250214</v>
      </c>
      <c r="M39" s="55">
        <v>276240</v>
      </c>
      <c r="N39" s="42">
        <v>296388</v>
      </c>
      <c r="O39" s="42">
        <v>375460</v>
      </c>
      <c r="P39" s="42">
        <v>451552</v>
      </c>
      <c r="Q39" s="43">
        <v>466291</v>
      </c>
      <c r="R39" s="43">
        <v>606854</v>
      </c>
      <c r="S39" s="43">
        <v>564191</v>
      </c>
      <c r="T39" s="43">
        <v>633584</v>
      </c>
      <c r="U39" s="41">
        <f>U32*U24</f>
        <v>0</v>
      </c>
      <c r="V39" s="41">
        <f>V32*V24</f>
        <v>0</v>
      </c>
    </row>
    <row r="40" spans="1:22" ht="17" x14ac:dyDescent="0.2">
      <c r="A40" s="3" t="s">
        <v>27</v>
      </c>
      <c r="B40" s="53">
        <v>28026</v>
      </c>
      <c r="C40" s="53">
        <v>34253</v>
      </c>
      <c r="D40" s="55">
        <v>43595</v>
      </c>
      <c r="E40" s="55">
        <v>52770</v>
      </c>
      <c r="F40" s="55">
        <v>61308</v>
      </c>
      <c r="G40" s="55">
        <v>68921</v>
      </c>
      <c r="H40" s="55">
        <v>74938</v>
      </c>
      <c r="I40" s="55">
        <v>84130</v>
      </c>
      <c r="J40" s="55">
        <v>96054</v>
      </c>
      <c r="K40" s="55">
        <v>110474</v>
      </c>
      <c r="L40" s="55">
        <v>130368</v>
      </c>
      <c r="M40" s="55">
        <v>146368</v>
      </c>
      <c r="N40" s="42">
        <v>163348</v>
      </c>
      <c r="O40" s="42">
        <v>201979</v>
      </c>
      <c r="P40" s="42">
        <v>212778</v>
      </c>
      <c r="Q40" s="43">
        <v>238534</v>
      </c>
      <c r="R40" s="43">
        <v>254657</v>
      </c>
      <c r="S40" s="43">
        <v>286826</v>
      </c>
      <c r="T40" s="43">
        <v>319394</v>
      </c>
      <c r="U40" s="41"/>
      <c r="V40" s="41">
        <f t="shared" ref="V40" si="37">U40*1.02</f>
        <v>0</v>
      </c>
    </row>
    <row r="41" spans="1:22" ht="17" x14ac:dyDescent="0.2">
      <c r="A41" s="3" t="s">
        <v>28</v>
      </c>
      <c r="B41" s="53">
        <v>1971</v>
      </c>
      <c r="C41" s="53">
        <v>6778</v>
      </c>
      <c r="D41" s="55">
        <v>9585</v>
      </c>
      <c r="E41" s="55">
        <v>11624</v>
      </c>
      <c r="F41" s="55">
        <v>8401</v>
      </c>
      <c r="G41" s="55">
        <v>7767</v>
      </c>
      <c r="H41" s="55">
        <v>8495</v>
      </c>
      <c r="I41" s="55">
        <v>11909</v>
      </c>
      <c r="J41" s="55">
        <v>15511</v>
      </c>
      <c r="K41" s="55">
        <v>15609</v>
      </c>
      <c r="L41" s="55">
        <v>16922</v>
      </c>
      <c r="M41" s="55">
        <v>17162</v>
      </c>
      <c r="N41" s="42">
        <v>12341</v>
      </c>
      <c r="O41" s="42">
        <v>8546</v>
      </c>
      <c r="P41" s="42">
        <v>11108</v>
      </c>
      <c r="Q41" s="43">
        <v>15515</v>
      </c>
      <c r="R41" s="43">
        <v>21264</v>
      </c>
      <c r="S41" s="43">
        <v>29560</v>
      </c>
      <c r="T41" s="43">
        <v>36931</v>
      </c>
      <c r="U41" s="41"/>
      <c r="V41" s="41"/>
    </row>
    <row r="42" spans="1:22" ht="17" x14ac:dyDescent="0.2">
      <c r="A42" s="10" t="s">
        <v>29</v>
      </c>
      <c r="B42" s="53">
        <v>3119</v>
      </c>
      <c r="C42" s="53">
        <v>3982</v>
      </c>
      <c r="D42" s="55">
        <v>6168</v>
      </c>
      <c r="E42" s="55">
        <v>9339</v>
      </c>
      <c r="F42" s="55">
        <v>5956</v>
      </c>
      <c r="G42" s="55">
        <v>6296</v>
      </c>
      <c r="H42" s="55">
        <v>5806</v>
      </c>
      <c r="I42" s="55">
        <v>5027</v>
      </c>
      <c r="J42" s="55">
        <v>6751</v>
      </c>
      <c r="K42" s="55">
        <v>6976</v>
      </c>
      <c r="L42" s="55">
        <v>13194</v>
      </c>
      <c r="M42" s="55">
        <v>23877</v>
      </c>
      <c r="N42" s="42">
        <v>13345</v>
      </c>
      <c r="O42" s="42">
        <v>66639</v>
      </c>
      <c r="P42" s="42">
        <v>23094</v>
      </c>
      <c r="Q42" s="43">
        <v>30577</v>
      </c>
      <c r="R42" s="43">
        <v>19291</v>
      </c>
      <c r="S42" s="43">
        <v>21139</v>
      </c>
      <c r="T42" s="43">
        <v>38370</v>
      </c>
      <c r="U42" s="41"/>
      <c r="V42" s="41"/>
    </row>
    <row r="43" spans="1:22" ht="17" x14ac:dyDescent="0.2">
      <c r="A43" s="20" t="s">
        <v>30</v>
      </c>
      <c r="B43" s="58">
        <f t="shared" ref="B43" si="38">SUM(B35:B42)</f>
        <v>596701</v>
      </c>
      <c r="C43" s="58">
        <f t="shared" ref="C43" si="39">SUM(C35:C42)</f>
        <v>660978</v>
      </c>
      <c r="D43" s="58">
        <f t="shared" ref="D43:K43" si="40">SUM(D35:D42)</f>
        <v>977599</v>
      </c>
      <c r="E43" s="58">
        <f t="shared" si="40"/>
        <v>1207929</v>
      </c>
      <c r="F43" s="58">
        <f t="shared" si="40"/>
        <v>1314712</v>
      </c>
      <c r="G43" s="58">
        <f t="shared" si="40"/>
        <v>1548091</v>
      </c>
      <c r="H43" s="58">
        <f t="shared" si="40"/>
        <v>1918986</v>
      </c>
      <c r="I43" s="58">
        <f t="shared" si="40"/>
        <v>2275359</v>
      </c>
      <c r="J43" s="58">
        <f t="shared" si="40"/>
        <v>2681871</v>
      </c>
      <c r="K43" s="58">
        <f t="shared" si="40"/>
        <v>3397469</v>
      </c>
      <c r="L43" s="58">
        <f>SUM(L35:L42)</f>
        <v>3737634</v>
      </c>
      <c r="M43" s="58">
        <f t="shared" ref="M43" si="41">SUM(M35:M42)</f>
        <v>3869817</v>
      </c>
      <c r="N43" s="48">
        <f t="shared" ref="N43:O43" si="42">SUM(N35:N42)</f>
        <v>4205618</v>
      </c>
      <c r="O43" s="48">
        <f t="shared" si="42"/>
        <v>4606617</v>
      </c>
      <c r="P43" s="48">
        <f>SUM(P35:P42)</f>
        <v>5142411</v>
      </c>
      <c r="Q43" s="48">
        <f>SUM(Q35:Q42)</f>
        <v>5694470</v>
      </c>
      <c r="R43" s="48">
        <f t="shared" ref="R43:T43" si="43">SUM(R35:R42)</f>
        <v>6742118</v>
      </c>
      <c r="S43" s="48">
        <f t="shared" si="43"/>
        <v>7474249</v>
      </c>
      <c r="T43" s="48">
        <f t="shared" si="43"/>
        <v>8313836</v>
      </c>
      <c r="U43" s="48">
        <f t="shared" ref="U43:V43" si="44">SUM(U35:U42)</f>
        <v>0</v>
      </c>
      <c r="V43" s="48">
        <f t="shared" si="44"/>
        <v>0</v>
      </c>
    </row>
    <row r="44" spans="1:22" ht="17" x14ac:dyDescent="0.2">
      <c r="A44" s="12" t="s">
        <v>31</v>
      </c>
      <c r="B44" s="56">
        <f t="shared" ref="B44:C44" si="45">B32-B43</f>
        <v>30994</v>
      </c>
      <c r="C44" s="56">
        <f t="shared" si="45"/>
        <v>161952</v>
      </c>
      <c r="D44" s="56">
        <f t="shared" ref="D44:T44" si="46">D32-D43</f>
        <v>108183</v>
      </c>
      <c r="E44" s="56">
        <f t="shared" si="46"/>
        <v>124039</v>
      </c>
      <c r="F44" s="56">
        <f t="shared" si="46"/>
        <v>203705</v>
      </c>
      <c r="G44" s="56">
        <f t="shared" si="46"/>
        <v>287831</v>
      </c>
      <c r="H44" s="56">
        <f t="shared" si="46"/>
        <v>350562</v>
      </c>
      <c r="I44" s="56">
        <f t="shared" si="46"/>
        <v>455865</v>
      </c>
      <c r="J44" s="56">
        <f t="shared" si="46"/>
        <v>532720</v>
      </c>
      <c r="K44" s="56">
        <f t="shared" si="46"/>
        <v>710800</v>
      </c>
      <c r="L44" s="56">
        <f t="shared" si="46"/>
        <v>763589</v>
      </c>
      <c r="M44" s="56">
        <f t="shared" si="46"/>
        <v>34567</v>
      </c>
      <c r="N44" s="44">
        <f t="shared" si="46"/>
        <v>270782</v>
      </c>
      <c r="O44" s="44">
        <f t="shared" si="46"/>
        <v>258383</v>
      </c>
      <c r="P44" s="44">
        <f t="shared" si="46"/>
        <v>443958</v>
      </c>
      <c r="Q44" s="44">
        <f t="shared" si="46"/>
        <v>290164</v>
      </c>
      <c r="R44" s="44">
        <f t="shared" si="46"/>
        <v>804943</v>
      </c>
      <c r="S44" s="44">
        <f t="shared" si="46"/>
        <v>1160403</v>
      </c>
      <c r="T44" s="44">
        <f t="shared" si="46"/>
        <v>1557813</v>
      </c>
      <c r="U44" s="44">
        <f t="shared" ref="U44:V44" si="47">U32-U43</f>
        <v>0</v>
      </c>
      <c r="V44" s="44">
        <f t="shared" si="47"/>
        <v>0</v>
      </c>
    </row>
    <row r="45" spans="1:22" ht="17" x14ac:dyDescent="0.2">
      <c r="A45" s="3" t="s">
        <v>32</v>
      </c>
      <c r="B45" s="53">
        <f>36-790</f>
        <v>-754</v>
      </c>
      <c r="C45" s="53">
        <f>6574-271</f>
        <v>6303</v>
      </c>
      <c r="D45" s="54">
        <f>6115-296</f>
        <v>5819</v>
      </c>
      <c r="E45" s="54">
        <f>3469-302</f>
        <v>3167</v>
      </c>
      <c r="F45" s="54">
        <f>925-405</f>
        <v>520</v>
      </c>
      <c r="G45" s="54">
        <v>1230</v>
      </c>
      <c r="H45" s="54">
        <f>2088-2945</f>
        <v>-857</v>
      </c>
      <c r="I45" s="54">
        <v>1820</v>
      </c>
      <c r="J45" s="54">
        <v>1751</v>
      </c>
      <c r="K45" s="54">
        <v>3503</v>
      </c>
      <c r="L45" s="55">
        <v>6278</v>
      </c>
      <c r="M45" s="55">
        <v>4172</v>
      </c>
      <c r="N45" s="42">
        <v>4949</v>
      </c>
      <c r="O45" s="42">
        <v>10068</v>
      </c>
      <c r="P45" s="42">
        <v>14327</v>
      </c>
      <c r="Q45" s="43">
        <v>3617</v>
      </c>
      <c r="R45" s="43">
        <v>7820</v>
      </c>
      <c r="S45" s="43">
        <v>21128</v>
      </c>
      <c r="T45" s="43">
        <v>62693</v>
      </c>
      <c r="U45" s="41"/>
      <c r="V45" s="41"/>
    </row>
    <row r="46" spans="1:22" ht="17" x14ac:dyDescent="0.2">
      <c r="A46" s="8" t="s">
        <v>51</v>
      </c>
      <c r="B46" s="59">
        <f t="shared" ref="B46:J46" si="48">B44+B45</f>
        <v>30240</v>
      </c>
      <c r="C46" s="59">
        <f t="shared" si="48"/>
        <v>168255</v>
      </c>
      <c r="D46" s="59">
        <f t="shared" si="48"/>
        <v>114002</v>
      </c>
      <c r="E46" s="59">
        <f t="shared" si="48"/>
        <v>127206</v>
      </c>
      <c r="F46" s="59">
        <f t="shared" si="48"/>
        <v>204225</v>
      </c>
      <c r="G46" s="59">
        <f t="shared" si="48"/>
        <v>289061</v>
      </c>
      <c r="H46" s="59">
        <f t="shared" si="48"/>
        <v>349705</v>
      </c>
      <c r="I46" s="59">
        <f t="shared" si="48"/>
        <v>457685</v>
      </c>
      <c r="J46" s="59">
        <f t="shared" si="48"/>
        <v>534471</v>
      </c>
      <c r="K46" s="59">
        <f t="shared" ref="K46:L46" si="49">K44+K45</f>
        <v>714303</v>
      </c>
      <c r="L46" s="59">
        <f t="shared" si="49"/>
        <v>769867</v>
      </c>
      <c r="M46" s="59">
        <f t="shared" ref="M46" si="50">M44+M45</f>
        <v>38739</v>
      </c>
      <c r="N46" s="32">
        <f t="shared" ref="N46" si="51">N44+N45</f>
        <v>275731</v>
      </c>
      <c r="O46" s="32">
        <f>O44+O45</f>
        <v>268451</v>
      </c>
      <c r="P46" s="32">
        <f t="shared" ref="P46:S46" si="52">P44+P45</f>
        <v>458285</v>
      </c>
      <c r="Q46" s="32">
        <f t="shared" si="52"/>
        <v>293781</v>
      </c>
      <c r="R46" s="32">
        <f t="shared" si="52"/>
        <v>812763</v>
      </c>
      <c r="S46" s="32">
        <f t="shared" si="52"/>
        <v>1181531</v>
      </c>
      <c r="T46" s="32">
        <f>T44+T45</f>
        <v>1620506</v>
      </c>
      <c r="U46" s="32">
        <f t="shared" ref="U46:V46" si="53">U44+U45</f>
        <v>0</v>
      </c>
      <c r="V46" s="32">
        <f t="shared" si="53"/>
        <v>0</v>
      </c>
    </row>
    <row r="47" spans="1:22" ht="17" x14ac:dyDescent="0.2">
      <c r="A47" s="3" t="s">
        <v>33</v>
      </c>
      <c r="B47" s="54">
        <v>7456</v>
      </c>
      <c r="C47" s="54">
        <v>-26832</v>
      </c>
      <c r="D47" s="54">
        <v>-43439</v>
      </c>
      <c r="E47" s="54">
        <v>-49004</v>
      </c>
      <c r="F47" s="54">
        <v>-77380</v>
      </c>
      <c r="G47" s="54">
        <v>-110080</v>
      </c>
      <c r="H47" s="54">
        <v>-134760</v>
      </c>
      <c r="I47" s="54">
        <v>-179685</v>
      </c>
      <c r="J47" s="54">
        <v>-207033</v>
      </c>
      <c r="K47" s="54">
        <v>-268929</v>
      </c>
      <c r="L47" s="55">
        <v>-294265</v>
      </c>
      <c r="M47" s="55">
        <v>-15801</v>
      </c>
      <c r="N47" s="42">
        <v>-99490</v>
      </c>
      <c r="O47" s="42">
        <v>-91883</v>
      </c>
      <c r="P47" s="42">
        <v>-108127</v>
      </c>
      <c r="Q47" s="43">
        <v>61985</v>
      </c>
      <c r="R47" s="43">
        <v>-159779</v>
      </c>
      <c r="S47" s="43">
        <v>-282430</v>
      </c>
      <c r="T47" s="43">
        <v>-391769</v>
      </c>
      <c r="U47" s="41"/>
      <c r="V47" s="41"/>
    </row>
    <row r="48" spans="1:22" ht="17" x14ac:dyDescent="0.2">
      <c r="A48" s="12" t="s">
        <v>34</v>
      </c>
      <c r="B48" s="56">
        <f t="shared" ref="B48:J48" si="54">B46+B47</f>
        <v>37696</v>
      </c>
      <c r="C48" s="56">
        <f t="shared" si="54"/>
        <v>141423</v>
      </c>
      <c r="D48" s="56">
        <f t="shared" si="54"/>
        <v>70563</v>
      </c>
      <c r="E48" s="56">
        <f t="shared" si="54"/>
        <v>78202</v>
      </c>
      <c r="F48" s="56">
        <f t="shared" si="54"/>
        <v>126845</v>
      </c>
      <c r="G48" s="56">
        <f t="shared" si="54"/>
        <v>178981</v>
      </c>
      <c r="H48" s="56">
        <f t="shared" si="54"/>
        <v>214945</v>
      </c>
      <c r="I48" s="56">
        <f t="shared" si="54"/>
        <v>278000</v>
      </c>
      <c r="J48" s="56">
        <f t="shared" si="54"/>
        <v>327438</v>
      </c>
      <c r="K48" s="56">
        <f t="shared" ref="K48:L48" si="55">K46+K47</f>
        <v>445374</v>
      </c>
      <c r="L48" s="56">
        <f t="shared" si="55"/>
        <v>475602</v>
      </c>
      <c r="M48" s="56">
        <f t="shared" ref="M48" si="56">M46+M47</f>
        <v>22938</v>
      </c>
      <c r="N48" s="44">
        <f t="shared" ref="N48:P48" si="57">N46+N47</f>
        <v>176241</v>
      </c>
      <c r="O48" s="44">
        <f t="shared" si="57"/>
        <v>176568</v>
      </c>
      <c r="P48" s="44">
        <f t="shared" si="57"/>
        <v>350158</v>
      </c>
      <c r="Q48" s="44">
        <f>Q46+Q47</f>
        <v>355766</v>
      </c>
      <c r="R48" s="44">
        <f t="shared" ref="R48" si="58">R46+R47</f>
        <v>652984</v>
      </c>
      <c r="S48" s="44">
        <f t="shared" ref="S48" si="59">S46+S47</f>
        <v>899101</v>
      </c>
      <c r="T48" s="44">
        <f t="shared" ref="T48:V48" si="60">T46+T47</f>
        <v>1228737</v>
      </c>
      <c r="U48" s="44">
        <f t="shared" si="60"/>
        <v>0</v>
      </c>
      <c r="V48" s="44">
        <f t="shared" si="60"/>
        <v>0</v>
      </c>
    </row>
    <row r="49" spans="1:23" x14ac:dyDescent="0.2">
      <c r="A49" s="3"/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4"/>
      <c r="O49" s="24"/>
      <c r="P49" s="24"/>
      <c r="Q49" s="29"/>
      <c r="R49" s="30"/>
      <c r="S49" s="30"/>
      <c r="T49" s="30"/>
      <c r="U49" s="30"/>
      <c r="V49" s="30"/>
    </row>
    <row r="50" spans="1:23" ht="17" x14ac:dyDescent="0.2">
      <c r="A50" s="3" t="s">
        <v>49</v>
      </c>
      <c r="B50" s="49">
        <f t="shared" ref="B50:J50" si="61">B48/B51</f>
        <v>1.4292864184424054</v>
      </c>
      <c r="C50" s="49">
        <f t="shared" si="61"/>
        <v>4.356168181118127</v>
      </c>
      <c r="D50" s="49">
        <f t="shared" si="61"/>
        <v>2.1288541603813433</v>
      </c>
      <c r="E50" s="49">
        <f t="shared" si="61"/>
        <v>2.3593193748868644</v>
      </c>
      <c r="F50" s="49">
        <f t="shared" si="61"/>
        <v>3.9513114447697961</v>
      </c>
      <c r="G50" s="49">
        <f t="shared" si="61"/>
        <v>5.6398613518197571</v>
      </c>
      <c r="H50" s="49">
        <f t="shared" si="61"/>
        <v>6.764594807238395</v>
      </c>
      <c r="I50" s="49">
        <f t="shared" si="61"/>
        <v>8.7468143347072331</v>
      </c>
      <c r="J50" s="49">
        <f t="shared" si="61"/>
        <v>10.467632108947925</v>
      </c>
      <c r="K50" s="49">
        <f t="shared" ref="K50" si="62">K48/K51</f>
        <v>14.133472962680884</v>
      </c>
      <c r="L50" s="49">
        <f t="shared" ref="L50" si="63">L48/L51</f>
        <v>15.101352638597827</v>
      </c>
      <c r="M50" s="49">
        <f t="shared" ref="M50" si="64">M48/M51</f>
        <v>0.77050722203560629</v>
      </c>
      <c r="N50" s="49">
        <f t="shared" ref="N50:P50" si="65">N48/N51</f>
        <v>6.1706873008648158</v>
      </c>
      <c r="O50" s="49">
        <f t="shared" si="65"/>
        <v>6.3145697732637149</v>
      </c>
      <c r="P50" s="49">
        <f t="shared" si="65"/>
        <v>12.375260646757377</v>
      </c>
      <c r="Q50" s="49">
        <f>Q48/Q51</f>
        <v>12.519918355855856</v>
      </c>
      <c r="R50" s="49">
        <f t="shared" ref="R50:V50" si="66">R48/R51</f>
        <v>22.902879590333555</v>
      </c>
      <c r="S50" s="49">
        <f t="shared" si="66"/>
        <v>32.039804718124152</v>
      </c>
      <c r="T50" s="49">
        <f t="shared" si="66"/>
        <v>44.342728256946948</v>
      </c>
      <c r="U50" s="49">
        <f t="shared" si="66"/>
        <v>0</v>
      </c>
      <c r="V50" s="49">
        <f t="shared" si="66"/>
        <v>0</v>
      </c>
      <c r="W50" s="49"/>
    </row>
    <row r="51" spans="1:23" ht="17" x14ac:dyDescent="0.2">
      <c r="A51" s="3" t="s">
        <v>50</v>
      </c>
      <c r="B51" s="24">
        <v>26374</v>
      </c>
      <c r="C51" s="24">
        <v>32465</v>
      </c>
      <c r="D51" s="26">
        <v>33146</v>
      </c>
      <c r="E51" s="26">
        <v>33146</v>
      </c>
      <c r="F51" s="26">
        <v>32102</v>
      </c>
      <c r="G51" s="26">
        <v>31735</v>
      </c>
      <c r="H51" s="26">
        <v>31775</v>
      </c>
      <c r="I51" s="26">
        <v>31783</v>
      </c>
      <c r="J51" s="26">
        <v>31281</v>
      </c>
      <c r="K51" s="26">
        <v>31512</v>
      </c>
      <c r="L51" s="26">
        <v>31494</v>
      </c>
      <c r="M51" s="26">
        <v>29770</v>
      </c>
      <c r="N51" s="24">
        <v>28561</v>
      </c>
      <c r="O51" s="24">
        <v>27962</v>
      </c>
      <c r="P51" s="24">
        <v>28295</v>
      </c>
      <c r="Q51" s="64">
        <v>28416</v>
      </c>
      <c r="R51" s="64">
        <v>28511</v>
      </c>
      <c r="S51" s="64">
        <v>28062</v>
      </c>
      <c r="T51" s="64">
        <v>27710</v>
      </c>
      <c r="U51" s="64">
        <v>27710</v>
      </c>
      <c r="V51" s="64">
        <v>27710</v>
      </c>
    </row>
    <row r="52" spans="1:23" x14ac:dyDescent="0.2">
      <c r="A52" s="4"/>
      <c r="B52" s="28"/>
      <c r="C52" s="28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8"/>
      <c r="O52" s="28"/>
      <c r="P52" s="28"/>
      <c r="Q52" s="26"/>
      <c r="R52" s="26"/>
      <c r="S52" s="50"/>
      <c r="T52" s="26"/>
      <c r="U52" s="26"/>
      <c r="V52" s="51"/>
    </row>
    <row r="53" spans="1:23" x14ac:dyDescent="0.2">
      <c r="A53" s="4" t="s">
        <v>35</v>
      </c>
      <c r="B53" s="28"/>
      <c r="C53" s="28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8"/>
      <c r="O53" s="28"/>
      <c r="P53" s="28"/>
      <c r="Q53" s="26"/>
      <c r="R53" s="26"/>
      <c r="S53" s="50"/>
      <c r="T53" s="26"/>
      <c r="U53" s="26"/>
      <c r="V53" s="51"/>
    </row>
    <row r="54" spans="1:23" ht="17" x14ac:dyDescent="0.2">
      <c r="A54" s="3" t="s">
        <v>36</v>
      </c>
      <c r="B54" s="52">
        <f t="shared" ref="B54:J54" si="67">((B32-B35-B36-B37)/B32)*100%</f>
        <v>0.31711261042385236</v>
      </c>
      <c r="C54" s="52">
        <f t="shared" si="67"/>
        <v>0.45568152819802415</v>
      </c>
      <c r="D54" s="52">
        <f t="shared" si="67"/>
        <v>0.34452680188104057</v>
      </c>
      <c r="E54" s="52">
        <f t="shared" si="67"/>
        <v>0.33855543076109934</v>
      </c>
      <c r="F54" s="52">
        <f t="shared" si="67"/>
        <v>0.3642609375421903</v>
      </c>
      <c r="G54" s="52">
        <f t="shared" si="67"/>
        <v>0.37709063892692607</v>
      </c>
      <c r="H54" s="52">
        <f t="shared" si="67"/>
        <v>0.37030941843926635</v>
      </c>
      <c r="I54" s="52">
        <f t="shared" si="67"/>
        <v>0.37600357934757456</v>
      </c>
      <c r="J54" s="52">
        <f t="shared" si="67"/>
        <v>0.37397292532704784</v>
      </c>
      <c r="K54" s="52">
        <f>((K32-K35-K36-K38)/K32)*100%</f>
        <v>0.32827061713826433</v>
      </c>
      <c r="L54" s="52">
        <f t="shared" ref="L54:V54" si="68">((L32-L35-L36-L37)/L32)*100%</f>
        <v>0.3752868942507403</v>
      </c>
      <c r="M54" s="52">
        <f t="shared" si="68"/>
        <v>0.29202224986066944</v>
      </c>
      <c r="N54" s="52">
        <f t="shared" si="68"/>
        <v>0.3145045125547315</v>
      </c>
      <c r="O54" s="52">
        <f t="shared" si="68"/>
        <v>0.32703761562178829</v>
      </c>
      <c r="P54" s="52">
        <f t="shared" si="68"/>
        <v>0.34070806994668629</v>
      </c>
      <c r="Q54" s="52">
        <f t="shared" si="68"/>
        <v>0.34606844796189706</v>
      </c>
      <c r="R54" s="52">
        <f t="shared" si="68"/>
        <v>0.38479389526598501</v>
      </c>
      <c r="S54" s="52">
        <f t="shared" si="68"/>
        <v>0.39075390646895786</v>
      </c>
      <c r="T54" s="52">
        <f t="shared" si="68"/>
        <v>0.40670398633500848</v>
      </c>
      <c r="U54" s="52" t="e">
        <f t="shared" si="68"/>
        <v>#DIV/0!</v>
      </c>
      <c r="V54" s="52" t="e">
        <f t="shared" si="68"/>
        <v>#DIV/0!</v>
      </c>
    </row>
    <row r="55" spans="1:23" ht="17" x14ac:dyDescent="0.2">
      <c r="A55" s="3" t="s">
        <v>37</v>
      </c>
      <c r="B55" s="52">
        <f t="shared" ref="B55:K55" si="69">(B44/B32)*100%</f>
        <v>4.9377484287751218E-2</v>
      </c>
      <c r="C55" s="52">
        <f t="shared" si="69"/>
        <v>0.19679924173380481</v>
      </c>
      <c r="D55" s="52">
        <f t="shared" si="69"/>
        <v>9.9636022700689456E-2</v>
      </c>
      <c r="E55" s="52">
        <f t="shared" si="69"/>
        <v>9.312460960023064E-2</v>
      </c>
      <c r="F55" s="52">
        <f t="shared" si="69"/>
        <v>0.13415616395232666</v>
      </c>
      <c r="G55" s="52">
        <f t="shared" si="69"/>
        <v>0.15677735764373432</v>
      </c>
      <c r="H55" s="52">
        <f t="shared" si="69"/>
        <v>0.15446335569902025</v>
      </c>
      <c r="I55" s="52">
        <f t="shared" si="69"/>
        <v>0.16690868270050352</v>
      </c>
      <c r="J55" s="52">
        <f t="shared" si="69"/>
        <v>0.16571937145347573</v>
      </c>
      <c r="K55" s="52">
        <f t="shared" si="69"/>
        <v>0.17301690809438233</v>
      </c>
      <c r="L55" s="52">
        <f t="shared" ref="L55:V55" si="70">(L44/L32)*100%</f>
        <v>0.16964033996982597</v>
      </c>
      <c r="M55" s="52">
        <f t="shared" si="70"/>
        <v>8.8533812247975612E-3</v>
      </c>
      <c r="N55" s="52">
        <f t="shared" si="70"/>
        <v>6.0491019569296756E-2</v>
      </c>
      <c r="O55" s="52">
        <f t="shared" si="70"/>
        <v>5.3110585817060636E-2</v>
      </c>
      <c r="P55" s="52">
        <f t="shared" si="70"/>
        <v>7.9471656813218036E-2</v>
      </c>
      <c r="Q55" s="52">
        <f t="shared" si="70"/>
        <v>4.8484836332514235E-2</v>
      </c>
      <c r="R55" s="52">
        <f t="shared" si="70"/>
        <v>0.10665648521987565</v>
      </c>
      <c r="S55" s="52">
        <f t="shared" si="70"/>
        <v>0.13438908713402695</v>
      </c>
      <c r="T55" s="52">
        <f t="shared" si="70"/>
        <v>0.15780676561737558</v>
      </c>
      <c r="U55" s="52" t="e">
        <f t="shared" si="70"/>
        <v>#DIV/0!</v>
      </c>
      <c r="V55" s="52" t="e">
        <f t="shared" si="70"/>
        <v>#DIV/0!</v>
      </c>
    </row>
    <row r="56" spans="1:23" ht="17" x14ac:dyDescent="0.2">
      <c r="A56" s="3" t="s">
        <v>38</v>
      </c>
      <c r="B56" s="52">
        <f t="shared" ref="B56:K56" si="71">(B48/B32)*100%</f>
        <v>6.0054644373461634E-2</v>
      </c>
      <c r="C56" s="52">
        <f t="shared" si="71"/>
        <v>0.17185301301447267</v>
      </c>
      <c r="D56" s="52">
        <f t="shared" si="71"/>
        <v>6.4988183631705082E-2</v>
      </c>
      <c r="E56" s="52">
        <f t="shared" si="71"/>
        <v>5.8711620699596387E-2</v>
      </c>
      <c r="F56" s="52">
        <f t="shared" si="71"/>
        <v>8.3537657968792506E-2</v>
      </c>
      <c r="G56" s="52">
        <f t="shared" si="71"/>
        <v>9.7488346454805808E-2</v>
      </c>
      <c r="H56" s="52">
        <f t="shared" si="71"/>
        <v>9.4708285526457256E-2</v>
      </c>
      <c r="I56" s="52">
        <f t="shared" si="71"/>
        <v>0.10178586597071496</v>
      </c>
      <c r="J56" s="52">
        <f t="shared" si="71"/>
        <v>0.10185992557062469</v>
      </c>
      <c r="K56" s="52">
        <f t="shared" si="71"/>
        <v>0.10840916210696037</v>
      </c>
      <c r="L56" s="52">
        <f t="shared" ref="L56:V56" si="72">(L48/L32)*100%</f>
        <v>0.10566061712561231</v>
      </c>
      <c r="M56" s="52">
        <f t="shared" si="72"/>
        <v>5.8749344326787531E-3</v>
      </c>
      <c r="N56" s="52">
        <f t="shared" si="72"/>
        <v>3.9371146456974357E-2</v>
      </c>
      <c r="O56" s="52">
        <f t="shared" si="72"/>
        <v>3.6293525179856116E-2</v>
      </c>
      <c r="P56" s="52">
        <f t="shared" si="72"/>
        <v>6.2680786034721298E-2</v>
      </c>
      <c r="Q56" s="52">
        <f t="shared" si="72"/>
        <v>5.9446576014506487E-2</v>
      </c>
      <c r="R56" s="52">
        <f t="shared" si="72"/>
        <v>8.6521627425563408E-2</v>
      </c>
      <c r="S56" s="52">
        <f t="shared" si="72"/>
        <v>0.1041270684678433</v>
      </c>
      <c r="T56" s="52">
        <f t="shared" si="72"/>
        <v>0.12447130160320732</v>
      </c>
      <c r="U56" s="52" t="e">
        <f t="shared" si="72"/>
        <v>#DIV/0!</v>
      </c>
      <c r="V56" s="52" t="e">
        <f t="shared" si="72"/>
        <v>#DIV/0!</v>
      </c>
    </row>
    <row r="57" spans="1:23" ht="17" x14ac:dyDescent="0.2">
      <c r="A57" s="3" t="s">
        <v>39</v>
      </c>
      <c r="B57" s="41">
        <f t="shared" ref="B57:V57" si="73">B30/B10</f>
        <v>0</v>
      </c>
      <c r="C57" s="41">
        <f t="shared" si="73"/>
        <v>0</v>
      </c>
      <c r="D57" s="41">
        <f t="shared" si="73"/>
        <v>0</v>
      </c>
      <c r="E57" s="41">
        <f t="shared" si="73"/>
        <v>0</v>
      </c>
      <c r="F57" s="41">
        <f t="shared" si="73"/>
        <v>0</v>
      </c>
      <c r="G57" s="41">
        <f t="shared" si="73"/>
        <v>0</v>
      </c>
      <c r="H57" s="41">
        <f t="shared" si="73"/>
        <v>0</v>
      </c>
      <c r="I57" s="41">
        <f t="shared" si="73"/>
        <v>0</v>
      </c>
      <c r="J57" s="41">
        <f t="shared" si="73"/>
        <v>0</v>
      </c>
      <c r="K57" s="41">
        <f t="shared" si="73"/>
        <v>0</v>
      </c>
      <c r="L57" s="41">
        <f t="shared" si="73"/>
        <v>0</v>
      </c>
      <c r="M57" s="41">
        <f t="shared" si="73"/>
        <v>0</v>
      </c>
      <c r="N57" s="41">
        <f t="shared" si="73"/>
        <v>0</v>
      </c>
      <c r="O57" s="41">
        <f t="shared" si="73"/>
        <v>0</v>
      </c>
      <c r="P57" s="41">
        <f t="shared" si="73"/>
        <v>2120.9138062547672</v>
      </c>
      <c r="Q57" s="41">
        <f t="shared" si="73"/>
        <v>2138.9252167630057</v>
      </c>
      <c r="R57" s="41">
        <f t="shared" si="73"/>
        <v>2514.2174645987861</v>
      </c>
      <c r="S57" s="41">
        <f t="shared" si="73"/>
        <v>2685.2842798870411</v>
      </c>
      <c r="T57" s="41">
        <f t="shared" si="73"/>
        <v>2852.5237125400058</v>
      </c>
      <c r="U57" s="41" t="e">
        <f t="shared" si="73"/>
        <v>#DIV/0!</v>
      </c>
      <c r="V57" s="41" t="e">
        <f t="shared" si="73"/>
        <v>#DIV/0!</v>
      </c>
    </row>
    <row r="58" spans="1:23" ht="17" x14ac:dyDescent="0.2">
      <c r="A58" s="3" t="s">
        <v>40</v>
      </c>
      <c r="B58" s="41">
        <f t="shared" ref="B58:V58" si="74">B31/B10</f>
        <v>0</v>
      </c>
      <c r="C58" s="41">
        <f t="shared" si="74"/>
        <v>0</v>
      </c>
      <c r="D58" s="41">
        <f t="shared" si="74"/>
        <v>0</v>
      </c>
      <c r="E58" s="41">
        <f t="shared" si="74"/>
        <v>0</v>
      </c>
      <c r="F58" s="41">
        <f t="shared" si="74"/>
        <v>0</v>
      </c>
      <c r="G58" s="41">
        <f t="shared" si="74"/>
        <v>0</v>
      </c>
      <c r="H58" s="41">
        <f t="shared" si="74"/>
        <v>0</v>
      </c>
      <c r="I58" s="41">
        <f t="shared" si="74"/>
        <v>0</v>
      </c>
      <c r="J58" s="41">
        <f t="shared" si="74"/>
        <v>0</v>
      </c>
      <c r="K58" s="41">
        <f t="shared" si="74"/>
        <v>0</v>
      </c>
      <c r="L58" s="41">
        <f t="shared" si="74"/>
        <v>0</v>
      </c>
      <c r="M58" s="41">
        <f t="shared" si="74"/>
        <v>0</v>
      </c>
      <c r="N58" s="41">
        <f t="shared" si="74"/>
        <v>0</v>
      </c>
      <c r="O58" s="41">
        <f t="shared" si="74"/>
        <v>0</v>
      </c>
      <c r="P58" s="41">
        <f t="shared" si="74"/>
        <v>9.6617086193745241</v>
      </c>
      <c r="Q58" s="41">
        <f t="shared" si="74"/>
        <v>23.153540462427745</v>
      </c>
      <c r="R58" s="41">
        <f t="shared" si="74"/>
        <v>30.307484828051248</v>
      </c>
      <c r="S58" s="41">
        <f t="shared" si="74"/>
        <v>24.051145277690619</v>
      </c>
      <c r="T58" s="41">
        <f t="shared" si="74"/>
        <v>19.646494035496072</v>
      </c>
      <c r="U58" s="41" t="e">
        <f t="shared" si="74"/>
        <v>#DIV/0!</v>
      </c>
      <c r="V58" s="41" t="e">
        <f t="shared" si="74"/>
        <v>#DIV/0!</v>
      </c>
    </row>
    <row r="59" spans="1:23" ht="17" x14ac:dyDescent="0.2">
      <c r="A59" s="3" t="s">
        <v>41</v>
      </c>
      <c r="B59" s="43">
        <f t="shared" ref="B59:V59" si="75">B32/B10</f>
        <v>1304.9792099792101</v>
      </c>
      <c r="C59" s="43">
        <f t="shared" si="75"/>
        <v>1436.1780104712043</v>
      </c>
      <c r="D59" s="43">
        <f t="shared" si="75"/>
        <v>1542.3039772727273</v>
      </c>
      <c r="E59" s="43">
        <f t="shared" si="75"/>
        <v>1591.3596176821984</v>
      </c>
      <c r="F59" s="43">
        <f t="shared" si="75"/>
        <v>1588.3023012552301</v>
      </c>
      <c r="G59" s="43">
        <f t="shared" si="75"/>
        <v>1693.6549815498156</v>
      </c>
      <c r="H59" s="43">
        <f t="shared" si="75"/>
        <v>1845.1609756097562</v>
      </c>
      <c r="I59" s="43">
        <f t="shared" si="75"/>
        <v>1937.0382978723405</v>
      </c>
      <c r="J59" s="43">
        <f t="shared" si="75"/>
        <v>2015.4175548589342</v>
      </c>
      <c r="K59" s="43">
        <f t="shared" si="75"/>
        <v>2304.1329220415032</v>
      </c>
      <c r="L59" s="43">
        <f t="shared" si="75"/>
        <v>2239.4144278606964</v>
      </c>
      <c r="M59" s="43">
        <f t="shared" si="75"/>
        <v>1735.2817777777777</v>
      </c>
      <c r="N59" s="43">
        <f t="shared" si="75"/>
        <v>1847.4618241848948</v>
      </c>
      <c r="O59" s="43">
        <f t="shared" si="75"/>
        <v>1948.3380056067281</v>
      </c>
      <c r="P59" s="43">
        <f t="shared" si="75"/>
        <v>2130.5755148741418</v>
      </c>
      <c r="Q59" s="43">
        <f t="shared" si="75"/>
        <v>2162.0787572254335</v>
      </c>
      <c r="R59" s="43">
        <f t="shared" si="75"/>
        <v>2544.5249494268373</v>
      </c>
      <c r="S59" s="43">
        <f t="shared" si="75"/>
        <v>2709.3354251647315</v>
      </c>
      <c r="T59" s="43">
        <f t="shared" si="75"/>
        <v>2872.1702065755021</v>
      </c>
      <c r="U59" s="43" t="e">
        <f t="shared" si="75"/>
        <v>#DIV/0!</v>
      </c>
      <c r="V59" s="43" t="e">
        <f t="shared" si="75"/>
        <v>#DIV/0!</v>
      </c>
    </row>
    <row r="60" spans="1:23" x14ac:dyDescent="0.2"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</row>
    <row r="62" spans="1:23" ht="17" x14ac:dyDescent="0.2">
      <c r="A62" s="7" t="s">
        <v>192</v>
      </c>
      <c r="C62" s="93">
        <f>C10/B10-1</f>
        <v>0.19126819126819128</v>
      </c>
      <c r="D62" s="93">
        <f t="shared" ref="D62:V62" si="76">D10/C10-1</f>
        <v>0.22862129144851662</v>
      </c>
      <c r="E62" s="93">
        <f t="shared" si="76"/>
        <v>0.18892045454545459</v>
      </c>
      <c r="F62" s="93">
        <f t="shared" si="76"/>
        <v>0.14217443249701311</v>
      </c>
      <c r="G62" s="93">
        <f t="shared" si="76"/>
        <v>0.13389121338912124</v>
      </c>
      <c r="H62" s="93">
        <f t="shared" si="76"/>
        <v>0.1346863468634687</v>
      </c>
      <c r="I62" s="93">
        <f t="shared" si="76"/>
        <v>0.14634146341463405</v>
      </c>
      <c r="J62" s="93">
        <f t="shared" si="76"/>
        <v>0.13120567375886516</v>
      </c>
      <c r="K62" s="93">
        <f t="shared" si="76"/>
        <v>0.11786833855799372</v>
      </c>
      <c r="L62" s="93">
        <f t="shared" si="76"/>
        <v>0.12731351654514866</v>
      </c>
      <c r="M62" s="93">
        <f t="shared" si="76"/>
        <v>0.11940298507462677</v>
      </c>
      <c r="N62" s="93">
        <f t="shared" si="76"/>
        <v>7.6888888888888784E-2</v>
      </c>
      <c r="O62" s="93">
        <f t="shared" si="76"/>
        <v>3.0540652084193098E-2</v>
      </c>
      <c r="P62" s="93">
        <f t="shared" si="76"/>
        <v>5.0060072086503871E-2</v>
      </c>
      <c r="Q62" s="93">
        <f t="shared" si="76"/>
        <v>5.5682684973302754E-2</v>
      </c>
      <c r="R62" s="93">
        <f t="shared" si="76"/>
        <v>7.1531791907514464E-2</v>
      </c>
      <c r="S62" s="93">
        <f t="shared" si="76"/>
        <v>7.4511126095751834E-2</v>
      </c>
      <c r="T62" s="93">
        <f t="shared" si="76"/>
        <v>7.8443677439598458E-2</v>
      </c>
      <c r="U62" s="93"/>
      <c r="V62" s="93" t="e">
        <f t="shared" si="76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520C-009C-0F42-83B6-A6E5E94FEEEB}">
  <dimension ref="A1:T42"/>
  <sheetViews>
    <sheetView zoomScale="75" workbookViewId="0">
      <pane xSplit="1" ySplit="1" topLeftCell="B14" activePane="bottomRight" state="frozen"/>
      <selection pane="topRight" activeCell="B1" sqref="B1"/>
      <selection pane="bottomLeft" activeCell="A2" sqref="A2"/>
      <selection pane="bottomRight" sqref="A1:XFD41"/>
    </sheetView>
  </sheetViews>
  <sheetFormatPr baseColWidth="10" defaultRowHeight="16" x14ac:dyDescent="0.2"/>
  <cols>
    <col min="1" max="1" width="31" bestFit="1" customWidth="1"/>
    <col min="2" max="5" width="9.33203125" style="25" bestFit="1" customWidth="1"/>
    <col min="6" max="6" width="10" style="25" bestFit="1" customWidth="1"/>
    <col min="7" max="8" width="10.83203125" style="25" bestFit="1" customWidth="1"/>
    <col min="9" max="10" width="12.1640625" style="25" bestFit="1" customWidth="1"/>
    <col min="11" max="11" width="12.6640625" style="25" bestFit="1" customWidth="1"/>
    <col min="12" max="12" width="13.33203125" style="25" bestFit="1" customWidth="1"/>
    <col min="13" max="20" width="11.6640625" style="25" bestFit="1" customWidth="1"/>
  </cols>
  <sheetData>
    <row r="1" spans="1:20" ht="32" x14ac:dyDescent="0.2">
      <c r="A1" s="60" t="s">
        <v>53</v>
      </c>
      <c r="B1" s="77">
        <f t="shared" ref="B1:F1" si="0">C1-1</f>
        <v>2005</v>
      </c>
      <c r="C1" s="77">
        <f t="shared" si="0"/>
        <v>2006</v>
      </c>
      <c r="D1" s="77">
        <f t="shared" si="0"/>
        <v>2007</v>
      </c>
      <c r="E1" s="77">
        <f t="shared" si="0"/>
        <v>2008</v>
      </c>
      <c r="F1" s="77">
        <f t="shared" si="0"/>
        <v>2009</v>
      </c>
      <c r="G1" s="77">
        <f t="shared" ref="G1:H1" si="1">H1-1</f>
        <v>2010</v>
      </c>
      <c r="H1" s="77">
        <f t="shared" si="1"/>
        <v>2011</v>
      </c>
      <c r="I1" s="77">
        <f>J1-1</f>
        <v>2012</v>
      </c>
      <c r="J1" s="77">
        <f>K1-1</f>
        <v>2013</v>
      </c>
      <c r="K1" s="60">
        <f t="shared" ref="K1:R1" si="2">L1-1</f>
        <v>2014</v>
      </c>
      <c r="L1" s="60">
        <f t="shared" si="2"/>
        <v>2015</v>
      </c>
      <c r="M1" s="60">
        <f t="shared" si="2"/>
        <v>2016</v>
      </c>
      <c r="N1" s="60">
        <f t="shared" si="2"/>
        <v>2017</v>
      </c>
      <c r="O1" s="60">
        <f t="shared" si="2"/>
        <v>2018</v>
      </c>
      <c r="P1" s="60">
        <f t="shared" si="2"/>
        <v>2019</v>
      </c>
      <c r="Q1" s="60">
        <f t="shared" si="2"/>
        <v>2020</v>
      </c>
      <c r="R1" s="60">
        <f t="shared" si="2"/>
        <v>2021</v>
      </c>
      <c r="S1" s="60">
        <f>T1-1</f>
        <v>2022</v>
      </c>
      <c r="T1" s="60">
        <v>2023</v>
      </c>
    </row>
    <row r="2" spans="1:20" x14ac:dyDescent="0.2">
      <c r="A2" s="61" t="s">
        <v>54</v>
      </c>
      <c r="B2" s="60"/>
      <c r="C2" s="60"/>
      <c r="D2" s="60"/>
      <c r="E2" s="77"/>
      <c r="F2" s="77"/>
      <c r="G2" s="77"/>
      <c r="H2" s="77"/>
      <c r="I2" s="77"/>
      <c r="J2" s="77"/>
      <c r="S2" s="78" t="s">
        <v>55</v>
      </c>
      <c r="T2" s="78" t="s">
        <v>55</v>
      </c>
    </row>
    <row r="3" spans="1:20" x14ac:dyDescent="0.2">
      <c r="A3" s="62" t="s">
        <v>56</v>
      </c>
      <c r="B3" s="82">
        <v>61</v>
      </c>
      <c r="C3" s="82">
        <v>153642</v>
      </c>
      <c r="D3" s="82">
        <v>151176</v>
      </c>
      <c r="E3" s="82">
        <v>88044</v>
      </c>
      <c r="F3" s="82">
        <v>219566</v>
      </c>
      <c r="G3" s="82">
        <v>224838</v>
      </c>
      <c r="H3" s="82">
        <v>401243</v>
      </c>
      <c r="I3" s="83">
        <v>322553</v>
      </c>
      <c r="J3" s="83">
        <v>323203</v>
      </c>
      <c r="K3" s="54">
        <v>419465</v>
      </c>
      <c r="L3" s="54">
        <v>248005</v>
      </c>
      <c r="M3" s="84">
        <v>87880</v>
      </c>
      <c r="N3" s="84">
        <v>184569</v>
      </c>
      <c r="O3" s="84">
        <v>249953</v>
      </c>
      <c r="P3" s="84">
        <v>480626</v>
      </c>
      <c r="Q3" s="84">
        <v>607987</v>
      </c>
      <c r="R3" s="84">
        <v>815374</v>
      </c>
      <c r="S3" s="84">
        <v>384000</v>
      </c>
      <c r="T3" s="84">
        <v>560609</v>
      </c>
    </row>
    <row r="4" spans="1:20" x14ac:dyDescent="0.2">
      <c r="A4" s="62" t="s">
        <v>57</v>
      </c>
      <c r="B4" s="82">
        <f>1933+2248</f>
        <v>4181</v>
      </c>
      <c r="C4" s="82">
        <f>4865+8783</f>
        <v>13648</v>
      </c>
      <c r="D4" s="82">
        <v>5373</v>
      </c>
      <c r="E4" s="82">
        <v>3643</v>
      </c>
      <c r="F4" s="82">
        <v>4763</v>
      </c>
      <c r="G4" s="82">
        <v>5658</v>
      </c>
      <c r="H4" s="82">
        <v>8389</v>
      </c>
      <c r="I4" s="83">
        <v>16800</v>
      </c>
      <c r="J4" s="83">
        <v>24016</v>
      </c>
      <c r="K4" s="54">
        <v>34839</v>
      </c>
      <c r="L4" s="54">
        <v>38283</v>
      </c>
      <c r="M4" s="84">
        <v>40451</v>
      </c>
      <c r="N4" s="84">
        <v>40453</v>
      </c>
      <c r="O4" s="84">
        <v>62312</v>
      </c>
      <c r="P4" s="84">
        <v>80545</v>
      </c>
      <c r="Q4" s="84">
        <v>104500</v>
      </c>
      <c r="R4" s="84">
        <v>99599</v>
      </c>
      <c r="S4" s="84">
        <v>106880</v>
      </c>
      <c r="T4" s="84">
        <v>115535</v>
      </c>
    </row>
    <row r="5" spans="1:20" x14ac:dyDescent="0.2">
      <c r="A5" s="62" t="s">
        <v>58</v>
      </c>
      <c r="B5" s="82">
        <v>2625</v>
      </c>
      <c r="C5" s="82">
        <v>3505</v>
      </c>
      <c r="D5" s="82">
        <v>4332</v>
      </c>
      <c r="E5" s="82">
        <v>4789</v>
      </c>
      <c r="F5" s="82">
        <v>5614</v>
      </c>
      <c r="G5" s="82">
        <v>7098</v>
      </c>
      <c r="H5" s="82">
        <v>8913</v>
      </c>
      <c r="I5" s="83">
        <v>11096</v>
      </c>
      <c r="J5" s="83">
        <v>13044</v>
      </c>
      <c r="K5" s="54">
        <v>15332</v>
      </c>
      <c r="L5" s="54">
        <v>15043</v>
      </c>
      <c r="M5" s="84">
        <v>15019</v>
      </c>
      <c r="N5" s="84">
        <v>19860</v>
      </c>
      <c r="O5" s="84">
        <v>21555</v>
      </c>
      <c r="P5" s="84">
        <v>26096</v>
      </c>
      <c r="Q5" s="84">
        <v>26445</v>
      </c>
      <c r="R5" s="84">
        <v>32826</v>
      </c>
      <c r="S5" s="84">
        <v>35668</v>
      </c>
      <c r="T5" s="84">
        <v>39309</v>
      </c>
    </row>
    <row r="6" spans="1:20" ht="17" x14ac:dyDescent="0.2">
      <c r="A6" s="73" t="s">
        <v>153</v>
      </c>
      <c r="B6" s="83">
        <v>2346</v>
      </c>
      <c r="C6" s="83">
        <v>930</v>
      </c>
      <c r="D6" s="83">
        <v>2431</v>
      </c>
      <c r="E6" s="83">
        <v>2557</v>
      </c>
      <c r="F6" s="82">
        <v>3134</v>
      </c>
      <c r="G6" s="83">
        <v>4317</v>
      </c>
      <c r="H6" s="83">
        <v>6238</v>
      </c>
      <c r="I6" s="83">
        <v>8862</v>
      </c>
      <c r="J6" s="83">
        <v>13212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</row>
    <row r="7" spans="1:20" ht="32" x14ac:dyDescent="0.2">
      <c r="A7" s="62" t="s">
        <v>59</v>
      </c>
      <c r="B7" s="82">
        <v>8611</v>
      </c>
      <c r="C7" s="82">
        <v>7112</v>
      </c>
      <c r="D7" s="82">
        <v>8997</v>
      </c>
      <c r="E7" s="82">
        <v>11764</v>
      </c>
      <c r="F7" s="83">
        <v>14377</v>
      </c>
      <c r="G7" s="82">
        <v>16016</v>
      </c>
      <c r="H7" s="82">
        <v>21404</v>
      </c>
      <c r="I7" s="83">
        <v>27378</v>
      </c>
      <c r="J7" s="83">
        <v>34204</v>
      </c>
      <c r="K7" s="54">
        <v>34795</v>
      </c>
      <c r="L7" s="54">
        <v>39965</v>
      </c>
      <c r="M7" s="84">
        <v>44080</v>
      </c>
      <c r="N7" s="84">
        <v>50918</v>
      </c>
      <c r="O7" s="84">
        <v>54129</v>
      </c>
      <c r="P7" s="84">
        <v>57076</v>
      </c>
      <c r="Q7" s="84">
        <v>54906</v>
      </c>
      <c r="R7" s="84">
        <v>78756</v>
      </c>
      <c r="S7" s="84">
        <v>86412</v>
      </c>
      <c r="T7" s="84">
        <v>117462</v>
      </c>
    </row>
    <row r="8" spans="1:20" x14ac:dyDescent="0.2">
      <c r="A8" s="62" t="s">
        <v>60</v>
      </c>
      <c r="B8" s="82">
        <v>0</v>
      </c>
      <c r="C8" s="82">
        <v>0</v>
      </c>
      <c r="D8" s="82">
        <v>9535</v>
      </c>
      <c r="E8" s="82">
        <v>285</v>
      </c>
      <c r="F8" s="82">
        <v>0</v>
      </c>
      <c r="G8" s="82">
        <v>23528</v>
      </c>
      <c r="H8" s="82">
        <v>0</v>
      </c>
      <c r="I8" s="83">
        <v>9612</v>
      </c>
      <c r="J8" s="83">
        <v>3657</v>
      </c>
      <c r="K8" s="54">
        <v>16488</v>
      </c>
      <c r="L8" s="54">
        <v>58152</v>
      </c>
      <c r="M8" s="84">
        <v>5108</v>
      </c>
      <c r="N8" s="84">
        <v>9353</v>
      </c>
      <c r="O8" s="84">
        <v>0</v>
      </c>
      <c r="P8" s="84">
        <v>27705</v>
      </c>
      <c r="Q8" s="84">
        <v>282783</v>
      </c>
      <c r="R8" s="84">
        <v>94064</v>
      </c>
      <c r="S8" s="84">
        <v>47741</v>
      </c>
      <c r="T8" s="84">
        <v>52960</v>
      </c>
    </row>
    <row r="9" spans="1:20" x14ac:dyDescent="0.2">
      <c r="A9" s="62" t="s">
        <v>61</v>
      </c>
      <c r="B9" s="82">
        <v>0</v>
      </c>
      <c r="C9" s="82">
        <v>0</v>
      </c>
      <c r="D9" s="82">
        <v>20000</v>
      </c>
      <c r="E9" s="82">
        <v>99990</v>
      </c>
      <c r="F9" s="82">
        <v>50000</v>
      </c>
      <c r="G9" s="82">
        <v>124766</v>
      </c>
      <c r="H9" s="82">
        <v>55005</v>
      </c>
      <c r="I9" s="83">
        <v>150306</v>
      </c>
      <c r="J9" s="83">
        <v>254971</v>
      </c>
      <c r="K9" s="54">
        <v>338592</v>
      </c>
      <c r="L9" s="54">
        <v>415199</v>
      </c>
      <c r="M9" s="84">
        <v>329836</v>
      </c>
      <c r="N9" s="84">
        <v>324382</v>
      </c>
      <c r="O9" s="84">
        <v>426845</v>
      </c>
      <c r="P9" s="84">
        <v>400156</v>
      </c>
      <c r="Q9" s="84">
        <v>343616</v>
      </c>
      <c r="R9" s="84">
        <v>260945</v>
      </c>
      <c r="S9" s="84">
        <v>515136</v>
      </c>
      <c r="T9" s="84">
        <v>734838</v>
      </c>
    </row>
    <row r="10" spans="1:20" x14ac:dyDescent="0.2">
      <c r="A10" s="62" t="s">
        <v>62</v>
      </c>
      <c r="B10" s="82">
        <f t="shared" ref="B10:C10" si="3">SUM(B3:B9)</f>
        <v>17824</v>
      </c>
      <c r="C10" s="82">
        <f t="shared" si="3"/>
        <v>178837</v>
      </c>
      <c r="D10" s="82">
        <f t="shared" ref="D10" si="4">SUM(D3:D9)</f>
        <v>201844</v>
      </c>
      <c r="E10" s="82">
        <f t="shared" ref="E10:F10" si="5">SUM(E3:E9)</f>
        <v>211072</v>
      </c>
      <c r="F10" s="82">
        <f t="shared" si="5"/>
        <v>297454</v>
      </c>
      <c r="G10" s="82">
        <f>SUM(G3:G9)</f>
        <v>406221</v>
      </c>
      <c r="H10" s="82">
        <f>SUM(H3:H9)</f>
        <v>501192</v>
      </c>
      <c r="I10" s="82">
        <f t="shared" ref="I10:T10" si="6">SUM(I3:I9)</f>
        <v>546607</v>
      </c>
      <c r="J10" s="82">
        <f t="shared" si="6"/>
        <v>666307</v>
      </c>
      <c r="K10" s="82">
        <f t="shared" si="6"/>
        <v>859511</v>
      </c>
      <c r="L10" s="82">
        <f t="shared" si="6"/>
        <v>814647</v>
      </c>
      <c r="M10" s="82">
        <f t="shared" si="6"/>
        <v>522374</v>
      </c>
      <c r="N10" s="82">
        <f t="shared" si="6"/>
        <v>629535</v>
      </c>
      <c r="O10" s="82">
        <f t="shared" si="6"/>
        <v>814794</v>
      </c>
      <c r="P10" s="82">
        <f t="shared" si="6"/>
        <v>1072204</v>
      </c>
      <c r="Q10" s="82">
        <f t="shared" si="6"/>
        <v>1420237</v>
      </c>
      <c r="R10" s="82">
        <f t="shared" si="6"/>
        <v>1381564</v>
      </c>
      <c r="S10" s="82">
        <f t="shared" si="6"/>
        <v>1175837</v>
      </c>
      <c r="T10" s="82">
        <f t="shared" si="6"/>
        <v>1620713</v>
      </c>
    </row>
    <row r="11" spans="1:20" ht="32" x14ac:dyDescent="0.2">
      <c r="A11" s="62" t="s">
        <v>63</v>
      </c>
      <c r="B11" s="82">
        <v>340694</v>
      </c>
      <c r="C11" s="82">
        <v>404740</v>
      </c>
      <c r="D11" s="82">
        <v>494930</v>
      </c>
      <c r="E11" s="82">
        <v>585899</v>
      </c>
      <c r="F11" s="82">
        <v>636411</v>
      </c>
      <c r="G11" s="82">
        <v>676881</v>
      </c>
      <c r="H11" s="82">
        <v>751951</v>
      </c>
      <c r="I11" s="83">
        <v>866703</v>
      </c>
      <c r="J11" s="83">
        <v>963238</v>
      </c>
      <c r="K11" s="54">
        <v>1106984</v>
      </c>
      <c r="L11" s="54">
        <v>1217220</v>
      </c>
      <c r="M11" s="84">
        <v>1303558</v>
      </c>
      <c r="N11" s="84">
        <v>1338366</v>
      </c>
      <c r="O11" s="84">
        <v>1379254</v>
      </c>
      <c r="P11" s="84">
        <v>1458690</v>
      </c>
      <c r="Q11" s="84">
        <v>1584311</v>
      </c>
      <c r="R11" s="84">
        <v>1769278</v>
      </c>
      <c r="S11" s="84">
        <v>1951147</v>
      </c>
      <c r="T11" s="84">
        <v>2170038</v>
      </c>
    </row>
    <row r="12" spans="1:20" x14ac:dyDescent="0.2">
      <c r="A12" s="62" t="s">
        <v>64</v>
      </c>
      <c r="B12" s="82">
        <v>0</v>
      </c>
      <c r="C12" s="82">
        <v>0</v>
      </c>
      <c r="D12" s="82">
        <v>0</v>
      </c>
      <c r="E12" s="82">
        <v>0</v>
      </c>
      <c r="F12" s="82">
        <v>0</v>
      </c>
      <c r="G12" s="82">
        <v>0</v>
      </c>
      <c r="H12" s="82">
        <v>128241</v>
      </c>
      <c r="I12" s="83">
        <v>190868</v>
      </c>
      <c r="J12" s="83">
        <v>313863</v>
      </c>
      <c r="K12" s="54">
        <v>496106</v>
      </c>
      <c r="L12" s="54">
        <v>622939</v>
      </c>
      <c r="M12" s="84">
        <v>125055</v>
      </c>
      <c r="N12" s="84">
        <v>0</v>
      </c>
      <c r="O12" s="84">
        <v>0</v>
      </c>
      <c r="P12" s="84">
        <v>0</v>
      </c>
      <c r="Q12" s="84">
        <v>102328</v>
      </c>
      <c r="R12" s="84">
        <v>274311</v>
      </c>
      <c r="S12" s="84">
        <v>388055</v>
      </c>
      <c r="T12" s="84">
        <v>564488</v>
      </c>
    </row>
    <row r="13" spans="1:20" x14ac:dyDescent="0.2">
      <c r="A13" s="62" t="s">
        <v>65</v>
      </c>
      <c r="B13" s="82">
        <v>0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30199</v>
      </c>
      <c r="P13" s="84">
        <v>27855</v>
      </c>
      <c r="Q13" s="84">
        <v>27849</v>
      </c>
      <c r="R13" s="84">
        <v>30856</v>
      </c>
      <c r="S13" s="84">
        <v>24966</v>
      </c>
      <c r="T13" s="84">
        <v>25554</v>
      </c>
    </row>
    <row r="14" spans="1:20" x14ac:dyDescent="0.2">
      <c r="A14" s="62" t="s">
        <v>66</v>
      </c>
      <c r="B14" s="82">
        <v>0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  <c r="H14" s="82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  <c r="P14" s="84">
        <v>2505466</v>
      </c>
      <c r="Q14" s="84">
        <v>2767185</v>
      </c>
      <c r="R14" s="84">
        <v>3118294</v>
      </c>
      <c r="S14" s="84">
        <v>3302402</v>
      </c>
      <c r="T14" s="84">
        <v>3578548</v>
      </c>
    </row>
    <row r="15" spans="1:20" x14ac:dyDescent="0.2">
      <c r="A15" s="62" t="s">
        <v>67</v>
      </c>
      <c r="B15" s="82">
        <v>2653</v>
      </c>
      <c r="C15" s="82">
        <v>2893</v>
      </c>
      <c r="D15" s="82">
        <v>3402</v>
      </c>
      <c r="E15" s="82">
        <v>6075</v>
      </c>
      <c r="F15" s="82">
        <v>5701</v>
      </c>
      <c r="G15" s="82">
        <v>16564</v>
      </c>
      <c r="H15" s="82">
        <v>21985</v>
      </c>
      <c r="I15" s="83">
        <v>42550</v>
      </c>
      <c r="J15" s="83">
        <v>43933</v>
      </c>
      <c r="K15" s="54">
        <v>42777</v>
      </c>
      <c r="L15" s="54">
        <v>48321</v>
      </c>
      <c r="M15" s="84">
        <v>53177</v>
      </c>
      <c r="N15" s="84">
        <v>55852</v>
      </c>
      <c r="O15" s="84">
        <v>19332</v>
      </c>
      <c r="P15" s="84">
        <v>18450</v>
      </c>
      <c r="Q15" s="84">
        <v>59047</v>
      </c>
      <c r="R15" s="84">
        <v>56716</v>
      </c>
      <c r="S15" s="84">
        <v>63158</v>
      </c>
      <c r="T15" s="84">
        <v>63082</v>
      </c>
    </row>
    <row r="16" spans="1:20" x14ac:dyDescent="0.2">
      <c r="A16" s="81" t="s">
        <v>156</v>
      </c>
      <c r="B16" s="82">
        <v>13586</v>
      </c>
      <c r="C16" s="82"/>
      <c r="D16" s="82"/>
      <c r="E16" s="82"/>
      <c r="F16" s="82"/>
      <c r="G16" s="82"/>
      <c r="H16" s="82"/>
      <c r="I16" s="83"/>
      <c r="J16" s="83"/>
      <c r="K16" s="54"/>
      <c r="L16" s="54"/>
      <c r="M16" s="84"/>
      <c r="N16" s="84"/>
      <c r="O16" s="84"/>
      <c r="P16" s="84"/>
      <c r="Q16" s="84"/>
      <c r="R16" s="84"/>
      <c r="S16" s="84"/>
      <c r="T16" s="84"/>
    </row>
    <row r="17" spans="1:20" x14ac:dyDescent="0.2">
      <c r="A17" s="62" t="s">
        <v>68</v>
      </c>
      <c r="B17" s="82">
        <v>17738</v>
      </c>
      <c r="C17" s="82">
        <v>17738</v>
      </c>
      <c r="D17" s="82">
        <v>21939</v>
      </c>
      <c r="E17" s="82">
        <v>21939</v>
      </c>
      <c r="F17" s="82">
        <v>21939</v>
      </c>
      <c r="G17" s="82">
        <v>21939</v>
      </c>
      <c r="H17" s="82">
        <v>21939</v>
      </c>
      <c r="I17" s="83">
        <v>21939</v>
      </c>
      <c r="J17" s="83">
        <v>21939</v>
      </c>
      <c r="K17" s="54">
        <v>21939</v>
      </c>
      <c r="L17" s="54">
        <v>21939</v>
      </c>
      <c r="M17" s="84">
        <v>21939</v>
      </c>
      <c r="N17" s="84">
        <v>21939</v>
      </c>
      <c r="O17" s="84">
        <v>21939</v>
      </c>
      <c r="P17" s="84">
        <v>21939</v>
      </c>
      <c r="Q17" s="84">
        <v>21939</v>
      </c>
      <c r="R17" s="84">
        <v>21939</v>
      </c>
      <c r="S17" s="84">
        <v>21939</v>
      </c>
      <c r="T17" s="84">
        <v>21939</v>
      </c>
    </row>
    <row r="18" spans="1:20" x14ac:dyDescent="0.2">
      <c r="A18" s="62" t="s">
        <v>69</v>
      </c>
      <c r="B18" s="82">
        <f t="shared" ref="B18:C18" si="7">SUM(B10:B17)</f>
        <v>392495</v>
      </c>
      <c r="C18" s="82">
        <f t="shared" si="7"/>
        <v>604208</v>
      </c>
      <c r="D18" s="82">
        <f t="shared" ref="D18" si="8">SUM(D10:D17)</f>
        <v>722115</v>
      </c>
      <c r="E18" s="82">
        <f t="shared" ref="E18:F18" si="9">SUM(E10:E17)</f>
        <v>824985</v>
      </c>
      <c r="F18" s="82">
        <f t="shared" si="9"/>
        <v>961505</v>
      </c>
      <c r="G18" s="82">
        <f>SUM(G10:G17)</f>
        <v>1121605</v>
      </c>
      <c r="H18" s="82">
        <f>SUM(H10:H17)</f>
        <v>1425308</v>
      </c>
      <c r="I18" s="83">
        <v>1668667</v>
      </c>
      <c r="J18" s="83">
        <v>2009280</v>
      </c>
      <c r="K18" s="54">
        <v>2527317</v>
      </c>
      <c r="L18" s="54">
        <v>2725066</v>
      </c>
      <c r="M18" s="84">
        <v>2026103</v>
      </c>
      <c r="N18" s="84">
        <v>2045692</v>
      </c>
      <c r="O18" s="84">
        <v>2265518</v>
      </c>
      <c r="P18" s="84">
        <v>5104604</v>
      </c>
      <c r="Q18" s="84">
        <v>5982896</v>
      </c>
      <c r="R18" s="84">
        <v>6652958</v>
      </c>
      <c r="S18" s="84">
        <v>6927504</v>
      </c>
      <c r="T18" s="84">
        <v>8044362</v>
      </c>
    </row>
    <row r="19" spans="1:20" x14ac:dyDescent="0.2">
      <c r="A19" s="61" t="s">
        <v>70</v>
      </c>
      <c r="B19" s="85"/>
      <c r="C19" s="85"/>
      <c r="D19" s="85"/>
      <c r="E19" s="85"/>
      <c r="F19" s="85"/>
      <c r="G19" s="85"/>
      <c r="H19" s="85"/>
      <c r="I19" s="83"/>
      <c r="J19" s="83"/>
      <c r="K19" s="54"/>
      <c r="L19" s="54"/>
      <c r="M19" s="54"/>
      <c r="N19" s="54"/>
      <c r="O19" s="54"/>
      <c r="P19" s="54"/>
      <c r="Q19" s="54"/>
      <c r="R19" s="54"/>
      <c r="S19" s="82" t="s">
        <v>55</v>
      </c>
      <c r="T19" s="82" t="s">
        <v>55</v>
      </c>
    </row>
    <row r="20" spans="1:20" x14ac:dyDescent="0.2">
      <c r="A20" s="62" t="s">
        <v>71</v>
      </c>
      <c r="B20" s="82">
        <v>13188</v>
      </c>
      <c r="C20" s="82">
        <v>19567</v>
      </c>
      <c r="D20" s="82">
        <v>19880</v>
      </c>
      <c r="E20" s="82">
        <v>23890</v>
      </c>
      <c r="F20" s="82">
        <v>25230</v>
      </c>
      <c r="G20" s="82">
        <v>33705</v>
      </c>
      <c r="H20" s="82">
        <v>46382</v>
      </c>
      <c r="I20" s="83">
        <v>58700</v>
      </c>
      <c r="J20" s="83">
        <v>59022</v>
      </c>
      <c r="K20" s="54">
        <v>69613</v>
      </c>
      <c r="L20" s="54">
        <v>85709</v>
      </c>
      <c r="M20" s="84">
        <v>78363</v>
      </c>
      <c r="N20" s="84">
        <v>82028</v>
      </c>
      <c r="O20" s="84">
        <v>113071</v>
      </c>
      <c r="P20" s="84">
        <v>115816</v>
      </c>
      <c r="Q20" s="84">
        <v>121990</v>
      </c>
      <c r="R20" s="84">
        <v>163161</v>
      </c>
      <c r="S20" s="84">
        <v>184566</v>
      </c>
      <c r="T20" s="84">
        <v>197646</v>
      </c>
    </row>
    <row r="21" spans="1:20" x14ac:dyDescent="0.2">
      <c r="A21" s="62" t="s">
        <v>72</v>
      </c>
      <c r="B21" s="82">
        <v>9723</v>
      </c>
      <c r="C21" s="82">
        <v>16764</v>
      </c>
      <c r="D21" s="82">
        <v>26210</v>
      </c>
      <c r="E21" s="82">
        <v>24469</v>
      </c>
      <c r="F21" s="82">
        <v>41404</v>
      </c>
      <c r="G21" s="82">
        <v>50336</v>
      </c>
      <c r="H21" s="82">
        <v>60241</v>
      </c>
      <c r="I21" s="83">
        <v>71731</v>
      </c>
      <c r="J21" s="83">
        <v>67195</v>
      </c>
      <c r="K21" s="54">
        <v>73894</v>
      </c>
      <c r="L21" s="54">
        <v>64958</v>
      </c>
      <c r="M21" s="84">
        <v>76301</v>
      </c>
      <c r="N21" s="84">
        <v>82541</v>
      </c>
      <c r="O21" s="84">
        <v>113467</v>
      </c>
      <c r="P21" s="84">
        <v>126600</v>
      </c>
      <c r="Q21" s="84">
        <v>203054</v>
      </c>
      <c r="R21" s="84">
        <v>162405</v>
      </c>
      <c r="S21" s="84">
        <v>170456</v>
      </c>
      <c r="T21" s="84">
        <v>227537</v>
      </c>
    </row>
    <row r="22" spans="1:20" x14ac:dyDescent="0.2">
      <c r="A22" s="62" t="s">
        <v>73</v>
      </c>
      <c r="B22" s="82">
        <v>19014</v>
      </c>
      <c r="C22" s="82">
        <v>23277</v>
      </c>
      <c r="D22" s="82">
        <v>27135</v>
      </c>
      <c r="E22" s="82">
        <v>28347</v>
      </c>
      <c r="F22" s="82">
        <v>31216</v>
      </c>
      <c r="G22" s="82">
        <v>38892</v>
      </c>
      <c r="H22" s="82">
        <v>46456</v>
      </c>
      <c r="I22" s="83">
        <v>56421</v>
      </c>
      <c r="J22" s="83">
        <v>73011</v>
      </c>
      <c r="K22" s="54">
        <v>102203</v>
      </c>
      <c r="L22" s="54">
        <v>129275</v>
      </c>
      <c r="M22" s="84">
        <v>127129</v>
      </c>
      <c r="N22" s="84">
        <v>159324</v>
      </c>
      <c r="O22" s="84">
        <v>147849</v>
      </c>
      <c r="P22" s="84">
        <v>155843</v>
      </c>
      <c r="Q22" s="84">
        <v>164649</v>
      </c>
      <c r="R22" s="84">
        <v>173052</v>
      </c>
      <c r="S22" s="84">
        <v>147539</v>
      </c>
      <c r="T22" s="84">
        <v>147688</v>
      </c>
    </row>
    <row r="23" spans="1:20" x14ac:dyDescent="0.2">
      <c r="A23" s="62" t="s">
        <v>74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>
        <v>70474</v>
      </c>
      <c r="P23" s="84">
        <v>95195</v>
      </c>
      <c r="Q23" s="84">
        <v>127750</v>
      </c>
      <c r="R23" s="84">
        <v>156351</v>
      </c>
      <c r="S23" s="84">
        <v>183071</v>
      </c>
      <c r="T23" s="84">
        <v>209680</v>
      </c>
    </row>
    <row r="24" spans="1:20" x14ac:dyDescent="0.2">
      <c r="A24" s="62" t="s">
        <v>75</v>
      </c>
      <c r="B24" s="82">
        <v>57</v>
      </c>
      <c r="C24" s="82">
        <v>71</v>
      </c>
      <c r="D24" s="82">
        <v>76</v>
      </c>
      <c r="E24" s="82">
        <v>82</v>
      </c>
      <c r="F24" s="82">
        <v>96</v>
      </c>
      <c r="G24" s="82">
        <v>121</v>
      </c>
      <c r="H24" s="82">
        <v>133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173139</v>
      </c>
      <c r="Q24" s="84">
        <v>204756</v>
      </c>
      <c r="R24" s="84">
        <v>218713</v>
      </c>
      <c r="S24" s="84">
        <v>236248</v>
      </c>
      <c r="T24" s="84">
        <v>248074</v>
      </c>
    </row>
    <row r="25" spans="1:20" x14ac:dyDescent="0.2">
      <c r="A25" s="62" t="s">
        <v>155</v>
      </c>
      <c r="B25" s="82">
        <v>0</v>
      </c>
      <c r="C25" s="82">
        <v>1522</v>
      </c>
      <c r="D25" s="82">
        <v>0</v>
      </c>
      <c r="E25" s="82">
        <v>0</v>
      </c>
      <c r="F25" s="82">
        <v>4207</v>
      </c>
      <c r="G25" s="82">
        <v>0</v>
      </c>
      <c r="H25" s="82">
        <v>4241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5129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</row>
    <row r="26" spans="1:20" x14ac:dyDescent="0.2">
      <c r="A26" s="62" t="s">
        <v>76</v>
      </c>
      <c r="B26" s="82">
        <f t="shared" ref="B26:C26" si="10">SUM(B20:B25)</f>
        <v>41982</v>
      </c>
      <c r="C26" s="82">
        <f t="shared" si="10"/>
        <v>61201</v>
      </c>
      <c r="D26" s="82">
        <f t="shared" ref="D26" si="11">SUM(D20:D25)</f>
        <v>73301</v>
      </c>
      <c r="E26" s="82">
        <f t="shared" ref="E26:F26" si="12">SUM(E20:E25)</f>
        <v>76788</v>
      </c>
      <c r="F26" s="82">
        <f t="shared" si="12"/>
        <v>102153</v>
      </c>
      <c r="G26" s="82">
        <f>SUM(G20:G25)</f>
        <v>123054</v>
      </c>
      <c r="H26" s="82">
        <f>SUM(H20:H25)</f>
        <v>157453</v>
      </c>
      <c r="I26" s="83">
        <v>186852</v>
      </c>
      <c r="J26" s="83">
        <v>199228</v>
      </c>
      <c r="K26" s="54">
        <v>245710</v>
      </c>
      <c r="L26" s="54">
        <v>279942</v>
      </c>
      <c r="M26" s="84">
        <v>281793</v>
      </c>
      <c r="N26" s="84">
        <v>323893</v>
      </c>
      <c r="O26" s="84">
        <v>449990</v>
      </c>
      <c r="P26" s="84">
        <v>666593</v>
      </c>
      <c r="Q26" s="84">
        <v>822199</v>
      </c>
      <c r="R26" s="84">
        <v>873682</v>
      </c>
      <c r="S26" s="84">
        <v>921880</v>
      </c>
      <c r="T26" s="84">
        <v>1030625</v>
      </c>
    </row>
    <row r="27" spans="1:20" x14ac:dyDescent="0.2">
      <c r="A27" s="62" t="s">
        <v>121</v>
      </c>
      <c r="B27" s="82">
        <v>37106</v>
      </c>
      <c r="C27" s="82">
        <v>46222</v>
      </c>
      <c r="D27" s="82">
        <v>63192</v>
      </c>
      <c r="E27" s="82">
        <v>87009</v>
      </c>
      <c r="F27" s="82">
        <v>106395</v>
      </c>
      <c r="G27" s="82">
        <v>123667</v>
      </c>
      <c r="H27" s="82">
        <v>143284</v>
      </c>
      <c r="I27" s="83">
        <v>167057</v>
      </c>
      <c r="J27" s="83">
        <v>192739</v>
      </c>
      <c r="K27" s="54">
        <v>219414</v>
      </c>
      <c r="L27" s="54">
        <v>251962</v>
      </c>
      <c r="M27" s="84">
        <v>288927</v>
      </c>
      <c r="N27" s="84">
        <v>316498</v>
      </c>
      <c r="O27" s="84">
        <v>330985</v>
      </c>
      <c r="P27" s="84">
        <v>0</v>
      </c>
      <c r="Q27" s="82">
        <v>0</v>
      </c>
      <c r="R27" s="82">
        <v>0</v>
      </c>
      <c r="S27" s="82">
        <v>0</v>
      </c>
      <c r="T27" s="82">
        <v>0</v>
      </c>
    </row>
    <row r="28" spans="1:20" x14ac:dyDescent="0.2">
      <c r="A28" s="62" t="s">
        <v>77</v>
      </c>
      <c r="B28" s="82">
        <v>3476</v>
      </c>
      <c r="C28" s="82">
        <v>4036</v>
      </c>
      <c r="D28" s="82">
        <v>3960</v>
      </c>
      <c r="E28" s="82">
        <v>3878</v>
      </c>
      <c r="F28" s="82">
        <v>3782</v>
      </c>
      <c r="G28" s="82">
        <v>3661</v>
      </c>
      <c r="H28" s="82">
        <v>3529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0</v>
      </c>
      <c r="O28" s="84">
        <v>0</v>
      </c>
      <c r="P28" s="84">
        <v>2678374</v>
      </c>
      <c r="Q28" s="84">
        <v>2952296</v>
      </c>
      <c r="R28" s="84">
        <v>3301601</v>
      </c>
      <c r="S28" s="84">
        <v>3495162</v>
      </c>
      <c r="T28" s="84">
        <v>3803551</v>
      </c>
    </row>
    <row r="29" spans="1:20" x14ac:dyDescent="0.2">
      <c r="A29" s="62" t="s">
        <v>78</v>
      </c>
      <c r="B29" s="82">
        <v>0</v>
      </c>
      <c r="C29" s="82">
        <v>18681</v>
      </c>
      <c r="D29" s="82">
        <v>16483</v>
      </c>
      <c r="E29" s="82">
        <v>29863</v>
      </c>
      <c r="F29" s="82">
        <v>38863</v>
      </c>
      <c r="G29" s="82">
        <v>50525</v>
      </c>
      <c r="H29" s="82">
        <v>64381</v>
      </c>
      <c r="I29" s="83">
        <v>48947</v>
      </c>
      <c r="J29" s="83">
        <v>55434</v>
      </c>
      <c r="K29" s="54">
        <v>21561</v>
      </c>
      <c r="L29" s="54">
        <v>32305</v>
      </c>
      <c r="M29" s="84">
        <v>18944</v>
      </c>
      <c r="N29" s="84">
        <v>814</v>
      </c>
      <c r="O29" s="84">
        <v>11566</v>
      </c>
      <c r="P29" s="84">
        <v>37814</v>
      </c>
      <c r="Q29" s="84">
        <v>149422</v>
      </c>
      <c r="R29" s="84">
        <v>141765</v>
      </c>
      <c r="S29" s="84">
        <v>98623</v>
      </c>
      <c r="T29" s="84">
        <v>89109</v>
      </c>
    </row>
    <row r="30" spans="1:20" x14ac:dyDescent="0.2">
      <c r="A30" s="62" t="s">
        <v>79</v>
      </c>
      <c r="B30" s="82">
        <v>577</v>
      </c>
      <c r="C30" s="82">
        <v>111</v>
      </c>
      <c r="D30" s="82">
        <v>3069</v>
      </c>
      <c r="E30" s="82">
        <v>4857</v>
      </c>
      <c r="F30" s="82">
        <v>6851</v>
      </c>
      <c r="G30" s="82">
        <v>9825</v>
      </c>
      <c r="H30" s="82">
        <v>12435</v>
      </c>
      <c r="I30" s="83">
        <v>19885</v>
      </c>
      <c r="J30" s="83">
        <v>23591</v>
      </c>
      <c r="K30" s="54">
        <v>28263</v>
      </c>
      <c r="L30" s="54">
        <v>32883</v>
      </c>
      <c r="M30" s="84">
        <v>33946</v>
      </c>
      <c r="N30" s="84">
        <v>40042</v>
      </c>
      <c r="O30" s="84">
        <v>31638</v>
      </c>
      <c r="P30" s="84">
        <v>38797</v>
      </c>
      <c r="Q30" s="84">
        <v>38844</v>
      </c>
      <c r="R30" s="84">
        <v>38536</v>
      </c>
      <c r="S30" s="84">
        <v>43816</v>
      </c>
      <c r="T30" s="84">
        <v>58870</v>
      </c>
    </row>
    <row r="31" spans="1:20" x14ac:dyDescent="0.2">
      <c r="A31" s="62" t="s">
        <v>80</v>
      </c>
      <c r="B31" s="82">
        <f t="shared" ref="B31:C31" si="13">SUM(B26:B30)</f>
        <v>83141</v>
      </c>
      <c r="C31" s="82">
        <f t="shared" si="13"/>
        <v>130251</v>
      </c>
      <c r="D31" s="82">
        <f t="shared" ref="D31" si="14">SUM(D26:D30)</f>
        <v>160005</v>
      </c>
      <c r="E31" s="82">
        <f t="shared" ref="E31:F31" si="15">SUM(E26:E30)</f>
        <v>202395</v>
      </c>
      <c r="F31" s="82">
        <f t="shared" si="15"/>
        <v>258044</v>
      </c>
      <c r="G31" s="82">
        <f>SUM(G26:G30)</f>
        <v>310732</v>
      </c>
      <c r="H31" s="82">
        <f>SUM(H26:H30)</f>
        <v>381082</v>
      </c>
      <c r="I31" s="83">
        <v>422741</v>
      </c>
      <c r="J31" s="83">
        <v>470992</v>
      </c>
      <c r="K31" s="54">
        <v>514948</v>
      </c>
      <c r="L31" s="54">
        <v>597092</v>
      </c>
      <c r="M31" s="84">
        <v>623610</v>
      </c>
      <c r="N31" s="84">
        <v>681247</v>
      </c>
      <c r="O31" s="84">
        <v>824179</v>
      </c>
      <c r="P31" s="84">
        <v>3421578</v>
      </c>
      <c r="Q31" s="84">
        <v>3962761</v>
      </c>
      <c r="R31" s="84">
        <v>4355584</v>
      </c>
      <c r="S31" s="84">
        <v>4559481</v>
      </c>
      <c r="T31" s="84">
        <v>4982155</v>
      </c>
    </row>
    <row r="32" spans="1:20" x14ac:dyDescent="0.2">
      <c r="A32" s="61" t="s">
        <v>81</v>
      </c>
      <c r="B32" s="85"/>
      <c r="C32" s="85"/>
      <c r="D32" s="85"/>
      <c r="E32" s="85"/>
      <c r="F32" s="85"/>
      <c r="G32" s="85"/>
      <c r="H32" s="85"/>
      <c r="I32" s="83"/>
      <c r="J32" s="83"/>
      <c r="K32" s="54"/>
      <c r="L32" s="54"/>
      <c r="M32" s="84"/>
      <c r="N32" s="54"/>
      <c r="O32" s="54"/>
      <c r="P32" s="54"/>
      <c r="Q32" s="54"/>
      <c r="R32" s="54"/>
      <c r="S32" s="82" t="s">
        <v>55</v>
      </c>
      <c r="T32" s="82" t="s">
        <v>55</v>
      </c>
    </row>
    <row r="33" spans="1:20" ht="64" x14ac:dyDescent="0.2">
      <c r="A33" s="62" t="s">
        <v>82</v>
      </c>
      <c r="B33" s="82">
        <v>0</v>
      </c>
      <c r="C33" s="82">
        <v>0</v>
      </c>
      <c r="D33" s="82">
        <v>0</v>
      </c>
      <c r="E33" s="82">
        <v>0</v>
      </c>
      <c r="F33" s="82">
        <v>0</v>
      </c>
      <c r="G33" s="82">
        <v>0</v>
      </c>
      <c r="H33" s="82">
        <v>0</v>
      </c>
      <c r="I33" s="54">
        <v>0</v>
      </c>
      <c r="J33" s="54">
        <v>0</v>
      </c>
      <c r="K33" s="54">
        <v>0</v>
      </c>
      <c r="L33" s="5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</row>
    <row r="34" spans="1:20" ht="80" x14ac:dyDescent="0.2">
      <c r="A34" s="62" t="s">
        <v>83</v>
      </c>
      <c r="B34" s="82">
        <v>263</v>
      </c>
      <c r="C34" s="82">
        <f>142+183</f>
        <v>325</v>
      </c>
      <c r="D34" s="82">
        <f>144+184</f>
        <v>328</v>
      </c>
      <c r="E34" s="82">
        <v>329</v>
      </c>
      <c r="F34" s="82">
        <v>335</v>
      </c>
      <c r="G34" s="82">
        <v>340</v>
      </c>
      <c r="H34" s="82">
        <v>344</v>
      </c>
      <c r="I34" s="83">
        <v>349</v>
      </c>
      <c r="J34" s="83">
        <v>352</v>
      </c>
      <c r="K34" s="54">
        <v>354</v>
      </c>
      <c r="L34" s="54">
        <v>358</v>
      </c>
      <c r="M34" s="84">
        <v>358</v>
      </c>
      <c r="N34" s="84">
        <v>359</v>
      </c>
      <c r="O34" s="84">
        <v>360</v>
      </c>
      <c r="P34" s="84">
        <v>363</v>
      </c>
      <c r="Q34" s="84">
        <v>367</v>
      </c>
      <c r="R34" s="84">
        <v>371</v>
      </c>
      <c r="S34" s="84">
        <v>373</v>
      </c>
      <c r="T34" s="84">
        <v>375</v>
      </c>
    </row>
    <row r="35" spans="1:20" x14ac:dyDescent="0.2">
      <c r="A35" s="62" t="s">
        <v>84</v>
      </c>
      <c r="B35" s="82">
        <v>375728</v>
      </c>
      <c r="C35" s="82">
        <v>470653</v>
      </c>
      <c r="D35" s="82">
        <v>489296</v>
      </c>
      <c r="E35" s="82">
        <v>501993</v>
      </c>
      <c r="F35" s="82">
        <v>539880</v>
      </c>
      <c r="G35" s="82">
        <v>594331</v>
      </c>
      <c r="H35" s="82">
        <v>676652</v>
      </c>
      <c r="I35" s="83">
        <v>816612</v>
      </c>
      <c r="J35" s="83">
        <v>919840</v>
      </c>
      <c r="K35" s="54">
        <v>1038932</v>
      </c>
      <c r="L35" s="54">
        <v>1172628</v>
      </c>
      <c r="M35" s="84">
        <v>1238875</v>
      </c>
      <c r="N35" s="84">
        <v>1305090</v>
      </c>
      <c r="O35" s="84">
        <v>1374154</v>
      </c>
      <c r="P35" s="84">
        <v>1465697</v>
      </c>
      <c r="Q35" s="84">
        <v>1549909</v>
      </c>
      <c r="R35" s="84">
        <v>1729312</v>
      </c>
      <c r="S35" s="84">
        <v>1829304</v>
      </c>
      <c r="T35" s="84">
        <v>1956160</v>
      </c>
    </row>
    <row r="36" spans="1:20" ht="64" x14ac:dyDescent="0.2">
      <c r="A36" s="62" t="s">
        <v>85</v>
      </c>
      <c r="B36" s="82">
        <v>0</v>
      </c>
      <c r="C36" s="82">
        <v>0</v>
      </c>
      <c r="D36" s="82">
        <v>0</v>
      </c>
      <c r="E36" s="82">
        <v>-30227</v>
      </c>
      <c r="F36" s="82">
        <v>-114316</v>
      </c>
      <c r="G36" s="82">
        <v>-240918</v>
      </c>
      <c r="H36" s="82">
        <v>-304426</v>
      </c>
      <c r="I36" s="83">
        <v>-521518</v>
      </c>
      <c r="J36" s="83">
        <v>-660421</v>
      </c>
      <c r="K36" s="54">
        <v>-748759</v>
      </c>
      <c r="L36" s="54">
        <v>-1234612</v>
      </c>
      <c r="M36" s="84">
        <v>-2049389</v>
      </c>
      <c r="N36" s="84">
        <v>-2334409</v>
      </c>
      <c r="O36" s="84">
        <v>-2500556</v>
      </c>
      <c r="P36" s="84">
        <v>-2699119</v>
      </c>
      <c r="Q36" s="84">
        <v>-2802075</v>
      </c>
      <c r="R36" s="84">
        <v>-3356102</v>
      </c>
      <c r="S36" s="84">
        <v>-4282014</v>
      </c>
      <c r="T36" s="84">
        <v>-4944656</v>
      </c>
    </row>
    <row r="37" spans="1:20" x14ac:dyDescent="0.2">
      <c r="A37" s="81" t="s">
        <v>157</v>
      </c>
      <c r="B37" s="82">
        <v>-28195</v>
      </c>
      <c r="C37" s="82">
        <v>0</v>
      </c>
      <c r="D37" s="82">
        <v>0</v>
      </c>
      <c r="E37" s="82">
        <v>0</v>
      </c>
      <c r="F37" s="82">
        <v>0</v>
      </c>
      <c r="G37" s="82">
        <v>0</v>
      </c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82">
        <v>0</v>
      </c>
    </row>
    <row r="38" spans="1:20" ht="32" x14ac:dyDescent="0.2">
      <c r="A38" s="62" t="s">
        <v>86</v>
      </c>
      <c r="B38" s="82">
        <v>9</v>
      </c>
      <c r="C38" s="82">
        <v>7</v>
      </c>
      <c r="D38" s="82">
        <v>0</v>
      </c>
      <c r="E38" s="82">
        <v>-193</v>
      </c>
      <c r="F38" s="82">
        <v>29</v>
      </c>
      <c r="G38" s="82">
        <v>606</v>
      </c>
      <c r="H38" s="82">
        <v>197</v>
      </c>
      <c r="I38" s="83">
        <v>1024</v>
      </c>
      <c r="J38" s="83">
        <v>1620</v>
      </c>
      <c r="K38" s="54">
        <v>-429</v>
      </c>
      <c r="L38" s="54">
        <v>-8273</v>
      </c>
      <c r="M38" s="84">
        <v>-8162</v>
      </c>
      <c r="N38" s="84">
        <v>-3659</v>
      </c>
      <c r="O38" s="84">
        <v>-6236</v>
      </c>
      <c r="P38" s="84">
        <v>-5363</v>
      </c>
      <c r="Q38" s="84">
        <v>-4229</v>
      </c>
      <c r="R38" s="84">
        <v>-5354</v>
      </c>
      <c r="S38" s="84">
        <v>-7888</v>
      </c>
      <c r="T38" s="84">
        <v>-6657</v>
      </c>
    </row>
    <row r="39" spans="1:20" x14ac:dyDescent="0.2">
      <c r="A39" s="62" t="s">
        <v>87</v>
      </c>
      <c r="B39" s="82">
        <v>-38451</v>
      </c>
      <c r="C39" s="82">
        <v>2972</v>
      </c>
      <c r="D39" s="82">
        <v>72486</v>
      </c>
      <c r="E39" s="82">
        <v>150688</v>
      </c>
      <c r="F39" s="82">
        <v>277533</v>
      </c>
      <c r="G39" s="82">
        <v>456514</v>
      </c>
      <c r="H39" s="82">
        <v>671459</v>
      </c>
      <c r="I39" s="83">
        <v>949459</v>
      </c>
      <c r="J39" s="83">
        <v>1276897</v>
      </c>
      <c r="K39" s="54">
        <v>1722271</v>
      </c>
      <c r="L39" s="54">
        <v>2197873</v>
      </c>
      <c r="M39" s="84">
        <v>2220811</v>
      </c>
      <c r="N39" s="84">
        <v>2397064</v>
      </c>
      <c r="O39" s="84">
        <v>2573617</v>
      </c>
      <c r="P39" s="84">
        <v>2921448</v>
      </c>
      <c r="Q39" s="84">
        <v>3276163</v>
      </c>
      <c r="R39" s="84">
        <v>3929147</v>
      </c>
      <c r="S39" s="84">
        <v>4828248</v>
      </c>
      <c r="T39" s="84">
        <v>6056985</v>
      </c>
    </row>
    <row r="40" spans="1:20" x14ac:dyDescent="0.2">
      <c r="A40" s="62" t="s">
        <v>88</v>
      </c>
      <c r="B40" s="82">
        <f t="shared" ref="B40:C40" si="16">SUM(B33:B39)</f>
        <v>309354</v>
      </c>
      <c r="C40" s="82">
        <f t="shared" si="16"/>
        <v>473957</v>
      </c>
      <c r="D40" s="82">
        <f t="shared" ref="D40" si="17">SUM(D33:D39)</f>
        <v>562110</v>
      </c>
      <c r="E40" s="82">
        <f t="shared" ref="E40:F40" si="18">SUM(E33:E39)</f>
        <v>622590</v>
      </c>
      <c r="F40" s="82">
        <f t="shared" si="18"/>
        <v>703461</v>
      </c>
      <c r="G40" s="82">
        <f>SUM(G33:G39)</f>
        <v>810873</v>
      </c>
      <c r="H40" s="82">
        <f>SUM(H33:H39)</f>
        <v>1044226</v>
      </c>
      <c r="I40" s="83">
        <v>1245926</v>
      </c>
      <c r="J40" s="83">
        <v>1538288</v>
      </c>
      <c r="K40" s="54">
        <v>2012369</v>
      </c>
      <c r="L40" s="54">
        <v>2127974</v>
      </c>
      <c r="M40" s="84">
        <v>1402493</v>
      </c>
      <c r="N40" s="84">
        <v>1364445</v>
      </c>
      <c r="O40" s="84">
        <v>1441339</v>
      </c>
      <c r="P40" s="84">
        <v>1683026</v>
      </c>
      <c r="Q40" s="84">
        <v>2020135</v>
      </c>
      <c r="R40" s="84">
        <v>2297374</v>
      </c>
      <c r="S40" s="84">
        <v>2368023</v>
      </c>
      <c r="T40" s="84">
        <v>3062207</v>
      </c>
    </row>
    <row r="41" spans="1:20" ht="32" x14ac:dyDescent="0.2">
      <c r="A41" s="62" t="s">
        <v>89</v>
      </c>
      <c r="B41" s="82">
        <f t="shared" ref="B41:C41" si="19">B40+B31</f>
        <v>392495</v>
      </c>
      <c r="C41" s="82">
        <f t="shared" si="19"/>
        <v>604208</v>
      </c>
      <c r="D41" s="82">
        <f t="shared" ref="D41" si="20">D40+D31</f>
        <v>722115</v>
      </c>
      <c r="E41" s="82">
        <f t="shared" ref="E41:F41" si="21">E40+E31</f>
        <v>824985</v>
      </c>
      <c r="F41" s="82">
        <f t="shared" si="21"/>
        <v>961505</v>
      </c>
      <c r="G41" s="82">
        <f>G40+G31</f>
        <v>1121605</v>
      </c>
      <c r="H41" s="82">
        <f>H40+H31</f>
        <v>1425308</v>
      </c>
      <c r="I41" s="83">
        <v>1668667</v>
      </c>
      <c r="J41" s="83">
        <v>2009280</v>
      </c>
      <c r="K41" s="54">
        <v>2527317</v>
      </c>
      <c r="L41" s="54">
        <v>2725066</v>
      </c>
      <c r="M41" s="84">
        <v>2026103</v>
      </c>
      <c r="N41" s="84">
        <v>2045692</v>
      </c>
      <c r="O41" s="84">
        <v>2265518</v>
      </c>
      <c r="P41" s="84">
        <v>5104604</v>
      </c>
      <c r="Q41" s="84">
        <v>5982896</v>
      </c>
      <c r="R41" s="84">
        <v>6652958</v>
      </c>
      <c r="S41" s="84">
        <v>6927504</v>
      </c>
      <c r="T41" s="84">
        <v>8044362</v>
      </c>
    </row>
    <row r="42" spans="1:20" x14ac:dyDescent="0.2">
      <c r="O42" s="79"/>
      <c r="P42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BEDB-7D4A-C747-B6F7-2170710BC96A}">
  <dimension ref="A1:U59"/>
  <sheetViews>
    <sheetView zoomScale="75" workbookViewId="0">
      <pane xSplit="1" ySplit="2" topLeftCell="D36" activePane="bottomRight" state="frozen"/>
      <selection pane="topRight" activeCell="B1" sqref="B1"/>
      <selection pane="bottomLeft" activeCell="A3" sqref="A3"/>
      <selection pane="bottomRight" activeCell="A44" sqref="A44:XFD59"/>
    </sheetView>
  </sheetViews>
  <sheetFormatPr baseColWidth="10" defaultRowHeight="16" x14ac:dyDescent="0.2"/>
  <cols>
    <col min="1" max="1" width="26.6640625" style="25" bestFit="1" customWidth="1"/>
    <col min="2" max="2" width="10.6640625" style="25" bestFit="1" customWidth="1"/>
    <col min="3" max="3" width="11" style="25" bestFit="1" customWidth="1"/>
    <col min="4" max="17" width="11.6640625" style="25" bestFit="1" customWidth="1"/>
    <col min="18" max="20" width="12.6640625" style="25" bestFit="1" customWidth="1"/>
  </cols>
  <sheetData>
    <row r="1" spans="1:20" x14ac:dyDescent="0.2">
      <c r="A1" s="176" t="s">
        <v>90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76" t="s">
        <v>91</v>
      </c>
      <c r="N1" s="176"/>
      <c r="O1" s="176"/>
      <c r="P1" s="176"/>
      <c r="Q1" s="176"/>
      <c r="R1" s="176"/>
      <c r="S1" s="176"/>
      <c r="T1" s="176"/>
    </row>
    <row r="2" spans="1:20" x14ac:dyDescent="0.2">
      <c r="A2" s="177"/>
      <c r="B2" s="60">
        <f t="shared" ref="B2" si="0">C2-1</f>
        <v>2005</v>
      </c>
      <c r="C2" s="60">
        <f t="shared" ref="C2" si="1">D2-1</f>
        <v>2006</v>
      </c>
      <c r="D2" s="60">
        <f t="shared" ref="D2" si="2">E2-1</f>
        <v>2007</v>
      </c>
      <c r="E2" s="60">
        <f t="shared" ref="E2" si="3">F2-1</f>
        <v>2008</v>
      </c>
      <c r="F2" s="60">
        <f t="shared" ref="F2" si="4">G2-1</f>
        <v>2009</v>
      </c>
      <c r="G2" s="60">
        <f t="shared" ref="G2" si="5">H2-1</f>
        <v>2010</v>
      </c>
      <c r="H2" s="60">
        <f t="shared" ref="H2" si="6">I2-1</f>
        <v>2011</v>
      </c>
      <c r="I2" s="60">
        <f t="shared" ref="I2" si="7">J2-1</f>
        <v>2012</v>
      </c>
      <c r="J2" s="60">
        <f t="shared" ref="J2" si="8">K2-1</f>
        <v>2013</v>
      </c>
      <c r="K2" s="60">
        <f t="shared" ref="K2" si="9">L2-1</f>
        <v>2014</v>
      </c>
      <c r="L2" s="60">
        <f t="shared" ref="L2" si="10">M2-1</f>
        <v>2015</v>
      </c>
      <c r="M2" s="60">
        <f t="shared" ref="M2:R2" si="11">N2-1</f>
        <v>2016</v>
      </c>
      <c r="N2" s="60">
        <f t="shared" si="11"/>
        <v>2017</v>
      </c>
      <c r="O2" s="60">
        <f t="shared" si="11"/>
        <v>2018</v>
      </c>
      <c r="P2" s="60">
        <f t="shared" si="11"/>
        <v>2019</v>
      </c>
      <c r="Q2" s="60">
        <f t="shared" si="11"/>
        <v>2020</v>
      </c>
      <c r="R2" s="60">
        <f t="shared" si="11"/>
        <v>2021</v>
      </c>
      <c r="S2" s="60">
        <f>T2-1</f>
        <v>2022</v>
      </c>
      <c r="T2" s="60">
        <v>2023</v>
      </c>
    </row>
    <row r="3" spans="1:20" x14ac:dyDescent="0.2">
      <c r="A3" s="60" t="s">
        <v>92</v>
      </c>
      <c r="B3" s="60"/>
      <c r="C3" s="60"/>
      <c r="D3" s="60"/>
      <c r="E3" s="60"/>
      <c r="F3" s="60"/>
      <c r="G3" s="60"/>
      <c r="H3" s="72"/>
      <c r="I3" s="72"/>
      <c r="R3" s="78" t="s">
        <v>55</v>
      </c>
      <c r="S3" s="78" t="s">
        <v>55</v>
      </c>
      <c r="T3" s="78" t="s">
        <v>55</v>
      </c>
    </row>
    <row r="4" spans="1:20" x14ac:dyDescent="0.2">
      <c r="A4" s="78" t="s">
        <v>34</v>
      </c>
      <c r="B4" s="82">
        <v>37696</v>
      </c>
      <c r="C4" s="82">
        <v>41423</v>
      </c>
      <c r="D4" s="82">
        <v>70563</v>
      </c>
      <c r="E4" s="82">
        <v>78202</v>
      </c>
      <c r="F4" s="82">
        <v>126845</v>
      </c>
      <c r="G4" s="82">
        <v>178981</v>
      </c>
      <c r="H4" s="83">
        <v>214945</v>
      </c>
      <c r="I4" s="83">
        <v>278000</v>
      </c>
      <c r="J4" s="54">
        <v>327438</v>
      </c>
      <c r="K4" s="54">
        <v>445374</v>
      </c>
      <c r="L4" s="54">
        <v>475602</v>
      </c>
      <c r="M4" s="84">
        <v>22938</v>
      </c>
      <c r="N4" s="84">
        <v>176253</v>
      </c>
      <c r="O4" s="84">
        <v>176553</v>
      </c>
      <c r="P4" s="84">
        <v>350158</v>
      </c>
      <c r="Q4" s="84">
        <v>355766</v>
      </c>
      <c r="R4" s="84">
        <v>652984</v>
      </c>
      <c r="S4" s="84">
        <v>899101</v>
      </c>
      <c r="T4" s="84">
        <v>1228737</v>
      </c>
    </row>
    <row r="5" spans="1:20" ht="48" x14ac:dyDescent="0.2">
      <c r="A5" s="60" t="s">
        <v>93</v>
      </c>
      <c r="B5" s="85"/>
      <c r="C5" s="85"/>
      <c r="D5" s="85"/>
      <c r="E5" s="85"/>
      <c r="F5" s="85"/>
      <c r="G5" s="85"/>
      <c r="H5" s="83"/>
      <c r="I5" s="83"/>
      <c r="J5" s="54"/>
      <c r="K5" s="54"/>
      <c r="L5" s="54"/>
      <c r="M5" s="54"/>
      <c r="N5" s="54"/>
      <c r="O5" s="54"/>
      <c r="P5" s="54"/>
      <c r="Q5" s="54"/>
      <c r="R5" s="82" t="s">
        <v>55</v>
      </c>
      <c r="S5" s="82" t="s">
        <v>55</v>
      </c>
      <c r="T5" s="82" t="s">
        <v>55</v>
      </c>
    </row>
    <row r="6" spans="1:20" x14ac:dyDescent="0.2">
      <c r="A6" s="78" t="s">
        <v>27</v>
      </c>
      <c r="B6" s="82">
        <v>28026</v>
      </c>
      <c r="C6" s="82">
        <v>34253</v>
      </c>
      <c r="D6" s="82">
        <v>43595</v>
      </c>
      <c r="E6" s="82">
        <v>52770</v>
      </c>
      <c r="F6" s="82">
        <v>61308</v>
      </c>
      <c r="G6" s="82">
        <v>68921</v>
      </c>
      <c r="H6" s="83">
        <v>74938</v>
      </c>
      <c r="I6" s="83">
        <v>84130</v>
      </c>
      <c r="J6" s="54">
        <v>96054</v>
      </c>
      <c r="K6" s="54">
        <v>110474</v>
      </c>
      <c r="L6" s="54">
        <v>130368</v>
      </c>
      <c r="M6" s="84">
        <v>146368</v>
      </c>
      <c r="N6" s="84">
        <v>163348</v>
      </c>
      <c r="O6" s="84">
        <v>201979</v>
      </c>
      <c r="P6" s="84">
        <v>212778</v>
      </c>
      <c r="Q6" s="84">
        <v>238534</v>
      </c>
      <c r="R6" s="84">
        <v>254657</v>
      </c>
      <c r="S6" s="84">
        <v>286826</v>
      </c>
      <c r="T6" s="84">
        <v>319394</v>
      </c>
    </row>
    <row r="7" spans="1:20" x14ac:dyDescent="0.2">
      <c r="A7" s="78" t="s">
        <v>94</v>
      </c>
      <c r="B7" s="82">
        <f>15541-2654</f>
        <v>12887</v>
      </c>
      <c r="C7" s="82">
        <f>-782-1857</f>
        <v>-2639</v>
      </c>
      <c r="D7" s="82">
        <f>-3545+521</f>
        <v>-3024</v>
      </c>
      <c r="E7" s="82">
        <f>13165+89</f>
        <v>13254</v>
      </c>
      <c r="F7" s="82">
        <f>8282+141</f>
        <v>8423</v>
      </c>
      <c r="G7" s="82">
        <f>10064+415</f>
        <v>10479</v>
      </c>
      <c r="H7" s="83">
        <v>11935</v>
      </c>
      <c r="I7" s="83">
        <v>-18057</v>
      </c>
      <c r="J7" s="54">
        <v>2103</v>
      </c>
      <c r="K7" s="54">
        <v>-20671</v>
      </c>
      <c r="L7" s="54">
        <v>11666</v>
      </c>
      <c r="M7" s="84">
        <v>-14207</v>
      </c>
      <c r="N7" s="84">
        <v>-18026</v>
      </c>
      <c r="O7" s="84">
        <v>10585</v>
      </c>
      <c r="P7" s="84">
        <v>29962</v>
      </c>
      <c r="Q7" s="84">
        <v>108350</v>
      </c>
      <c r="R7" s="84">
        <v>-12357</v>
      </c>
      <c r="S7" s="84">
        <v>-43195</v>
      </c>
      <c r="T7" s="84">
        <v>-9505</v>
      </c>
    </row>
    <row r="8" spans="1:20" ht="32" x14ac:dyDescent="0.2">
      <c r="A8" s="78" t="s">
        <v>95</v>
      </c>
      <c r="B8" s="82">
        <f>-20343+3119</f>
        <v>-17224</v>
      </c>
      <c r="C8" s="82">
        <v>3982</v>
      </c>
      <c r="D8" s="82">
        <v>6168</v>
      </c>
      <c r="E8" s="82">
        <v>9339</v>
      </c>
      <c r="F8" s="82">
        <v>5956</v>
      </c>
      <c r="G8" s="82">
        <v>6296</v>
      </c>
      <c r="H8" s="83">
        <v>5806</v>
      </c>
      <c r="I8" s="83">
        <v>5027</v>
      </c>
      <c r="J8" s="54">
        <v>6751</v>
      </c>
      <c r="K8" s="54">
        <v>6976</v>
      </c>
      <c r="L8" s="54">
        <v>13194</v>
      </c>
      <c r="M8" s="84">
        <v>23877</v>
      </c>
      <c r="N8" s="84">
        <v>13345</v>
      </c>
      <c r="O8" s="84">
        <v>61987</v>
      </c>
      <c r="P8" s="84">
        <v>15402</v>
      </c>
      <c r="Q8" s="84">
        <v>28874</v>
      </c>
      <c r="R8" s="84">
        <v>17086</v>
      </c>
      <c r="S8" s="84">
        <v>20738</v>
      </c>
      <c r="T8" s="84">
        <v>37025</v>
      </c>
    </row>
    <row r="9" spans="1:20" x14ac:dyDescent="0.2">
      <c r="A9" s="78" t="s">
        <v>96</v>
      </c>
      <c r="B9" s="82">
        <v>-359</v>
      </c>
      <c r="C9" s="82">
        <v>-59</v>
      </c>
      <c r="D9" s="82">
        <v>0</v>
      </c>
      <c r="E9" s="82">
        <v>440</v>
      </c>
      <c r="F9" s="82">
        <v>-245</v>
      </c>
      <c r="G9" s="82">
        <v>-151</v>
      </c>
      <c r="H9" s="83">
        <v>239</v>
      </c>
      <c r="I9" s="83">
        <v>1046</v>
      </c>
      <c r="J9" s="54">
        <v>19</v>
      </c>
      <c r="K9" s="54">
        <v>9</v>
      </c>
      <c r="L9" s="54">
        <v>-23</v>
      </c>
      <c r="M9" s="84">
        <v>-262</v>
      </c>
      <c r="N9" s="84">
        <v>214</v>
      </c>
      <c r="O9" s="84">
        <v>125</v>
      </c>
      <c r="P9" s="84">
        <v>33</v>
      </c>
      <c r="Q9" s="84">
        <v>164</v>
      </c>
      <c r="R9" s="84">
        <v>493</v>
      </c>
      <c r="S9" s="84">
        <v>-760</v>
      </c>
      <c r="T9" s="84">
        <v>1570</v>
      </c>
    </row>
    <row r="10" spans="1:20" ht="32" x14ac:dyDescent="0.2">
      <c r="A10" s="78" t="s">
        <v>97</v>
      </c>
      <c r="B10" s="82">
        <v>2103</v>
      </c>
      <c r="C10" s="82">
        <v>5193</v>
      </c>
      <c r="D10" s="82">
        <v>7801</v>
      </c>
      <c r="E10" s="82">
        <v>11374</v>
      </c>
      <c r="F10" s="82">
        <v>14992</v>
      </c>
      <c r="G10" s="82">
        <v>21381</v>
      </c>
      <c r="H10" s="83">
        <v>41382</v>
      </c>
      <c r="I10" s="83">
        <v>64276</v>
      </c>
      <c r="J10" s="54">
        <v>63657</v>
      </c>
      <c r="K10" s="54">
        <v>96440</v>
      </c>
      <c r="L10" s="54">
        <v>57911</v>
      </c>
      <c r="M10" s="84">
        <v>64166</v>
      </c>
      <c r="N10" s="84">
        <v>65255</v>
      </c>
      <c r="O10" s="84">
        <v>69164</v>
      </c>
      <c r="P10" s="84">
        <v>91396</v>
      </c>
      <c r="Q10" s="84">
        <v>82626</v>
      </c>
      <c r="R10" s="84">
        <v>176392</v>
      </c>
      <c r="S10" s="84">
        <v>98030</v>
      </c>
      <c r="T10" s="84">
        <v>124016</v>
      </c>
    </row>
    <row r="11" spans="1:20" ht="34" x14ac:dyDescent="0.2">
      <c r="A11" s="72" t="s">
        <v>136</v>
      </c>
      <c r="B11" s="83">
        <v>0</v>
      </c>
      <c r="C11" s="83">
        <v>0</v>
      </c>
      <c r="D11" s="83">
        <v>0</v>
      </c>
      <c r="E11" s="83">
        <v>0</v>
      </c>
      <c r="F11" s="83">
        <v>-10435</v>
      </c>
      <c r="G11" s="83">
        <v>-14526</v>
      </c>
      <c r="H11" s="83">
        <v>-38786</v>
      </c>
      <c r="I11" s="83">
        <v>-73210</v>
      </c>
      <c r="J11" s="54">
        <v>-38379</v>
      </c>
      <c r="K11" s="54">
        <v>-21667</v>
      </c>
      <c r="L11" s="54">
        <v>-74442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</row>
    <row r="12" spans="1:20" x14ac:dyDescent="0.2">
      <c r="A12" s="78" t="s">
        <v>98</v>
      </c>
      <c r="B12" s="82">
        <v>-678</v>
      </c>
      <c r="C12" s="82">
        <v>-323</v>
      </c>
      <c r="D12" s="82">
        <v>15</v>
      </c>
      <c r="E12" s="82">
        <v>-226</v>
      </c>
      <c r="F12" s="82">
        <v>222</v>
      </c>
      <c r="G12" s="82">
        <v>0</v>
      </c>
      <c r="H12" s="83">
        <v>2501</v>
      </c>
      <c r="I12" s="83">
        <v>522</v>
      </c>
      <c r="J12" s="54">
        <v>507</v>
      </c>
      <c r="K12" s="54">
        <v>104</v>
      </c>
      <c r="L12" s="54">
        <v>582</v>
      </c>
      <c r="M12" s="84">
        <v>-1924</v>
      </c>
      <c r="N12" s="84">
        <v>-218</v>
      </c>
      <c r="O12" s="84">
        <v>-2918</v>
      </c>
      <c r="P12" s="84">
        <v>-10592</v>
      </c>
      <c r="Q12" s="84">
        <v>3643</v>
      </c>
      <c r="R12" s="84">
        <v>-4599</v>
      </c>
      <c r="S12" s="84">
        <v>-16202</v>
      </c>
      <c r="T12" s="84">
        <v>-13080</v>
      </c>
    </row>
    <row r="13" spans="1:20" ht="32" x14ac:dyDescent="0.2">
      <c r="A13" s="60" t="s">
        <v>99</v>
      </c>
      <c r="B13" s="85"/>
      <c r="C13" s="85"/>
      <c r="D13" s="85"/>
      <c r="E13" s="85"/>
      <c r="F13" s="85"/>
      <c r="G13" s="85"/>
      <c r="H13" s="83"/>
      <c r="I13" s="83"/>
      <c r="J13" s="54"/>
      <c r="K13" s="54"/>
      <c r="L13" s="54"/>
      <c r="M13" s="54"/>
      <c r="N13" s="54"/>
      <c r="O13" s="54"/>
      <c r="P13" s="54"/>
      <c r="Q13" s="54"/>
      <c r="R13" s="82" t="s">
        <v>55</v>
      </c>
      <c r="S13" s="82" t="s">
        <v>55</v>
      </c>
      <c r="T13" s="82" t="s">
        <v>55</v>
      </c>
    </row>
    <row r="14" spans="1:20" x14ac:dyDescent="0.2">
      <c r="A14" s="78" t="s">
        <v>100</v>
      </c>
      <c r="B14" s="82">
        <v>916</v>
      </c>
      <c r="C14" s="82">
        <v>-2873</v>
      </c>
      <c r="D14" s="82">
        <v>-508</v>
      </c>
      <c r="E14" s="82">
        <v>1290</v>
      </c>
      <c r="F14" s="82">
        <v>-875</v>
      </c>
      <c r="G14" s="82">
        <v>-743</v>
      </c>
      <c r="H14" s="83">
        <v>-2970</v>
      </c>
      <c r="I14" s="83">
        <v>-9438</v>
      </c>
      <c r="J14" s="54">
        <v>-7238</v>
      </c>
      <c r="K14" s="54">
        <v>-10966</v>
      </c>
      <c r="L14" s="54">
        <v>-3504</v>
      </c>
      <c r="M14" s="84">
        <v>-1923</v>
      </c>
      <c r="N14" s="84">
        <v>-140</v>
      </c>
      <c r="O14" s="84">
        <v>-8298</v>
      </c>
      <c r="P14" s="84">
        <v>-2630</v>
      </c>
      <c r="Q14" s="84">
        <v>3010</v>
      </c>
      <c r="R14" s="84">
        <v>-1687</v>
      </c>
      <c r="S14" s="84">
        <v>-14026</v>
      </c>
      <c r="T14" s="84">
        <v>-11216</v>
      </c>
    </row>
    <row r="15" spans="1:20" x14ac:dyDescent="0.2">
      <c r="A15" s="78" t="s">
        <v>58</v>
      </c>
      <c r="B15" s="82">
        <v>-369</v>
      </c>
      <c r="C15" s="82">
        <v>-880</v>
      </c>
      <c r="D15" s="82">
        <v>-771</v>
      </c>
      <c r="E15" s="82">
        <v>-457</v>
      </c>
      <c r="F15" s="82">
        <v>-825</v>
      </c>
      <c r="G15" s="82">
        <v>-1481</v>
      </c>
      <c r="H15" s="83">
        <v>-1816</v>
      </c>
      <c r="I15" s="83">
        <v>-2180</v>
      </c>
      <c r="J15" s="54">
        <v>-1950</v>
      </c>
      <c r="K15" s="54">
        <v>-2307</v>
      </c>
      <c r="L15" s="54">
        <v>262</v>
      </c>
      <c r="M15" s="84">
        <v>-91</v>
      </c>
      <c r="N15" s="84">
        <v>-5250</v>
      </c>
      <c r="O15" s="84">
        <v>-1722</v>
      </c>
      <c r="P15" s="84">
        <v>-4530</v>
      </c>
      <c r="Q15" s="84">
        <v>-394</v>
      </c>
      <c r="R15" s="84">
        <v>-6392</v>
      </c>
      <c r="S15" s="84">
        <v>-3011</v>
      </c>
      <c r="T15" s="84">
        <v>-3649</v>
      </c>
    </row>
    <row r="16" spans="1:20" ht="32" x14ac:dyDescent="0.2">
      <c r="A16" s="78" t="s">
        <v>59</v>
      </c>
      <c r="B16" s="82">
        <v>-3757</v>
      </c>
      <c r="C16" s="82">
        <v>1499</v>
      </c>
      <c r="D16" s="82">
        <v>-1885</v>
      </c>
      <c r="E16" s="82">
        <v>-2767</v>
      </c>
      <c r="F16" s="82">
        <v>-2613</v>
      </c>
      <c r="G16" s="82">
        <v>-1632</v>
      </c>
      <c r="H16" s="83">
        <v>-5399</v>
      </c>
      <c r="I16" s="83">
        <v>-5954</v>
      </c>
      <c r="J16" s="54">
        <v>-6806</v>
      </c>
      <c r="K16" s="54">
        <v>-658</v>
      </c>
      <c r="L16" s="54">
        <v>-5259</v>
      </c>
      <c r="M16" s="84">
        <v>-4259</v>
      </c>
      <c r="N16" s="84">
        <v>-6710</v>
      </c>
      <c r="O16" s="84">
        <v>-3811</v>
      </c>
      <c r="P16" s="84">
        <v>-23066</v>
      </c>
      <c r="Q16" s="84">
        <v>-11442</v>
      </c>
      <c r="R16" s="84">
        <v>-26826</v>
      </c>
      <c r="S16" s="84">
        <v>-14660</v>
      </c>
      <c r="T16" s="84">
        <v>-39211</v>
      </c>
    </row>
    <row r="17" spans="1:20" x14ac:dyDescent="0.2">
      <c r="A17" s="78" t="s">
        <v>66</v>
      </c>
      <c r="B17" s="82">
        <v>0</v>
      </c>
      <c r="C17" s="82">
        <v>0</v>
      </c>
      <c r="D17" s="82">
        <v>0</v>
      </c>
      <c r="E17" s="82">
        <v>0</v>
      </c>
      <c r="F17" s="82">
        <v>0</v>
      </c>
      <c r="G17" s="82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163952</v>
      </c>
      <c r="Q17" s="84">
        <v>184538</v>
      </c>
      <c r="R17" s="84">
        <v>223837</v>
      </c>
      <c r="S17" s="84">
        <v>234273</v>
      </c>
      <c r="T17" s="84">
        <v>254241</v>
      </c>
    </row>
    <row r="18" spans="1:20" x14ac:dyDescent="0.2">
      <c r="A18" s="78" t="s">
        <v>67</v>
      </c>
      <c r="B18" s="82">
        <v>-477</v>
      </c>
      <c r="C18" s="82">
        <v>-242</v>
      </c>
      <c r="D18" s="82">
        <v>-469</v>
      </c>
      <c r="E18" s="82">
        <v>-2673</v>
      </c>
      <c r="F18" s="82">
        <v>374</v>
      </c>
      <c r="G18" s="82">
        <v>-8956</v>
      </c>
      <c r="H18" s="83">
        <v>-7350</v>
      </c>
      <c r="I18" s="83">
        <v>-20539</v>
      </c>
      <c r="J18" s="54">
        <v>-1354</v>
      </c>
      <c r="K18" s="54">
        <v>1071</v>
      </c>
      <c r="L18" s="54">
        <v>-5619</v>
      </c>
      <c r="M18" s="84">
        <v>1063</v>
      </c>
      <c r="N18" s="84">
        <v>-1476</v>
      </c>
      <c r="O18" s="84">
        <v>-2005</v>
      </c>
      <c r="P18" s="84">
        <v>2818</v>
      </c>
      <c r="Q18" s="84">
        <v>-26577</v>
      </c>
      <c r="R18" s="84">
        <v>3993</v>
      </c>
      <c r="S18" s="84">
        <v>-346</v>
      </c>
      <c r="T18" s="84">
        <v>4204</v>
      </c>
    </row>
    <row r="19" spans="1:20" x14ac:dyDescent="0.2">
      <c r="A19" s="78" t="s">
        <v>71</v>
      </c>
      <c r="B19" s="82">
        <v>5553</v>
      </c>
      <c r="C19" s="82">
        <v>912</v>
      </c>
      <c r="D19" s="82">
        <v>2065</v>
      </c>
      <c r="E19" s="82">
        <v>3635</v>
      </c>
      <c r="F19" s="82">
        <v>1435</v>
      </c>
      <c r="G19" s="82">
        <v>6989</v>
      </c>
      <c r="H19" s="83">
        <v>9432</v>
      </c>
      <c r="I19" s="83">
        <v>7849</v>
      </c>
      <c r="J19" s="54">
        <v>2052</v>
      </c>
      <c r="K19" s="54">
        <v>2168</v>
      </c>
      <c r="L19" s="54">
        <v>19525</v>
      </c>
      <c r="M19" s="84">
        <v>-6734</v>
      </c>
      <c r="N19" s="84">
        <v>10908</v>
      </c>
      <c r="O19" s="84">
        <v>32080</v>
      </c>
      <c r="P19" s="84">
        <v>-973</v>
      </c>
      <c r="Q19" s="84">
        <v>-3859</v>
      </c>
      <c r="R19" s="84">
        <v>21440</v>
      </c>
      <c r="S19" s="84">
        <v>18208</v>
      </c>
      <c r="T19" s="84">
        <v>5313</v>
      </c>
    </row>
    <row r="20" spans="1:20" x14ac:dyDescent="0.2">
      <c r="A20" s="78" t="s">
        <v>72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84">
        <v>11416</v>
      </c>
      <c r="N20" s="84">
        <v>6188</v>
      </c>
      <c r="O20" s="84">
        <v>29568</v>
      </c>
      <c r="P20" s="84">
        <v>11759</v>
      </c>
      <c r="Q20" s="84">
        <v>76683</v>
      </c>
      <c r="R20" s="84">
        <v>-44555</v>
      </c>
      <c r="S20" s="84">
        <v>9864</v>
      </c>
      <c r="T20" s="84">
        <v>57048</v>
      </c>
    </row>
    <row r="21" spans="1:20" x14ac:dyDescent="0.2">
      <c r="A21" s="78" t="s">
        <v>73</v>
      </c>
      <c r="B21" s="82">
        <v>6485</v>
      </c>
      <c r="C21" s="82">
        <v>11304</v>
      </c>
      <c r="D21" s="82">
        <v>13299</v>
      </c>
      <c r="E21" s="82">
        <v>-529</v>
      </c>
      <c r="F21" s="82">
        <v>19804</v>
      </c>
      <c r="G21" s="82">
        <v>16607</v>
      </c>
      <c r="H21" s="83">
        <v>17451</v>
      </c>
      <c r="I21" s="83">
        <v>21307</v>
      </c>
      <c r="J21" s="54">
        <v>12020</v>
      </c>
      <c r="K21" s="54">
        <v>35019</v>
      </c>
      <c r="L21" s="54">
        <v>-7440</v>
      </c>
      <c r="M21" s="84">
        <v>13692</v>
      </c>
      <c r="N21" s="84">
        <v>28179</v>
      </c>
      <c r="O21" s="84">
        <v>14831</v>
      </c>
      <c r="P21" s="84">
        <v>36543</v>
      </c>
      <c r="Q21" s="84">
        <v>5596</v>
      </c>
      <c r="R21" s="84">
        <v>10997</v>
      </c>
      <c r="S21" s="84">
        <v>-27964</v>
      </c>
      <c r="T21" s="84">
        <v>3188</v>
      </c>
    </row>
    <row r="22" spans="1:20" x14ac:dyDescent="0.2">
      <c r="A22" s="78" t="s">
        <v>74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84">
        <v>8383</v>
      </c>
      <c r="N22" s="84">
        <v>4207</v>
      </c>
      <c r="O22" s="84">
        <v>6829</v>
      </c>
      <c r="P22" s="84">
        <v>30400</v>
      </c>
      <c r="Q22" s="84">
        <v>36958</v>
      </c>
      <c r="R22" s="84">
        <v>34387</v>
      </c>
      <c r="S22" s="84">
        <v>33374</v>
      </c>
      <c r="T22" s="84">
        <v>35685</v>
      </c>
    </row>
    <row r="23" spans="1:20" x14ac:dyDescent="0.2">
      <c r="A23" s="78" t="s">
        <v>101</v>
      </c>
      <c r="B23" s="82">
        <v>-177</v>
      </c>
      <c r="C23" s="82">
        <v>2222</v>
      </c>
      <c r="D23" s="82">
        <v>-8721</v>
      </c>
      <c r="E23" s="82">
        <v>9250</v>
      </c>
      <c r="F23" s="82">
        <v>14927</v>
      </c>
      <c r="G23" s="82">
        <v>-13209</v>
      </c>
      <c r="H23" s="83">
        <v>66555</v>
      </c>
      <c r="I23" s="83">
        <v>59357</v>
      </c>
      <c r="J23" s="54">
        <v>44334</v>
      </c>
      <c r="K23" s="54">
        <v>8831</v>
      </c>
      <c r="L23" s="54">
        <v>32756</v>
      </c>
      <c r="M23" s="84">
        <v>54340</v>
      </c>
      <c r="N23" s="84">
        <v>-4173</v>
      </c>
      <c r="O23" s="84">
        <v>14439</v>
      </c>
      <c r="P23" s="84">
        <v>-32083</v>
      </c>
      <c r="Q23" s="84">
        <v>-255251</v>
      </c>
      <c r="R23" s="84">
        <v>193379</v>
      </c>
      <c r="S23" s="84">
        <v>46262</v>
      </c>
      <c r="T23" s="84">
        <v>-5237</v>
      </c>
    </row>
    <row r="24" spans="1:20" x14ac:dyDescent="0.2">
      <c r="A24" s="78" t="s">
        <v>102</v>
      </c>
      <c r="B24" s="82">
        <v>6806</v>
      </c>
      <c r="C24" s="82">
        <v>9714</v>
      </c>
      <c r="D24" s="82">
        <v>17561</v>
      </c>
      <c r="E24" s="82">
        <v>23817</v>
      </c>
      <c r="F24" s="82">
        <v>19386</v>
      </c>
      <c r="G24" s="82">
        <v>17261</v>
      </c>
      <c r="H24" s="83">
        <v>19624</v>
      </c>
      <c r="I24" s="83">
        <v>23765</v>
      </c>
      <c r="J24" s="54">
        <v>25715</v>
      </c>
      <c r="K24" s="54">
        <v>27025</v>
      </c>
      <c r="L24" s="54">
        <v>32911</v>
      </c>
      <c r="M24" s="84">
        <v>37030</v>
      </c>
      <c r="N24" s="84">
        <v>29996</v>
      </c>
      <c r="O24" s="84">
        <v>21297</v>
      </c>
      <c r="P24" s="84">
        <v>-151557</v>
      </c>
      <c r="Q24" s="84">
        <v>-165154</v>
      </c>
      <c r="R24" s="84">
        <v>-207164</v>
      </c>
      <c r="S24" s="84">
        <v>-207186</v>
      </c>
      <c r="T24" s="84">
        <v>-214477</v>
      </c>
    </row>
    <row r="25" spans="1:20" x14ac:dyDescent="0.2">
      <c r="A25" s="78" t="s">
        <v>103</v>
      </c>
      <c r="B25" s="82">
        <v>0</v>
      </c>
      <c r="C25" s="82">
        <v>111</v>
      </c>
      <c r="D25" s="82">
        <v>1234</v>
      </c>
      <c r="E25" s="82">
        <v>1788</v>
      </c>
      <c r="F25" s="82">
        <v>1994</v>
      </c>
      <c r="G25" s="82">
        <v>2974</v>
      </c>
      <c r="H25" s="83">
        <v>2609</v>
      </c>
      <c r="I25" s="83">
        <v>4062</v>
      </c>
      <c r="J25" s="54">
        <v>3857</v>
      </c>
      <c r="K25" s="54">
        <v>4845</v>
      </c>
      <c r="L25" s="54">
        <v>4826</v>
      </c>
      <c r="M25" s="84">
        <v>1287</v>
      </c>
      <c r="N25" s="84">
        <v>6316</v>
      </c>
      <c r="O25" s="84">
        <v>869</v>
      </c>
      <c r="P25" s="84">
        <v>1862</v>
      </c>
      <c r="Q25" s="84">
        <v>1782</v>
      </c>
      <c r="R25" s="84">
        <v>-3984</v>
      </c>
      <c r="S25" s="84">
        <v>3853</v>
      </c>
      <c r="T25" s="84">
        <v>9431</v>
      </c>
    </row>
    <row r="26" spans="1:20" ht="32" x14ac:dyDescent="0.2">
      <c r="A26" s="78" t="s">
        <v>104</v>
      </c>
      <c r="B26" s="82">
        <f t="shared" ref="B26" si="12">SUM(B14:B25)+SUM(B6:B12)+B4</f>
        <v>77431</v>
      </c>
      <c r="C26" s="82">
        <f t="shared" ref="C26" si="13">SUM(C14:C25)+SUM(C6:C12)+C4</f>
        <v>103597</v>
      </c>
      <c r="D26" s="82">
        <f t="shared" ref="D26:E26" si="14">SUM(D14:D25)+SUM(D6:D12)+D4</f>
        <v>146923</v>
      </c>
      <c r="E26" s="82">
        <f t="shared" si="14"/>
        <v>198507</v>
      </c>
      <c r="F26" s="82">
        <f>SUM(F14:F25)+SUM(F6:F12)+F4</f>
        <v>260673</v>
      </c>
      <c r="G26" s="82">
        <f>SUM(G14:G25)+SUM(G6:G12)+G4</f>
        <v>289191</v>
      </c>
      <c r="H26" s="83">
        <v>411096</v>
      </c>
      <c r="I26" s="83">
        <v>419963</v>
      </c>
      <c r="J26" s="54">
        <v>528780</v>
      </c>
      <c r="K26" s="54">
        <v>682067</v>
      </c>
      <c r="L26" s="54">
        <v>683316</v>
      </c>
      <c r="M26" s="84">
        <v>355160</v>
      </c>
      <c r="N26" s="84">
        <v>468216</v>
      </c>
      <c r="O26" s="84">
        <v>621552</v>
      </c>
      <c r="P26" s="84">
        <v>721632</v>
      </c>
      <c r="Q26" s="84">
        <v>663847</v>
      </c>
      <c r="R26" s="84">
        <v>1282081</v>
      </c>
      <c r="S26" s="84">
        <v>1323179</v>
      </c>
      <c r="T26" s="84">
        <v>1783477</v>
      </c>
    </row>
    <row r="27" spans="1:20" x14ac:dyDescent="0.2">
      <c r="A27" s="60" t="s">
        <v>105</v>
      </c>
      <c r="B27" s="85"/>
      <c r="C27" s="85"/>
      <c r="D27" s="85"/>
      <c r="E27" s="85"/>
      <c r="F27" s="85"/>
      <c r="G27" s="85"/>
      <c r="H27" s="83"/>
      <c r="I27" s="83"/>
      <c r="J27" s="54"/>
      <c r="K27" s="54"/>
      <c r="L27" s="54"/>
      <c r="M27" s="54"/>
      <c r="N27" s="54"/>
      <c r="O27" s="54"/>
      <c r="P27" s="54"/>
      <c r="Q27" s="54"/>
      <c r="R27" s="82" t="s">
        <v>55</v>
      </c>
      <c r="S27" s="82" t="s">
        <v>55</v>
      </c>
      <c r="T27" s="82" t="s">
        <v>55</v>
      </c>
    </row>
    <row r="28" spans="1:20" ht="48" x14ac:dyDescent="0.2">
      <c r="A28" s="78" t="s">
        <v>106</v>
      </c>
      <c r="B28" s="82">
        <v>-83036</v>
      </c>
      <c r="C28" s="82">
        <v>-97312</v>
      </c>
      <c r="D28" s="82">
        <v>-140545</v>
      </c>
      <c r="E28" s="82">
        <v>-152101</v>
      </c>
      <c r="F28" s="82">
        <v>-117198</v>
      </c>
      <c r="G28" s="82">
        <v>-113215</v>
      </c>
      <c r="H28" s="83">
        <v>-151147</v>
      </c>
      <c r="I28" s="83">
        <v>-197037</v>
      </c>
      <c r="J28" s="54">
        <v>-199926</v>
      </c>
      <c r="K28" s="54">
        <v>-252590</v>
      </c>
      <c r="L28" s="54">
        <v>-257418</v>
      </c>
      <c r="M28" s="84">
        <v>-258842</v>
      </c>
      <c r="N28" s="84">
        <v>-216777</v>
      </c>
      <c r="O28" s="84">
        <v>-287390</v>
      </c>
      <c r="P28" s="84">
        <v>-333912</v>
      </c>
      <c r="Q28" s="84">
        <v>-373352</v>
      </c>
      <c r="R28" s="84">
        <v>-442475</v>
      </c>
      <c r="S28" s="84">
        <v>-479164</v>
      </c>
      <c r="T28" s="84">
        <v>-560731</v>
      </c>
    </row>
    <row r="29" spans="1:20" x14ac:dyDescent="0.2">
      <c r="A29" s="78" t="s">
        <v>107</v>
      </c>
      <c r="B29" s="82">
        <v>0</v>
      </c>
      <c r="C29" s="82">
        <v>0</v>
      </c>
      <c r="D29" s="82">
        <v>-20000</v>
      </c>
      <c r="E29" s="82">
        <v>-99990</v>
      </c>
      <c r="F29" s="82">
        <v>-50000</v>
      </c>
      <c r="G29" s="82">
        <v>-125000</v>
      </c>
      <c r="H29" s="83">
        <v>-183251</v>
      </c>
      <c r="I29" s="83">
        <v>-213462</v>
      </c>
      <c r="J29" s="54">
        <v>-387639</v>
      </c>
      <c r="K29" s="54">
        <v>-521004</v>
      </c>
      <c r="L29" s="54">
        <v>-559372</v>
      </c>
      <c r="M29" s="84">
        <v>0</v>
      </c>
      <c r="N29" s="84">
        <v>-199801</v>
      </c>
      <c r="O29" s="84">
        <v>-485188</v>
      </c>
      <c r="P29" s="84">
        <v>-448754</v>
      </c>
      <c r="Q29" s="84">
        <v>-468418</v>
      </c>
      <c r="R29" s="84">
        <v>-429350</v>
      </c>
      <c r="S29" s="84">
        <v>-614416</v>
      </c>
      <c r="T29" s="84">
        <v>-1115131</v>
      </c>
    </row>
    <row r="30" spans="1:20" x14ac:dyDescent="0.2">
      <c r="A30" s="78" t="s">
        <v>108</v>
      </c>
      <c r="B30" s="82">
        <v>0</v>
      </c>
      <c r="C30" s="82">
        <v>0</v>
      </c>
      <c r="D30" s="82">
        <v>0</v>
      </c>
      <c r="E30" s="82">
        <v>20000</v>
      </c>
      <c r="F30" s="82">
        <v>99990</v>
      </c>
      <c r="G30" s="82">
        <v>50234</v>
      </c>
      <c r="H30" s="83">
        <v>124766</v>
      </c>
      <c r="I30" s="83">
        <v>55000</v>
      </c>
      <c r="J30" s="54">
        <v>159250</v>
      </c>
      <c r="K30" s="54">
        <v>254750</v>
      </c>
      <c r="L30" s="54">
        <v>352650</v>
      </c>
      <c r="M30" s="84">
        <v>45000</v>
      </c>
      <c r="N30" s="84">
        <v>330000</v>
      </c>
      <c r="O30" s="84">
        <v>385000</v>
      </c>
      <c r="P30" s="84">
        <v>476723</v>
      </c>
      <c r="Q30" s="84">
        <v>419078</v>
      </c>
      <c r="R30" s="84">
        <v>345748</v>
      </c>
      <c r="S30" s="84">
        <v>263548</v>
      </c>
      <c r="T30" s="84">
        <v>729853</v>
      </c>
    </row>
    <row r="31" spans="1:20" x14ac:dyDescent="0.2">
      <c r="A31" s="78" t="s">
        <v>109</v>
      </c>
      <c r="B31" s="82">
        <v>0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540648</v>
      </c>
      <c r="N31" s="84">
        <v>0</v>
      </c>
      <c r="O31" s="84">
        <v>0</v>
      </c>
      <c r="P31" s="84">
        <v>13969</v>
      </c>
      <c r="Q31" s="84">
        <v>0</v>
      </c>
      <c r="R31" s="84">
        <v>4035</v>
      </c>
      <c r="S31" s="84">
        <v>0</v>
      </c>
      <c r="T31" s="84">
        <v>0</v>
      </c>
    </row>
    <row r="32" spans="1:20" ht="32" x14ac:dyDescent="0.2">
      <c r="A32" s="78" t="s">
        <v>120</v>
      </c>
      <c r="B32" s="82">
        <v>0</v>
      </c>
      <c r="C32" s="82">
        <v>0</v>
      </c>
      <c r="D32" s="82">
        <v>-5668</v>
      </c>
      <c r="E32" s="82">
        <v>0</v>
      </c>
      <c r="F32" s="82">
        <v>0</v>
      </c>
      <c r="G32" s="82">
        <v>-1900</v>
      </c>
      <c r="H32" s="83">
        <v>-586</v>
      </c>
      <c r="I32" s="83">
        <v>0</v>
      </c>
      <c r="J32" s="84">
        <v>0</v>
      </c>
      <c r="K32" s="84">
        <v>0</v>
      </c>
      <c r="L32" s="84">
        <v>0</v>
      </c>
      <c r="M32" s="84">
        <v>0</v>
      </c>
      <c r="N32" s="84">
        <v>0</v>
      </c>
      <c r="O32" s="84">
        <v>0</v>
      </c>
      <c r="P32" s="84">
        <v>0</v>
      </c>
      <c r="Q32" s="84">
        <v>-10025</v>
      </c>
      <c r="R32" s="84">
        <v>0</v>
      </c>
      <c r="S32" s="84">
        <v>0</v>
      </c>
      <c r="T32" s="84">
        <v>0</v>
      </c>
    </row>
    <row r="33" spans="1:20" ht="32" x14ac:dyDescent="0.2">
      <c r="A33" s="78" t="s">
        <v>110</v>
      </c>
      <c r="B33" s="82">
        <f t="shared" ref="B33" si="15">SUM(B28:B32)</f>
        <v>-83036</v>
      </c>
      <c r="C33" s="82">
        <f t="shared" ref="C33" si="16">SUM(C28:C32)</f>
        <v>-97312</v>
      </c>
      <c r="D33" s="82">
        <f t="shared" ref="D33:E33" si="17">SUM(D28:D32)</f>
        <v>-166213</v>
      </c>
      <c r="E33" s="82">
        <f t="shared" si="17"/>
        <v>-232091</v>
      </c>
      <c r="F33" s="82">
        <f>SUM(F28:F32)</f>
        <v>-67208</v>
      </c>
      <c r="G33" s="82">
        <f>SUM(G28:G32)</f>
        <v>-189881</v>
      </c>
      <c r="H33" s="83">
        <v>-210218</v>
      </c>
      <c r="I33" s="83">
        <v>-355499</v>
      </c>
      <c r="J33" s="54">
        <v>-428315</v>
      </c>
      <c r="K33" s="54">
        <v>-518844</v>
      </c>
      <c r="L33" s="54">
        <v>-464140</v>
      </c>
      <c r="M33" s="84">
        <v>326806</v>
      </c>
      <c r="N33" s="84">
        <v>-86578</v>
      </c>
      <c r="O33" s="84">
        <v>-387578</v>
      </c>
      <c r="P33" s="84">
        <v>-291974</v>
      </c>
      <c r="Q33" s="84">
        <v>-432717</v>
      </c>
      <c r="R33" s="84">
        <v>-522042</v>
      </c>
      <c r="S33" s="84">
        <v>-830032</v>
      </c>
      <c r="T33" s="84">
        <v>-946009</v>
      </c>
    </row>
    <row r="34" spans="1:20" x14ac:dyDescent="0.2">
      <c r="A34" s="60" t="s">
        <v>111</v>
      </c>
      <c r="B34" s="85"/>
      <c r="C34" s="85"/>
      <c r="D34" s="85"/>
      <c r="E34" s="85"/>
      <c r="F34" s="85"/>
      <c r="G34" s="85"/>
      <c r="H34" s="83"/>
      <c r="I34" s="83"/>
      <c r="J34" s="54"/>
      <c r="K34" s="54"/>
      <c r="L34" s="54"/>
      <c r="M34" s="54"/>
      <c r="N34" s="54"/>
      <c r="O34" s="54"/>
      <c r="P34" s="54"/>
      <c r="Q34" s="54"/>
      <c r="R34" s="82" t="s">
        <v>55</v>
      </c>
      <c r="S34" s="82" t="s">
        <v>55</v>
      </c>
      <c r="T34" s="82" t="s">
        <v>55</v>
      </c>
    </row>
    <row r="35" spans="1:20" x14ac:dyDescent="0.2">
      <c r="A35" s="78" t="s">
        <v>112</v>
      </c>
      <c r="B35" s="82">
        <v>0</v>
      </c>
      <c r="C35" s="82">
        <v>133333</v>
      </c>
      <c r="D35" s="82">
        <v>0</v>
      </c>
      <c r="E35" s="82">
        <v>-30227</v>
      </c>
      <c r="F35" s="82">
        <v>-84089</v>
      </c>
      <c r="G35" s="82">
        <v>-126602</v>
      </c>
      <c r="H35" s="83">
        <v>-63508</v>
      </c>
      <c r="I35" s="83">
        <v>-217092</v>
      </c>
      <c r="J35" s="54">
        <v>-138903</v>
      </c>
      <c r="K35" s="54">
        <v>-88338</v>
      </c>
      <c r="L35" s="54">
        <v>-460675</v>
      </c>
      <c r="M35" s="84">
        <v>-836760</v>
      </c>
      <c r="N35" s="84">
        <v>-285218</v>
      </c>
      <c r="O35" s="84">
        <v>-160937</v>
      </c>
      <c r="P35" s="84">
        <v>-190617</v>
      </c>
      <c r="Q35" s="84">
        <v>-54401</v>
      </c>
      <c r="R35" s="84">
        <v>-466462</v>
      </c>
      <c r="S35" s="84">
        <v>-830140</v>
      </c>
      <c r="T35" s="84">
        <v>-592349</v>
      </c>
    </row>
    <row r="36" spans="1:20" ht="34" x14ac:dyDescent="0.2">
      <c r="A36" s="72" t="s">
        <v>154</v>
      </c>
      <c r="B36" s="83">
        <v>0</v>
      </c>
      <c r="C36" s="83">
        <v>2752</v>
      </c>
      <c r="D36" s="82">
        <v>3863</v>
      </c>
      <c r="E36" s="83">
        <v>471</v>
      </c>
      <c r="F36" s="83">
        <v>11793</v>
      </c>
      <c r="G36" s="83">
        <v>17650</v>
      </c>
      <c r="H36" s="83">
        <v>574</v>
      </c>
      <c r="I36" s="83">
        <v>481</v>
      </c>
      <c r="J36" s="54"/>
      <c r="K36" s="54"/>
      <c r="L36" s="54"/>
      <c r="M36" s="84"/>
      <c r="N36" s="84"/>
      <c r="O36" s="84"/>
      <c r="P36" s="84"/>
      <c r="Q36" s="84"/>
      <c r="R36" s="84"/>
      <c r="S36" s="84"/>
      <c r="T36" s="84"/>
    </row>
    <row r="37" spans="1:20" ht="32" x14ac:dyDescent="0.2">
      <c r="A37" s="78" t="s">
        <v>113</v>
      </c>
      <c r="B37" s="82">
        <v>0</v>
      </c>
      <c r="C37" s="82">
        <v>1357</v>
      </c>
      <c r="D37" s="82">
        <v>6632</v>
      </c>
      <c r="E37" s="82">
        <v>284</v>
      </c>
      <c r="F37" s="82">
        <v>10435</v>
      </c>
      <c r="G37" s="82">
        <v>14526</v>
      </c>
      <c r="H37" s="83">
        <v>38786</v>
      </c>
      <c r="I37" s="83">
        <v>73210</v>
      </c>
      <c r="J37" s="54">
        <v>38379</v>
      </c>
      <c r="K37" s="54">
        <v>21667</v>
      </c>
      <c r="L37" s="54">
        <v>74442</v>
      </c>
      <c r="M37" s="84">
        <v>-895</v>
      </c>
      <c r="N37" s="84">
        <v>-702</v>
      </c>
      <c r="O37" s="84">
        <v>-5411</v>
      </c>
      <c r="P37" s="84">
        <v>-10420</v>
      </c>
      <c r="Q37" s="84">
        <v>-48555</v>
      </c>
      <c r="R37" s="84">
        <v>-79870</v>
      </c>
      <c r="S37" s="84">
        <v>-98970</v>
      </c>
      <c r="T37" s="84">
        <v>-69146</v>
      </c>
    </row>
    <row r="38" spans="1:20" x14ac:dyDescent="0.2">
      <c r="A38" s="78" t="s">
        <v>114</v>
      </c>
      <c r="B38" s="82">
        <f>7402+37905-38743-4431+3549-16</f>
        <v>5666</v>
      </c>
      <c r="C38" s="82">
        <f>635-61+2248-12436+19468</f>
        <v>9854</v>
      </c>
      <c r="D38" s="82">
        <f>6400-71</f>
        <v>6329</v>
      </c>
      <c r="E38" s="82">
        <v>-76</v>
      </c>
      <c r="F38" s="82">
        <v>-82</v>
      </c>
      <c r="G38" s="82">
        <v>-96</v>
      </c>
      <c r="H38" s="83">
        <v>-120</v>
      </c>
      <c r="I38" s="83">
        <v>-133</v>
      </c>
      <c r="J38" s="54">
        <v>173</v>
      </c>
      <c r="K38" s="54">
        <v>-66</v>
      </c>
      <c r="L38" s="54">
        <v>-207</v>
      </c>
      <c r="M38" s="84">
        <v>1372</v>
      </c>
      <c r="N38" s="84">
        <v>26</v>
      </c>
      <c r="O38" s="84">
        <v>-187</v>
      </c>
      <c r="P38" s="84">
        <v>-698</v>
      </c>
      <c r="Q38" s="84">
        <v>-1895</v>
      </c>
      <c r="R38" s="84">
        <v>-2274</v>
      </c>
      <c r="S38" s="84">
        <v>-294</v>
      </c>
      <c r="T38" s="84">
        <v>843</v>
      </c>
    </row>
    <row r="39" spans="1:20" ht="32" x14ac:dyDescent="0.2">
      <c r="A39" s="78" t="s">
        <v>115</v>
      </c>
      <c r="B39" s="82">
        <f t="shared" ref="B39" si="18">SUM(B35:B38)</f>
        <v>5666</v>
      </c>
      <c r="C39" s="82">
        <f t="shared" ref="C39" si="19">SUM(C35:C38)</f>
        <v>147296</v>
      </c>
      <c r="D39" s="82">
        <f t="shared" ref="D39:E39" si="20">SUM(D35:D38)</f>
        <v>16824</v>
      </c>
      <c r="E39" s="82">
        <f t="shared" si="20"/>
        <v>-29548</v>
      </c>
      <c r="F39" s="82">
        <f>SUM(F35:F38)</f>
        <v>-61943</v>
      </c>
      <c r="G39" s="82">
        <f>SUM(G35:G38)</f>
        <v>-94522</v>
      </c>
      <c r="H39" s="83">
        <v>-24268</v>
      </c>
      <c r="I39" s="83">
        <v>-143534</v>
      </c>
      <c r="J39" s="54">
        <v>-100351</v>
      </c>
      <c r="K39" s="54">
        <v>-66737</v>
      </c>
      <c r="L39" s="54">
        <v>-386440</v>
      </c>
      <c r="M39" s="84">
        <v>-836283</v>
      </c>
      <c r="N39" s="84">
        <v>-285894</v>
      </c>
      <c r="O39" s="84">
        <v>-166535</v>
      </c>
      <c r="P39" s="84">
        <v>-201735</v>
      </c>
      <c r="Q39" s="84">
        <v>-104851</v>
      </c>
      <c r="R39" s="84">
        <v>-548606</v>
      </c>
      <c r="S39" s="84">
        <v>-929404</v>
      </c>
      <c r="T39" s="84">
        <v>-660652</v>
      </c>
    </row>
    <row r="40" spans="1:20" ht="48" x14ac:dyDescent="0.2">
      <c r="A40" s="78" t="s">
        <v>116</v>
      </c>
      <c r="B40" s="82">
        <v>0</v>
      </c>
      <c r="C40" s="82">
        <v>0</v>
      </c>
      <c r="D40" s="82">
        <v>0</v>
      </c>
      <c r="E40" s="82">
        <v>0</v>
      </c>
      <c r="F40" s="82">
        <v>0</v>
      </c>
      <c r="G40" s="82">
        <v>484</v>
      </c>
      <c r="H40" s="83">
        <v>-205</v>
      </c>
      <c r="I40" s="83">
        <v>380</v>
      </c>
      <c r="J40" s="54">
        <v>536</v>
      </c>
      <c r="K40" s="54">
        <v>-224</v>
      </c>
      <c r="L40" s="54">
        <v>-4196</v>
      </c>
      <c r="M40" s="84">
        <v>110</v>
      </c>
      <c r="N40" s="84">
        <v>2056</v>
      </c>
      <c r="O40" s="84">
        <v>-1457</v>
      </c>
      <c r="P40" s="84">
        <v>406</v>
      </c>
      <c r="Q40" s="84">
        <v>1076</v>
      </c>
      <c r="R40" s="84">
        <v>-1039</v>
      </c>
      <c r="S40" s="84">
        <v>-1007</v>
      </c>
      <c r="T40" s="84">
        <v>381</v>
      </c>
    </row>
    <row r="41" spans="1:20" ht="32" x14ac:dyDescent="0.2">
      <c r="A41" s="78" t="s">
        <v>117</v>
      </c>
      <c r="B41" s="82">
        <v>61</v>
      </c>
      <c r="C41" s="82">
        <v>153581</v>
      </c>
      <c r="D41" s="82">
        <v>-2466</v>
      </c>
      <c r="E41" s="82">
        <v>-63132</v>
      </c>
      <c r="F41" s="82">
        <v>131522</v>
      </c>
      <c r="G41" s="82">
        <v>5272</v>
      </c>
      <c r="H41" s="83">
        <v>176405</v>
      </c>
      <c r="I41" s="83">
        <v>-78690</v>
      </c>
      <c r="J41" s="54">
        <v>650</v>
      </c>
      <c r="K41" s="54">
        <v>96262</v>
      </c>
      <c r="L41" s="54">
        <v>-171460</v>
      </c>
      <c r="M41" s="84">
        <v>-154207</v>
      </c>
      <c r="N41" s="84">
        <v>97800</v>
      </c>
      <c r="O41" s="84">
        <v>65982</v>
      </c>
      <c r="P41" s="84">
        <v>228329</v>
      </c>
      <c r="Q41" s="84">
        <v>127355</v>
      </c>
      <c r="R41" s="84">
        <v>210394</v>
      </c>
      <c r="S41" s="84">
        <v>-437264</v>
      </c>
      <c r="T41" s="84">
        <v>177197</v>
      </c>
    </row>
    <row r="42" spans="1:20" ht="48" x14ac:dyDescent="0.2">
      <c r="A42" s="78" t="s">
        <v>118</v>
      </c>
      <c r="B42" s="82">
        <v>0</v>
      </c>
      <c r="C42" s="82">
        <v>61</v>
      </c>
      <c r="D42" s="82">
        <v>153176</v>
      </c>
      <c r="E42" s="82">
        <v>151176</v>
      </c>
      <c r="F42" s="82">
        <v>88044</v>
      </c>
      <c r="G42" s="82">
        <v>219566</v>
      </c>
      <c r="H42" s="83">
        <v>224838</v>
      </c>
      <c r="I42" s="83">
        <v>401243</v>
      </c>
      <c r="J42" s="54">
        <v>322553</v>
      </c>
      <c r="K42" s="54">
        <v>323203</v>
      </c>
      <c r="L42" s="54">
        <v>419465</v>
      </c>
      <c r="M42" s="84">
        <v>270577</v>
      </c>
      <c r="N42" s="84">
        <v>116370</v>
      </c>
      <c r="O42" s="84">
        <v>214170</v>
      </c>
      <c r="P42" s="84">
        <v>280152</v>
      </c>
      <c r="Q42" s="84">
        <v>508481</v>
      </c>
      <c r="R42" s="84">
        <v>635836</v>
      </c>
      <c r="S42" s="84">
        <v>846230</v>
      </c>
      <c r="T42" s="84">
        <v>408966</v>
      </c>
    </row>
    <row r="43" spans="1:20" ht="32" x14ac:dyDescent="0.2">
      <c r="A43" s="78" t="s">
        <v>119</v>
      </c>
      <c r="B43" s="82">
        <v>61</v>
      </c>
      <c r="C43" s="82">
        <v>153642</v>
      </c>
      <c r="D43" s="82">
        <v>151176</v>
      </c>
      <c r="E43" s="82">
        <v>88044</v>
      </c>
      <c r="F43" s="82">
        <v>219566</v>
      </c>
      <c r="G43" s="82">
        <v>224838</v>
      </c>
      <c r="H43" s="83">
        <v>401243</v>
      </c>
      <c r="I43" s="83">
        <v>322553</v>
      </c>
      <c r="J43" s="54">
        <v>323203</v>
      </c>
      <c r="K43" s="54">
        <v>419465</v>
      </c>
      <c r="L43" s="54">
        <v>248005</v>
      </c>
      <c r="M43" s="84">
        <v>116370</v>
      </c>
      <c r="N43" s="84">
        <v>214170</v>
      </c>
      <c r="O43" s="84">
        <v>280152</v>
      </c>
      <c r="P43" s="84">
        <v>508481</v>
      </c>
      <c r="Q43" s="84">
        <v>635836</v>
      </c>
      <c r="R43" s="84">
        <v>846230</v>
      </c>
      <c r="S43" s="84">
        <v>408966</v>
      </c>
      <c r="T43" s="84">
        <v>586163</v>
      </c>
    </row>
    <row r="44" spans="1:20" x14ac:dyDescent="0.2">
      <c r="B44" s="54"/>
      <c r="C44" s="54"/>
      <c r="D44" s="54"/>
      <c r="E44" s="54"/>
      <c r="F44" s="54"/>
      <c r="G44" s="54"/>
      <c r="H44" s="83"/>
      <c r="I44" s="83"/>
      <c r="J44" s="54"/>
      <c r="K44" s="54"/>
      <c r="L44" s="54"/>
      <c r="M44" s="54"/>
      <c r="N44" s="84"/>
      <c r="O44" s="84"/>
      <c r="P44" s="84"/>
      <c r="Q44" s="84"/>
      <c r="R44" s="54"/>
      <c r="S44" s="54"/>
      <c r="T44" s="54"/>
    </row>
    <row r="45" spans="1:20" x14ac:dyDescent="0.2">
      <c r="A45" s="86" t="s">
        <v>34</v>
      </c>
      <c r="B45" s="54">
        <f t="shared" ref="B45:C45" si="21">B4</f>
        <v>37696</v>
      </c>
      <c r="C45" s="54">
        <f t="shared" si="21"/>
        <v>41423</v>
      </c>
      <c r="D45" s="54">
        <f t="shared" ref="D45:E45" si="22">D4</f>
        <v>70563</v>
      </c>
      <c r="E45" s="54">
        <f t="shared" si="22"/>
        <v>78202</v>
      </c>
      <c r="F45" s="54">
        <f t="shared" ref="F45:G45" si="23">F4</f>
        <v>126845</v>
      </c>
      <c r="G45" s="54">
        <f t="shared" si="23"/>
        <v>178981</v>
      </c>
      <c r="H45" s="54">
        <f t="shared" ref="H45:T45" si="24">H4</f>
        <v>214945</v>
      </c>
      <c r="I45" s="54">
        <f t="shared" si="24"/>
        <v>278000</v>
      </c>
      <c r="J45" s="54">
        <f t="shared" si="24"/>
        <v>327438</v>
      </c>
      <c r="K45" s="54">
        <f t="shared" si="24"/>
        <v>445374</v>
      </c>
      <c r="L45" s="54">
        <f t="shared" si="24"/>
        <v>475602</v>
      </c>
      <c r="M45" s="54">
        <f t="shared" si="24"/>
        <v>22938</v>
      </c>
      <c r="N45" s="54">
        <f t="shared" si="24"/>
        <v>176253</v>
      </c>
      <c r="O45" s="54">
        <f t="shared" si="24"/>
        <v>176553</v>
      </c>
      <c r="P45" s="54">
        <f t="shared" si="24"/>
        <v>350158</v>
      </c>
      <c r="Q45" s="54">
        <f t="shared" si="24"/>
        <v>355766</v>
      </c>
      <c r="R45" s="54">
        <f t="shared" si="24"/>
        <v>652984</v>
      </c>
      <c r="S45" s="54">
        <f t="shared" si="24"/>
        <v>899101</v>
      </c>
      <c r="T45" s="54">
        <f t="shared" si="24"/>
        <v>1228737</v>
      </c>
    </row>
    <row r="46" spans="1:20" x14ac:dyDescent="0.2">
      <c r="A46" s="80" t="s">
        <v>122</v>
      </c>
      <c r="B46" s="54">
        <f t="shared" ref="B46:C46" si="25">B6</f>
        <v>28026</v>
      </c>
      <c r="C46" s="54">
        <f t="shared" si="25"/>
        <v>34253</v>
      </c>
      <c r="D46" s="54">
        <f t="shared" ref="D46:E46" si="26">D6</f>
        <v>43595</v>
      </c>
      <c r="E46" s="54">
        <f t="shared" si="26"/>
        <v>52770</v>
      </c>
      <c r="F46" s="54">
        <f t="shared" ref="F46:G46" si="27">F6</f>
        <v>61308</v>
      </c>
      <c r="G46" s="54">
        <f t="shared" si="27"/>
        <v>68921</v>
      </c>
      <c r="H46" s="54">
        <f t="shared" ref="H46:T46" si="28">H6</f>
        <v>74938</v>
      </c>
      <c r="I46" s="54">
        <f t="shared" si="28"/>
        <v>84130</v>
      </c>
      <c r="J46" s="54">
        <f t="shared" si="28"/>
        <v>96054</v>
      </c>
      <c r="K46" s="54">
        <f t="shared" si="28"/>
        <v>110474</v>
      </c>
      <c r="L46" s="54">
        <f t="shared" si="28"/>
        <v>130368</v>
      </c>
      <c r="M46" s="54">
        <f t="shared" si="28"/>
        <v>146368</v>
      </c>
      <c r="N46" s="54">
        <f t="shared" si="28"/>
        <v>163348</v>
      </c>
      <c r="O46" s="54">
        <f t="shared" si="28"/>
        <v>201979</v>
      </c>
      <c r="P46" s="54">
        <f t="shared" si="28"/>
        <v>212778</v>
      </c>
      <c r="Q46" s="54">
        <f t="shared" si="28"/>
        <v>238534</v>
      </c>
      <c r="R46" s="54">
        <f t="shared" si="28"/>
        <v>254657</v>
      </c>
      <c r="S46" s="54">
        <f t="shared" si="28"/>
        <v>286826</v>
      </c>
      <c r="T46" s="54">
        <f t="shared" si="28"/>
        <v>319394</v>
      </c>
    </row>
    <row r="47" spans="1:20" x14ac:dyDescent="0.2">
      <c r="A47" s="80" t="s">
        <v>123</v>
      </c>
      <c r="B47" s="54">
        <f t="shared" ref="B47:C47" si="29">B10</f>
        <v>2103</v>
      </c>
      <c r="C47" s="54">
        <f t="shared" si="29"/>
        <v>5193</v>
      </c>
      <c r="D47" s="54">
        <f t="shared" ref="D47:E47" si="30">D10</f>
        <v>7801</v>
      </c>
      <c r="E47" s="54">
        <f t="shared" si="30"/>
        <v>11374</v>
      </c>
      <c r="F47" s="54">
        <f t="shared" ref="F47:G47" si="31">F10</f>
        <v>14992</v>
      </c>
      <c r="G47" s="54">
        <f t="shared" si="31"/>
        <v>21381</v>
      </c>
      <c r="H47" s="54">
        <f t="shared" ref="H47:I47" si="32">H10</f>
        <v>41382</v>
      </c>
      <c r="I47" s="54">
        <f t="shared" si="32"/>
        <v>64276</v>
      </c>
      <c r="J47" s="54">
        <f t="shared" ref="J47:L47" si="33">J10</f>
        <v>63657</v>
      </c>
      <c r="K47" s="54">
        <f t="shared" si="33"/>
        <v>96440</v>
      </c>
      <c r="L47" s="54">
        <f t="shared" si="33"/>
        <v>57911</v>
      </c>
      <c r="M47" s="54">
        <f>M10</f>
        <v>64166</v>
      </c>
      <c r="N47" s="54">
        <f t="shared" ref="N47:T47" si="34">N10</f>
        <v>65255</v>
      </c>
      <c r="O47" s="54">
        <f t="shared" si="34"/>
        <v>69164</v>
      </c>
      <c r="P47" s="54">
        <f t="shared" si="34"/>
        <v>91396</v>
      </c>
      <c r="Q47" s="54">
        <f t="shared" si="34"/>
        <v>82626</v>
      </c>
      <c r="R47" s="54">
        <f t="shared" si="34"/>
        <v>176392</v>
      </c>
      <c r="S47" s="54">
        <f t="shared" si="34"/>
        <v>98030</v>
      </c>
      <c r="T47" s="54">
        <f t="shared" si="34"/>
        <v>124016</v>
      </c>
    </row>
    <row r="48" spans="1:20" x14ac:dyDescent="0.2">
      <c r="A48" s="80" t="s">
        <v>124</v>
      </c>
      <c r="B48" s="54">
        <f t="shared" ref="B48:C48" si="35">B7</f>
        <v>12887</v>
      </c>
      <c r="C48" s="54">
        <f t="shared" si="35"/>
        <v>-2639</v>
      </c>
      <c r="D48" s="54">
        <f t="shared" ref="D48:E48" si="36">D7</f>
        <v>-3024</v>
      </c>
      <c r="E48" s="54">
        <f t="shared" si="36"/>
        <v>13254</v>
      </c>
      <c r="F48" s="54">
        <f t="shared" ref="F48:G48" si="37">F7</f>
        <v>8423</v>
      </c>
      <c r="G48" s="54">
        <f t="shared" si="37"/>
        <v>10479</v>
      </c>
      <c r="H48" s="54">
        <f t="shared" ref="H48:T48" si="38">H7</f>
        <v>11935</v>
      </c>
      <c r="I48" s="54">
        <f t="shared" si="38"/>
        <v>-18057</v>
      </c>
      <c r="J48" s="54">
        <f t="shared" si="38"/>
        <v>2103</v>
      </c>
      <c r="K48" s="54">
        <f t="shared" si="38"/>
        <v>-20671</v>
      </c>
      <c r="L48" s="54">
        <f t="shared" si="38"/>
        <v>11666</v>
      </c>
      <c r="M48" s="54">
        <f t="shared" si="38"/>
        <v>-14207</v>
      </c>
      <c r="N48" s="54">
        <f t="shared" si="38"/>
        <v>-18026</v>
      </c>
      <c r="O48" s="54">
        <f t="shared" si="38"/>
        <v>10585</v>
      </c>
      <c r="P48" s="54">
        <f t="shared" si="38"/>
        <v>29962</v>
      </c>
      <c r="Q48" s="54">
        <f t="shared" si="38"/>
        <v>108350</v>
      </c>
      <c r="R48" s="54">
        <f t="shared" si="38"/>
        <v>-12357</v>
      </c>
      <c r="S48" s="54">
        <f t="shared" si="38"/>
        <v>-43195</v>
      </c>
      <c r="T48" s="54">
        <f t="shared" si="38"/>
        <v>-9505</v>
      </c>
    </row>
    <row r="49" spans="1:21" x14ac:dyDescent="0.2">
      <c r="A49" s="80" t="s">
        <v>98</v>
      </c>
      <c r="B49" s="54">
        <f t="shared" ref="B49:C49" si="39">SUM(B8:B9)+SUM(B11:B12)</f>
        <v>-18261</v>
      </c>
      <c r="C49" s="54">
        <f t="shared" si="39"/>
        <v>3600</v>
      </c>
      <c r="D49" s="54">
        <f t="shared" ref="D49:E49" si="40">SUM(D8:D9)+SUM(D11:D12)</f>
        <v>6183</v>
      </c>
      <c r="E49" s="54">
        <f t="shared" si="40"/>
        <v>9553</v>
      </c>
      <c r="F49" s="54">
        <f t="shared" ref="F49:G49" si="41">SUM(F8:F9)+SUM(F11:F12)</f>
        <v>-4502</v>
      </c>
      <c r="G49" s="54">
        <f t="shared" si="41"/>
        <v>-8381</v>
      </c>
      <c r="H49" s="54">
        <f t="shared" ref="H49:I49" si="42">SUM(H8:H9)+SUM(H11:H12)</f>
        <v>-30240</v>
      </c>
      <c r="I49" s="54">
        <f t="shared" si="42"/>
        <v>-66615</v>
      </c>
      <c r="J49" s="54">
        <f t="shared" ref="J49:L49" si="43">SUM(J8:J9)+SUM(J11:J12)</f>
        <v>-31102</v>
      </c>
      <c r="K49" s="54">
        <f t="shared" si="43"/>
        <v>-14578</v>
      </c>
      <c r="L49" s="54">
        <f t="shared" si="43"/>
        <v>-60689</v>
      </c>
      <c r="M49" s="54">
        <f t="shared" ref="M49:T49" si="44">SUM(M8:M9)+SUM(M11:M12)</f>
        <v>21691</v>
      </c>
      <c r="N49" s="54">
        <f t="shared" si="44"/>
        <v>13341</v>
      </c>
      <c r="O49" s="54">
        <f t="shared" si="44"/>
        <v>59194</v>
      </c>
      <c r="P49" s="54">
        <f t="shared" si="44"/>
        <v>4843</v>
      </c>
      <c r="Q49" s="54">
        <f>SUM(Q8:Q9)+SUM(Q11:Q12)</f>
        <v>32681</v>
      </c>
      <c r="R49" s="54">
        <f t="shared" si="44"/>
        <v>12980</v>
      </c>
      <c r="S49" s="54">
        <f t="shared" si="44"/>
        <v>3776</v>
      </c>
      <c r="T49" s="54">
        <f t="shared" si="44"/>
        <v>25515</v>
      </c>
      <c r="U49" s="63"/>
    </row>
    <row r="50" spans="1:21" x14ac:dyDescent="0.2">
      <c r="A50" s="80" t="s">
        <v>125</v>
      </c>
      <c r="B50" s="54">
        <f t="shared" ref="B50:C50" si="45">SUM(B14:B25)</f>
        <v>14980</v>
      </c>
      <c r="C50" s="54">
        <f t="shared" si="45"/>
        <v>21767</v>
      </c>
      <c r="D50" s="54">
        <f t="shared" ref="D50:E50" si="46">SUM(D14:D25)</f>
        <v>21805</v>
      </c>
      <c r="E50" s="54">
        <f t="shared" si="46"/>
        <v>33354</v>
      </c>
      <c r="F50" s="54">
        <f t="shared" ref="F50:G50" si="47">SUM(F14:F25)</f>
        <v>53607</v>
      </c>
      <c r="G50" s="54">
        <f t="shared" si="47"/>
        <v>17810</v>
      </c>
      <c r="H50" s="54">
        <f t="shared" ref="H50:I50" si="48">SUM(H14:H25)</f>
        <v>98136</v>
      </c>
      <c r="I50" s="54">
        <f t="shared" si="48"/>
        <v>78229</v>
      </c>
      <c r="J50" s="54">
        <f t="shared" ref="J50:K50" si="49">SUM(J14:J25)</f>
        <v>70630</v>
      </c>
      <c r="K50" s="54">
        <f t="shared" si="49"/>
        <v>65028</v>
      </c>
      <c r="L50" s="54">
        <f>SUM(L14:L25)</f>
        <v>68458</v>
      </c>
      <c r="M50" s="54">
        <f t="shared" ref="M50:S50" si="50">SUM(M14:M25)</f>
        <v>114204</v>
      </c>
      <c r="N50" s="54">
        <f t="shared" si="50"/>
        <v>68045</v>
      </c>
      <c r="O50" s="54">
        <f t="shared" si="50"/>
        <v>104077</v>
      </c>
      <c r="P50" s="54">
        <f t="shared" si="50"/>
        <v>32495</v>
      </c>
      <c r="Q50" s="54">
        <f t="shared" si="50"/>
        <v>-154110</v>
      </c>
      <c r="R50" s="54">
        <f t="shared" si="50"/>
        <v>197425</v>
      </c>
      <c r="S50" s="54">
        <f t="shared" si="50"/>
        <v>78641</v>
      </c>
      <c r="T50" s="54">
        <f>SUM(T14:T25)</f>
        <v>95320</v>
      </c>
    </row>
    <row r="51" spans="1:21" x14ac:dyDescent="0.2">
      <c r="A51" s="86" t="s">
        <v>126</v>
      </c>
      <c r="B51" s="54">
        <f t="shared" ref="B51" si="51">SUM(B45:B50)</f>
        <v>77431</v>
      </c>
      <c r="C51" s="54">
        <f t="shared" ref="C51" si="52">SUM(C45:C50)</f>
        <v>103597</v>
      </c>
      <c r="D51" s="54">
        <f t="shared" ref="D51" si="53">SUM(D45:D50)</f>
        <v>146923</v>
      </c>
      <c r="E51" s="54">
        <f t="shared" ref="E51" si="54">SUM(E45:E50)</f>
        <v>198507</v>
      </c>
      <c r="F51" s="54">
        <f t="shared" ref="F51" si="55">SUM(F45:F50)</f>
        <v>260673</v>
      </c>
      <c r="G51" s="54">
        <f t="shared" ref="G51" si="56">SUM(G45:G50)</f>
        <v>289191</v>
      </c>
      <c r="H51" s="54">
        <f t="shared" ref="H51:I51" si="57">SUM(H45:H50)</f>
        <v>411096</v>
      </c>
      <c r="I51" s="54">
        <f t="shared" si="57"/>
        <v>419963</v>
      </c>
      <c r="J51" s="54">
        <f>SUM(J45:J50)</f>
        <v>528780</v>
      </c>
      <c r="K51" s="54">
        <f t="shared" ref="K51:L51" si="58">SUM(K45:K50)</f>
        <v>682067</v>
      </c>
      <c r="L51" s="54">
        <f t="shared" si="58"/>
        <v>683316</v>
      </c>
      <c r="M51" s="54">
        <f>SUM(M45:M50)</f>
        <v>355160</v>
      </c>
      <c r="N51" s="54">
        <f t="shared" ref="N51:S51" si="59">SUM(N45:N50)</f>
        <v>468216</v>
      </c>
      <c r="O51" s="54">
        <f t="shared" si="59"/>
        <v>621552</v>
      </c>
      <c r="P51" s="54">
        <f t="shared" si="59"/>
        <v>721632</v>
      </c>
      <c r="Q51" s="54">
        <f t="shared" si="59"/>
        <v>663847</v>
      </c>
      <c r="R51" s="54">
        <f t="shared" si="59"/>
        <v>1282081</v>
      </c>
      <c r="S51" s="54">
        <f t="shared" si="59"/>
        <v>1323179</v>
      </c>
      <c r="T51" s="54">
        <f>SUM(T45:T50)</f>
        <v>1783477</v>
      </c>
    </row>
    <row r="52" spans="1:21" x14ac:dyDescent="0.2">
      <c r="A52" s="80" t="s">
        <v>127</v>
      </c>
      <c r="B52" s="54">
        <f t="shared" ref="B52:C52" si="60">B28+B31</f>
        <v>-83036</v>
      </c>
      <c r="C52" s="54">
        <f t="shared" si="60"/>
        <v>-97312</v>
      </c>
      <c r="D52" s="54">
        <f t="shared" ref="D52:E52" si="61">D28+D31</f>
        <v>-140545</v>
      </c>
      <c r="E52" s="54">
        <f t="shared" si="61"/>
        <v>-152101</v>
      </c>
      <c r="F52" s="54">
        <f t="shared" ref="F52:G52" si="62">F28+F31</f>
        <v>-117198</v>
      </c>
      <c r="G52" s="54">
        <f t="shared" si="62"/>
        <v>-113215</v>
      </c>
      <c r="H52" s="54">
        <f t="shared" ref="H52:I52" si="63">H28+H31</f>
        <v>-151147</v>
      </c>
      <c r="I52" s="54">
        <f t="shared" si="63"/>
        <v>-197037</v>
      </c>
      <c r="J52" s="54">
        <f t="shared" ref="J52:L52" si="64">J28+J31</f>
        <v>-199926</v>
      </c>
      <c r="K52" s="54">
        <f t="shared" si="64"/>
        <v>-252590</v>
      </c>
      <c r="L52" s="54">
        <f t="shared" si="64"/>
        <v>-257418</v>
      </c>
      <c r="M52" s="54">
        <f>M28+M31</f>
        <v>281806</v>
      </c>
      <c r="N52" s="54">
        <f t="shared" ref="N52:S52" si="65">N28+N31</f>
        <v>-216777</v>
      </c>
      <c r="O52" s="54">
        <f t="shared" si="65"/>
        <v>-287390</v>
      </c>
      <c r="P52" s="54">
        <f t="shared" si="65"/>
        <v>-319943</v>
      </c>
      <c r="Q52" s="54">
        <f t="shared" si="65"/>
        <v>-373352</v>
      </c>
      <c r="R52" s="54">
        <f t="shared" si="65"/>
        <v>-438440</v>
      </c>
      <c r="S52" s="54">
        <f t="shared" si="65"/>
        <v>-479164</v>
      </c>
      <c r="T52" s="54">
        <f>T28+T31</f>
        <v>-560731</v>
      </c>
    </row>
    <row r="53" spans="1:21" x14ac:dyDescent="0.2">
      <c r="A53" s="86" t="s">
        <v>128</v>
      </c>
      <c r="B53" s="54">
        <f t="shared" ref="B53" si="66">B51+B52</f>
        <v>-5605</v>
      </c>
      <c r="C53" s="54">
        <f t="shared" ref="C53" si="67">C51+C52</f>
        <v>6285</v>
      </c>
      <c r="D53" s="54">
        <f t="shared" ref="D53" si="68">D51+D52</f>
        <v>6378</v>
      </c>
      <c r="E53" s="54">
        <f t="shared" ref="E53" si="69">E51+E52</f>
        <v>46406</v>
      </c>
      <c r="F53" s="54">
        <f t="shared" ref="F53" si="70">F51+F52</f>
        <v>143475</v>
      </c>
      <c r="G53" s="54">
        <f t="shared" ref="G53" si="71">G51+G52</f>
        <v>175976</v>
      </c>
      <c r="H53" s="54">
        <f t="shared" ref="H53:I53" si="72">H51+H52</f>
        <v>259949</v>
      </c>
      <c r="I53" s="54">
        <f t="shared" si="72"/>
        <v>222926</v>
      </c>
      <c r="J53" s="54">
        <f>J51+J52</f>
        <v>328854</v>
      </c>
      <c r="K53" s="54">
        <f t="shared" ref="K53:L53" si="73">K51+K52</f>
        <v>429477</v>
      </c>
      <c r="L53" s="54">
        <f t="shared" si="73"/>
        <v>425898</v>
      </c>
      <c r="M53" s="54">
        <f>M51+M52</f>
        <v>636966</v>
      </c>
      <c r="N53" s="54">
        <f t="shared" ref="N53:T53" si="74">N51+N52</f>
        <v>251439</v>
      </c>
      <c r="O53" s="54">
        <f t="shared" si="74"/>
        <v>334162</v>
      </c>
      <c r="P53" s="54">
        <f t="shared" si="74"/>
        <v>401689</v>
      </c>
      <c r="Q53" s="54">
        <f t="shared" si="74"/>
        <v>290495</v>
      </c>
      <c r="R53" s="54">
        <f t="shared" si="74"/>
        <v>843641</v>
      </c>
      <c r="S53" s="54">
        <f t="shared" si="74"/>
        <v>844015</v>
      </c>
      <c r="T53" s="54">
        <f t="shared" si="74"/>
        <v>1222746</v>
      </c>
    </row>
    <row r="54" spans="1:21" x14ac:dyDescent="0.2">
      <c r="A54" s="87" t="s">
        <v>129</v>
      </c>
      <c r="B54" s="54">
        <f>B53/'Statement of Income'!B51</f>
        <v>-0.21251990596799877</v>
      </c>
      <c r="C54" s="54">
        <f>C53/'Statement of Income'!C51</f>
        <v>0.19359310026182042</v>
      </c>
      <c r="D54" s="54">
        <f>D53/'Statement of Income'!D51</f>
        <v>0.19242140831472879</v>
      </c>
      <c r="E54" s="65">
        <f>E53/'Statement of Income'!E51</f>
        <v>1.4000482712846196</v>
      </c>
      <c r="F54" s="65">
        <f>F53/'Statement of Income'!F51</f>
        <v>4.4693477041928853</v>
      </c>
      <c r="G54" s="65">
        <f>G53/'Statement of Income'!G51</f>
        <v>5.5451709469040491</v>
      </c>
      <c r="H54" s="65">
        <f>H53/'Statement of Income'!H51</f>
        <v>8.1809284028324161</v>
      </c>
      <c r="I54" s="65">
        <f>I53/'Statement of Income'!I51</f>
        <v>7.0140011956077144</v>
      </c>
      <c r="J54" s="65">
        <f>J53/'Statement of Income'!J51</f>
        <v>10.512899203989642</v>
      </c>
      <c r="K54" s="65">
        <f>K53/'Statement of Income'!K51</f>
        <v>13.628998476770754</v>
      </c>
      <c r="L54" s="65">
        <f>L53/'Statement of Income'!L51</f>
        <v>13.523147266145932</v>
      </c>
      <c r="M54" s="65">
        <f>M53/'Statement of Income'!M51</f>
        <v>21.39623782331206</v>
      </c>
      <c r="N54" s="65">
        <f>N53/'Statement of Income'!N51</f>
        <v>8.8035783060817199</v>
      </c>
      <c r="O54" s="65">
        <f>O53/'Statement of Income'!O51</f>
        <v>11.950575781417639</v>
      </c>
      <c r="P54" s="65">
        <f>P53/'Statement of Income'!P51</f>
        <v>14.196465806679626</v>
      </c>
      <c r="Q54" s="65">
        <f>Q53/'Statement of Income'!Q51</f>
        <v>10.222937781531531</v>
      </c>
      <c r="R54" s="65">
        <f>R53/'Statement of Income'!R51</f>
        <v>29.590017887832765</v>
      </c>
      <c r="S54" s="65">
        <f>S53/'Statement of Income'!S51</f>
        <v>30.076794241322784</v>
      </c>
      <c r="T54" s="65">
        <f>T53/'Statement of Income'!T51</f>
        <v>44.126524720317576</v>
      </c>
    </row>
    <row r="55" spans="1:21" x14ac:dyDescent="0.2">
      <c r="A55" s="80" t="s">
        <v>130</v>
      </c>
      <c r="B55" s="54">
        <f t="shared" ref="B55:C55" si="75">B32</f>
        <v>0</v>
      </c>
      <c r="C55" s="54">
        <f t="shared" si="75"/>
        <v>0</v>
      </c>
      <c r="D55" s="54">
        <f t="shared" ref="D55:E55" si="76">D32</f>
        <v>-5668</v>
      </c>
      <c r="E55" s="54">
        <f t="shared" si="76"/>
        <v>0</v>
      </c>
      <c r="F55" s="54">
        <f t="shared" ref="F55:G55" si="77">F32</f>
        <v>0</v>
      </c>
      <c r="G55" s="54">
        <f t="shared" si="77"/>
        <v>-1900</v>
      </c>
      <c r="H55" s="54">
        <f t="shared" ref="H55:I55" si="78">H32</f>
        <v>-586</v>
      </c>
      <c r="I55" s="54">
        <f t="shared" si="78"/>
        <v>0</v>
      </c>
      <c r="J55" s="54">
        <f>J32</f>
        <v>0</v>
      </c>
      <c r="K55" s="54">
        <f t="shared" ref="K55:L55" si="79">K32</f>
        <v>0</v>
      </c>
      <c r="L55" s="54">
        <f t="shared" si="79"/>
        <v>0</v>
      </c>
      <c r="M55" s="54">
        <f>M32</f>
        <v>0</v>
      </c>
      <c r="N55" s="54">
        <f t="shared" ref="N55:T55" si="80">N32</f>
        <v>0</v>
      </c>
      <c r="O55" s="54">
        <f t="shared" si="80"/>
        <v>0</v>
      </c>
      <c r="P55" s="54">
        <f t="shared" si="80"/>
        <v>0</v>
      </c>
      <c r="Q55" s="54">
        <f t="shared" si="80"/>
        <v>-10025</v>
      </c>
      <c r="R55" s="54">
        <f t="shared" si="80"/>
        <v>0</v>
      </c>
      <c r="S55" s="54">
        <f t="shared" si="80"/>
        <v>0</v>
      </c>
      <c r="T55" s="54">
        <f t="shared" si="80"/>
        <v>0</v>
      </c>
    </row>
    <row r="56" spans="1:21" x14ac:dyDescent="0.2">
      <c r="A56" s="80" t="s">
        <v>131</v>
      </c>
      <c r="B56" s="54">
        <f t="shared" ref="B56:C56" si="81">SUM(B29:B30)</f>
        <v>0</v>
      </c>
      <c r="C56" s="54">
        <f t="shared" si="81"/>
        <v>0</v>
      </c>
      <c r="D56" s="54">
        <f t="shared" ref="D56:E56" si="82">SUM(D29:D30)</f>
        <v>-20000</v>
      </c>
      <c r="E56" s="54">
        <f t="shared" si="82"/>
        <v>-79990</v>
      </c>
      <c r="F56" s="54">
        <f t="shared" ref="F56:G56" si="83">SUM(F29:F30)</f>
        <v>49990</v>
      </c>
      <c r="G56" s="54">
        <f t="shared" si="83"/>
        <v>-74766</v>
      </c>
      <c r="H56" s="54">
        <f t="shared" ref="H56:I56" si="84">SUM(H29:H30)</f>
        <v>-58485</v>
      </c>
      <c r="I56" s="54">
        <f t="shared" si="84"/>
        <v>-158462</v>
      </c>
      <c r="J56" s="54">
        <f>SUM(J29:J30)</f>
        <v>-228389</v>
      </c>
      <c r="K56" s="54">
        <f t="shared" ref="K56:L56" si="85">SUM(K29:K30)</f>
        <v>-266254</v>
      </c>
      <c r="L56" s="54">
        <f t="shared" si="85"/>
        <v>-206722</v>
      </c>
      <c r="M56" s="54">
        <f>SUM(M29:M30)</f>
        <v>45000</v>
      </c>
      <c r="N56" s="54">
        <f t="shared" ref="N56:T56" si="86">SUM(N29:N30)</f>
        <v>130199</v>
      </c>
      <c r="O56" s="54">
        <f t="shared" si="86"/>
        <v>-100188</v>
      </c>
      <c r="P56" s="54">
        <f t="shared" si="86"/>
        <v>27969</v>
      </c>
      <c r="Q56" s="54">
        <f t="shared" si="86"/>
        <v>-49340</v>
      </c>
      <c r="R56" s="54">
        <f t="shared" si="86"/>
        <v>-83602</v>
      </c>
      <c r="S56" s="54">
        <f t="shared" si="86"/>
        <v>-350868</v>
      </c>
      <c r="T56" s="54">
        <f t="shared" si="86"/>
        <v>-385278</v>
      </c>
    </row>
    <row r="57" spans="1:21" x14ac:dyDescent="0.2">
      <c r="A57" s="80" t="s">
        <v>132</v>
      </c>
      <c r="B57" s="54">
        <f t="shared" ref="B57:C57" si="87">B35</f>
        <v>0</v>
      </c>
      <c r="C57" s="54">
        <f t="shared" si="87"/>
        <v>133333</v>
      </c>
      <c r="D57" s="54">
        <f t="shared" ref="D57:E57" si="88">D35</f>
        <v>0</v>
      </c>
      <c r="E57" s="54">
        <f t="shared" si="88"/>
        <v>-30227</v>
      </c>
      <c r="F57" s="54">
        <f t="shared" ref="F57:G57" si="89">F35</f>
        <v>-84089</v>
      </c>
      <c r="G57" s="54">
        <f t="shared" si="89"/>
        <v>-126602</v>
      </c>
      <c r="H57" s="54">
        <f t="shared" ref="H57:I57" si="90">H35</f>
        <v>-63508</v>
      </c>
      <c r="I57" s="54">
        <f t="shared" si="90"/>
        <v>-217092</v>
      </c>
      <c r="J57" s="54">
        <f t="shared" ref="J57:L57" si="91">J35</f>
        <v>-138903</v>
      </c>
      <c r="K57" s="54">
        <f t="shared" si="91"/>
        <v>-88338</v>
      </c>
      <c r="L57" s="54">
        <f t="shared" si="91"/>
        <v>-460675</v>
      </c>
      <c r="M57" s="54">
        <f>M35</f>
        <v>-836760</v>
      </c>
      <c r="N57" s="54">
        <f t="shared" ref="N57:T57" si="92">N35</f>
        <v>-285218</v>
      </c>
      <c r="O57" s="54">
        <f t="shared" si="92"/>
        <v>-160937</v>
      </c>
      <c r="P57" s="54">
        <f t="shared" si="92"/>
        <v>-190617</v>
      </c>
      <c r="Q57" s="54">
        <f t="shared" si="92"/>
        <v>-54401</v>
      </c>
      <c r="R57" s="54">
        <f>R35</f>
        <v>-466462</v>
      </c>
      <c r="S57" s="54">
        <f>S35</f>
        <v>-830140</v>
      </c>
      <c r="T57" s="54">
        <f t="shared" si="92"/>
        <v>-592349</v>
      </c>
    </row>
    <row r="58" spans="1:21" x14ac:dyDescent="0.2">
      <c r="A58" s="80" t="s">
        <v>98</v>
      </c>
      <c r="B58" s="54">
        <f t="shared" ref="B58:C58" si="93">SUM(B36:B38)+B40</f>
        <v>5666</v>
      </c>
      <c r="C58" s="54">
        <f t="shared" si="93"/>
        <v>13963</v>
      </c>
      <c r="D58" s="54">
        <f t="shared" ref="D58:E58" si="94">SUM(D36:D38)+D40</f>
        <v>16824</v>
      </c>
      <c r="E58" s="54">
        <f t="shared" si="94"/>
        <v>679</v>
      </c>
      <c r="F58" s="54">
        <f t="shared" ref="F58:T58" si="95">SUM(F36:F38)+F40</f>
        <v>22146</v>
      </c>
      <c r="G58" s="54">
        <f t="shared" si="95"/>
        <v>32564</v>
      </c>
      <c r="H58" s="54">
        <f t="shared" si="95"/>
        <v>39035</v>
      </c>
      <c r="I58" s="54">
        <f t="shared" si="95"/>
        <v>73938</v>
      </c>
      <c r="J58" s="54">
        <f>SUM(J36:J38)+J40</f>
        <v>39088</v>
      </c>
      <c r="K58" s="54">
        <f t="shared" si="95"/>
        <v>21377</v>
      </c>
      <c r="L58" s="54">
        <f t="shared" si="95"/>
        <v>70039</v>
      </c>
      <c r="M58" s="54">
        <f t="shared" si="95"/>
        <v>587</v>
      </c>
      <c r="N58" s="54">
        <f t="shared" si="95"/>
        <v>1380</v>
      </c>
      <c r="O58" s="54">
        <f t="shared" si="95"/>
        <v>-7055</v>
      </c>
      <c r="P58" s="54">
        <f t="shared" si="95"/>
        <v>-10712</v>
      </c>
      <c r="Q58" s="54">
        <f t="shared" si="95"/>
        <v>-49374</v>
      </c>
      <c r="R58" s="54">
        <f t="shared" si="95"/>
        <v>-83183</v>
      </c>
      <c r="S58" s="54">
        <f t="shared" si="95"/>
        <v>-100271</v>
      </c>
      <c r="T58" s="54">
        <f t="shared" si="95"/>
        <v>-67922</v>
      </c>
    </row>
    <row r="59" spans="1:21" x14ac:dyDescent="0.2">
      <c r="A59" s="86" t="s">
        <v>133</v>
      </c>
      <c r="B59" s="54">
        <f t="shared" ref="B59" si="96">B53+SUM(B55:B58)</f>
        <v>61</v>
      </c>
      <c r="C59" s="54">
        <f t="shared" ref="C59" si="97">C53+SUM(C55:C58)</f>
        <v>153581</v>
      </c>
      <c r="D59" s="54">
        <f t="shared" ref="D59" si="98">D53+SUM(D55:D58)</f>
        <v>-2466</v>
      </c>
      <c r="E59" s="54">
        <f t="shared" ref="E59" si="99">E53+SUM(E55:E58)</f>
        <v>-63132</v>
      </c>
      <c r="F59" s="54">
        <f t="shared" ref="F59" si="100">F53+SUM(F55:F58)</f>
        <v>131522</v>
      </c>
      <c r="G59" s="54">
        <f>G53+SUM(G55:G58)</f>
        <v>5272</v>
      </c>
      <c r="H59" s="54">
        <f t="shared" ref="H59" si="101">H53+SUM(H55:H58)</f>
        <v>176405</v>
      </c>
      <c r="I59" s="54">
        <f t="shared" ref="I59" si="102">I53+SUM(I55:I58)</f>
        <v>-78690</v>
      </c>
      <c r="J59" s="54">
        <f t="shared" ref="J59:L59" si="103">J53+SUM(J55:J58)</f>
        <v>650</v>
      </c>
      <c r="K59" s="54">
        <f t="shared" si="103"/>
        <v>96262</v>
      </c>
      <c r="L59" s="54">
        <f t="shared" si="103"/>
        <v>-171460</v>
      </c>
      <c r="M59" s="54">
        <f>M53+SUM(M55:M58)</f>
        <v>-154207</v>
      </c>
      <c r="N59" s="54">
        <f t="shared" ref="N59:S59" si="104">N53+SUM(N55:N58)</f>
        <v>97800</v>
      </c>
      <c r="O59" s="54">
        <f t="shared" si="104"/>
        <v>65982</v>
      </c>
      <c r="P59" s="54">
        <f t="shared" si="104"/>
        <v>228329</v>
      </c>
      <c r="Q59" s="54">
        <f t="shared" si="104"/>
        <v>127355</v>
      </c>
      <c r="R59" s="54">
        <f>R53+SUM(R55:R58)</f>
        <v>210394</v>
      </c>
      <c r="S59" s="54">
        <f t="shared" si="104"/>
        <v>-437264</v>
      </c>
      <c r="T59" s="54">
        <f>T53+SUM(T55:T58)</f>
        <v>177197</v>
      </c>
    </row>
  </sheetData>
  <mergeCells count="2">
    <mergeCell ref="A1:A2"/>
    <mergeCell ref="M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Valuation &amp; Forecasting</vt:lpstr>
      <vt:lpstr>Statement of Income</vt:lpstr>
      <vt:lpstr>Balance Sheet</vt:lpstr>
      <vt:lpstr>Statement of Cash Flows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2024-06-27T13:09:01Z</dcterms:created>
  <dcterms:modified xsi:type="dcterms:W3CDTF">2024-08-13T16:45:42Z</dcterms:modified>
</cp:coreProperties>
</file>