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/Retail - Restaurants/"/>
    </mc:Choice>
  </mc:AlternateContent>
  <xr:revisionPtr revIDLastSave="0" documentId="13_ncr:1_{3E58AEC5-A981-C649-9190-F6EBBA1E953E}" xr6:coauthVersionLast="47" xr6:coauthVersionMax="47" xr10:uidLastSave="{00000000-0000-0000-0000-000000000000}"/>
  <bookViews>
    <workbookView xWindow="10240" yWindow="800" windowWidth="18560" windowHeight="15520" xr2:uid="{798329B1-2B46-574C-A350-490AD78E1D9C}"/>
  </bookViews>
  <sheets>
    <sheet name="Statement of Income" sheetId="1" r:id="rId1"/>
    <sheet name="Balance Sheet" sheetId="3" r:id="rId2"/>
    <sheet name="Statement of Cashflow" sheetId="4" r:id="rId3"/>
    <sheet name="Supplement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C215" i="1"/>
  <c r="D215" i="1"/>
  <c r="E215" i="1"/>
  <c r="F215" i="1"/>
  <c r="G215" i="1"/>
  <c r="H215" i="1"/>
  <c r="I215" i="1"/>
  <c r="H81" i="1" l="1"/>
  <c r="I81" i="1" s="1"/>
  <c r="H80" i="1"/>
  <c r="I80" i="1" s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D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D97" i="1"/>
  <c r="E97" i="1"/>
  <c r="F97" i="1"/>
  <c r="G97" i="1"/>
  <c r="C97" i="1"/>
  <c r="H227" i="1"/>
  <c r="I227" i="1"/>
  <c r="C87" i="1"/>
  <c r="C227" i="1" s="1"/>
  <c r="D87" i="1"/>
  <c r="D227" i="1" s="1"/>
  <c r="E87" i="1"/>
  <c r="E227" i="1" s="1"/>
  <c r="F87" i="1"/>
  <c r="F227" i="1" s="1"/>
  <c r="G87" i="1"/>
  <c r="G227" i="1" s="1"/>
  <c r="B87" i="1"/>
  <c r="B227" i="1" s="1"/>
  <c r="C61" i="4"/>
  <c r="D61" i="4"/>
  <c r="E61" i="4"/>
  <c r="F61" i="4"/>
  <c r="G61" i="4"/>
  <c r="H61" i="4"/>
  <c r="B61" i="4"/>
  <c r="C174" i="1"/>
  <c r="C171" i="1" s="1"/>
  <c r="D174" i="1"/>
  <c r="D171" i="1" s="1"/>
  <c r="E174" i="1"/>
  <c r="E171" i="1" s="1"/>
  <c r="F174" i="1"/>
  <c r="F171" i="1" s="1"/>
  <c r="G174" i="1"/>
  <c r="G171" i="1" s="1"/>
  <c r="B174" i="1"/>
  <c r="B171" i="1" s="1"/>
  <c r="C180" i="1"/>
  <c r="D180" i="1"/>
  <c r="E180" i="1"/>
  <c r="F180" i="1"/>
  <c r="G180" i="1"/>
  <c r="G183" i="1" s="1"/>
  <c r="G216" i="1" s="1"/>
  <c r="C181" i="1"/>
  <c r="D181" i="1"/>
  <c r="E181" i="1"/>
  <c r="F181" i="1"/>
  <c r="G181" i="1"/>
  <c r="C182" i="1"/>
  <c r="D182" i="1"/>
  <c r="E182" i="1"/>
  <c r="F182" i="1"/>
  <c r="G182" i="1"/>
  <c r="B181" i="1"/>
  <c r="B182" i="1"/>
  <c r="B180" i="1"/>
  <c r="E105" i="1" l="1"/>
  <c r="G105" i="1"/>
  <c r="C105" i="1"/>
  <c r="F105" i="1"/>
  <c r="C183" i="1"/>
  <c r="C216" i="1" s="1"/>
  <c r="B183" i="1"/>
  <c r="B216" i="1" s="1"/>
  <c r="F183" i="1"/>
  <c r="D183" i="1"/>
  <c r="E183" i="1"/>
  <c r="E216" i="1" l="1"/>
  <c r="F216" i="1"/>
  <c r="D216" i="1"/>
  <c r="C212" i="1" l="1"/>
  <c r="D212" i="1"/>
  <c r="E212" i="1"/>
  <c r="F212" i="1"/>
  <c r="G212" i="1"/>
  <c r="B212" i="1"/>
  <c r="C213" i="1"/>
  <c r="D213" i="1"/>
  <c r="E213" i="1"/>
  <c r="F213" i="1"/>
  <c r="G213" i="1"/>
  <c r="H213" i="1"/>
  <c r="I213" i="1"/>
  <c r="B213" i="1"/>
  <c r="B229" i="1" s="1"/>
  <c r="C66" i="4"/>
  <c r="D66" i="4"/>
  <c r="E66" i="4"/>
  <c r="E67" i="4" s="1"/>
  <c r="F66" i="4"/>
  <c r="F67" i="4" s="1"/>
  <c r="G66" i="4"/>
  <c r="H66" i="4"/>
  <c r="C67" i="4"/>
  <c r="D67" i="4"/>
  <c r="G67" i="4"/>
  <c r="H67" i="4"/>
  <c r="B66" i="4"/>
  <c r="B67" i="4"/>
  <c r="D58" i="4"/>
  <c r="D60" i="4" s="1"/>
  <c r="E58" i="4"/>
  <c r="F58" i="4"/>
  <c r="G58" i="4"/>
  <c r="G60" i="4" s="1"/>
  <c r="H58" i="4"/>
  <c r="H60" i="4" s="1"/>
  <c r="D59" i="4"/>
  <c r="E59" i="4"/>
  <c r="F59" i="4"/>
  <c r="G59" i="4"/>
  <c r="H59" i="4"/>
  <c r="E60" i="4"/>
  <c r="F60" i="4"/>
  <c r="D62" i="4"/>
  <c r="E62" i="4"/>
  <c r="F62" i="4"/>
  <c r="G62" i="4"/>
  <c r="H62" i="4"/>
  <c r="D63" i="4"/>
  <c r="E63" i="4"/>
  <c r="F63" i="4"/>
  <c r="G63" i="4"/>
  <c r="H63" i="4"/>
  <c r="D64" i="4"/>
  <c r="E64" i="4"/>
  <c r="F64" i="4"/>
  <c r="G64" i="4"/>
  <c r="H64" i="4"/>
  <c r="D65" i="4"/>
  <c r="E65" i="4"/>
  <c r="F65" i="4"/>
  <c r="G65" i="4"/>
  <c r="H65" i="4"/>
  <c r="B62" i="4"/>
  <c r="B63" i="4"/>
  <c r="B64" i="4"/>
  <c r="B65" i="4"/>
  <c r="C63" i="4"/>
  <c r="C64" i="4"/>
  <c r="C65" i="4"/>
  <c r="C62" i="4"/>
  <c r="C59" i="4"/>
  <c r="B59" i="4"/>
  <c r="B57" i="4"/>
  <c r="C57" i="4"/>
  <c r="D57" i="4"/>
  <c r="E57" i="4"/>
  <c r="F57" i="4"/>
  <c r="G57" i="4"/>
  <c r="H57" i="4"/>
  <c r="C56" i="4"/>
  <c r="D56" i="4"/>
  <c r="E56" i="4"/>
  <c r="F56" i="4"/>
  <c r="G56" i="4"/>
  <c r="H56" i="4"/>
  <c r="B56" i="4"/>
  <c r="C55" i="4"/>
  <c r="D55" i="4"/>
  <c r="E55" i="4"/>
  <c r="F55" i="4"/>
  <c r="G55" i="4"/>
  <c r="H55" i="4"/>
  <c r="B55" i="4"/>
  <c r="C54" i="4"/>
  <c r="D54" i="4"/>
  <c r="E54" i="4"/>
  <c r="F54" i="4"/>
  <c r="G54" i="4"/>
  <c r="H54" i="4"/>
  <c r="B54" i="4"/>
  <c r="B58" i="4" s="1"/>
  <c r="B60" i="4" s="1"/>
  <c r="C53" i="4"/>
  <c r="D53" i="4"/>
  <c r="E53" i="4"/>
  <c r="F53" i="4"/>
  <c r="G53" i="4"/>
  <c r="H53" i="4"/>
  <c r="B53" i="4"/>
  <c r="F229" i="1" l="1"/>
  <c r="E229" i="1"/>
  <c r="G229" i="1"/>
  <c r="C229" i="1"/>
  <c r="D229" i="1"/>
  <c r="E214" i="1"/>
  <c r="E231" i="1" s="1"/>
  <c r="D214" i="1"/>
  <c r="D231" i="1" s="1"/>
  <c r="G214" i="1"/>
  <c r="G231" i="1" s="1"/>
  <c r="C214" i="1"/>
  <c r="C231" i="1" s="1"/>
  <c r="B214" i="1"/>
  <c r="B231" i="1" s="1"/>
  <c r="F214" i="1"/>
  <c r="C58" i="4"/>
  <c r="C60" i="4" s="1"/>
  <c r="B230" i="1" l="1"/>
  <c r="H229" i="1" s="1"/>
  <c r="F231" i="1"/>
  <c r="I229" i="1"/>
  <c r="I212" i="1" s="1"/>
  <c r="I214" i="1" s="1"/>
  <c r="H212" i="1"/>
  <c r="H214" i="1" s="1"/>
  <c r="B226" i="1"/>
  <c r="C226" i="1"/>
  <c r="D226" i="1"/>
  <c r="E226" i="1"/>
  <c r="F226" i="1"/>
  <c r="G226" i="1"/>
  <c r="G2" i="4"/>
  <c r="F2" i="4" s="1"/>
  <c r="E2" i="4" s="1"/>
  <c r="D2" i="4" s="1"/>
  <c r="C2" i="4" s="1"/>
  <c r="B2" i="4" s="1"/>
  <c r="C1" i="3"/>
  <c r="B1" i="3" s="1"/>
  <c r="F1" i="3"/>
  <c r="E1" i="3" s="1"/>
  <c r="D1" i="3" s="1"/>
  <c r="R45" i="1"/>
  <c r="AC66" i="1"/>
  <c r="AB66" i="1"/>
  <c r="AA66" i="1"/>
  <c r="Z66" i="1"/>
  <c r="AC65" i="1"/>
  <c r="AB65" i="1"/>
  <c r="AA65" i="1"/>
  <c r="Z65" i="1"/>
  <c r="AC64" i="1"/>
  <c r="AB64" i="1"/>
  <c r="AA64" i="1"/>
  <c r="Z64" i="1"/>
  <c r="AC54" i="1"/>
  <c r="AB54" i="1"/>
  <c r="AA54" i="1"/>
  <c r="Z54" i="1"/>
  <c r="AC50" i="1"/>
  <c r="AB50" i="1"/>
  <c r="AA50" i="1"/>
  <c r="Z50" i="1"/>
  <c r="AC48" i="1"/>
  <c r="AC47" i="1"/>
  <c r="AB47" i="1"/>
  <c r="AA47" i="1"/>
  <c r="Z47" i="1"/>
  <c r="AC45" i="1"/>
  <c r="AB45" i="1"/>
  <c r="AA45" i="1"/>
  <c r="Z45" i="1"/>
  <c r="AC44" i="1"/>
  <c r="AB44" i="1"/>
  <c r="AA44" i="1"/>
  <c r="Z44" i="1"/>
  <c r="AC43" i="1"/>
  <c r="AB43" i="1"/>
  <c r="AA43" i="1"/>
  <c r="Z43" i="1"/>
  <c r="AC40" i="1"/>
  <c r="AB40" i="1"/>
  <c r="AA40" i="1"/>
  <c r="Z40" i="1"/>
  <c r="AC39" i="1"/>
  <c r="AB39" i="1"/>
  <c r="AA39" i="1"/>
  <c r="Z39" i="1"/>
  <c r="AC36" i="1"/>
  <c r="AB36" i="1"/>
  <c r="AA36" i="1"/>
  <c r="Z36" i="1"/>
  <c r="AC35" i="1"/>
  <c r="AB35" i="1"/>
  <c r="AA35" i="1"/>
  <c r="Z35" i="1"/>
  <c r="AC34" i="1"/>
  <c r="AB34" i="1"/>
  <c r="AA34" i="1"/>
  <c r="Z34" i="1"/>
  <c r="AC33" i="1"/>
  <c r="AB33" i="1"/>
  <c r="AA33" i="1"/>
  <c r="Z33" i="1"/>
  <c r="AC32" i="1"/>
  <c r="AB32" i="1"/>
  <c r="AA32" i="1"/>
  <c r="Z32" i="1"/>
  <c r="X66" i="1"/>
  <c r="W66" i="1"/>
  <c r="V66" i="1"/>
  <c r="U66" i="1"/>
  <c r="X65" i="1"/>
  <c r="W65" i="1"/>
  <c r="V65" i="1"/>
  <c r="U65" i="1"/>
  <c r="X64" i="1"/>
  <c r="W64" i="1"/>
  <c r="V64" i="1"/>
  <c r="U64" i="1"/>
  <c r="X54" i="1"/>
  <c r="W54" i="1"/>
  <c r="V54" i="1"/>
  <c r="U54" i="1"/>
  <c r="X50" i="1"/>
  <c r="W50" i="1"/>
  <c r="V50" i="1"/>
  <c r="U50" i="1"/>
  <c r="X48" i="1"/>
  <c r="X47" i="1"/>
  <c r="W47" i="1"/>
  <c r="V47" i="1"/>
  <c r="U47" i="1"/>
  <c r="X45" i="1"/>
  <c r="W45" i="1"/>
  <c r="V45" i="1"/>
  <c r="U45" i="1"/>
  <c r="X44" i="1"/>
  <c r="W44" i="1"/>
  <c r="V44" i="1"/>
  <c r="U44" i="1"/>
  <c r="X43" i="1"/>
  <c r="W43" i="1"/>
  <c r="V43" i="1"/>
  <c r="U43" i="1"/>
  <c r="X40" i="1"/>
  <c r="W40" i="1"/>
  <c r="V40" i="1"/>
  <c r="U40" i="1"/>
  <c r="X39" i="1"/>
  <c r="W39" i="1"/>
  <c r="V39" i="1"/>
  <c r="U39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S66" i="1"/>
  <c r="R66" i="1"/>
  <c r="Q66" i="1"/>
  <c r="P66" i="1"/>
  <c r="S65" i="1"/>
  <c r="R65" i="1"/>
  <c r="Q65" i="1"/>
  <c r="P65" i="1"/>
  <c r="S64" i="1"/>
  <c r="R64" i="1"/>
  <c r="Q64" i="1"/>
  <c r="P64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9" i="1"/>
  <c r="Q39" i="1"/>
  <c r="R39" i="1"/>
  <c r="S39" i="1"/>
  <c r="P40" i="1"/>
  <c r="Q40" i="1"/>
  <c r="R40" i="1"/>
  <c r="S40" i="1"/>
  <c r="P43" i="1"/>
  <c r="Q43" i="1"/>
  <c r="R43" i="1"/>
  <c r="S43" i="1"/>
  <c r="P44" i="1"/>
  <c r="Q44" i="1"/>
  <c r="R44" i="1"/>
  <c r="S44" i="1"/>
  <c r="P45" i="1"/>
  <c r="Q45" i="1"/>
  <c r="S45" i="1"/>
  <c r="P47" i="1"/>
  <c r="Q47" i="1"/>
  <c r="R47" i="1"/>
  <c r="S47" i="1"/>
  <c r="S48" i="1"/>
  <c r="P50" i="1"/>
  <c r="Q50" i="1"/>
  <c r="R50" i="1"/>
  <c r="S50" i="1"/>
  <c r="P54" i="1"/>
  <c r="Q54" i="1"/>
  <c r="R54" i="1"/>
  <c r="S54" i="1"/>
  <c r="Q32" i="1"/>
  <c r="R32" i="1"/>
  <c r="S32" i="1"/>
  <c r="P32" i="1"/>
  <c r="H32" i="1"/>
  <c r="I32" i="1"/>
  <c r="H33" i="1"/>
  <c r="I33" i="1"/>
  <c r="H34" i="1"/>
  <c r="I34" i="1"/>
  <c r="H35" i="1"/>
  <c r="I35" i="1"/>
  <c r="H36" i="1"/>
  <c r="I36" i="1"/>
  <c r="H39" i="1"/>
  <c r="I39" i="1"/>
  <c r="H40" i="1"/>
  <c r="I40" i="1"/>
  <c r="H47" i="1"/>
  <c r="I47" i="1"/>
  <c r="H48" i="1"/>
  <c r="I48" i="1"/>
  <c r="H54" i="1"/>
  <c r="I54" i="1"/>
  <c r="H64" i="1"/>
  <c r="I64" i="1"/>
  <c r="H66" i="1"/>
  <c r="I66" i="1"/>
  <c r="M22" i="1"/>
  <c r="K22" i="1"/>
  <c r="P22" i="1"/>
  <c r="L22" i="1"/>
  <c r="K15" i="1"/>
  <c r="N11" i="1"/>
  <c r="M11" i="1"/>
  <c r="L11" i="1"/>
  <c r="K11" i="1"/>
  <c r="Q22" i="1"/>
  <c r="Q48" i="1" s="1"/>
  <c r="R22" i="1"/>
  <c r="R48" i="1" s="1"/>
  <c r="W22" i="1"/>
  <c r="S15" i="1"/>
  <c r="R15" i="1"/>
  <c r="Q15" i="1"/>
  <c r="P15" i="1"/>
  <c r="S11" i="1"/>
  <c r="R11" i="1"/>
  <c r="R16" i="1" s="1"/>
  <c r="R20" i="1" s="1"/>
  <c r="R75" i="1" s="1"/>
  <c r="Q11" i="1"/>
  <c r="Q37" i="1" s="1"/>
  <c r="P11" i="1"/>
  <c r="P37" i="1" s="1"/>
  <c r="P3" i="1"/>
  <c r="K3" i="1" s="1"/>
  <c r="V22" i="1"/>
  <c r="V48" i="1" s="1"/>
  <c r="AA22" i="1"/>
  <c r="Z22" i="1"/>
  <c r="U22" i="1"/>
  <c r="AC15" i="1"/>
  <c r="AB15" i="1"/>
  <c r="AA15" i="1"/>
  <c r="Z15" i="1"/>
  <c r="AC11" i="1"/>
  <c r="AC16" i="1" s="1"/>
  <c r="AC20" i="1" s="1"/>
  <c r="AC23" i="1" s="1"/>
  <c r="AC25" i="1" s="1"/>
  <c r="AC27" i="1" s="1"/>
  <c r="AB11" i="1"/>
  <c r="AB16" i="1" s="1"/>
  <c r="AB20" i="1" s="1"/>
  <c r="AB23" i="1" s="1"/>
  <c r="AB25" i="1" s="1"/>
  <c r="AB27" i="1" s="1"/>
  <c r="AA11" i="1"/>
  <c r="Z11" i="1"/>
  <c r="X15" i="1"/>
  <c r="W15" i="1"/>
  <c r="V15" i="1"/>
  <c r="U15" i="1"/>
  <c r="X11" i="1"/>
  <c r="X73" i="1" s="1"/>
  <c r="W11" i="1"/>
  <c r="W73" i="1" s="1"/>
  <c r="V11" i="1"/>
  <c r="U11" i="1"/>
  <c r="U68" i="1" s="1"/>
  <c r="Z3" i="1"/>
  <c r="C64" i="1"/>
  <c r="D64" i="1"/>
  <c r="E64" i="1"/>
  <c r="F64" i="1"/>
  <c r="G64" i="1"/>
  <c r="B66" i="1"/>
  <c r="C66" i="1"/>
  <c r="D66" i="1"/>
  <c r="E66" i="1"/>
  <c r="F66" i="1"/>
  <c r="G66" i="1"/>
  <c r="C65" i="1"/>
  <c r="D65" i="1"/>
  <c r="E65" i="1"/>
  <c r="F65" i="1"/>
  <c r="G65" i="1"/>
  <c r="B65" i="1"/>
  <c r="B64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9" i="1"/>
  <c r="D39" i="1"/>
  <c r="E39" i="1"/>
  <c r="F39" i="1"/>
  <c r="G39" i="1"/>
  <c r="C40" i="1"/>
  <c r="D40" i="1"/>
  <c r="E40" i="1"/>
  <c r="F40" i="1"/>
  <c r="G40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7" i="1"/>
  <c r="D47" i="1"/>
  <c r="E47" i="1"/>
  <c r="F47" i="1"/>
  <c r="G47" i="1"/>
  <c r="C48" i="1"/>
  <c r="D48" i="1"/>
  <c r="E48" i="1"/>
  <c r="F48" i="1"/>
  <c r="G48" i="1"/>
  <c r="C50" i="1"/>
  <c r="D50" i="1"/>
  <c r="E50" i="1"/>
  <c r="F50" i="1"/>
  <c r="G50" i="1"/>
  <c r="C54" i="1"/>
  <c r="D54" i="1"/>
  <c r="E54" i="1"/>
  <c r="F54" i="1"/>
  <c r="G54" i="1"/>
  <c r="D32" i="1"/>
  <c r="E32" i="1"/>
  <c r="F32" i="1"/>
  <c r="G32" i="1"/>
  <c r="C32" i="1"/>
  <c r="B15" i="1"/>
  <c r="C15" i="1"/>
  <c r="D15" i="1"/>
  <c r="E15" i="1"/>
  <c r="F15" i="1"/>
  <c r="G15" i="1"/>
  <c r="H15" i="1" s="1"/>
  <c r="B11" i="1"/>
  <c r="B73" i="1" s="1"/>
  <c r="C11" i="1"/>
  <c r="C71" i="1" s="1"/>
  <c r="D11" i="1"/>
  <c r="D69" i="1" s="1"/>
  <c r="E11" i="1"/>
  <c r="E73" i="1" s="1"/>
  <c r="F11" i="1"/>
  <c r="F72" i="1" s="1"/>
  <c r="G11" i="1"/>
  <c r="C3" i="1"/>
  <c r="D3" i="1" s="1"/>
  <c r="E3" i="1" s="1"/>
  <c r="F3" i="1" s="1"/>
  <c r="G3" i="1" s="1"/>
  <c r="L1" i="2"/>
  <c r="M1" i="2" s="1"/>
  <c r="N1" i="2" s="1"/>
  <c r="O1" i="2" s="1"/>
  <c r="P1" i="2" s="1"/>
  <c r="C43" i="2"/>
  <c r="D43" i="2"/>
  <c r="E43" i="2"/>
  <c r="F43" i="2"/>
  <c r="G43" i="2"/>
  <c r="C44" i="2"/>
  <c r="D44" i="2"/>
  <c r="E44" i="2"/>
  <c r="F44" i="2"/>
  <c r="G44" i="2"/>
  <c r="B44" i="2"/>
  <c r="B43" i="2"/>
  <c r="C21" i="2"/>
  <c r="C22" i="2" s="1"/>
  <c r="C39" i="2" s="1"/>
  <c r="B21" i="2"/>
  <c r="B22" i="2" s="1"/>
  <c r="B39" i="2" s="1"/>
  <c r="D21" i="2"/>
  <c r="D22" i="2" s="1"/>
  <c r="D39" i="2" s="1"/>
  <c r="B38" i="2"/>
  <c r="C38" i="2"/>
  <c r="D38" i="2"/>
  <c r="E38" i="2"/>
  <c r="F38" i="2"/>
  <c r="G38" i="2"/>
  <c r="B24" i="2"/>
  <c r="C24" i="2"/>
  <c r="C25" i="2" s="1"/>
  <c r="D24" i="2"/>
  <c r="E24" i="2"/>
  <c r="F24" i="2"/>
  <c r="G24" i="2"/>
  <c r="G25" i="2" s="1"/>
  <c r="E21" i="2"/>
  <c r="E37" i="2" s="1"/>
  <c r="F21" i="2"/>
  <c r="F22" i="2" s="1"/>
  <c r="F39" i="2" s="1"/>
  <c r="G21" i="2"/>
  <c r="G37" i="2" s="1"/>
  <c r="B34" i="2"/>
  <c r="B25" i="2" s="1"/>
  <c r="C34" i="2"/>
  <c r="D34" i="2"/>
  <c r="E34" i="2"/>
  <c r="F34" i="2"/>
  <c r="G34" i="2"/>
  <c r="G14" i="2"/>
  <c r="F14" i="2"/>
  <c r="E14" i="2"/>
  <c r="D14" i="2"/>
  <c r="C14" i="2"/>
  <c r="B14" i="2"/>
  <c r="B8" i="2"/>
  <c r="C8" i="2"/>
  <c r="D8" i="2"/>
  <c r="E8" i="2"/>
  <c r="F8" i="2"/>
  <c r="G8" i="2"/>
  <c r="C1" i="2"/>
  <c r="D1" i="2" s="1"/>
  <c r="E1" i="2" s="1"/>
  <c r="F1" i="2" s="1"/>
  <c r="G1" i="2" s="1"/>
  <c r="I216" i="1" l="1"/>
  <c r="I183" i="1" s="1"/>
  <c r="H216" i="1"/>
  <c r="H183" i="1" s="1"/>
  <c r="AA48" i="1"/>
  <c r="AB74" i="1"/>
  <c r="G71" i="1"/>
  <c r="H71" i="1" s="1"/>
  <c r="I71" i="1" s="1"/>
  <c r="H11" i="1"/>
  <c r="H16" i="1" s="1"/>
  <c r="X74" i="1"/>
  <c r="AC74" i="1"/>
  <c r="R74" i="1"/>
  <c r="P48" i="1"/>
  <c r="W74" i="1"/>
  <c r="U41" i="1"/>
  <c r="U48" i="1"/>
  <c r="S37" i="1"/>
  <c r="I15" i="1"/>
  <c r="D25" i="2"/>
  <c r="V73" i="1"/>
  <c r="V72" i="1"/>
  <c r="V71" i="1"/>
  <c r="V69" i="1"/>
  <c r="V68" i="1"/>
  <c r="V62" i="1"/>
  <c r="V61" i="1"/>
  <c r="V60" i="1"/>
  <c r="V59" i="1"/>
  <c r="V58" i="1"/>
  <c r="V37" i="1"/>
  <c r="V74" i="1"/>
  <c r="V70" i="1"/>
  <c r="V41" i="1"/>
  <c r="AA73" i="1"/>
  <c r="AA72" i="1"/>
  <c r="AA71" i="1"/>
  <c r="AA69" i="1"/>
  <c r="AA68" i="1"/>
  <c r="AA62" i="1"/>
  <c r="AA61" i="1"/>
  <c r="AA60" i="1"/>
  <c r="AA59" i="1"/>
  <c r="AA58" i="1"/>
  <c r="AA37" i="1"/>
  <c r="AA74" i="1"/>
  <c r="AA70" i="1"/>
  <c r="AA41" i="1"/>
  <c r="Z48" i="1"/>
  <c r="P41" i="1"/>
  <c r="AB48" i="1"/>
  <c r="W48" i="1"/>
  <c r="P60" i="1"/>
  <c r="P69" i="1"/>
  <c r="P73" i="1"/>
  <c r="U37" i="1"/>
  <c r="U61" i="1"/>
  <c r="P61" i="1"/>
  <c r="P70" i="1"/>
  <c r="P74" i="1"/>
  <c r="U58" i="1"/>
  <c r="U62" i="1"/>
  <c r="P58" i="1"/>
  <c r="P62" i="1"/>
  <c r="P71" i="1"/>
  <c r="U59" i="1"/>
  <c r="U72" i="1"/>
  <c r="U73" i="1"/>
  <c r="U71" i="1"/>
  <c r="U69" i="1"/>
  <c r="U74" i="1"/>
  <c r="U70" i="1"/>
  <c r="Z73" i="1"/>
  <c r="Z72" i="1"/>
  <c r="Z71" i="1"/>
  <c r="Z69" i="1"/>
  <c r="Z68" i="1"/>
  <c r="Z62" i="1"/>
  <c r="Z61" i="1"/>
  <c r="Z60" i="1"/>
  <c r="Z59" i="1"/>
  <c r="Z58" i="1"/>
  <c r="Z37" i="1"/>
  <c r="Z74" i="1"/>
  <c r="Z70" i="1"/>
  <c r="Z41" i="1"/>
  <c r="S73" i="1"/>
  <c r="S72" i="1"/>
  <c r="S71" i="1"/>
  <c r="S69" i="1"/>
  <c r="S68" i="1"/>
  <c r="S62" i="1"/>
  <c r="S61" i="1"/>
  <c r="S60" i="1"/>
  <c r="S59" i="1"/>
  <c r="S58" i="1"/>
  <c r="S74" i="1"/>
  <c r="S70" i="1"/>
  <c r="I41" i="1"/>
  <c r="P59" i="1"/>
  <c r="P68" i="1"/>
  <c r="P72" i="1"/>
  <c r="U60" i="1"/>
  <c r="R37" i="1"/>
  <c r="Q58" i="1"/>
  <c r="Q59" i="1"/>
  <c r="Q60" i="1"/>
  <c r="Q61" i="1"/>
  <c r="Q62" i="1"/>
  <c r="Q68" i="1"/>
  <c r="Q69" i="1"/>
  <c r="Q70" i="1"/>
  <c r="Q71" i="1"/>
  <c r="Q72" i="1"/>
  <c r="Q73" i="1"/>
  <c r="Q74" i="1"/>
  <c r="H70" i="1"/>
  <c r="H68" i="1"/>
  <c r="H62" i="1"/>
  <c r="H60" i="1"/>
  <c r="H58" i="1"/>
  <c r="R58" i="1"/>
  <c r="R59" i="1"/>
  <c r="R60" i="1"/>
  <c r="R61" i="1"/>
  <c r="R62" i="1"/>
  <c r="R68" i="1"/>
  <c r="R69" i="1"/>
  <c r="R70" i="1"/>
  <c r="R71" i="1"/>
  <c r="R72" i="1"/>
  <c r="R73" i="1"/>
  <c r="W37" i="1"/>
  <c r="W41" i="1"/>
  <c r="W58" i="1"/>
  <c r="W59" i="1"/>
  <c r="W60" i="1"/>
  <c r="W61" i="1"/>
  <c r="W62" i="1"/>
  <c r="W68" i="1"/>
  <c r="W69" i="1"/>
  <c r="W70" i="1"/>
  <c r="W71" i="1"/>
  <c r="W72" i="1"/>
  <c r="AB37" i="1"/>
  <c r="AB41" i="1"/>
  <c r="AB58" i="1"/>
  <c r="AB59" i="1"/>
  <c r="AB60" i="1"/>
  <c r="AB61" i="1"/>
  <c r="AB62" i="1"/>
  <c r="AB68" i="1"/>
  <c r="AB69" i="1"/>
  <c r="AB70" i="1"/>
  <c r="AB71" i="1"/>
  <c r="AB72" i="1"/>
  <c r="AB73" i="1"/>
  <c r="AB75" i="1"/>
  <c r="AB76" i="1"/>
  <c r="X37" i="1"/>
  <c r="X41" i="1"/>
  <c r="X58" i="1"/>
  <c r="X59" i="1"/>
  <c r="X60" i="1"/>
  <c r="X61" i="1"/>
  <c r="X62" i="1"/>
  <c r="X68" i="1"/>
  <c r="X69" i="1"/>
  <c r="X70" i="1"/>
  <c r="X71" i="1"/>
  <c r="X72" i="1"/>
  <c r="AC37" i="1"/>
  <c r="AC41" i="1"/>
  <c r="AC58" i="1"/>
  <c r="AC59" i="1"/>
  <c r="AC60" i="1"/>
  <c r="AC61" i="1"/>
  <c r="AC62" i="1"/>
  <c r="AC68" i="1"/>
  <c r="AC69" i="1"/>
  <c r="AC70" i="1"/>
  <c r="AC71" i="1"/>
  <c r="AC72" i="1"/>
  <c r="AC73" i="1"/>
  <c r="AC75" i="1"/>
  <c r="AC76" i="1"/>
  <c r="K16" i="1"/>
  <c r="K20" i="1" s="1"/>
  <c r="K23" i="1" s="1"/>
  <c r="K25" i="1" s="1"/>
  <c r="K27" i="1" s="1"/>
  <c r="P16" i="1"/>
  <c r="Q16" i="1"/>
  <c r="S16" i="1"/>
  <c r="R23" i="1"/>
  <c r="W16" i="1"/>
  <c r="X16" i="1"/>
  <c r="X42" i="1" s="1"/>
  <c r="V16" i="1"/>
  <c r="AA16" i="1"/>
  <c r="Z16" i="1"/>
  <c r="U16" i="1"/>
  <c r="E74" i="1"/>
  <c r="D74" i="1"/>
  <c r="F25" i="2"/>
  <c r="G74" i="1"/>
  <c r="C74" i="1"/>
  <c r="E25" i="2"/>
  <c r="F74" i="1"/>
  <c r="B74" i="1"/>
  <c r="E41" i="1"/>
  <c r="F16" i="1"/>
  <c r="F20" i="1" s="1"/>
  <c r="F217" i="1" s="1"/>
  <c r="F218" i="1" s="1"/>
  <c r="F225" i="1" s="1"/>
  <c r="G70" i="1"/>
  <c r="B70" i="1"/>
  <c r="C70" i="1"/>
  <c r="D37" i="1"/>
  <c r="B61" i="1"/>
  <c r="F62" i="1"/>
  <c r="G61" i="1"/>
  <c r="C61" i="1"/>
  <c r="D60" i="1"/>
  <c r="E59" i="1"/>
  <c r="F58" i="1"/>
  <c r="B68" i="1"/>
  <c r="F70" i="1"/>
  <c r="G69" i="1"/>
  <c r="C69" i="1"/>
  <c r="D68" i="1"/>
  <c r="B72" i="1"/>
  <c r="D73" i="1"/>
  <c r="E72" i="1"/>
  <c r="F71" i="1"/>
  <c r="E16" i="1"/>
  <c r="G16" i="1"/>
  <c r="D16" i="1"/>
  <c r="D41" i="1"/>
  <c r="G37" i="1"/>
  <c r="C37" i="1"/>
  <c r="B60" i="1"/>
  <c r="E62" i="1"/>
  <c r="F61" i="1"/>
  <c r="G60" i="1"/>
  <c r="C60" i="1"/>
  <c r="D59" i="1"/>
  <c r="E58" i="1"/>
  <c r="E70" i="1"/>
  <c r="F69" i="1"/>
  <c r="G68" i="1"/>
  <c r="C68" i="1"/>
  <c r="G73" i="1"/>
  <c r="H73" i="1" s="1"/>
  <c r="I73" i="1" s="1"/>
  <c r="C73" i="1"/>
  <c r="D72" i="1"/>
  <c r="E71" i="1"/>
  <c r="C16" i="1"/>
  <c r="G41" i="1"/>
  <c r="C41" i="1"/>
  <c r="F37" i="1"/>
  <c r="B58" i="1"/>
  <c r="B59" i="1"/>
  <c r="D62" i="1"/>
  <c r="E61" i="1"/>
  <c r="F60" i="1"/>
  <c r="G59" i="1"/>
  <c r="C59" i="1"/>
  <c r="D58" i="1"/>
  <c r="B69" i="1"/>
  <c r="D70" i="1"/>
  <c r="E69" i="1"/>
  <c r="F68" i="1"/>
  <c r="B71" i="1"/>
  <c r="F73" i="1"/>
  <c r="G72" i="1"/>
  <c r="H72" i="1" s="1"/>
  <c r="I72" i="1" s="1"/>
  <c r="C72" i="1"/>
  <c r="D71" i="1"/>
  <c r="B16" i="1"/>
  <c r="B20" i="1" s="1"/>
  <c r="B217" i="1" s="1"/>
  <c r="B218" i="1" s="1"/>
  <c r="F41" i="1"/>
  <c r="E37" i="1"/>
  <c r="B62" i="1"/>
  <c r="G62" i="1"/>
  <c r="C62" i="1"/>
  <c r="D61" i="1"/>
  <c r="E60" i="1"/>
  <c r="F59" i="1"/>
  <c r="G58" i="1"/>
  <c r="C58" i="1"/>
  <c r="E68" i="1"/>
  <c r="E45" i="2"/>
  <c r="G40" i="2"/>
  <c r="C40" i="2"/>
  <c r="D40" i="2"/>
  <c r="F40" i="2"/>
  <c r="B40" i="2"/>
  <c r="D45" i="2"/>
  <c r="E40" i="2"/>
  <c r="G45" i="2"/>
  <c r="C45" i="2"/>
  <c r="F45" i="2"/>
  <c r="B45" i="2"/>
  <c r="G22" i="2"/>
  <c r="G39" i="2" s="1"/>
  <c r="E22" i="2"/>
  <c r="E39" i="2" s="1"/>
  <c r="F37" i="2"/>
  <c r="B37" i="2"/>
  <c r="C37" i="2"/>
  <c r="D37" i="2"/>
  <c r="H226" i="1" l="1"/>
  <c r="I226" i="1"/>
  <c r="H41" i="1"/>
  <c r="H17" i="1"/>
  <c r="H20" i="1" s="1"/>
  <c r="H19" i="1"/>
  <c r="H45" i="1" s="1"/>
  <c r="I11" i="1"/>
  <c r="I16" i="1" s="1"/>
  <c r="H18" i="1"/>
  <c r="H61" i="1"/>
  <c r="H69" i="1"/>
  <c r="H59" i="1"/>
  <c r="H37" i="1"/>
  <c r="F219" i="1"/>
  <c r="F224" i="1"/>
  <c r="B219" i="1"/>
  <c r="B224" i="1"/>
  <c r="Z20" i="1"/>
  <c r="Z42" i="1"/>
  <c r="U20" i="1"/>
  <c r="U42" i="1"/>
  <c r="Q20" i="1"/>
  <c r="H42" i="1"/>
  <c r="W20" i="1"/>
  <c r="W42" i="1"/>
  <c r="F170" i="1"/>
  <c r="F172" i="1" s="1"/>
  <c r="F185" i="1" s="1"/>
  <c r="F223" i="1" s="1"/>
  <c r="AA20" i="1"/>
  <c r="AA42" i="1"/>
  <c r="R25" i="1"/>
  <c r="AB42" i="1"/>
  <c r="P20" i="1"/>
  <c r="P42" i="1"/>
  <c r="B170" i="1"/>
  <c r="B172" i="1" s="1"/>
  <c r="B185" i="1" s="1"/>
  <c r="B223" i="1" s="1"/>
  <c r="V20" i="1"/>
  <c r="V42" i="1"/>
  <c r="S20" i="1"/>
  <c r="AC42" i="1"/>
  <c r="X20" i="1"/>
  <c r="F42" i="1"/>
  <c r="B23" i="1"/>
  <c r="B25" i="1" s="1"/>
  <c r="B175" i="1" s="1"/>
  <c r="B176" i="1" s="1"/>
  <c r="B75" i="1"/>
  <c r="F23" i="1"/>
  <c r="F25" i="1" s="1"/>
  <c r="F175" i="1" s="1"/>
  <c r="F176" i="1" s="1"/>
  <c r="F75" i="1"/>
  <c r="G42" i="1"/>
  <c r="G20" i="1"/>
  <c r="G217" i="1" s="1"/>
  <c r="G218" i="1" s="1"/>
  <c r="E20" i="1"/>
  <c r="E217" i="1" s="1"/>
  <c r="E218" i="1" s="1"/>
  <c r="E42" i="1"/>
  <c r="C20" i="1"/>
  <c r="C217" i="1" s="1"/>
  <c r="C218" i="1" s="1"/>
  <c r="C42" i="1"/>
  <c r="D20" i="1"/>
  <c r="D217" i="1" s="1"/>
  <c r="D218" i="1" s="1"/>
  <c r="D42" i="1"/>
  <c r="H170" i="1" l="1"/>
  <c r="H75" i="1"/>
  <c r="H217" i="1"/>
  <c r="C219" i="1"/>
  <c r="C221" i="1" s="1"/>
  <c r="C224" i="1"/>
  <c r="B220" i="1"/>
  <c r="B225" i="1"/>
  <c r="H44" i="1"/>
  <c r="H65" i="1"/>
  <c r="I18" i="1"/>
  <c r="I17" i="1"/>
  <c r="I20" i="1" s="1"/>
  <c r="I170" i="1" s="1"/>
  <c r="I19" i="1"/>
  <c r="I45" i="1" s="1"/>
  <c r="I37" i="1"/>
  <c r="I61" i="1"/>
  <c r="I69" i="1"/>
  <c r="I59" i="1"/>
  <c r="I58" i="1"/>
  <c r="I68" i="1"/>
  <c r="I70" i="1"/>
  <c r="I62" i="1"/>
  <c r="I60" i="1"/>
  <c r="D219" i="1"/>
  <c r="D221" i="1" s="1"/>
  <c r="D224" i="1"/>
  <c r="F220" i="1"/>
  <c r="E219" i="1"/>
  <c r="E224" i="1"/>
  <c r="G219" i="1"/>
  <c r="G221" i="1" s="1"/>
  <c r="G224" i="1"/>
  <c r="H43" i="1"/>
  <c r="H74" i="1"/>
  <c r="R27" i="1"/>
  <c r="R76" i="1"/>
  <c r="H46" i="1"/>
  <c r="H23" i="1"/>
  <c r="C75" i="1"/>
  <c r="C170" i="1"/>
  <c r="C172" i="1" s="1"/>
  <c r="C185" i="1" s="1"/>
  <c r="C223" i="1" s="1"/>
  <c r="D75" i="1"/>
  <c r="D170" i="1"/>
  <c r="D172" i="1" s="1"/>
  <c r="D185" i="1" s="1"/>
  <c r="D223" i="1" s="1"/>
  <c r="E75" i="1"/>
  <c r="E170" i="1"/>
  <c r="E172" i="1" s="1"/>
  <c r="E185" i="1" s="1"/>
  <c r="E223" i="1" s="1"/>
  <c r="X23" i="1"/>
  <c r="X75" i="1"/>
  <c r="X46" i="1"/>
  <c r="AC46" i="1"/>
  <c r="G75" i="1"/>
  <c r="G170" i="1"/>
  <c r="G172" i="1" s="1"/>
  <c r="G185" i="1" s="1"/>
  <c r="G223" i="1" s="1"/>
  <c r="V23" i="1"/>
  <c r="V75" i="1"/>
  <c r="V46" i="1"/>
  <c r="P23" i="1"/>
  <c r="P46" i="1"/>
  <c r="P75" i="1"/>
  <c r="U23" i="1"/>
  <c r="U75" i="1"/>
  <c r="U46" i="1"/>
  <c r="AA23" i="1"/>
  <c r="AA75" i="1"/>
  <c r="AA46" i="1"/>
  <c r="W23" i="1"/>
  <c r="W75" i="1"/>
  <c r="W46" i="1"/>
  <c r="AB46" i="1"/>
  <c r="S23" i="1"/>
  <c r="S75" i="1"/>
  <c r="Q23" i="1"/>
  <c r="Q75" i="1"/>
  <c r="Z23" i="1"/>
  <c r="Z75" i="1"/>
  <c r="Z46" i="1"/>
  <c r="B27" i="1"/>
  <c r="B76" i="1"/>
  <c r="F76" i="1"/>
  <c r="F27" i="1"/>
  <c r="C23" i="1"/>
  <c r="C46" i="1"/>
  <c r="D23" i="1"/>
  <c r="D46" i="1"/>
  <c r="E23" i="1"/>
  <c r="E46" i="1"/>
  <c r="F46" i="1"/>
  <c r="G46" i="1"/>
  <c r="G23" i="1"/>
  <c r="E221" i="1" l="1"/>
  <c r="H224" i="1"/>
  <c r="H218" i="1"/>
  <c r="H219" i="1"/>
  <c r="H220" i="1"/>
  <c r="D220" i="1"/>
  <c r="D225" i="1"/>
  <c r="I42" i="1"/>
  <c r="C220" i="1"/>
  <c r="C222" i="1" s="1"/>
  <c r="C225" i="1"/>
  <c r="G220" i="1"/>
  <c r="G222" i="1" s="1"/>
  <c r="G225" i="1"/>
  <c r="I43" i="1"/>
  <c r="I74" i="1"/>
  <c r="F221" i="1"/>
  <c r="I44" i="1"/>
  <c r="I65" i="1"/>
  <c r="E220" i="1"/>
  <c r="E222" i="1" s="1"/>
  <c r="E225" i="1"/>
  <c r="H24" i="1"/>
  <c r="H221" i="1"/>
  <c r="Q25" i="1"/>
  <c r="P25" i="1"/>
  <c r="P49" i="1"/>
  <c r="U25" i="1"/>
  <c r="U49" i="1"/>
  <c r="AA25" i="1"/>
  <c r="AA49" i="1"/>
  <c r="X25" i="1"/>
  <c r="X49" i="1"/>
  <c r="AC49" i="1"/>
  <c r="H49" i="1"/>
  <c r="Z25" i="1"/>
  <c r="Z49" i="1"/>
  <c r="S25" i="1"/>
  <c r="W25" i="1"/>
  <c r="W49" i="1"/>
  <c r="AB49" i="1"/>
  <c r="V25" i="1"/>
  <c r="V49" i="1"/>
  <c r="D25" i="1"/>
  <c r="D49" i="1"/>
  <c r="G49" i="1"/>
  <c r="G25" i="1"/>
  <c r="G175" i="1" s="1"/>
  <c r="G176" i="1" s="1"/>
  <c r="E25" i="1"/>
  <c r="E49" i="1"/>
  <c r="F49" i="1"/>
  <c r="C25" i="1"/>
  <c r="C49" i="1"/>
  <c r="H25" i="1" l="1"/>
  <c r="H175" i="1" s="1"/>
  <c r="H174" i="1"/>
  <c r="H171" i="1" s="1"/>
  <c r="H172" i="1" s="1"/>
  <c r="H185" i="1" s="1"/>
  <c r="H223" i="1" s="1"/>
  <c r="H225" i="1"/>
  <c r="I217" i="1"/>
  <c r="I218" i="1" s="1"/>
  <c r="I75" i="1"/>
  <c r="I23" i="1"/>
  <c r="I46" i="1"/>
  <c r="F222" i="1"/>
  <c r="D222" i="1"/>
  <c r="H50" i="1"/>
  <c r="H222" i="1"/>
  <c r="X27" i="1"/>
  <c r="X76" i="1"/>
  <c r="X51" i="1"/>
  <c r="AC51" i="1"/>
  <c r="U27" i="1"/>
  <c r="U76" i="1"/>
  <c r="U51" i="1"/>
  <c r="Q27" i="1"/>
  <c r="Q76" i="1"/>
  <c r="S27" i="1"/>
  <c r="S76" i="1"/>
  <c r="V27" i="1"/>
  <c r="V53" i="1" s="1"/>
  <c r="V76" i="1"/>
  <c r="V51" i="1"/>
  <c r="E76" i="1"/>
  <c r="E175" i="1"/>
  <c r="E176" i="1" s="1"/>
  <c r="C76" i="1"/>
  <c r="C175" i="1"/>
  <c r="C176" i="1" s="1"/>
  <c r="H76" i="1"/>
  <c r="H27" i="1"/>
  <c r="H51" i="1"/>
  <c r="D76" i="1"/>
  <c r="D175" i="1"/>
  <c r="D176" i="1" s="1"/>
  <c r="AA27" i="1"/>
  <c r="AA53" i="1" s="1"/>
  <c r="AA76" i="1"/>
  <c r="AA51" i="1"/>
  <c r="P27" i="1"/>
  <c r="P53" i="1" s="1"/>
  <c r="P76" i="1"/>
  <c r="P51" i="1"/>
  <c r="W27" i="1"/>
  <c r="W76" i="1"/>
  <c r="W51" i="1"/>
  <c r="AB51" i="1"/>
  <c r="Z27" i="1"/>
  <c r="Z53" i="1" s="1"/>
  <c r="Z76" i="1"/>
  <c r="Z51" i="1"/>
  <c r="G76" i="1"/>
  <c r="G27" i="1"/>
  <c r="G53" i="1" s="1"/>
  <c r="G51" i="1"/>
  <c r="C27" i="1"/>
  <c r="C53" i="1" s="1"/>
  <c r="C51" i="1"/>
  <c r="E51" i="1"/>
  <c r="E27" i="1"/>
  <c r="F51" i="1"/>
  <c r="D51" i="1"/>
  <c r="D27" i="1"/>
  <c r="H176" i="1" l="1"/>
  <c r="I24" i="1"/>
  <c r="I49" i="1"/>
  <c r="H53" i="1"/>
  <c r="I224" i="1"/>
  <c r="I219" i="1"/>
  <c r="I221" i="1" s="1"/>
  <c r="W53" i="1"/>
  <c r="AB53" i="1"/>
  <c r="U53" i="1"/>
  <c r="X53" i="1"/>
  <c r="AC53" i="1"/>
  <c r="D53" i="1"/>
  <c r="E53" i="1"/>
  <c r="F53" i="1"/>
  <c r="N15" i="1"/>
  <c r="L15" i="1"/>
  <c r="M15" i="1"/>
  <c r="I50" i="1" l="1"/>
  <c r="I174" i="1"/>
  <c r="I171" i="1" s="1"/>
  <c r="I172" i="1" s="1"/>
  <c r="I185" i="1" s="1"/>
  <c r="I223" i="1" s="1"/>
  <c r="I25" i="1"/>
  <c r="I175" i="1" s="1"/>
  <c r="I176" i="1" s="1"/>
  <c r="I220" i="1"/>
  <c r="I222" i="1" s="1"/>
  <c r="I225" i="1"/>
  <c r="L16" i="1"/>
  <c r="Q41" i="1"/>
  <c r="M16" i="1"/>
  <c r="R41" i="1"/>
  <c r="N16" i="1"/>
  <c r="S41" i="1"/>
  <c r="I76" i="1" l="1"/>
  <c r="I27" i="1"/>
  <c r="I53" i="1" s="1"/>
  <c r="I51" i="1"/>
  <c r="M20" i="1"/>
  <c r="R42" i="1"/>
  <c r="N20" i="1"/>
  <c r="S42" i="1"/>
  <c r="L20" i="1"/>
  <c r="Q42" i="1"/>
  <c r="M23" i="1" l="1"/>
  <c r="R46" i="1"/>
  <c r="N23" i="1"/>
  <c r="S46" i="1"/>
  <c r="L23" i="1"/>
  <c r="Q46" i="1"/>
  <c r="N25" i="1" l="1"/>
  <c r="S49" i="1"/>
  <c r="L25" i="1"/>
  <c r="Q49" i="1"/>
  <c r="M25" i="1"/>
  <c r="R49" i="1"/>
  <c r="L27" i="1" l="1"/>
  <c r="Q53" i="1" s="1"/>
  <c r="Q51" i="1"/>
  <c r="M27" i="1"/>
  <c r="R53" i="1" s="1"/>
  <c r="R51" i="1"/>
  <c r="N27" i="1"/>
  <c r="S53" i="1" s="1"/>
  <c r="S51" i="1"/>
</calcChain>
</file>

<file path=xl/sharedStrings.xml><?xml version="1.0" encoding="utf-8"?>
<sst xmlns="http://schemas.openxmlformats.org/spreadsheetml/2006/main" count="429" uniqueCount="205">
  <si>
    <t>Domino's Pizza, Inc.</t>
  </si>
  <si>
    <t>Supplemental Information</t>
  </si>
  <si>
    <t>U.S. Franchise</t>
  </si>
  <si>
    <t>U.S. Company-owned</t>
  </si>
  <si>
    <t xml:space="preserve">International </t>
  </si>
  <si>
    <t>Total</t>
  </si>
  <si>
    <t>Year End Store Counts:</t>
  </si>
  <si>
    <t>Net Unit Growth:</t>
  </si>
  <si>
    <t>Revenues:</t>
  </si>
  <si>
    <t>U.S Franchise Royalties and Fees</t>
  </si>
  <si>
    <t>U.S. Company-Owned Stores</t>
  </si>
  <si>
    <t>U.S. Franchise Advertising</t>
  </si>
  <si>
    <t>Supply Chain</t>
  </si>
  <si>
    <t>International Franchise Royalties and Fees</t>
  </si>
  <si>
    <t>U.S.</t>
  </si>
  <si>
    <t>International</t>
  </si>
  <si>
    <t>Global Retail Sales:</t>
  </si>
  <si>
    <t>Same Store Sales Growth:</t>
  </si>
  <si>
    <t>Supply Chain:</t>
  </si>
  <si>
    <t>U.S Franchise</t>
  </si>
  <si>
    <t>Revenues/Stores ($ Millions):</t>
  </si>
  <si>
    <t>Retail Sales/Stores ($ Millions):</t>
  </si>
  <si>
    <t>Overall</t>
  </si>
  <si>
    <t>% of Retail Sales</t>
  </si>
  <si>
    <t>Income Statement</t>
  </si>
  <si>
    <t>Total revenues</t>
  </si>
  <si>
    <t>Cost of Sales:</t>
  </si>
  <si>
    <t>Total COGS</t>
  </si>
  <si>
    <t>Gross Profit</t>
  </si>
  <si>
    <t>G&amp;A</t>
  </si>
  <si>
    <t>Refranchising loss (gain)</t>
  </si>
  <si>
    <t>U.S. Franchise advertising</t>
  </si>
  <si>
    <t>Operating income</t>
  </si>
  <si>
    <t>EBIT</t>
  </si>
  <si>
    <t>Interest expense, net</t>
  </si>
  <si>
    <t>Other income</t>
  </si>
  <si>
    <t>Income taxes</t>
  </si>
  <si>
    <t>Net Income</t>
  </si>
  <si>
    <t>Diluted EPS</t>
  </si>
  <si>
    <t>Diluted Shares (Millions)</t>
  </si>
  <si>
    <t>Growth Rates</t>
  </si>
  <si>
    <t>Ratios</t>
  </si>
  <si>
    <t>Expenses as % of total revenues:</t>
  </si>
  <si>
    <t>Segment revenues as % of total revenues:</t>
  </si>
  <si>
    <t>Total Expenses</t>
  </si>
  <si>
    <t>Gross margins:</t>
  </si>
  <si>
    <t>Net margin</t>
  </si>
  <si>
    <t>Operating margin</t>
  </si>
  <si>
    <t>Q1</t>
  </si>
  <si>
    <t>Q2</t>
  </si>
  <si>
    <t>Q3</t>
  </si>
  <si>
    <t>Q4</t>
  </si>
  <si>
    <t>2024 E</t>
  </si>
  <si>
    <t>2025 E</t>
  </si>
  <si>
    <t>CONSOLIDATED BALANCE SHEETS - USD ($) $ in Thousands</t>
  </si>
  <si>
    <t>Current assets:</t>
  </si>
  <si>
    <t>Cash and cash equivalents</t>
  </si>
  <si>
    <t>Restricted cash and cash equivalents</t>
  </si>
  <si>
    <t>Accounts receivable, net of reserves of $1,869 in 2021 and $1,793 in 2020</t>
  </si>
  <si>
    <t>Inventories</t>
  </si>
  <si>
    <t>Prepaid expenses and other</t>
  </si>
  <si>
    <t>Advertising fund assets, restricted</t>
  </si>
  <si>
    <t>Total current assets</t>
  </si>
  <si>
    <t>Property, plant and equipment:</t>
  </si>
  <si>
    <t>Land and buildings</t>
  </si>
  <si>
    <t>Leasehold and other improvements</t>
  </si>
  <si>
    <t>Equipment</t>
  </si>
  <si>
    <t>Construction in progress</t>
  </si>
  <si>
    <t>Property, plant and equipment, Gross</t>
  </si>
  <si>
    <t>Accumulated depreciation and amortization</t>
  </si>
  <si>
    <t>Property, plant and equipment, net</t>
  </si>
  <si>
    <t>Other assets:</t>
  </si>
  <si>
    <t>Operating lease right-of-use assets</t>
  </si>
  <si>
    <t>Investments in marketable securities, restricted</t>
  </si>
  <si>
    <t>Goodwill</t>
  </si>
  <si>
    <t>Capitalized software, net of accumulated amortization of $142,509 in 2021 and $124,043 in 2020</t>
  </si>
  <si>
    <t>Investments</t>
  </si>
  <si>
    <t>Other assets</t>
  </si>
  <si>
    <t>Deferred income taxes</t>
  </si>
  <si>
    <t>Total other assets</t>
  </si>
  <si>
    <t>Total assets</t>
  </si>
  <si>
    <t>Current liabilities:</t>
  </si>
  <si>
    <t>Current portion of long-term debt</t>
  </si>
  <si>
    <t>Accounts payable</t>
  </si>
  <si>
    <t>Accrued compensation</t>
  </si>
  <si>
    <t>Accrued interest</t>
  </si>
  <si>
    <t>Operating lease liabilities</t>
  </si>
  <si>
    <t>Insurance reserves</t>
  </si>
  <si>
    <t>Advertising fund liabilities</t>
  </si>
  <si>
    <t>Other accrued liabilities</t>
  </si>
  <si>
    <t>Total current liabilities</t>
  </si>
  <si>
    <t>Long-term liabilities:</t>
  </si>
  <si>
    <t>Long-term debt, less current portion</t>
  </si>
  <si>
    <t>Total long-term liabilities</t>
  </si>
  <si>
    <t>Total liabilities</t>
  </si>
  <si>
    <t>Commitments and contingencies (Note 6)</t>
  </si>
  <si>
    <t xml:space="preserve"> </t>
  </si>
  <si>
    <t>Stockholders' deficit</t>
  </si>
  <si>
    <t>Common stock, par value $0.01 per share; 170,000,000 shares authorized; 36,138,273 in 2021 and 38,868,350 in 2020 issued and outstanding</t>
  </si>
  <si>
    <t>Preferred stock, par value $0.01 per share; 5,000,000 shares authorized, none issued</t>
  </si>
  <si>
    <t>Additional paid-in capital</t>
  </si>
  <si>
    <t>Retained deficit</t>
  </si>
  <si>
    <t>Accumulated other comprehensive loss</t>
  </si>
  <si>
    <t>Total stockholders' deficit</t>
  </si>
  <si>
    <t>Total liabilities and stockholders' deficit</t>
  </si>
  <si>
    <t>CONSOLIDATED STATEMENTS OF CASH FLOWS - USD ($) $ in Thousands</t>
  </si>
  <si>
    <t>12 Months Ended</t>
  </si>
  <si>
    <t>Cash flows from operating activities:</t>
  </si>
  <si>
    <t>Net income</t>
  </si>
  <si>
    <t>Adjustments to reconcile net income to net cash provided by operating activities:</t>
  </si>
  <si>
    <t>Depreciation and amortization</t>
  </si>
  <si>
    <t>Loss on sale/disposal of assets</t>
  </si>
  <si>
    <t>Amortization of debt issuance costs</t>
  </si>
  <si>
    <t>Provision (Benefit) for deferred income taxes</t>
  </si>
  <si>
    <t>Non-cash equity-based compensation expense</t>
  </si>
  <si>
    <t>Excess tax benefits from equity-based compensation</t>
  </si>
  <si>
    <t>Provision for losses on accounts and notes receivable</t>
  </si>
  <si>
    <t>Unrealized gain on investments</t>
  </si>
  <si>
    <t>Changes in operating assets and liabilities:</t>
  </si>
  <si>
    <t>Changes in accounts receivable</t>
  </si>
  <si>
    <t>Changes in inventories, prepaid expenses and other</t>
  </si>
  <si>
    <t>Changes in accounts payable and accrued liabilities</t>
  </si>
  <si>
    <t>Changes in insurance reserves</t>
  </si>
  <si>
    <t>Changes in operating lease assets and liabilities</t>
  </si>
  <si>
    <t>Changes in advertising fund assets and liabilities, restricted</t>
  </si>
  <si>
    <t>Net cash provided by operating activities</t>
  </si>
  <si>
    <t>Cash flows from investing activities:</t>
  </si>
  <si>
    <t>Capital expenditures</t>
  </si>
  <si>
    <t>Purchase of investments</t>
  </si>
  <si>
    <t>Proceeds from sale of assets</t>
  </si>
  <si>
    <t>Maturities of advertising fund investments, restricted</t>
  </si>
  <si>
    <t>Purchases of franchise operations and other assets</t>
  </si>
  <si>
    <t>Other</t>
  </si>
  <si>
    <t>Net cash used in investing activities</t>
  </si>
  <si>
    <t>Cash flows from financing activities:</t>
  </si>
  <si>
    <t>Proceeds from issuance of long-term debt</t>
  </si>
  <si>
    <t>Repayments of long-term debt and finance lease obligations</t>
  </si>
  <si>
    <t>Proceeds from exercise of stock options</t>
  </si>
  <si>
    <t>Purchases of common stock</t>
  </si>
  <si>
    <t>Tax payments for restricted stock upon vesting</t>
  </si>
  <si>
    <t>Payments of common stock dividends and equivalents</t>
  </si>
  <si>
    <t>Cash paid for financing costs</t>
  </si>
  <si>
    <t>Net cash used in financing activities</t>
  </si>
  <si>
    <t>Effect of exchange rate changes on cash</t>
  </si>
  <si>
    <t>Change in cash and cash equivalents, restricted cash and cash equivalents</t>
  </si>
  <si>
    <t>Cash and cash equivalents, beginning of period</t>
  </si>
  <si>
    <t>Restricted cash and cash equivalents, beginning of period</t>
  </si>
  <si>
    <t>Cash and cash equivalents included in advertising fund assets, restricted, beginning of period</t>
  </si>
  <si>
    <t>Cash and cash equivalents, restricted cash and cash equivalents and cash and cash equivalents included in advertising fund assets, restricted, beginning of period</t>
  </si>
  <si>
    <t>Cash and cash equivalents, end of period</t>
  </si>
  <si>
    <t>Restricted cash and cash equivalents, end of period</t>
  </si>
  <si>
    <t>Cash and cash equivalents included in advertising fund assets, restricted, end of period</t>
  </si>
  <si>
    <t>Cash and cash equivalents, restricted cash and cash equivalents and cash and cash equivalents included in advertising fund assets, restricted, end of period</t>
  </si>
  <si>
    <t> </t>
  </si>
  <si>
    <t>Funds Flow</t>
  </si>
  <si>
    <t>Depreciation and amort</t>
  </si>
  <si>
    <t>Stock based compensation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</si>
  <si>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</si>
  <si>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</si>
  <si>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</si>
  <si>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</si>
  <si>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</si>
  <si>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Debt, net</t>
  </si>
  <si>
    <t>Share repurchases, net</t>
  </si>
  <si>
    <t>Net change in cash</t>
  </si>
  <si>
    <t>Dividends</t>
  </si>
  <si>
    <t>Securities Purchase, net</t>
  </si>
  <si>
    <t>Taxes</t>
  </si>
  <si>
    <t>NOPAT</t>
  </si>
  <si>
    <t>Pre-tax income</t>
  </si>
  <si>
    <t>Effective tax rate</t>
  </si>
  <si>
    <t>Invested capital</t>
  </si>
  <si>
    <t>Net working capital</t>
  </si>
  <si>
    <t>PP&amp;E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</si>
  <si>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</si>
  <si>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</si>
  <si>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</si>
  <si>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</si>
  <si>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</si>
  <si>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</si>
  <si>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</si>
  <si>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</si>
  <si>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Net debt</t>
  </si>
  <si>
    <t>Equity Capitalization</t>
  </si>
  <si>
    <t>Shares outstanding</t>
  </si>
  <si>
    <t>Estimated stock price</t>
  </si>
  <si>
    <t>Ending year end stock price</t>
  </si>
  <si>
    <t>Market capitalization</t>
  </si>
  <si>
    <t>Total market value</t>
  </si>
  <si>
    <t>EBITD</t>
  </si>
  <si>
    <t xml:space="preserve">Adj EBITD </t>
  </si>
  <si>
    <t>EBITD margin</t>
  </si>
  <si>
    <t>Adj EBITD margin</t>
  </si>
  <si>
    <t>EBITD growth</t>
  </si>
  <si>
    <t>Adj EBITD growth</t>
  </si>
  <si>
    <t>ROIC</t>
  </si>
  <si>
    <t>TMV/EBITD (trailing)</t>
  </si>
  <si>
    <t>TMV/Adj EBITD</t>
  </si>
  <si>
    <t>TMV/invested capital</t>
  </si>
  <si>
    <t>Excess cash flow yield</t>
  </si>
  <si>
    <t>Net debt/Market Cap</t>
  </si>
  <si>
    <t>DPZ</t>
  </si>
  <si>
    <t>Net debt/Market Cap Avg</t>
  </si>
  <si>
    <t>IC/MV</t>
  </si>
  <si>
    <t>TMV/Revenue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</si>
</sst>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HK$&quot;* #,##0.00_);_(&quot;HK$&quot;* \(#,##0.00\);_(&quot;HK$&quot;* &quot;-&quot;??_);_(@_)"/>
    <numFmt numFmtId="164" formatCode="_([$$-409]* #,##0_);_([$$-409]* \(#,##0\);_([$$-409]* &quot;-&quot;_);_(@_)"/>
    <numFmt numFmtId="165" formatCode="_([$$-409]* #,##0.00_);_([$$-409]* \(#,##0.00\);_([$$-409]* &quot;-&quot;_);_(@_)"/>
    <numFmt numFmtId="166" formatCode="_([$$-409]* #,##0.00_);_([$$-409]* \(#,##0.00\);_([$$-409]* &quot;-&quot;??_);_(@_)"/>
    <numFmt numFmtId="167" formatCode="0.0"/>
    <numFmt numFmtId="168" formatCode="_([$$-409]* #,##0.0_);_([$$-409]* \(#,##0.0\);_([$$-409]* &quot;-&quot;??_);_(@_)"/>
    <numFmt numFmtId="169" formatCode="_([$$-409]* #,##0_);_([$$-409]* \(#,##0\);_([$$-409]* &quot;-&quot;??_);_(@_)"/>
    <numFmt numFmtId="170" formatCode="_(&quot;$ &quot;#,##0_);_(&quot;$ &quot;\(#,##0\)"/>
    <numFmt numFmtId="171" formatCode="&quot;$&quot;#,##0_);\(&quot;$&quot;#,##0\)"/>
    <numFmt numFmtId="172" formatCode="&quot;$&quot;#,##0.0_);\(&quot;$&quot;#,##0.0\)"/>
    <numFmt numFmtId="173" formatCode="&quot;$&quot;#,##0;\-&quot;$&quot;#,##0"/>
    <numFmt numFmtId="17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name val="Calibri (Body)"/>
    </font>
    <font>
      <sz val="12"/>
      <color rgb="FF006100"/>
      <name val="Calibri (Body)"/>
    </font>
    <font>
      <b/>
      <u val="singleAccounting"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9" fontId="1" fillId="0" borderId="0" xfId="1" applyFont="1"/>
    <xf numFmtId="164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9" fontId="9" fillId="0" borderId="0" xfId="1" applyFont="1"/>
    <xf numFmtId="9" fontId="2" fillId="0" borderId="0" xfId="1" applyFont="1"/>
    <xf numFmtId="9" fontId="2" fillId="0" borderId="0" xfId="1" applyFont="1" applyAlignment="1">
      <alignment horizontal="right"/>
    </xf>
    <xf numFmtId="164" fontId="12" fillId="2" borderId="0" xfId="3" applyNumberFormat="1" applyFont="1"/>
    <xf numFmtId="164" fontId="13" fillId="3" borderId="0" xfId="4" applyNumberFormat="1" applyFont="1"/>
    <xf numFmtId="168" fontId="0" fillId="0" borderId="0" xfId="0" applyNumberFormat="1"/>
    <xf numFmtId="169" fontId="0" fillId="0" borderId="0" xfId="0" applyNumberFormat="1"/>
    <xf numFmtId="169" fontId="12" fillId="2" borderId="0" xfId="3" applyNumberFormat="1" applyFont="1"/>
    <xf numFmtId="169" fontId="13" fillId="3" borderId="0" xfId="4" applyNumberFormat="1" applyFont="1"/>
    <xf numFmtId="169" fontId="3" fillId="0" borderId="0" xfId="0" applyNumberFormat="1" applyFont="1"/>
    <xf numFmtId="2" fontId="0" fillId="0" borderId="0" xfId="0" applyNumberFormat="1"/>
    <xf numFmtId="9" fontId="0" fillId="0" borderId="0" xfId="1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170" fontId="16" fillId="0" borderId="0" xfId="0" applyNumberFormat="1" applyFont="1" applyAlignment="1">
      <alignment horizontal="right" vertical="top"/>
    </xf>
    <xf numFmtId="37" fontId="16" fillId="0" borderId="0" xfId="0" applyNumberFormat="1" applyFont="1" applyAlignment="1">
      <alignment horizontal="right" vertical="top"/>
    </xf>
    <xf numFmtId="0" fontId="17" fillId="0" borderId="0" xfId="0" applyFont="1" applyAlignment="1">
      <alignment horizontal="center" vertical="top" wrapText="1"/>
    </xf>
    <xf numFmtId="171" fontId="16" fillId="0" borderId="0" xfId="0" applyNumberFormat="1" applyFont="1"/>
    <xf numFmtId="37" fontId="16" fillId="0" borderId="0" xfId="0" applyNumberFormat="1" applyFont="1"/>
    <xf numFmtId="172" fontId="16" fillId="0" borderId="0" xfId="0" applyNumberFormat="1" applyFont="1"/>
    <xf numFmtId="170" fontId="0" fillId="0" borderId="0" xfId="0" applyNumberFormat="1"/>
    <xf numFmtId="37" fontId="0" fillId="0" borderId="0" xfId="0" applyNumberForma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171" fontId="18" fillId="0" borderId="0" xfId="0" applyNumberFormat="1" applyFont="1" applyAlignment="1">
      <alignment wrapText="1"/>
    </xf>
    <xf numFmtId="173" fontId="18" fillId="0" borderId="0" xfId="0" applyNumberFormat="1" applyFont="1" applyAlignment="1">
      <alignment wrapText="1"/>
    </xf>
    <xf numFmtId="174" fontId="18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71" fontId="20" fillId="0" borderId="0" xfId="0" applyNumberFormat="1" applyFont="1" applyAlignment="1">
      <alignment wrapText="1"/>
    </xf>
    <xf numFmtId="3" fontId="20" fillId="0" borderId="0" xfId="0" applyNumberFormat="1" applyFont="1" applyAlignment="1">
      <alignment wrapText="1"/>
    </xf>
    <xf numFmtId="37" fontId="20" fillId="0" borderId="0" xfId="0" applyNumberFormat="1" applyFont="1" applyAlignment="1">
      <alignment wrapText="1"/>
    </xf>
    <xf numFmtId="0" fontId="21" fillId="2" borderId="0" xfId="3" applyFont="1" applyAlignment="1">
      <alignment wrapText="1"/>
    </xf>
    <xf numFmtId="0" fontId="1" fillId="0" borderId="0" xfId="3" applyFont="1" applyFill="1" applyAlignment="1">
      <alignment wrapText="1"/>
    </xf>
    <xf numFmtId="174" fontId="9" fillId="0" borderId="0" xfId="0" applyNumberFormat="1" applyFont="1"/>
    <xf numFmtId="166" fontId="0" fillId="0" borderId="0" xfId="2" applyNumberFormat="1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12" fillId="2" borderId="0" xfId="3" applyFont="1" applyAlignment="1">
      <alignment horizontal="left" wrapText="1"/>
    </xf>
    <xf numFmtId="0" fontId="13" fillId="3" borderId="0" xfId="4" applyFont="1" applyAlignment="1">
      <alignment horizontal="left" wrapText="1"/>
    </xf>
    <xf numFmtId="0" fontId="12" fillId="2" borderId="0" xfId="3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174" fontId="9" fillId="0" borderId="0" xfId="1" applyNumberFormat="1" applyFont="1"/>
    <xf numFmtId="174" fontId="0" fillId="0" borderId="0" xfId="0" applyNumberFormat="1"/>
    <xf numFmtId="174" fontId="2" fillId="0" borderId="0" xfId="1" applyNumberFormat="1" applyFont="1"/>
    <xf numFmtId="174" fontId="2" fillId="0" borderId="0" xfId="1" applyNumberFormat="1" applyFont="1" applyAlignment="1">
      <alignment horizontal="right"/>
    </xf>
    <xf numFmtId="169" fontId="0" fillId="0" borderId="0" xfId="2" applyNumberFormat="1" applyFont="1"/>
    <xf numFmtId="0" fontId="0" fillId="4" borderId="0" xfId="0" applyFill="1"/>
    <xf numFmtId="0" fontId="3" fillId="4" borderId="0" xfId="0" applyFont="1" applyFill="1"/>
    <xf numFmtId="166" fontId="0" fillId="4" borderId="0" xfId="0" applyNumberFormat="1" applyFill="1"/>
    <xf numFmtId="167" fontId="0" fillId="4" borderId="0" xfId="0" applyNumberFormat="1" applyFill="1"/>
    <xf numFmtId="9" fontId="9" fillId="4" borderId="0" xfId="1" applyFont="1" applyFill="1"/>
    <xf numFmtId="9" fontId="2" fillId="4" borderId="0" xfId="1" applyFont="1" applyFill="1"/>
    <xf numFmtId="9" fontId="2" fillId="4" borderId="0" xfId="1" applyFont="1" applyFill="1" applyAlignment="1">
      <alignment horizontal="right"/>
    </xf>
    <xf numFmtId="174" fontId="2" fillId="4" borderId="0" xfId="1" applyNumberFormat="1" applyFont="1" applyFill="1"/>
    <xf numFmtId="169" fontId="0" fillId="4" borderId="0" xfId="2" applyNumberFormat="1" applyFont="1" applyFill="1"/>
    <xf numFmtId="169" fontId="0" fillId="4" borderId="0" xfId="0" applyNumberFormat="1" applyFill="1"/>
    <xf numFmtId="174" fontId="9" fillId="4" borderId="0" xfId="0" applyNumberFormat="1" applyFont="1" applyFill="1"/>
    <xf numFmtId="9" fontId="0" fillId="4" borderId="0" xfId="0" applyNumberFormat="1" applyFill="1"/>
    <xf numFmtId="2" fontId="0" fillId="4" borderId="0" xfId="0" applyNumberFormat="1" applyFill="1"/>
    <xf numFmtId="9" fontId="0" fillId="4" borderId="0" xfId="1" applyFont="1" applyFill="1"/>
    <xf numFmtId="174" fontId="0" fillId="4" borderId="0" xfId="0" applyNumberFormat="1" applyFill="1"/>
    <xf numFmtId="166" fontId="0" fillId="4" borderId="0" xfId="2" applyNumberFormat="1" applyFont="1" applyFill="1"/>
    <xf numFmtId="169" fontId="12" fillId="2" borderId="0" xfId="2" applyNumberFormat="1" applyFont="1" applyFill="1"/>
    <xf numFmtId="169" fontId="13" fillId="3" borderId="0" xfId="2" applyNumberFormat="1" applyFont="1" applyFill="1"/>
    <xf numFmtId="169" fontId="3" fillId="0" borderId="0" xfId="2" applyNumberFormat="1" applyFont="1"/>
    <xf numFmtId="169" fontId="3" fillId="4" borderId="0" xfId="2" applyNumberFormat="1" applyFont="1" applyFill="1"/>
    <xf numFmtId="169" fontId="22" fillId="2" borderId="0" xfId="3" applyNumberFormat="1" applyFo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0" borderId="0" xfId="0"/>
    <xf numFmtId="2" fontId="0" fillId="0" borderId="0" xfId="1" applyNumberFormat="1" applyFont="1"/>
  </cellXfs>
  <cellStyles count="5">
    <cellStyle name="Bad" xfId="4" builtinId="27"/>
    <cellStyle name="Currency" xfId="2" builtinId="4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CA67-64FD-B447-B1AE-CA4DB9FCD91E}">
  <dimension ref="A1:AC231"/>
  <sheetViews>
    <sheetView tabSelected="1" topLeftCell="A2" workbookViewId="0">
      <pane xSplit="1" ySplit="3" topLeftCell="B179" activePane="bottomRight" state="frozen"/>
      <selection activeCell="A2" sqref="A2"/>
      <selection pane="topRight" activeCell="B2" sqref="B2"/>
      <selection pane="bottomLeft" activeCell="A5" sqref="A5"/>
      <selection pane="bottomRight" activeCell="I215" sqref="I215"/>
    </sheetView>
  </sheetViews>
  <sheetFormatPr baseColWidth="10" defaultColWidth="29.6640625" defaultRowHeight="16" x14ac:dyDescent="0.2"/>
  <cols>
    <col min="1" max="1" width="35.5" style="47" customWidth="1"/>
    <col min="2" max="9" width="12.5" bestFit="1" customWidth="1"/>
    <col min="11" max="11" width="8.1640625" bestFit="1" customWidth="1"/>
    <col min="12" max="12" width="8" bestFit="1" customWidth="1"/>
    <col min="13" max="13" width="7" bestFit="1" customWidth="1"/>
    <col min="14" max="14" width="8" bestFit="1" customWidth="1"/>
    <col min="16" max="19" width="8" bestFit="1" customWidth="1"/>
    <col min="21" max="24" width="8" bestFit="1" customWidth="1"/>
    <col min="26" max="27" width="8" bestFit="1" customWidth="1"/>
    <col min="28" max="29" width="7.5" bestFit="1" customWidth="1"/>
  </cols>
  <sheetData>
    <row r="1" spans="1:29" ht="17" x14ac:dyDescent="0.2">
      <c r="A1" s="41" t="s">
        <v>0</v>
      </c>
      <c r="H1" s="76"/>
      <c r="I1" s="76"/>
    </row>
    <row r="2" spans="1:29" x14ac:dyDescent="0.2">
      <c r="H2" s="76"/>
      <c r="I2" s="76"/>
    </row>
    <row r="3" spans="1:29" ht="17" x14ac:dyDescent="0.2">
      <c r="A3" s="41" t="s">
        <v>24</v>
      </c>
      <c r="B3" s="1">
        <v>2018</v>
      </c>
      <c r="C3" s="1">
        <f>B3+1</f>
        <v>2019</v>
      </c>
      <c r="D3" s="1">
        <f t="shared" ref="D3:G3" si="0">C3+1</f>
        <v>2020</v>
      </c>
      <c r="E3" s="1">
        <f t="shared" si="0"/>
        <v>2021</v>
      </c>
      <c r="F3" s="1">
        <f>E3+1</f>
        <v>2022</v>
      </c>
      <c r="G3" s="1">
        <f t="shared" si="0"/>
        <v>2023</v>
      </c>
      <c r="H3" s="77" t="s">
        <v>52</v>
      </c>
      <c r="I3" s="77" t="s">
        <v>53</v>
      </c>
      <c r="K3" s="97">
        <f>P3-1</f>
        <v>2021</v>
      </c>
      <c r="L3" s="97"/>
      <c r="M3" s="97"/>
      <c r="N3" s="97"/>
      <c r="P3" s="97">
        <f>U3-1</f>
        <v>2022</v>
      </c>
      <c r="Q3" s="97"/>
      <c r="R3" s="97"/>
      <c r="S3" s="97"/>
      <c r="U3" s="97">
        <v>2023</v>
      </c>
      <c r="V3" s="97"/>
      <c r="W3" s="97"/>
      <c r="X3" s="97"/>
      <c r="Z3" s="97">
        <f>U3+1</f>
        <v>2024</v>
      </c>
      <c r="AA3" s="97"/>
      <c r="AB3" s="97"/>
      <c r="AC3" s="97"/>
    </row>
    <row r="4" spans="1:29" x14ac:dyDescent="0.2">
      <c r="H4" s="76"/>
      <c r="I4" s="76"/>
      <c r="K4" t="s">
        <v>48</v>
      </c>
      <c r="L4" t="s">
        <v>49</v>
      </c>
      <c r="M4" t="s">
        <v>50</v>
      </c>
      <c r="N4" t="s">
        <v>51</v>
      </c>
      <c r="P4" t="s">
        <v>48</v>
      </c>
      <c r="Q4" t="s">
        <v>49</v>
      </c>
      <c r="R4" t="s">
        <v>50</v>
      </c>
      <c r="S4" t="s">
        <v>51</v>
      </c>
      <c r="U4" t="s">
        <v>48</v>
      </c>
      <c r="V4" t="s">
        <v>49</v>
      </c>
      <c r="W4" t="s">
        <v>50</v>
      </c>
      <c r="X4" t="s">
        <v>51</v>
      </c>
      <c r="Z4" t="s">
        <v>48</v>
      </c>
      <c r="AA4" t="s">
        <v>49</v>
      </c>
      <c r="AB4" t="s">
        <v>50</v>
      </c>
      <c r="AC4" t="s">
        <v>51</v>
      </c>
    </row>
    <row r="5" spans="1:29" ht="17" x14ac:dyDescent="0.2">
      <c r="A5" s="56" t="s">
        <v>8</v>
      </c>
      <c r="H5" s="76"/>
      <c r="I5" s="76"/>
    </row>
    <row r="6" spans="1:29" ht="17" x14ac:dyDescent="0.2">
      <c r="A6" s="57" t="s">
        <v>9</v>
      </c>
      <c r="B6" s="10">
        <v>391.5</v>
      </c>
      <c r="C6" s="10">
        <v>428.5</v>
      </c>
      <c r="D6" s="75">
        <v>503.2</v>
      </c>
      <c r="E6" s="75">
        <v>539.9</v>
      </c>
      <c r="F6" s="75">
        <v>556.29999999999995</v>
      </c>
      <c r="G6" s="75">
        <v>604.9</v>
      </c>
      <c r="H6" s="84"/>
      <c r="I6" s="84"/>
      <c r="K6">
        <v>124.486</v>
      </c>
      <c r="L6" s="23">
        <v>126.836</v>
      </c>
      <c r="M6" s="23">
        <v>121.624</v>
      </c>
      <c r="N6" s="23">
        <v>166.93700000000001</v>
      </c>
      <c r="O6" s="23"/>
      <c r="P6" s="23">
        <v>122.285</v>
      </c>
      <c r="Q6" s="23">
        <v>128.09800000000001</v>
      </c>
      <c r="R6" s="23">
        <v>128.87799999999999</v>
      </c>
      <c r="S6" s="23">
        <v>177.00800000000001</v>
      </c>
      <c r="U6" s="23">
        <v>132.864</v>
      </c>
      <c r="V6" s="23">
        <v>139.268</v>
      </c>
      <c r="W6" s="23">
        <v>138.322</v>
      </c>
      <c r="X6" s="23">
        <v>194.44300000000001</v>
      </c>
      <c r="Z6" s="23">
        <v>150.518</v>
      </c>
      <c r="AA6" s="23">
        <v>147.57599999999999</v>
      </c>
    </row>
    <row r="7" spans="1:29" ht="17" x14ac:dyDescent="0.2">
      <c r="A7" s="57" t="s">
        <v>10</v>
      </c>
      <c r="B7" s="10">
        <v>514.79999999999995</v>
      </c>
      <c r="C7" s="10">
        <v>453.6</v>
      </c>
      <c r="D7" s="75">
        <v>485.6</v>
      </c>
      <c r="E7" s="75">
        <v>479</v>
      </c>
      <c r="F7" s="75">
        <v>445.8</v>
      </c>
      <c r="G7" s="75">
        <v>376.2</v>
      </c>
      <c r="H7" s="84"/>
      <c r="I7" s="84"/>
      <c r="K7">
        <v>112.744</v>
      </c>
      <c r="L7" s="23">
        <v>116.589</v>
      </c>
      <c r="M7" s="23">
        <v>108.416</v>
      </c>
      <c r="N7" s="23">
        <v>141.227</v>
      </c>
      <c r="O7" s="23"/>
      <c r="P7" s="23">
        <v>103.895</v>
      </c>
      <c r="Q7" s="23">
        <v>112.502</v>
      </c>
      <c r="R7" s="23">
        <v>112.38800000000001</v>
      </c>
      <c r="S7" s="23">
        <v>117.02500000000001</v>
      </c>
      <c r="U7" s="23">
        <v>84.911000000000001</v>
      </c>
      <c r="V7" s="23">
        <v>87.694000000000003</v>
      </c>
      <c r="W7" s="23">
        <v>86.277000000000001</v>
      </c>
      <c r="X7" s="23">
        <v>117.298</v>
      </c>
      <c r="Z7" s="23">
        <v>92.649000000000001</v>
      </c>
      <c r="AA7" s="23">
        <v>92.263999999999996</v>
      </c>
    </row>
    <row r="8" spans="1:29" ht="17" x14ac:dyDescent="0.2">
      <c r="A8" s="57" t="s">
        <v>11</v>
      </c>
      <c r="B8" s="10">
        <v>358.5</v>
      </c>
      <c r="C8" s="10">
        <v>390.8</v>
      </c>
      <c r="D8" s="75">
        <v>462.2</v>
      </c>
      <c r="E8" s="75">
        <v>479.5</v>
      </c>
      <c r="F8" s="75">
        <v>485.3</v>
      </c>
      <c r="G8" s="75">
        <v>473.2</v>
      </c>
      <c r="H8" s="84"/>
      <c r="I8" s="84"/>
      <c r="K8">
        <v>111.36</v>
      </c>
      <c r="L8" s="23">
        <v>116.34</v>
      </c>
      <c r="M8" s="23">
        <v>108.578</v>
      </c>
      <c r="N8" s="23">
        <v>143.22300000000001</v>
      </c>
      <c r="O8" s="23"/>
      <c r="P8" s="23">
        <v>106.589</v>
      </c>
      <c r="Q8" s="23">
        <v>111.081</v>
      </c>
      <c r="R8" s="23">
        <v>114.193</v>
      </c>
      <c r="S8" s="23">
        <v>153.46700000000001</v>
      </c>
      <c r="U8" s="23">
        <v>112.726</v>
      </c>
      <c r="V8" s="23">
        <v>111.459</v>
      </c>
      <c r="W8" s="23">
        <v>111.53400000000001</v>
      </c>
      <c r="X8" s="23">
        <v>137.476</v>
      </c>
      <c r="Z8" s="23">
        <v>110.3</v>
      </c>
      <c r="AA8" s="23">
        <v>124.956</v>
      </c>
    </row>
    <row r="9" spans="1:29" ht="17" x14ac:dyDescent="0.2">
      <c r="A9" s="57" t="s">
        <v>12</v>
      </c>
      <c r="B9" s="10">
        <v>1943.3</v>
      </c>
      <c r="C9" s="10">
        <v>2104.9</v>
      </c>
      <c r="D9" s="75">
        <v>2416.6999999999998</v>
      </c>
      <c r="E9" s="75">
        <v>2561</v>
      </c>
      <c r="F9" s="75">
        <v>2754.7</v>
      </c>
      <c r="G9" s="75">
        <v>2715</v>
      </c>
      <c r="H9" s="84"/>
      <c r="I9" s="84"/>
      <c r="K9">
        <v>568.33799999999997</v>
      </c>
      <c r="L9" s="23">
        <v>602.96199999999999</v>
      </c>
      <c r="M9" s="23">
        <v>588.81899999999996</v>
      </c>
      <c r="N9" s="23">
        <v>800.85799999999995</v>
      </c>
      <c r="O9" s="23"/>
      <c r="P9" s="23">
        <v>609.54700000000003</v>
      </c>
      <c r="Q9" s="23">
        <v>646.58600000000001</v>
      </c>
      <c r="R9" s="23">
        <v>646.08199999999999</v>
      </c>
      <c r="S9" s="23">
        <v>852.52700000000004</v>
      </c>
      <c r="U9" s="23">
        <v>624.226</v>
      </c>
      <c r="V9" s="23">
        <v>615.71100000000001</v>
      </c>
      <c r="W9" s="23">
        <v>618.08600000000001</v>
      </c>
      <c r="X9" s="23">
        <v>856.98599999999999</v>
      </c>
      <c r="Z9" s="23">
        <v>659.21400000000006</v>
      </c>
      <c r="AA9" s="23">
        <v>659.24400000000003</v>
      </c>
    </row>
    <row r="10" spans="1:29" ht="17" x14ac:dyDescent="0.2">
      <c r="A10" s="57" t="s">
        <v>13</v>
      </c>
      <c r="B10" s="10">
        <v>224.7</v>
      </c>
      <c r="C10" s="10">
        <v>241</v>
      </c>
      <c r="D10" s="75">
        <v>249.8</v>
      </c>
      <c r="E10" s="75">
        <v>298</v>
      </c>
      <c r="F10" s="75">
        <v>295</v>
      </c>
      <c r="G10" s="75">
        <v>310.10000000000002</v>
      </c>
      <c r="H10" s="84"/>
      <c r="I10" s="84"/>
      <c r="K10">
        <v>66.77</v>
      </c>
      <c r="L10" s="23">
        <v>69.745000000000005</v>
      </c>
      <c r="M10" s="23">
        <v>70.552999999999997</v>
      </c>
      <c r="N10" s="23">
        <v>90.968000000000004</v>
      </c>
      <c r="O10" s="23"/>
      <c r="P10" s="23">
        <v>68.832999999999998</v>
      </c>
      <c r="Q10" s="23">
        <v>66.915000000000006</v>
      </c>
      <c r="R10" s="23">
        <v>67.055000000000007</v>
      </c>
      <c r="S10" s="23">
        <v>92.203999999999994</v>
      </c>
      <c r="U10" s="23">
        <v>69.671000000000006</v>
      </c>
      <c r="V10" s="23">
        <v>70.495000000000005</v>
      </c>
      <c r="W10" s="23">
        <v>73.141999999999996</v>
      </c>
      <c r="X10" s="23">
        <v>96.769000000000005</v>
      </c>
      <c r="Z10" s="23">
        <v>71.965999999999994</v>
      </c>
      <c r="AA10" s="23">
        <v>73.695999999999998</v>
      </c>
    </row>
    <row r="11" spans="1:29" ht="20" x14ac:dyDescent="0.35">
      <c r="A11" s="58" t="s">
        <v>25</v>
      </c>
      <c r="B11" s="20">
        <f t="shared" ref="B11:F11" si="1">SUM(B6:B10)</f>
        <v>3432.7999999999997</v>
      </c>
      <c r="C11" s="20">
        <f t="shared" si="1"/>
        <v>3618.8</v>
      </c>
      <c r="D11" s="92">
        <f t="shared" si="1"/>
        <v>4117.5</v>
      </c>
      <c r="E11" s="92">
        <f t="shared" si="1"/>
        <v>4357.3999999999996</v>
      </c>
      <c r="F11" s="92">
        <f t="shared" si="1"/>
        <v>4537.0999999999995</v>
      </c>
      <c r="G11" s="92">
        <f>SUM(G6:G10)</f>
        <v>4479.4000000000005</v>
      </c>
      <c r="H11" s="96">
        <f>G11*1.04</f>
        <v>4658.5760000000009</v>
      </c>
      <c r="I11" s="96">
        <f>H11*1.04</f>
        <v>4844.9190400000016</v>
      </c>
      <c r="K11" s="24">
        <f t="shared" ref="K11:M11" si="2">SUM(K6:K10)</f>
        <v>983.69799999999998</v>
      </c>
      <c r="L11" s="24">
        <f t="shared" si="2"/>
        <v>1032.472</v>
      </c>
      <c r="M11" s="24">
        <f t="shared" si="2"/>
        <v>997.9899999999999</v>
      </c>
      <c r="N11" s="24">
        <f>SUM(N6:N10)</f>
        <v>1343.213</v>
      </c>
      <c r="O11" s="23"/>
      <c r="P11" s="24">
        <f t="shared" ref="P11:R11" si="3">SUM(P6:P10)</f>
        <v>1011.149</v>
      </c>
      <c r="Q11" s="24">
        <f t="shared" si="3"/>
        <v>1065.182</v>
      </c>
      <c r="R11" s="24">
        <f t="shared" si="3"/>
        <v>1068.596</v>
      </c>
      <c r="S11" s="24">
        <f>SUM(S6:S10)</f>
        <v>1392.231</v>
      </c>
      <c r="U11" s="24">
        <f t="shared" ref="U11:W11" si="4">SUM(U6:U10)</f>
        <v>1024.3979999999999</v>
      </c>
      <c r="V11" s="24">
        <f t="shared" si="4"/>
        <v>1024.627</v>
      </c>
      <c r="W11" s="24">
        <f t="shared" si="4"/>
        <v>1027.3610000000001</v>
      </c>
      <c r="X11" s="24">
        <f>SUM(X6:X10)</f>
        <v>1402.972</v>
      </c>
      <c r="Z11" s="24">
        <f t="shared" ref="Z11:AB11" si="5">SUM(Z6:Z10)</f>
        <v>1084.6469999999999</v>
      </c>
      <c r="AA11" s="24">
        <f t="shared" si="5"/>
        <v>1097.7359999999999</v>
      </c>
      <c r="AB11" s="20">
        <f t="shared" si="5"/>
        <v>0</v>
      </c>
      <c r="AC11" s="20">
        <f>SUM(AC6:AC10)</f>
        <v>0</v>
      </c>
    </row>
    <row r="12" spans="1:29" ht="17" x14ac:dyDescent="0.2">
      <c r="A12" s="56" t="s">
        <v>26</v>
      </c>
      <c r="D12" s="75"/>
      <c r="E12" s="75"/>
      <c r="F12" s="75"/>
      <c r="G12" s="75"/>
      <c r="H12" s="84"/>
      <c r="I12" s="84"/>
      <c r="L12" s="23"/>
      <c r="M12" s="23"/>
      <c r="N12" s="23"/>
      <c r="O12" s="23"/>
      <c r="P12" s="23"/>
      <c r="Q12" s="23"/>
      <c r="R12" s="23"/>
      <c r="S12" s="23"/>
      <c r="U12" s="23"/>
      <c r="V12" s="23"/>
      <c r="W12" s="23"/>
      <c r="X12" s="23"/>
      <c r="Z12" s="23"/>
      <c r="AA12" s="23"/>
    </row>
    <row r="13" spans="1:29" ht="17" x14ac:dyDescent="0.2">
      <c r="A13" s="57" t="s">
        <v>10</v>
      </c>
      <c r="B13" s="10">
        <v>398.2</v>
      </c>
      <c r="C13" s="10">
        <v>346.2</v>
      </c>
      <c r="D13" s="75">
        <v>379.6</v>
      </c>
      <c r="E13" s="75">
        <v>374.1</v>
      </c>
      <c r="F13" s="75">
        <v>378</v>
      </c>
      <c r="G13" s="75">
        <v>314.7</v>
      </c>
      <c r="H13" s="84"/>
      <c r="I13" s="84"/>
      <c r="K13">
        <v>85.742000000000004</v>
      </c>
      <c r="L13" s="23">
        <v>88.019000000000005</v>
      </c>
      <c r="M13" s="23">
        <v>86.932000000000002</v>
      </c>
      <c r="N13" s="23">
        <v>113.411</v>
      </c>
      <c r="O13" s="23"/>
      <c r="P13" s="23">
        <v>87.375</v>
      </c>
      <c r="Q13" s="23">
        <v>94.064999999999998</v>
      </c>
      <c r="R13" s="23">
        <v>98.588999999999999</v>
      </c>
      <c r="S13" s="23">
        <v>97.989000000000004</v>
      </c>
      <c r="U13" s="23">
        <v>70.572000000000003</v>
      </c>
      <c r="V13" s="23">
        <v>71.423000000000002</v>
      </c>
      <c r="W13" s="23">
        <v>72.614000000000004</v>
      </c>
      <c r="X13" s="23">
        <v>100.06399999999999</v>
      </c>
      <c r="Z13" s="23">
        <v>76.457999999999998</v>
      </c>
      <c r="AA13" s="23">
        <v>76.058999999999997</v>
      </c>
    </row>
    <row r="14" spans="1:29" ht="17" x14ac:dyDescent="0.2">
      <c r="A14" s="57" t="s">
        <v>12</v>
      </c>
      <c r="B14" s="10">
        <v>1732</v>
      </c>
      <c r="C14" s="10">
        <v>1870.1</v>
      </c>
      <c r="D14" s="75">
        <v>2143.3000000000002</v>
      </c>
      <c r="E14" s="75">
        <v>2295</v>
      </c>
      <c r="F14" s="75">
        <v>2510.5</v>
      </c>
      <c r="G14" s="75">
        <v>2437.3000000000002</v>
      </c>
      <c r="H14" s="84"/>
      <c r="I14" s="84"/>
      <c r="K14">
        <v>508.80500000000001</v>
      </c>
      <c r="L14" s="23">
        <v>536.76300000000003</v>
      </c>
      <c r="M14" s="23">
        <v>525.85799999999995</v>
      </c>
      <c r="N14" s="23">
        <v>723.601</v>
      </c>
      <c r="O14" s="23"/>
      <c r="P14" s="23">
        <v>555.15</v>
      </c>
      <c r="Q14" s="23">
        <v>584.85199999999998</v>
      </c>
      <c r="R14" s="23">
        <v>588.15700000000004</v>
      </c>
      <c r="S14" s="23">
        <v>782.375</v>
      </c>
      <c r="U14" s="23">
        <v>568.279</v>
      </c>
      <c r="V14" s="23">
        <v>548.548</v>
      </c>
      <c r="W14" s="23">
        <v>556.57799999999997</v>
      </c>
      <c r="X14" s="23">
        <v>763.86300000000006</v>
      </c>
      <c r="Z14" s="23">
        <v>586.31899999999996</v>
      </c>
      <c r="AA14" s="23">
        <v>584.64599999999996</v>
      </c>
    </row>
    <row r="15" spans="1:29" ht="17" x14ac:dyDescent="0.2">
      <c r="A15" s="59" t="s">
        <v>27</v>
      </c>
      <c r="B15" s="21">
        <f t="shared" ref="B15:F15" si="6">SUM(B13:B14)</f>
        <v>2130.1999999999998</v>
      </c>
      <c r="C15" s="21">
        <f t="shared" si="6"/>
        <v>2216.2999999999997</v>
      </c>
      <c r="D15" s="93">
        <f t="shared" si="6"/>
        <v>2522.9</v>
      </c>
      <c r="E15" s="93">
        <f t="shared" si="6"/>
        <v>2669.1</v>
      </c>
      <c r="F15" s="93">
        <f t="shared" si="6"/>
        <v>2888.5</v>
      </c>
      <c r="G15" s="93">
        <f>SUM(G13:G14)</f>
        <v>2752</v>
      </c>
      <c r="H15" s="25">
        <f>G15*1.04</f>
        <v>2862.08</v>
      </c>
      <c r="I15" s="25">
        <f>H15*1.04</f>
        <v>2976.5632000000001</v>
      </c>
      <c r="K15" s="25">
        <f t="shared" ref="K15:M15" si="7">SUM(K13:K14)</f>
        <v>594.54700000000003</v>
      </c>
      <c r="L15" s="25">
        <f t="shared" si="7"/>
        <v>624.78200000000004</v>
      </c>
      <c r="M15" s="25">
        <f t="shared" si="7"/>
        <v>612.79</v>
      </c>
      <c r="N15" s="25">
        <f>SUM(N13:N14)</f>
        <v>837.01199999999994</v>
      </c>
      <c r="O15" s="23"/>
      <c r="P15" s="25">
        <f t="shared" ref="P15:R15" si="8">SUM(P13:P14)</f>
        <v>642.52499999999998</v>
      </c>
      <c r="Q15" s="25">
        <f t="shared" si="8"/>
        <v>678.91699999999992</v>
      </c>
      <c r="R15" s="25">
        <f t="shared" si="8"/>
        <v>686.74600000000009</v>
      </c>
      <c r="S15" s="25">
        <f>SUM(S13:S14)</f>
        <v>880.36400000000003</v>
      </c>
      <c r="U15" s="25">
        <f t="shared" ref="U15:W15" si="9">SUM(U13:U14)</f>
        <v>638.851</v>
      </c>
      <c r="V15" s="25">
        <f t="shared" si="9"/>
        <v>619.971</v>
      </c>
      <c r="W15" s="25">
        <f t="shared" si="9"/>
        <v>629.19200000000001</v>
      </c>
      <c r="X15" s="25">
        <f>SUM(X13:X14)</f>
        <v>863.92700000000002</v>
      </c>
      <c r="Z15" s="25">
        <f t="shared" ref="Z15:AB15" si="10">SUM(Z13:Z14)</f>
        <v>662.77699999999993</v>
      </c>
      <c r="AA15" s="25">
        <f t="shared" si="10"/>
        <v>660.70499999999993</v>
      </c>
      <c r="AB15" s="21">
        <f t="shared" si="10"/>
        <v>0</v>
      </c>
      <c r="AC15" s="21">
        <f>SUM(AC13:AC14)</f>
        <v>0</v>
      </c>
    </row>
    <row r="16" spans="1:29" ht="17" x14ac:dyDescent="0.2">
      <c r="A16" s="60" t="s">
        <v>28</v>
      </c>
      <c r="B16" s="20">
        <f t="shared" ref="B16:F16" si="11">B11-B15</f>
        <v>1302.5999999999999</v>
      </c>
      <c r="C16" s="20">
        <f t="shared" si="11"/>
        <v>1402.5000000000005</v>
      </c>
      <c r="D16" s="92">
        <f t="shared" si="11"/>
        <v>1594.6</v>
      </c>
      <c r="E16" s="92">
        <f t="shared" si="11"/>
        <v>1688.2999999999997</v>
      </c>
      <c r="F16" s="92">
        <f t="shared" si="11"/>
        <v>1648.5999999999995</v>
      </c>
      <c r="G16" s="92">
        <f>G11-G15</f>
        <v>1727.4000000000005</v>
      </c>
      <c r="H16" s="92">
        <f>H11-H15</f>
        <v>1796.496000000001</v>
      </c>
      <c r="I16" s="92">
        <f t="shared" ref="I16" si="12">I11-I15</f>
        <v>1868.3558400000015</v>
      </c>
      <c r="K16" s="24">
        <f t="shared" ref="K16:M16" si="13">K11-K15</f>
        <v>389.15099999999995</v>
      </c>
      <c r="L16" s="24">
        <f t="shared" si="13"/>
        <v>407.68999999999994</v>
      </c>
      <c r="M16" s="24">
        <f t="shared" si="13"/>
        <v>385.19999999999993</v>
      </c>
      <c r="N16" s="24">
        <f>N11-N15</f>
        <v>506.20100000000002</v>
      </c>
      <c r="O16" s="23"/>
      <c r="P16" s="24">
        <f t="shared" ref="P16:R16" si="14">P11-P15</f>
        <v>368.62400000000002</v>
      </c>
      <c r="Q16" s="24">
        <f t="shared" si="14"/>
        <v>386.2650000000001</v>
      </c>
      <c r="R16" s="24">
        <f t="shared" si="14"/>
        <v>381.84999999999991</v>
      </c>
      <c r="S16" s="24">
        <f>S11-S15</f>
        <v>511.86699999999996</v>
      </c>
      <c r="U16" s="24">
        <f t="shared" ref="U16:W16" si="15">U11-U15</f>
        <v>385.54699999999991</v>
      </c>
      <c r="V16" s="24">
        <f t="shared" si="15"/>
        <v>404.65599999999995</v>
      </c>
      <c r="W16" s="24">
        <f t="shared" si="15"/>
        <v>398.1690000000001</v>
      </c>
      <c r="X16" s="24">
        <f>X11-X15</f>
        <v>539.04499999999996</v>
      </c>
      <c r="Z16" s="24">
        <f t="shared" ref="Z16:AB16" si="16">Z11-Z15</f>
        <v>421.87</v>
      </c>
      <c r="AA16" s="24">
        <f t="shared" si="16"/>
        <v>437.03099999999995</v>
      </c>
      <c r="AB16" s="20">
        <f t="shared" si="16"/>
        <v>0</v>
      </c>
      <c r="AC16" s="20">
        <f>AC11-AC15</f>
        <v>0</v>
      </c>
    </row>
    <row r="17" spans="1:29" ht="17" x14ac:dyDescent="0.2">
      <c r="A17" s="57" t="s">
        <v>29</v>
      </c>
      <c r="B17">
        <v>372.5</v>
      </c>
      <c r="C17">
        <v>382.3</v>
      </c>
      <c r="D17" s="75">
        <v>406.6</v>
      </c>
      <c r="E17" s="75">
        <v>428.3</v>
      </c>
      <c r="F17" s="75">
        <v>416.5</v>
      </c>
      <c r="G17" s="75">
        <v>434.6</v>
      </c>
      <c r="H17" s="84">
        <f>H$11*H71</f>
        <v>429.38480000000004</v>
      </c>
      <c r="I17" s="84">
        <f>I$11*I71</f>
        <v>424.23218240000011</v>
      </c>
      <c r="K17">
        <v>91.253</v>
      </c>
      <c r="L17" s="23">
        <v>100.44799999999999</v>
      </c>
      <c r="M17" s="23">
        <v>96.341999999999999</v>
      </c>
      <c r="N17" s="23">
        <v>140.29</v>
      </c>
      <c r="O17" s="23"/>
      <c r="P17" s="23">
        <v>97.494</v>
      </c>
      <c r="Q17" s="23">
        <v>97.07</v>
      </c>
      <c r="R17" s="23">
        <v>91.204999999999998</v>
      </c>
      <c r="S17" s="23">
        <v>130.755</v>
      </c>
      <c r="U17" s="23">
        <v>95.188999999999993</v>
      </c>
      <c r="V17" s="23">
        <v>97.793999999999997</v>
      </c>
      <c r="W17" s="23">
        <v>97.203000000000003</v>
      </c>
      <c r="X17" s="23">
        <v>144.36799999999999</v>
      </c>
      <c r="Z17" s="23">
        <v>101.024</v>
      </c>
      <c r="AA17" s="23">
        <v>115.947</v>
      </c>
    </row>
    <row r="18" spans="1:29" ht="17" x14ac:dyDescent="0.2">
      <c r="A18" s="57" t="s">
        <v>31</v>
      </c>
      <c r="B18">
        <v>358.5</v>
      </c>
      <c r="C18">
        <v>390.8</v>
      </c>
      <c r="D18" s="75">
        <v>462.2</v>
      </c>
      <c r="E18" s="75">
        <v>479.5</v>
      </c>
      <c r="F18" s="75">
        <v>485.3</v>
      </c>
      <c r="G18" s="75">
        <v>473.2</v>
      </c>
      <c r="H18" s="84">
        <f t="shared" ref="H18:I19" si="17">H$11*H72</f>
        <v>467.52159999999998</v>
      </c>
      <c r="I18" s="84">
        <f t="shared" si="17"/>
        <v>461.9113408</v>
      </c>
      <c r="K18">
        <v>111.36</v>
      </c>
      <c r="L18" s="23">
        <v>116.34</v>
      </c>
      <c r="M18" s="23">
        <v>108.578</v>
      </c>
      <c r="N18" s="23">
        <v>143.22300000000001</v>
      </c>
      <c r="O18" s="23"/>
      <c r="P18" s="23">
        <v>106.589</v>
      </c>
      <c r="Q18" s="23">
        <v>111.081</v>
      </c>
      <c r="R18" s="23">
        <v>114.193</v>
      </c>
      <c r="S18" s="23">
        <v>153.46700000000001</v>
      </c>
      <c r="U18" s="23">
        <v>112.726</v>
      </c>
      <c r="V18" s="23">
        <v>111.459</v>
      </c>
      <c r="W18" s="23">
        <v>111.53400000000001</v>
      </c>
      <c r="X18" s="23">
        <v>137.476</v>
      </c>
      <c r="Z18" s="23">
        <v>110.3</v>
      </c>
      <c r="AA18" s="23">
        <v>124.956</v>
      </c>
    </row>
    <row r="19" spans="1:29" ht="17" x14ac:dyDescent="0.2">
      <c r="A19" s="57" t="s">
        <v>30</v>
      </c>
      <c r="D19" s="75"/>
      <c r="E19" s="75"/>
      <c r="F19" s="75">
        <v>-21.2</v>
      </c>
      <c r="G19" s="75">
        <v>0.1</v>
      </c>
      <c r="H19" s="84">
        <f t="shared" si="17"/>
        <v>9.8799999999999999E-2</v>
      </c>
      <c r="I19" s="84">
        <f t="shared" si="17"/>
        <v>9.7614400000000018E-2</v>
      </c>
      <c r="L19" s="23"/>
      <c r="M19" s="23"/>
      <c r="N19" s="23"/>
      <c r="O19" s="23"/>
      <c r="P19" s="23"/>
      <c r="Q19" s="23"/>
      <c r="R19" s="23"/>
      <c r="S19" s="23">
        <v>-21.172999999999998</v>
      </c>
      <c r="U19" s="23">
        <v>0.14899999999999999</v>
      </c>
      <c r="V19" s="23"/>
      <c r="W19" s="23"/>
      <c r="X19" s="23"/>
      <c r="Z19" s="23">
        <v>0.13300000000000001</v>
      </c>
      <c r="AA19" s="23">
        <v>2.5000000000000001E-2</v>
      </c>
    </row>
    <row r="20" spans="1:29" ht="17" x14ac:dyDescent="0.2">
      <c r="A20" s="60" t="s">
        <v>32</v>
      </c>
      <c r="B20" s="20">
        <f>B16-SUM(B17:B19)</f>
        <v>571.59999999999991</v>
      </c>
      <c r="C20" s="20">
        <f t="shared" ref="C20:F20" si="18">C16-SUM(C17:C19)</f>
        <v>629.40000000000043</v>
      </c>
      <c r="D20" s="92">
        <f t="shared" si="18"/>
        <v>725.8</v>
      </c>
      <c r="E20" s="92">
        <f t="shared" si="18"/>
        <v>780.49999999999977</v>
      </c>
      <c r="F20" s="92">
        <f t="shared" si="18"/>
        <v>767.99999999999955</v>
      </c>
      <c r="G20" s="92">
        <f>G16-SUM(G17:G19)</f>
        <v>819.50000000000057</v>
      </c>
      <c r="H20" s="92">
        <f>H16-SUM(H17:H19)</f>
        <v>899.49080000000095</v>
      </c>
      <c r="I20" s="92">
        <f t="shared" ref="I20" si="19">I16-SUM(I17:I19)</f>
        <v>982.11470240000142</v>
      </c>
      <c r="K20" s="24">
        <f t="shared" ref="K20:M20" si="20">K16-SUM(K17:K19)</f>
        <v>186.53799999999995</v>
      </c>
      <c r="L20" s="24">
        <f t="shared" si="20"/>
        <v>190.90199999999993</v>
      </c>
      <c r="M20" s="24">
        <f t="shared" si="20"/>
        <v>180.27999999999992</v>
      </c>
      <c r="N20" s="24">
        <f>N16-SUM(N17:N19)</f>
        <v>222.68799999999999</v>
      </c>
      <c r="O20" s="23"/>
      <c r="P20" s="24">
        <f t="shared" ref="P20:R20" si="21">P16-SUM(P17:P19)</f>
        <v>164.54100000000003</v>
      </c>
      <c r="Q20" s="24">
        <f t="shared" si="21"/>
        <v>178.11400000000009</v>
      </c>
      <c r="R20" s="24">
        <f t="shared" si="21"/>
        <v>176.45199999999991</v>
      </c>
      <c r="S20" s="24">
        <f>S16-SUM(S17:S19)</f>
        <v>248.81799999999998</v>
      </c>
      <c r="U20" s="24">
        <f t="shared" ref="U20:W20" si="22">U16-SUM(U17:U19)</f>
        <v>177.48299999999992</v>
      </c>
      <c r="V20" s="24">
        <f t="shared" si="22"/>
        <v>195.40299999999996</v>
      </c>
      <c r="W20" s="24">
        <f t="shared" si="22"/>
        <v>189.43200000000007</v>
      </c>
      <c r="X20" s="24">
        <f>X16-SUM(X17:X19)</f>
        <v>257.20099999999996</v>
      </c>
      <c r="Z20" s="24">
        <f t="shared" ref="Z20:AB20" si="23">Z16-SUM(Z17:Z19)</f>
        <v>210.41299999999998</v>
      </c>
      <c r="AA20" s="24">
        <f t="shared" si="23"/>
        <v>196.10299999999992</v>
      </c>
      <c r="AB20" s="20">
        <f t="shared" si="23"/>
        <v>0</v>
      </c>
      <c r="AC20" s="20">
        <f>AC16-SUM(AC17:AC19)</f>
        <v>0</v>
      </c>
    </row>
    <row r="21" spans="1:29" ht="17" x14ac:dyDescent="0.2">
      <c r="A21" s="57" t="s">
        <v>35</v>
      </c>
      <c r="D21" s="75"/>
      <c r="E21" s="75">
        <v>36.799999999999997</v>
      </c>
      <c r="F21" s="75"/>
      <c r="G21" s="75">
        <v>17.7</v>
      </c>
      <c r="H21" s="84"/>
      <c r="I21" s="84"/>
      <c r="K21">
        <v>2.5</v>
      </c>
      <c r="L21" s="23"/>
      <c r="M21" s="23"/>
      <c r="N21" s="23">
        <v>34.258000000000003</v>
      </c>
      <c r="O21" s="23"/>
      <c r="P21" s="23"/>
      <c r="Q21" s="23"/>
      <c r="R21" s="23"/>
      <c r="S21" s="23"/>
      <c r="U21" s="23"/>
      <c r="V21" s="23">
        <v>-14.964</v>
      </c>
      <c r="W21" s="23">
        <v>28.231000000000002</v>
      </c>
      <c r="X21" s="23">
        <v>4.4459999999999997</v>
      </c>
      <c r="Z21" s="23">
        <v>-18.699000000000002</v>
      </c>
      <c r="AA21" s="23">
        <v>11.398</v>
      </c>
    </row>
    <row r="22" spans="1:29" ht="17" x14ac:dyDescent="0.2">
      <c r="A22" s="57" t="s">
        <v>34</v>
      </c>
      <c r="B22">
        <v>-143</v>
      </c>
      <c r="C22">
        <v>-146.80000000000001</v>
      </c>
      <c r="D22" s="75">
        <v>-170.5</v>
      </c>
      <c r="E22" s="75">
        <v>-191.5</v>
      </c>
      <c r="F22" s="75">
        <v>-195.1</v>
      </c>
      <c r="G22" s="75">
        <v>-184.8</v>
      </c>
      <c r="H22" s="75">
        <v>-184.8</v>
      </c>
      <c r="I22" s="75">
        <v>-184.8</v>
      </c>
      <c r="K22">
        <f>0.022-39.422</f>
        <v>-39.4</v>
      </c>
      <c r="L22" s="23">
        <f>0.068-45.877</f>
        <v>-45.809000000000005</v>
      </c>
      <c r="M22" s="23">
        <f>0.048-45.523</f>
        <v>-45.475000000000001</v>
      </c>
      <c r="N22" s="23">
        <v>-60.777000000000001</v>
      </c>
      <c r="O22" s="23"/>
      <c r="P22" s="23">
        <f>0.049-46.872</f>
        <v>-46.823</v>
      </c>
      <c r="Q22" s="23">
        <f>0.219-44.851</f>
        <v>-44.631999999999998</v>
      </c>
      <c r="R22" s="23">
        <f>0.833-45.437</f>
        <v>-44.603999999999999</v>
      </c>
      <c r="S22" s="23">
        <v>-59.033000000000001</v>
      </c>
      <c r="U22" s="23">
        <f>2.391-46.547</f>
        <v>-44.155999999999999</v>
      </c>
      <c r="V22" s="23">
        <f>2.537-44.932</f>
        <v>-42.395000000000003</v>
      </c>
      <c r="W22" s="23">
        <f>2.707-44.796</f>
        <v>-42.088999999999999</v>
      </c>
      <c r="X22" s="23">
        <v>-56.152000000000001</v>
      </c>
      <c r="Z22" s="23">
        <f>3.739-45.846</f>
        <v>-42.106999999999999</v>
      </c>
      <c r="AA22" s="23">
        <f>4.219-44.721</f>
        <v>-40.501999999999995</v>
      </c>
    </row>
    <row r="23" spans="1:29" ht="17" x14ac:dyDescent="0.2">
      <c r="A23" s="41" t="s">
        <v>33</v>
      </c>
      <c r="B23" s="14">
        <f t="shared" ref="B23:F23" si="24">B20+B21+B22</f>
        <v>428.59999999999991</v>
      </c>
      <c r="C23" s="14">
        <f t="shared" si="24"/>
        <v>482.60000000000042</v>
      </c>
      <c r="D23" s="94">
        <f t="shared" si="24"/>
        <v>555.29999999999995</v>
      </c>
      <c r="E23" s="94">
        <f t="shared" si="24"/>
        <v>625.79999999999973</v>
      </c>
      <c r="F23" s="94">
        <f t="shared" si="24"/>
        <v>572.89999999999952</v>
      </c>
      <c r="G23" s="94">
        <f>G20+G21+G22</f>
        <v>652.40000000000055</v>
      </c>
      <c r="H23" s="95">
        <f t="shared" ref="H23:I23" si="25">H20+H21+H22</f>
        <v>714.69080000000099</v>
      </c>
      <c r="I23" s="95">
        <f t="shared" si="25"/>
        <v>797.31470240000135</v>
      </c>
      <c r="K23" s="26">
        <f t="shared" ref="K23:M23" si="26">K20+K21+K22</f>
        <v>149.63799999999995</v>
      </c>
      <c r="L23" s="26">
        <f t="shared" si="26"/>
        <v>145.09299999999993</v>
      </c>
      <c r="M23" s="26">
        <f t="shared" si="26"/>
        <v>134.80499999999992</v>
      </c>
      <c r="N23" s="26">
        <f>N20+N21+N22</f>
        <v>196.16899999999998</v>
      </c>
      <c r="O23" s="23"/>
      <c r="P23" s="26">
        <f t="shared" ref="P23:R23" si="27">P20+P21+P22</f>
        <v>117.71800000000002</v>
      </c>
      <c r="Q23" s="26">
        <f t="shared" si="27"/>
        <v>133.48200000000008</v>
      </c>
      <c r="R23" s="26">
        <f t="shared" si="27"/>
        <v>131.8479999999999</v>
      </c>
      <c r="S23" s="26">
        <f>S20+S21+S22</f>
        <v>189.78499999999997</v>
      </c>
      <c r="U23" s="26">
        <f t="shared" ref="U23:W23" si="28">U20+U21+U22</f>
        <v>133.32699999999991</v>
      </c>
      <c r="V23" s="26">
        <f t="shared" si="28"/>
        <v>138.04399999999995</v>
      </c>
      <c r="W23" s="26">
        <f t="shared" si="28"/>
        <v>175.57400000000007</v>
      </c>
      <c r="X23" s="26">
        <f>X20+X21+X22</f>
        <v>205.495</v>
      </c>
      <c r="Z23" s="26">
        <f t="shared" ref="Z23:AB23" si="29">Z20+Z21+Z22</f>
        <v>149.60699999999997</v>
      </c>
      <c r="AA23" s="26">
        <f t="shared" si="29"/>
        <v>166.99899999999991</v>
      </c>
      <c r="AB23" s="14">
        <f t="shared" si="29"/>
        <v>0</v>
      </c>
      <c r="AC23" s="14">
        <f>AC20+AC21+AC22</f>
        <v>0</v>
      </c>
    </row>
    <row r="24" spans="1:29" ht="17" x14ac:dyDescent="0.2">
      <c r="A24" s="57" t="s">
        <v>36</v>
      </c>
      <c r="B24">
        <v>66.7</v>
      </c>
      <c r="C24">
        <v>81.900000000000006</v>
      </c>
      <c r="D24" s="75">
        <v>63.8</v>
      </c>
      <c r="E24" s="75">
        <v>115.2</v>
      </c>
      <c r="F24" s="75">
        <v>120.6</v>
      </c>
      <c r="G24" s="75">
        <v>133.30000000000001</v>
      </c>
      <c r="H24" s="84">
        <f>H23*0.27</f>
        <v>192.96651600000027</v>
      </c>
      <c r="I24" s="84">
        <f>I23*0.27</f>
        <v>215.27496964800036</v>
      </c>
      <c r="K24">
        <v>31.876999999999999</v>
      </c>
      <c r="L24" s="23">
        <v>28.474</v>
      </c>
      <c r="M24" s="23">
        <v>14.403</v>
      </c>
      <c r="N24" s="23">
        <v>40.484000000000002</v>
      </c>
      <c r="O24" s="23"/>
      <c r="P24" s="23">
        <v>26.754000000000001</v>
      </c>
      <c r="Q24" s="23">
        <v>30.989000000000001</v>
      </c>
      <c r="R24" s="23">
        <v>31.344000000000001</v>
      </c>
      <c r="S24" s="23">
        <v>31.483000000000001</v>
      </c>
      <c r="U24" s="23">
        <v>28.556999999999999</v>
      </c>
      <c r="V24" s="23">
        <v>28.664000000000001</v>
      </c>
      <c r="W24" s="23">
        <v>27.898</v>
      </c>
      <c r="X24" s="23">
        <v>48.203000000000003</v>
      </c>
      <c r="Z24" s="23">
        <v>23.783000000000001</v>
      </c>
      <c r="AA24" s="23">
        <v>25.021000000000001</v>
      </c>
    </row>
    <row r="25" spans="1:29" ht="17" x14ac:dyDescent="0.2">
      <c r="A25" s="58" t="s">
        <v>37</v>
      </c>
      <c r="B25" s="20">
        <f t="shared" ref="B25:F25" si="30">B23-B24</f>
        <v>361.89999999999992</v>
      </c>
      <c r="C25" s="20">
        <f t="shared" si="30"/>
        <v>400.70000000000039</v>
      </c>
      <c r="D25" s="92">
        <f t="shared" si="30"/>
        <v>491.49999999999994</v>
      </c>
      <c r="E25" s="92">
        <f t="shared" si="30"/>
        <v>510.59999999999974</v>
      </c>
      <c r="F25" s="92">
        <f t="shared" si="30"/>
        <v>452.2999999999995</v>
      </c>
      <c r="G25" s="92">
        <f>G23-G24</f>
        <v>519.10000000000059</v>
      </c>
      <c r="H25" s="92">
        <f t="shared" ref="H25:I25" si="31">H23-H24</f>
        <v>521.72428400000069</v>
      </c>
      <c r="I25" s="92">
        <f t="shared" si="31"/>
        <v>582.03973275200099</v>
      </c>
      <c r="K25" s="24">
        <f t="shared" ref="K25:M25" si="32">K23-K24</f>
        <v>117.76099999999995</v>
      </c>
      <c r="L25" s="24">
        <f t="shared" si="32"/>
        <v>116.61899999999993</v>
      </c>
      <c r="M25" s="24">
        <f t="shared" si="32"/>
        <v>120.40199999999992</v>
      </c>
      <c r="N25" s="24">
        <f>N23-N24</f>
        <v>155.68499999999997</v>
      </c>
      <c r="O25" s="23"/>
      <c r="P25" s="24">
        <f t="shared" ref="P25:R25" si="33">P23-P24</f>
        <v>90.964000000000013</v>
      </c>
      <c r="Q25" s="24">
        <f t="shared" si="33"/>
        <v>102.49300000000008</v>
      </c>
      <c r="R25" s="24">
        <f t="shared" si="33"/>
        <v>100.50399999999991</v>
      </c>
      <c r="S25" s="24">
        <f>S23-S24</f>
        <v>158.30199999999996</v>
      </c>
      <c r="U25" s="24">
        <f t="shared" ref="U25:W25" si="34">U23-U24</f>
        <v>104.76999999999991</v>
      </c>
      <c r="V25" s="24">
        <f t="shared" si="34"/>
        <v>109.37999999999995</v>
      </c>
      <c r="W25" s="24">
        <f t="shared" si="34"/>
        <v>147.67600000000007</v>
      </c>
      <c r="X25" s="24">
        <f>X23-X24</f>
        <v>157.292</v>
      </c>
      <c r="Z25" s="20">
        <f t="shared" ref="Z25:AB25" si="35">Z23-Z24</f>
        <v>125.82399999999997</v>
      </c>
      <c r="AA25" s="24">
        <f t="shared" si="35"/>
        <v>141.97799999999989</v>
      </c>
      <c r="AB25" s="20">
        <f t="shared" si="35"/>
        <v>0</v>
      </c>
      <c r="AC25" s="20">
        <f>AC23-AC24</f>
        <v>0</v>
      </c>
    </row>
    <row r="26" spans="1:29" x14ac:dyDescent="0.2">
      <c r="D26" s="75"/>
      <c r="E26" s="75"/>
      <c r="F26" s="75"/>
      <c r="G26" s="75"/>
      <c r="H26" s="84"/>
      <c r="I26" s="84"/>
      <c r="K26" s="23"/>
      <c r="L26" s="23"/>
      <c r="M26" s="23"/>
      <c r="N26" s="23"/>
      <c r="P26" s="23"/>
      <c r="Q26" s="23"/>
      <c r="R26" s="23"/>
      <c r="S26" s="23"/>
      <c r="U26" s="23"/>
      <c r="V26" s="23"/>
      <c r="W26" s="23"/>
      <c r="X26" s="23"/>
    </row>
    <row r="27" spans="1:29" ht="17" x14ac:dyDescent="0.2">
      <c r="A27" s="47" t="s">
        <v>38</v>
      </c>
      <c r="B27" s="15">
        <f t="shared" ref="B27:F27" si="36">B25/B28</f>
        <v>8.3519346002211137</v>
      </c>
      <c r="C27" s="15">
        <f t="shared" si="36"/>
        <v>9.5579850536680837</v>
      </c>
      <c r="D27" s="55">
        <f t="shared" si="36"/>
        <v>12.398844412564824</v>
      </c>
      <c r="E27" s="55">
        <f t="shared" si="36"/>
        <v>13.546874454035882</v>
      </c>
      <c r="F27" s="55">
        <f t="shared" si="36"/>
        <v>12.531254022510364</v>
      </c>
      <c r="G27" s="55">
        <f>G25/G28</f>
        <v>14.663297940389967</v>
      </c>
      <c r="H27" s="91">
        <f t="shared" ref="H27:I27" si="37">H25/H28</f>
        <v>14.737427507279198</v>
      </c>
      <c r="I27" s="91">
        <f t="shared" si="37"/>
        <v>16.44119054996635</v>
      </c>
      <c r="K27" s="15">
        <f t="shared" ref="K27:M27" si="38">K25/K28</f>
        <v>3.0034648457703539</v>
      </c>
      <c r="L27" s="15">
        <f t="shared" si="38"/>
        <v>3.0590584068233673</v>
      </c>
      <c r="M27" s="15">
        <f t="shared" si="38"/>
        <v>3.2426965331652164</v>
      </c>
      <c r="N27" s="15">
        <f>N25/N28</f>
        <v>4.2457659948465007</v>
      </c>
      <c r="P27" s="15">
        <f t="shared" ref="P27:R27" si="39">P25/P28</f>
        <v>2.4966077982408037</v>
      </c>
      <c r="Q27" s="15">
        <f t="shared" si="39"/>
        <v>2.8237882359119109</v>
      </c>
      <c r="R27" s="15">
        <f t="shared" si="39"/>
        <v>2.7869535611634011</v>
      </c>
      <c r="S27" s="15">
        <f>S25/S28</f>
        <v>4.4323167188794255</v>
      </c>
      <c r="T27" s="15"/>
      <c r="U27" s="15">
        <f t="shared" ref="U27:W27" si="40">U25/U28</f>
        <v>2.9339993253229739</v>
      </c>
      <c r="V27" s="15">
        <f t="shared" si="40"/>
        <v>3.0817845262353587</v>
      </c>
      <c r="W27" s="15">
        <f t="shared" si="40"/>
        <v>4.1767067455273361</v>
      </c>
      <c r="X27" s="15">
        <f>X25/X28</f>
        <v>4.4759998086576385</v>
      </c>
      <c r="Z27" s="15">
        <f t="shared" ref="Z27:AB27" si="41">Z25/Z28</f>
        <v>3.5791992269949167</v>
      </c>
      <c r="AA27" s="15">
        <f t="shared" si="41"/>
        <v>4.0307085380228491</v>
      </c>
      <c r="AB27" s="15" t="e">
        <f t="shared" si="41"/>
        <v>#DIV/0!</v>
      </c>
      <c r="AC27" s="15" t="e">
        <f>AC25/AC28</f>
        <v>#DIV/0!</v>
      </c>
    </row>
    <row r="28" spans="1:29" ht="17" x14ac:dyDescent="0.2">
      <c r="A28" s="47" t="s">
        <v>39</v>
      </c>
      <c r="B28" s="16">
        <v>43.331277999999998</v>
      </c>
      <c r="C28" s="16">
        <v>41.923062000000002</v>
      </c>
      <c r="D28" s="16">
        <v>39.640791</v>
      </c>
      <c r="E28" s="16">
        <v>37.691350999999997</v>
      </c>
      <c r="F28" s="16">
        <v>36.093753999999997</v>
      </c>
      <c r="G28" s="16">
        <v>35.401313000000002</v>
      </c>
      <c r="H28" s="79">
        <v>35.401313000000002</v>
      </c>
      <c r="I28" s="79">
        <v>35.401313000000002</v>
      </c>
      <c r="K28" s="16">
        <v>39.208382999999998</v>
      </c>
      <c r="L28" s="16">
        <v>38.122515</v>
      </c>
      <c r="M28" s="16">
        <v>37.130209000000001</v>
      </c>
      <c r="N28" s="16">
        <v>36.668295000000001</v>
      </c>
      <c r="O28" s="16"/>
      <c r="P28" s="16">
        <v>36.435037999999999</v>
      </c>
      <c r="Q28" s="16">
        <v>36.296277000000003</v>
      </c>
      <c r="R28" s="16">
        <v>36.062316000000003</v>
      </c>
      <c r="S28" s="16">
        <v>35.715407999999996</v>
      </c>
      <c r="T28" s="16"/>
      <c r="U28" s="16">
        <v>35.708938000000003</v>
      </c>
      <c r="V28" s="16">
        <v>35.492423000000002</v>
      </c>
      <c r="W28" s="16">
        <v>35.357042999999997</v>
      </c>
      <c r="X28" s="16">
        <v>35.141199</v>
      </c>
      <c r="Y28" s="16"/>
      <c r="Z28" s="16">
        <v>35.154232</v>
      </c>
      <c r="AA28" s="16">
        <v>35.224080000000001</v>
      </c>
    </row>
    <row r="29" spans="1:29" x14ac:dyDescent="0.2">
      <c r="H29" s="76"/>
      <c r="I29" s="76"/>
    </row>
    <row r="30" spans="1:29" ht="17" x14ac:dyDescent="0.2">
      <c r="A30" s="61" t="s">
        <v>40</v>
      </c>
      <c r="H30" s="76"/>
      <c r="I30" s="76"/>
    </row>
    <row r="31" spans="1:29" ht="17" x14ac:dyDescent="0.2">
      <c r="A31" s="62" t="s">
        <v>8</v>
      </c>
      <c r="H31" s="76"/>
      <c r="I31" s="76"/>
    </row>
    <row r="32" spans="1:29" ht="17" x14ac:dyDescent="0.2">
      <c r="A32" s="63" t="s">
        <v>9</v>
      </c>
      <c r="C32" s="17">
        <f>(C6-B6)/ABS(B6)</f>
        <v>9.4508301404853126E-2</v>
      </c>
      <c r="D32" s="17">
        <f t="shared" ref="D32:G32" si="42">(D6-C6)/ABS(C6)</f>
        <v>0.17432905484247371</v>
      </c>
      <c r="E32" s="71">
        <f t="shared" si="42"/>
        <v>7.2933227344992024E-2</v>
      </c>
      <c r="F32" s="71">
        <f t="shared" si="42"/>
        <v>3.0375995554732318E-2</v>
      </c>
      <c r="G32" s="71">
        <f t="shared" si="42"/>
        <v>8.7362933668883744E-2</v>
      </c>
      <c r="H32" s="80">
        <f t="shared" ref="H32:H37" si="43">(H6-G6)/ABS(G6)</f>
        <v>-1</v>
      </c>
      <c r="I32" s="80" t="e">
        <f t="shared" ref="I32:I37" si="44">(I6-H6)/ABS(H6)</f>
        <v>#DIV/0!</v>
      </c>
      <c r="P32" s="17">
        <f>(P6-K6)/ABS(K6)</f>
        <v>-1.7680703050945549E-2</v>
      </c>
      <c r="Q32" s="17">
        <f t="shared" ref="Q32:S32" si="45">(Q6-L6)/ABS(L6)</f>
        <v>9.9498565076162494E-3</v>
      </c>
      <c r="R32" s="17">
        <f t="shared" si="45"/>
        <v>5.9642833651252967E-2</v>
      </c>
      <c r="S32" s="17">
        <f t="shared" si="45"/>
        <v>6.0328147744358636E-2</v>
      </c>
      <c r="U32" s="17">
        <f>(U6-P6)/ABS(P6)</f>
        <v>8.6511019340066303E-2</v>
      </c>
      <c r="V32" s="17">
        <f t="shared" ref="V32:V37" si="46">(V6-Q6)/ABS(Q6)</f>
        <v>8.7198863370232055E-2</v>
      </c>
      <c r="W32" s="17">
        <f t="shared" ref="W32:W37" si="47">(W6-R6)/ABS(R6)</f>
        <v>7.3278604571765688E-2</v>
      </c>
      <c r="X32" s="17">
        <f t="shared" ref="X32:X37" si="48">(X6-S6)/ABS(S6)</f>
        <v>9.8498372954894706E-2</v>
      </c>
      <c r="Z32" s="17">
        <f>(Z6-U6)/ABS(U6)</f>
        <v>0.13287271194605008</v>
      </c>
      <c r="AA32" s="17">
        <f t="shared" ref="AA32:AA37" si="49">(AA6-V6)/ABS(V6)</f>
        <v>5.9654766349771612E-2</v>
      </c>
      <c r="AB32" s="17">
        <f t="shared" ref="AB32:AB37" si="50">(AB6-W6)/ABS(W6)</f>
        <v>-1</v>
      </c>
      <c r="AC32" s="17">
        <f t="shared" ref="AC32:AC37" si="51">(AC6-X6)/ABS(X6)</f>
        <v>-1</v>
      </c>
    </row>
    <row r="33" spans="1:29" ht="17" x14ac:dyDescent="0.2">
      <c r="A33" s="63" t="s">
        <v>10</v>
      </c>
      <c r="C33" s="17">
        <f t="shared" ref="C33:G33" si="52">(C7-B7)/ABS(B7)</f>
        <v>-0.11888111888111876</v>
      </c>
      <c r="D33" s="17">
        <f t="shared" si="52"/>
        <v>7.0546737213403876E-2</v>
      </c>
      <c r="E33" s="71">
        <f t="shared" si="52"/>
        <v>-1.3591433278418498E-2</v>
      </c>
      <c r="F33" s="71">
        <f t="shared" si="52"/>
        <v>-6.9311064718162813E-2</v>
      </c>
      <c r="G33" s="71">
        <f t="shared" si="52"/>
        <v>-0.15612382234185737</v>
      </c>
      <c r="H33" s="80">
        <f t="shared" si="43"/>
        <v>-1</v>
      </c>
      <c r="I33" s="80" t="e">
        <f t="shared" si="44"/>
        <v>#DIV/0!</v>
      </c>
      <c r="P33" s="17">
        <f t="shared" ref="P33:P54" si="53">(P7-K7)/ABS(K7)</f>
        <v>-7.8487547009153516E-2</v>
      </c>
      <c r="Q33" s="17">
        <f t="shared" ref="Q33:Q54" si="54">(Q7-L7)/ABS(L7)</f>
        <v>-3.5054765029290953E-2</v>
      </c>
      <c r="R33" s="17">
        <f t="shared" ref="R33:R54" si="55">(R7-M7)/ABS(M7)</f>
        <v>3.6636658795749781E-2</v>
      </c>
      <c r="S33" s="17">
        <f t="shared" ref="S33:S54" si="56">(S7-N7)/ABS(N7)</f>
        <v>-0.17136949733407916</v>
      </c>
      <c r="U33" s="17">
        <f t="shared" ref="U33:U37" si="57">(U7-P7)/ABS(P7)</f>
        <v>-0.18272294143125267</v>
      </c>
      <c r="V33" s="17">
        <f t="shared" si="46"/>
        <v>-0.22051163534870485</v>
      </c>
      <c r="W33" s="17">
        <f t="shared" si="47"/>
        <v>-0.23232907427839275</v>
      </c>
      <c r="X33" s="17">
        <f t="shared" si="48"/>
        <v>2.3328348643451924E-3</v>
      </c>
      <c r="Z33" s="17">
        <f t="shared" ref="Z33:Z37" si="58">(Z7-U7)/ABS(U7)</f>
        <v>9.1130713335139141E-2</v>
      </c>
      <c r="AA33" s="17">
        <f t="shared" si="49"/>
        <v>5.2113029397678208E-2</v>
      </c>
      <c r="AB33" s="17">
        <f t="shared" si="50"/>
        <v>-1</v>
      </c>
      <c r="AC33" s="17">
        <f t="shared" si="51"/>
        <v>-1</v>
      </c>
    </row>
    <row r="34" spans="1:29" ht="17" x14ac:dyDescent="0.2">
      <c r="A34" s="63" t="s">
        <v>11</v>
      </c>
      <c r="C34" s="17">
        <f t="shared" ref="C34:G34" si="59">(C8-B8)/ABS(B8)</f>
        <v>9.0097629009762939E-2</v>
      </c>
      <c r="D34" s="17">
        <f t="shared" si="59"/>
        <v>0.18270214943705212</v>
      </c>
      <c r="E34" s="71">
        <f t="shared" si="59"/>
        <v>3.7429684119428847E-2</v>
      </c>
      <c r="F34" s="71">
        <f t="shared" si="59"/>
        <v>1.20959332638165E-2</v>
      </c>
      <c r="G34" s="71">
        <f t="shared" si="59"/>
        <v>-2.4933031114774414E-2</v>
      </c>
      <c r="H34" s="80">
        <f t="shared" si="43"/>
        <v>-1</v>
      </c>
      <c r="I34" s="80" t="e">
        <f t="shared" si="44"/>
        <v>#DIV/0!</v>
      </c>
      <c r="P34" s="17">
        <f t="shared" si="53"/>
        <v>-4.2843031609195413E-2</v>
      </c>
      <c r="Q34" s="17">
        <f t="shared" si="54"/>
        <v>-4.520371325425477E-2</v>
      </c>
      <c r="R34" s="17">
        <f t="shared" si="55"/>
        <v>5.1713975206763754E-2</v>
      </c>
      <c r="S34" s="17">
        <f t="shared" si="56"/>
        <v>7.1524824923371241E-2</v>
      </c>
      <c r="U34" s="17">
        <f t="shared" si="57"/>
        <v>5.757629774179325E-2</v>
      </c>
      <c r="V34" s="17">
        <f t="shared" si="46"/>
        <v>3.4029221919140095E-3</v>
      </c>
      <c r="W34" s="17">
        <f t="shared" si="47"/>
        <v>-2.3285140069881621E-2</v>
      </c>
      <c r="X34" s="17">
        <f t="shared" si="48"/>
        <v>-0.10419829670222271</v>
      </c>
      <c r="Z34" s="17">
        <f t="shared" si="58"/>
        <v>-2.1521210723346895E-2</v>
      </c>
      <c r="AA34" s="17">
        <f t="shared" si="49"/>
        <v>0.12109385513955805</v>
      </c>
      <c r="AB34" s="17">
        <f t="shared" si="50"/>
        <v>-1</v>
      </c>
      <c r="AC34" s="17">
        <f t="shared" si="51"/>
        <v>-1</v>
      </c>
    </row>
    <row r="35" spans="1:29" ht="17" x14ac:dyDescent="0.2">
      <c r="A35" s="63" t="s">
        <v>12</v>
      </c>
      <c r="C35" s="17">
        <f t="shared" ref="C35:G35" si="60">(C9-B9)/ABS(B9)</f>
        <v>8.315751556630481E-2</v>
      </c>
      <c r="D35" s="17">
        <f t="shared" si="60"/>
        <v>0.14813055252030963</v>
      </c>
      <c r="E35" s="71">
        <f t="shared" si="60"/>
        <v>5.9709521247982865E-2</v>
      </c>
      <c r="F35" s="71">
        <f t="shared" si="60"/>
        <v>7.5634517766497392E-2</v>
      </c>
      <c r="G35" s="71">
        <f t="shared" si="60"/>
        <v>-1.4411732675064371E-2</v>
      </c>
      <c r="H35" s="80">
        <f t="shared" si="43"/>
        <v>-1</v>
      </c>
      <c r="I35" s="80" t="e">
        <f t="shared" si="44"/>
        <v>#DIV/0!</v>
      </c>
      <c r="P35" s="17">
        <f t="shared" si="53"/>
        <v>7.2507909025967057E-2</v>
      </c>
      <c r="Q35" s="17">
        <f t="shared" si="54"/>
        <v>7.2349501295272373E-2</v>
      </c>
      <c r="R35" s="17">
        <f t="shared" si="55"/>
        <v>9.7250598231375066E-2</v>
      </c>
      <c r="S35" s="17">
        <f t="shared" si="56"/>
        <v>6.4517055458021402E-2</v>
      </c>
      <c r="U35" s="17">
        <f t="shared" si="57"/>
        <v>2.4081818137075522E-2</v>
      </c>
      <c r="V35" s="17">
        <f t="shared" si="46"/>
        <v>-4.7750801904155052E-2</v>
      </c>
      <c r="W35" s="17">
        <f t="shared" si="47"/>
        <v>-4.3331960958516075E-2</v>
      </c>
      <c r="X35" s="17">
        <f t="shared" si="48"/>
        <v>5.2303328809526805E-3</v>
      </c>
      <c r="Z35" s="17">
        <f t="shared" si="58"/>
        <v>5.6050212583263204E-2</v>
      </c>
      <c r="AA35" s="17">
        <f t="shared" si="49"/>
        <v>7.0703625564591199E-2</v>
      </c>
      <c r="AB35" s="17">
        <f t="shared" si="50"/>
        <v>-1</v>
      </c>
      <c r="AC35" s="17">
        <f t="shared" si="51"/>
        <v>-1</v>
      </c>
    </row>
    <row r="36" spans="1:29" ht="17" x14ac:dyDescent="0.2">
      <c r="A36" s="63" t="s">
        <v>13</v>
      </c>
      <c r="C36" s="17">
        <f t="shared" ref="C36:G36" si="61">(C10-B10)/ABS(B10)</f>
        <v>7.254116599910998E-2</v>
      </c>
      <c r="D36" s="17">
        <f t="shared" si="61"/>
        <v>3.6514522821576807E-2</v>
      </c>
      <c r="E36" s="71">
        <f t="shared" si="61"/>
        <v>0.19295436349079259</v>
      </c>
      <c r="F36" s="71">
        <f t="shared" si="61"/>
        <v>-1.0067114093959731E-2</v>
      </c>
      <c r="G36" s="71">
        <f t="shared" si="61"/>
        <v>5.1186440677966176E-2</v>
      </c>
      <c r="H36" s="80">
        <f t="shared" si="43"/>
        <v>-1</v>
      </c>
      <c r="I36" s="80" t="e">
        <f t="shared" si="44"/>
        <v>#DIV/0!</v>
      </c>
      <c r="P36" s="17">
        <f t="shared" si="53"/>
        <v>3.0897109480305565E-2</v>
      </c>
      <c r="Q36" s="17">
        <f t="shared" si="54"/>
        <v>-4.0576385403971585E-2</v>
      </c>
      <c r="R36" s="17">
        <f t="shared" si="55"/>
        <v>-4.9579748557821643E-2</v>
      </c>
      <c r="S36" s="17">
        <f t="shared" si="56"/>
        <v>1.3587195497317628E-2</v>
      </c>
      <c r="U36" s="17">
        <f t="shared" si="57"/>
        <v>1.2174393096334725E-2</v>
      </c>
      <c r="V36" s="17">
        <f t="shared" si="46"/>
        <v>5.3500709855787164E-2</v>
      </c>
      <c r="W36" s="17">
        <f t="shared" si="47"/>
        <v>9.0776228469166928E-2</v>
      </c>
      <c r="X36" s="17">
        <f t="shared" si="48"/>
        <v>4.9509782655850203E-2</v>
      </c>
      <c r="Z36" s="17">
        <f t="shared" si="58"/>
        <v>3.2940534799270678E-2</v>
      </c>
      <c r="AA36" s="17">
        <f t="shared" si="49"/>
        <v>4.540747570749689E-2</v>
      </c>
      <c r="AB36" s="17">
        <f t="shared" si="50"/>
        <v>-1</v>
      </c>
      <c r="AC36" s="17">
        <f t="shared" si="51"/>
        <v>-1</v>
      </c>
    </row>
    <row r="37" spans="1:29" ht="17" x14ac:dyDescent="0.2">
      <c r="A37" s="64" t="s">
        <v>25</v>
      </c>
      <c r="C37" s="17">
        <f t="shared" ref="C37:G37" si="62">(C11-B11)/ABS(B11)</f>
        <v>5.4183174085294938E-2</v>
      </c>
      <c r="D37" s="17">
        <f t="shared" si="62"/>
        <v>0.13780811318669167</v>
      </c>
      <c r="E37" s="71">
        <f t="shared" si="62"/>
        <v>5.8263509411050303E-2</v>
      </c>
      <c r="F37" s="71">
        <f t="shared" si="62"/>
        <v>4.1240189103593845E-2</v>
      </c>
      <c r="G37" s="71">
        <f t="shared" si="62"/>
        <v>-1.2717374534393977E-2</v>
      </c>
      <c r="H37" s="80">
        <f t="shared" si="43"/>
        <v>4.0000000000000084E-2</v>
      </c>
      <c r="I37" s="80">
        <f t="shared" si="44"/>
        <v>4.0000000000000133E-2</v>
      </c>
      <c r="P37" s="17">
        <f t="shared" si="53"/>
        <v>2.7905922346085917E-2</v>
      </c>
      <c r="Q37" s="17">
        <f t="shared" si="54"/>
        <v>3.1681246561650132E-2</v>
      </c>
      <c r="R37" s="17">
        <f t="shared" si="55"/>
        <v>7.0748203889818645E-2</v>
      </c>
      <c r="S37" s="17">
        <f t="shared" si="56"/>
        <v>3.6493095287195722E-2</v>
      </c>
      <c r="U37" s="17">
        <f t="shared" si="57"/>
        <v>1.3102915594041937E-2</v>
      </c>
      <c r="V37" s="17">
        <f t="shared" si="46"/>
        <v>-3.8073305782486057E-2</v>
      </c>
      <c r="W37" s="17">
        <f t="shared" si="47"/>
        <v>-3.858801642529066E-2</v>
      </c>
      <c r="X37" s="17">
        <f t="shared" si="48"/>
        <v>7.7149553486454371E-3</v>
      </c>
      <c r="Z37" s="17">
        <f t="shared" si="58"/>
        <v>5.8814054693585922E-2</v>
      </c>
      <c r="AA37" s="17">
        <f t="shared" si="49"/>
        <v>7.1351818759411892E-2</v>
      </c>
      <c r="AB37" s="17">
        <f t="shared" si="50"/>
        <v>-1</v>
      </c>
      <c r="AC37" s="17">
        <f t="shared" si="51"/>
        <v>-1</v>
      </c>
    </row>
    <row r="38" spans="1:29" ht="17" x14ac:dyDescent="0.2">
      <c r="A38" s="62" t="s">
        <v>26</v>
      </c>
      <c r="C38" s="17"/>
      <c r="D38" s="17"/>
      <c r="E38" s="71"/>
      <c r="F38" s="71"/>
      <c r="G38" s="71"/>
      <c r="H38" s="80"/>
      <c r="I38" s="80"/>
      <c r="P38" s="17"/>
      <c r="Q38" s="17"/>
      <c r="R38" s="17"/>
      <c r="S38" s="17"/>
      <c r="U38" s="17"/>
      <c r="V38" s="17"/>
      <c r="W38" s="17"/>
      <c r="X38" s="17"/>
      <c r="Z38" s="17"/>
      <c r="AA38" s="17"/>
      <c r="AB38" s="17"/>
      <c r="AC38" s="17"/>
    </row>
    <row r="39" spans="1:29" ht="17" x14ac:dyDescent="0.2">
      <c r="A39" s="63" t="s">
        <v>10</v>
      </c>
      <c r="C39" s="17">
        <f t="shared" ref="C39:G39" si="63">(C13-B13)/ABS(B13)</f>
        <v>-0.13058764439979911</v>
      </c>
      <c r="D39" s="17">
        <f t="shared" si="63"/>
        <v>9.6476025418833142E-2</v>
      </c>
      <c r="E39" s="71">
        <f t="shared" si="63"/>
        <v>-1.4488935721812434E-2</v>
      </c>
      <c r="F39" s="71">
        <f t="shared" si="63"/>
        <v>1.0425020048115416E-2</v>
      </c>
      <c r="G39" s="71">
        <f t="shared" si="63"/>
        <v>-0.1674603174603175</v>
      </c>
      <c r="H39" s="80">
        <f t="shared" ref="H39:H51" si="64">(H13-G13)/ABS(G13)</f>
        <v>-1</v>
      </c>
      <c r="I39" s="80" t="e">
        <f t="shared" ref="I39:I51" si="65">(I13-H13)/ABS(H13)</f>
        <v>#DIV/0!</v>
      </c>
      <c r="P39" s="17">
        <f t="shared" si="53"/>
        <v>1.9045508618879842E-2</v>
      </c>
      <c r="Q39" s="17">
        <f t="shared" si="54"/>
        <v>6.8689714720685219E-2</v>
      </c>
      <c r="R39" s="17">
        <f t="shared" si="55"/>
        <v>0.1340933143146367</v>
      </c>
      <c r="S39" s="17">
        <f t="shared" si="56"/>
        <v>-0.13598328204495153</v>
      </c>
      <c r="U39" s="17">
        <f t="shared" ref="U39:U51" si="66">(U13-P13)/ABS(P13)</f>
        <v>-0.19230901287553645</v>
      </c>
      <c r="V39" s="17">
        <f t="shared" ref="V39:V51" si="67">(V13-Q13)/ABS(Q13)</f>
        <v>-0.24070589485993724</v>
      </c>
      <c r="W39" s="17">
        <f t="shared" ref="W39:W51" si="68">(W13-R13)/ABS(R13)</f>
        <v>-0.26346752680319302</v>
      </c>
      <c r="X39" s="17">
        <f t="shared" ref="X39:X51" si="69">(X13-S13)/ABS(S13)</f>
        <v>2.1175846268458587E-2</v>
      </c>
      <c r="Z39" s="17">
        <f t="shared" ref="Z39:Z51" si="70">(Z13-U13)/ABS(U13)</f>
        <v>8.3404182962081214E-2</v>
      </c>
      <c r="AA39" s="17">
        <f t="shared" ref="AA39:AA51" si="71">(AA13-V13)/ABS(V13)</f>
        <v>6.4909062906906678E-2</v>
      </c>
      <c r="AB39" s="17">
        <f t="shared" ref="AB39:AB51" si="72">(AB13-W13)/ABS(W13)</f>
        <v>-1</v>
      </c>
      <c r="AC39" s="17">
        <f t="shared" ref="AC39:AC51" si="73">(AC13-X13)/ABS(X13)</f>
        <v>-1</v>
      </c>
    </row>
    <row r="40" spans="1:29" ht="17" x14ac:dyDescent="0.2">
      <c r="A40" s="63" t="s">
        <v>12</v>
      </c>
      <c r="C40" s="17">
        <f t="shared" ref="C40:G40" si="74">(C14-B14)/ABS(B14)</f>
        <v>7.9734411085450291E-2</v>
      </c>
      <c r="D40" s="17">
        <f t="shared" si="74"/>
        <v>0.1460884444682104</v>
      </c>
      <c r="E40" s="71">
        <f t="shared" si="74"/>
        <v>7.0778705734148184E-2</v>
      </c>
      <c r="F40" s="71">
        <f t="shared" si="74"/>
        <v>9.3899782135076257E-2</v>
      </c>
      <c r="G40" s="71">
        <f t="shared" si="74"/>
        <v>-2.9157538338976226E-2</v>
      </c>
      <c r="H40" s="80">
        <f t="shared" si="64"/>
        <v>-1</v>
      </c>
      <c r="I40" s="80" t="e">
        <f t="shared" si="65"/>
        <v>#DIV/0!</v>
      </c>
      <c r="P40" s="17">
        <f t="shared" si="53"/>
        <v>9.1085975963286464E-2</v>
      </c>
      <c r="Q40" s="17">
        <f t="shared" si="54"/>
        <v>8.9590750480193188E-2</v>
      </c>
      <c r="R40" s="17">
        <f t="shared" si="55"/>
        <v>0.11847114620296753</v>
      </c>
      <c r="S40" s="17">
        <f t="shared" si="56"/>
        <v>8.1224321138306882E-2</v>
      </c>
      <c r="U40" s="17">
        <f t="shared" si="66"/>
        <v>2.3649464108799458E-2</v>
      </c>
      <c r="V40" s="17">
        <f t="shared" si="67"/>
        <v>-6.2073823804996778E-2</v>
      </c>
      <c r="W40" s="17">
        <f t="shared" si="68"/>
        <v>-5.3691446331506833E-2</v>
      </c>
      <c r="X40" s="17">
        <f t="shared" si="69"/>
        <v>-2.3661287745646197E-2</v>
      </c>
      <c r="Z40" s="17">
        <f t="shared" si="70"/>
        <v>3.1744970340272939E-2</v>
      </c>
      <c r="AA40" s="17">
        <f t="shared" si="71"/>
        <v>6.5806456317405143E-2</v>
      </c>
      <c r="AB40" s="17">
        <f t="shared" si="72"/>
        <v>-1</v>
      </c>
      <c r="AC40" s="17">
        <f t="shared" si="73"/>
        <v>-1</v>
      </c>
    </row>
    <row r="41" spans="1:29" ht="17" x14ac:dyDescent="0.2">
      <c r="A41" s="62" t="s">
        <v>27</v>
      </c>
      <c r="C41" s="17">
        <f t="shared" ref="C41:G41" si="75">(C15-B15)/ABS(B15)</f>
        <v>4.0418740024410815E-2</v>
      </c>
      <c r="D41" s="17">
        <f t="shared" si="75"/>
        <v>0.13833867256237892</v>
      </c>
      <c r="E41" s="71">
        <f t="shared" si="75"/>
        <v>5.7949185461175556E-2</v>
      </c>
      <c r="F41" s="71">
        <f t="shared" si="75"/>
        <v>8.2199992506837544E-2</v>
      </c>
      <c r="G41" s="71">
        <f t="shared" si="75"/>
        <v>-4.7256361433269861E-2</v>
      </c>
      <c r="H41" s="80">
        <f t="shared" si="64"/>
        <v>3.9999999999999973E-2</v>
      </c>
      <c r="I41" s="80">
        <f t="shared" si="65"/>
        <v>4.0000000000000042E-2</v>
      </c>
      <c r="P41" s="17">
        <f t="shared" si="53"/>
        <v>8.0696732133876625E-2</v>
      </c>
      <c r="Q41" s="17">
        <f t="shared" si="54"/>
        <v>8.664622220230396E-2</v>
      </c>
      <c r="R41" s="17">
        <f t="shared" si="55"/>
        <v>0.1206873480311365</v>
      </c>
      <c r="S41" s="17">
        <f t="shared" si="56"/>
        <v>5.1793761618710472E-2</v>
      </c>
      <c r="U41" s="17">
        <f t="shared" si="66"/>
        <v>-5.718065444924288E-3</v>
      </c>
      <c r="V41" s="17">
        <f t="shared" si="67"/>
        <v>-8.682357342650121E-2</v>
      </c>
      <c r="W41" s="17">
        <f t="shared" si="68"/>
        <v>-8.3806822318586605E-2</v>
      </c>
      <c r="X41" s="17">
        <f t="shared" si="69"/>
        <v>-1.8670686216156057E-2</v>
      </c>
      <c r="Z41" s="17">
        <f t="shared" si="70"/>
        <v>3.745161234779304E-2</v>
      </c>
      <c r="AA41" s="17">
        <f t="shared" si="71"/>
        <v>6.5703073208262838E-2</v>
      </c>
      <c r="AB41" s="17">
        <f t="shared" si="72"/>
        <v>-1</v>
      </c>
      <c r="AC41" s="17">
        <f t="shared" si="73"/>
        <v>-1</v>
      </c>
    </row>
    <row r="42" spans="1:29" ht="17" x14ac:dyDescent="0.2">
      <c r="A42" s="65" t="s">
        <v>28</v>
      </c>
      <c r="C42" s="17">
        <f t="shared" ref="C42:G42" si="76">(C16-B16)/ABS(B16)</f>
        <v>7.6692768309535198E-2</v>
      </c>
      <c r="D42" s="17">
        <f t="shared" si="76"/>
        <v>0.13696969696969655</v>
      </c>
      <c r="E42" s="71">
        <f t="shared" si="76"/>
        <v>5.8760817759939687E-2</v>
      </c>
      <c r="F42" s="71">
        <f t="shared" si="76"/>
        <v>-2.3514778179233715E-2</v>
      </c>
      <c r="G42" s="71">
        <f t="shared" si="76"/>
        <v>4.7798131748150625E-2</v>
      </c>
      <c r="H42" s="80">
        <f t="shared" si="64"/>
        <v>4.0000000000000251E-2</v>
      </c>
      <c r="I42" s="80">
        <f t="shared" si="65"/>
        <v>4.0000000000000271E-2</v>
      </c>
      <c r="P42" s="17">
        <f t="shared" si="53"/>
        <v>-5.274816202450959E-2</v>
      </c>
      <c r="Q42" s="17">
        <f t="shared" si="54"/>
        <v>-5.2552184257646357E-2</v>
      </c>
      <c r="R42" s="17">
        <f t="shared" si="55"/>
        <v>-8.6967808930426358E-3</v>
      </c>
      <c r="S42" s="17">
        <f t="shared" si="56"/>
        <v>1.1193182154914627E-2</v>
      </c>
      <c r="U42" s="17">
        <f t="shared" si="66"/>
        <v>4.5908568080211508E-2</v>
      </c>
      <c r="V42" s="17">
        <f t="shared" si="67"/>
        <v>4.7612390457328117E-2</v>
      </c>
      <c r="W42" s="17">
        <f t="shared" si="68"/>
        <v>4.2736676705513135E-2</v>
      </c>
      <c r="X42" s="17">
        <f t="shared" si="69"/>
        <v>5.3095823719833471E-2</v>
      </c>
      <c r="Z42" s="17">
        <f t="shared" si="70"/>
        <v>9.4211600660879483E-2</v>
      </c>
      <c r="AA42" s="17">
        <f t="shared" si="71"/>
        <v>8.0006227511763089E-2</v>
      </c>
      <c r="AB42" s="17">
        <f t="shared" si="72"/>
        <v>-1</v>
      </c>
      <c r="AC42" s="17">
        <f t="shared" si="73"/>
        <v>-1</v>
      </c>
    </row>
    <row r="43" spans="1:29" ht="17" x14ac:dyDescent="0.2">
      <c r="A43" s="63" t="s">
        <v>29</v>
      </c>
      <c r="C43" s="17">
        <f t="shared" ref="C43:G43" si="77">(C17-B17)/ABS(B17)</f>
        <v>2.6308724832214796E-2</v>
      </c>
      <c r="D43" s="17">
        <f t="shared" si="77"/>
        <v>6.356264713575728E-2</v>
      </c>
      <c r="E43" s="71">
        <f t="shared" si="77"/>
        <v>5.3369404820462339E-2</v>
      </c>
      <c r="F43" s="71">
        <f t="shared" si="77"/>
        <v>-2.7550782162035981E-2</v>
      </c>
      <c r="G43" s="71">
        <f t="shared" si="77"/>
        <v>4.3457382953181328E-2</v>
      </c>
      <c r="H43" s="80">
        <f t="shared" si="64"/>
        <v>-1.1999999999999957E-2</v>
      </c>
      <c r="I43" s="80">
        <f t="shared" si="65"/>
        <v>-1.1999999999999832E-2</v>
      </c>
      <c r="P43" s="17">
        <f t="shared" si="53"/>
        <v>6.8392272034891996E-2</v>
      </c>
      <c r="Q43" s="17">
        <f t="shared" si="54"/>
        <v>-3.3629340554316663E-2</v>
      </c>
      <c r="R43" s="17">
        <f t="shared" si="55"/>
        <v>-5.3320462518942936E-2</v>
      </c>
      <c r="S43" s="17">
        <f t="shared" si="56"/>
        <v>-6.7966355406657616E-2</v>
      </c>
      <c r="U43" s="17">
        <f t="shared" si="66"/>
        <v>-2.3642480562906507E-2</v>
      </c>
      <c r="V43" s="17">
        <f t="shared" si="67"/>
        <v>7.4585350777789617E-3</v>
      </c>
      <c r="W43" s="17">
        <f t="shared" si="68"/>
        <v>6.5763938380571291E-2</v>
      </c>
      <c r="X43" s="17">
        <f t="shared" si="69"/>
        <v>0.10411074146304157</v>
      </c>
      <c r="Z43" s="17">
        <f t="shared" si="70"/>
        <v>6.1299099685888161E-2</v>
      </c>
      <c r="AA43" s="17">
        <f t="shared" si="71"/>
        <v>0.1856248849622677</v>
      </c>
      <c r="AB43" s="17">
        <f t="shared" si="72"/>
        <v>-1</v>
      </c>
      <c r="AC43" s="17">
        <f t="shared" si="73"/>
        <v>-1</v>
      </c>
    </row>
    <row r="44" spans="1:29" ht="17" x14ac:dyDescent="0.2">
      <c r="A44" s="63" t="s">
        <v>31</v>
      </c>
      <c r="C44" s="17">
        <f t="shared" ref="C44:G44" si="78">(C18-B18)/ABS(B18)</f>
        <v>9.0097629009762939E-2</v>
      </c>
      <c r="D44" s="17">
        <f t="shared" si="78"/>
        <v>0.18270214943705212</v>
      </c>
      <c r="E44" s="71">
        <f t="shared" si="78"/>
        <v>3.7429684119428847E-2</v>
      </c>
      <c r="F44" s="71">
        <f t="shared" si="78"/>
        <v>1.20959332638165E-2</v>
      </c>
      <c r="G44" s="71">
        <f t="shared" si="78"/>
        <v>-2.4933031114774414E-2</v>
      </c>
      <c r="H44" s="80">
        <f t="shared" si="64"/>
        <v>-1.2000000000000023E-2</v>
      </c>
      <c r="I44" s="80">
        <f t="shared" si="65"/>
        <v>-1.1999999999999943E-2</v>
      </c>
      <c r="P44" s="17">
        <f t="shared" si="53"/>
        <v>-4.2843031609195413E-2</v>
      </c>
      <c r="Q44" s="17">
        <f t="shared" si="54"/>
        <v>-4.520371325425477E-2</v>
      </c>
      <c r="R44" s="17">
        <f t="shared" si="55"/>
        <v>5.1713975206763754E-2</v>
      </c>
      <c r="S44" s="17">
        <f t="shared" si="56"/>
        <v>7.1524824923371241E-2</v>
      </c>
      <c r="U44" s="17">
        <f t="shared" si="66"/>
        <v>5.757629774179325E-2</v>
      </c>
      <c r="V44" s="17">
        <f t="shared" si="67"/>
        <v>3.4029221919140095E-3</v>
      </c>
      <c r="W44" s="17">
        <f t="shared" si="68"/>
        <v>-2.3285140069881621E-2</v>
      </c>
      <c r="X44" s="17">
        <f t="shared" si="69"/>
        <v>-0.10419829670222271</v>
      </c>
      <c r="Z44" s="17">
        <f t="shared" si="70"/>
        <v>-2.1521210723346895E-2</v>
      </c>
      <c r="AA44" s="17">
        <f t="shared" si="71"/>
        <v>0.12109385513955805</v>
      </c>
      <c r="AB44" s="17">
        <f t="shared" si="72"/>
        <v>-1</v>
      </c>
      <c r="AC44" s="17">
        <f t="shared" si="73"/>
        <v>-1</v>
      </c>
    </row>
    <row r="45" spans="1:29" ht="17" x14ac:dyDescent="0.2">
      <c r="A45" s="63" t="s">
        <v>30</v>
      </c>
      <c r="C45" s="17" t="e">
        <f t="shared" ref="C45:G45" si="79">(C19-B19)/ABS(B19)</f>
        <v>#DIV/0!</v>
      </c>
      <c r="D45" s="17" t="e">
        <f t="shared" si="79"/>
        <v>#DIV/0!</v>
      </c>
      <c r="E45" s="71" t="e">
        <f t="shared" si="79"/>
        <v>#DIV/0!</v>
      </c>
      <c r="F45" s="71" t="e">
        <f t="shared" si="79"/>
        <v>#DIV/0!</v>
      </c>
      <c r="G45" s="71">
        <f t="shared" si="79"/>
        <v>1.0047169811320755</v>
      </c>
      <c r="H45" s="80">
        <f t="shared" si="64"/>
        <v>-1.2000000000000066E-2</v>
      </c>
      <c r="I45" s="80">
        <f t="shared" si="65"/>
        <v>-1.1999999999999809E-2</v>
      </c>
      <c r="P45" s="17" t="e">
        <f t="shared" si="53"/>
        <v>#DIV/0!</v>
      </c>
      <c r="Q45" s="17" t="e">
        <f t="shared" si="54"/>
        <v>#DIV/0!</v>
      </c>
      <c r="R45" s="17" t="e">
        <f>(R19-M19)/ABS(M19)</f>
        <v>#DIV/0!</v>
      </c>
      <c r="S45" s="17" t="e">
        <f t="shared" si="56"/>
        <v>#DIV/0!</v>
      </c>
      <c r="U45" s="17" t="e">
        <f t="shared" si="66"/>
        <v>#DIV/0!</v>
      </c>
      <c r="V45" s="17" t="e">
        <f t="shared" si="67"/>
        <v>#DIV/0!</v>
      </c>
      <c r="W45" s="17" t="e">
        <f t="shared" si="68"/>
        <v>#DIV/0!</v>
      </c>
      <c r="X45" s="17">
        <f t="shared" si="69"/>
        <v>1</v>
      </c>
      <c r="Z45" s="17">
        <f t="shared" si="70"/>
        <v>-0.10738255033557038</v>
      </c>
      <c r="AA45" s="17" t="e">
        <f t="shared" si="71"/>
        <v>#DIV/0!</v>
      </c>
      <c r="AB45" s="17" t="e">
        <f t="shared" si="72"/>
        <v>#DIV/0!</v>
      </c>
      <c r="AC45" s="17" t="e">
        <f t="shared" si="73"/>
        <v>#DIV/0!</v>
      </c>
    </row>
    <row r="46" spans="1:29" ht="17" x14ac:dyDescent="0.2">
      <c r="A46" s="65" t="s">
        <v>32</v>
      </c>
      <c r="C46" s="17">
        <f t="shared" ref="C46:G46" si="80">(C20-B20)/ABS(B20)</f>
        <v>0.1011196641007707</v>
      </c>
      <c r="D46" s="17">
        <f t="shared" si="80"/>
        <v>0.15316174134095878</v>
      </c>
      <c r="E46" s="71">
        <f t="shared" si="80"/>
        <v>7.5365114356571811E-2</v>
      </c>
      <c r="F46" s="71">
        <f t="shared" si="80"/>
        <v>-1.6015374759769673E-2</v>
      </c>
      <c r="G46" s="71">
        <f t="shared" si="80"/>
        <v>6.7057291666668045E-2</v>
      </c>
      <c r="H46" s="80">
        <f t="shared" si="64"/>
        <v>9.7609273947529371E-2</v>
      </c>
      <c r="I46" s="80">
        <f t="shared" si="65"/>
        <v>9.1856306256829293E-2</v>
      </c>
      <c r="P46" s="17">
        <f t="shared" si="53"/>
        <v>-0.11792235362231789</v>
      </c>
      <c r="Q46" s="17">
        <f t="shared" si="54"/>
        <v>-6.6987250002618334E-2</v>
      </c>
      <c r="R46" s="17">
        <f t="shared" si="55"/>
        <v>-2.1233636565342825E-2</v>
      </c>
      <c r="S46" s="17">
        <f t="shared" si="56"/>
        <v>0.1173390573358241</v>
      </c>
      <c r="U46" s="17">
        <f t="shared" si="66"/>
        <v>7.865516801283505E-2</v>
      </c>
      <c r="V46" s="17">
        <f t="shared" si="67"/>
        <v>9.7067046947459851E-2</v>
      </c>
      <c r="W46" s="17">
        <f t="shared" si="68"/>
        <v>7.3561081767280434E-2</v>
      </c>
      <c r="X46" s="17">
        <f t="shared" si="69"/>
        <v>3.3691292430611863E-2</v>
      </c>
      <c r="Z46" s="17">
        <f t="shared" si="70"/>
        <v>0.18553889668306306</v>
      </c>
      <c r="AA46" s="17">
        <f t="shared" si="71"/>
        <v>3.5823400868971321E-3</v>
      </c>
      <c r="AB46" s="17">
        <f t="shared" si="72"/>
        <v>-1</v>
      </c>
      <c r="AC46" s="17">
        <f t="shared" si="73"/>
        <v>-1</v>
      </c>
    </row>
    <row r="47" spans="1:29" ht="17" x14ac:dyDescent="0.2">
      <c r="A47" s="63" t="s">
        <v>35</v>
      </c>
      <c r="C47" s="17" t="e">
        <f t="shared" ref="C47:G47" si="81">(C21-B21)/ABS(B21)</f>
        <v>#DIV/0!</v>
      </c>
      <c r="D47" s="17" t="e">
        <f t="shared" si="81"/>
        <v>#DIV/0!</v>
      </c>
      <c r="E47" s="71" t="e">
        <f t="shared" si="81"/>
        <v>#DIV/0!</v>
      </c>
      <c r="F47" s="71">
        <f t="shared" si="81"/>
        <v>-1</v>
      </c>
      <c r="G47" s="71" t="e">
        <f t="shared" si="81"/>
        <v>#DIV/0!</v>
      </c>
      <c r="H47" s="80">
        <f t="shared" si="64"/>
        <v>-1</v>
      </c>
      <c r="I47" s="80" t="e">
        <f t="shared" si="65"/>
        <v>#DIV/0!</v>
      </c>
      <c r="P47" s="17">
        <f t="shared" si="53"/>
        <v>-1</v>
      </c>
      <c r="Q47" s="17" t="e">
        <f t="shared" si="54"/>
        <v>#DIV/0!</v>
      </c>
      <c r="R47" s="17" t="e">
        <f t="shared" si="55"/>
        <v>#DIV/0!</v>
      </c>
      <c r="S47" s="17">
        <f t="shared" si="56"/>
        <v>-1</v>
      </c>
      <c r="U47" s="17" t="e">
        <f t="shared" si="66"/>
        <v>#DIV/0!</v>
      </c>
      <c r="V47" s="17" t="e">
        <f t="shared" si="67"/>
        <v>#DIV/0!</v>
      </c>
      <c r="W47" s="17" t="e">
        <f t="shared" si="68"/>
        <v>#DIV/0!</v>
      </c>
      <c r="X47" s="17" t="e">
        <f t="shared" si="69"/>
        <v>#DIV/0!</v>
      </c>
      <c r="Z47" s="17" t="e">
        <f t="shared" si="70"/>
        <v>#DIV/0!</v>
      </c>
      <c r="AA47" s="17">
        <f t="shared" si="71"/>
        <v>1.7616947340283347</v>
      </c>
      <c r="AB47" s="17">
        <f t="shared" si="72"/>
        <v>-1</v>
      </c>
      <c r="AC47" s="17">
        <f t="shared" si="73"/>
        <v>-1</v>
      </c>
    </row>
    <row r="48" spans="1:29" ht="17" x14ac:dyDescent="0.2">
      <c r="A48" s="63" t="s">
        <v>34</v>
      </c>
      <c r="C48" s="17">
        <f t="shared" ref="C48:G48" si="82">(C22-B22)/ABS(B22)</f>
        <v>-2.6573426573426654E-2</v>
      </c>
      <c r="D48" s="17">
        <f t="shared" si="82"/>
        <v>-0.16144414168937321</v>
      </c>
      <c r="E48" s="71">
        <f t="shared" si="82"/>
        <v>-0.12316715542521994</v>
      </c>
      <c r="F48" s="71">
        <f t="shared" si="82"/>
        <v>-1.8798955613576994E-2</v>
      </c>
      <c r="G48" s="71">
        <f t="shared" si="82"/>
        <v>5.2793439261916882E-2</v>
      </c>
      <c r="H48" s="80">
        <f t="shared" si="64"/>
        <v>0</v>
      </c>
      <c r="I48" s="80">
        <f t="shared" si="65"/>
        <v>0</v>
      </c>
      <c r="P48" s="17">
        <f t="shared" si="53"/>
        <v>-0.18840101522842645</v>
      </c>
      <c r="Q48" s="17">
        <f t="shared" si="54"/>
        <v>2.5693640987579005E-2</v>
      </c>
      <c r="R48" s="17">
        <f t="shared" si="55"/>
        <v>1.9153380978559696E-2</v>
      </c>
      <c r="S48" s="17">
        <f t="shared" si="56"/>
        <v>2.8695065567566673E-2</v>
      </c>
      <c r="U48" s="17">
        <f t="shared" si="66"/>
        <v>5.6959186724473046E-2</v>
      </c>
      <c r="V48" s="17">
        <f t="shared" si="67"/>
        <v>5.0120989424627956E-2</v>
      </c>
      <c r="W48" s="17">
        <f t="shared" si="68"/>
        <v>5.6385077571518262E-2</v>
      </c>
      <c r="X48" s="17">
        <f t="shared" si="69"/>
        <v>4.8803211762912274E-2</v>
      </c>
      <c r="Z48" s="17">
        <f t="shared" si="70"/>
        <v>4.6403659751789103E-2</v>
      </c>
      <c r="AA48" s="17">
        <f t="shared" si="71"/>
        <v>4.4651491921217305E-2</v>
      </c>
      <c r="AB48" s="17">
        <f t="shared" si="72"/>
        <v>1</v>
      </c>
      <c r="AC48" s="17">
        <f t="shared" si="73"/>
        <v>1</v>
      </c>
    </row>
    <row r="49" spans="1:29" ht="17" x14ac:dyDescent="0.2">
      <c r="A49" s="66" t="s">
        <v>33</v>
      </c>
      <c r="C49" s="17">
        <f t="shared" ref="C49:G49" si="83">(C23-B23)/ABS(B23)</f>
        <v>0.12599160055996389</v>
      </c>
      <c r="D49" s="17">
        <f t="shared" si="83"/>
        <v>0.15064235391628569</v>
      </c>
      <c r="E49" s="71">
        <f t="shared" si="83"/>
        <v>0.12695840086439722</v>
      </c>
      <c r="F49" s="71">
        <f t="shared" si="83"/>
        <v>-8.4531799296900328E-2</v>
      </c>
      <c r="G49" s="71">
        <f t="shared" si="83"/>
        <v>0.13876767324140529</v>
      </c>
      <c r="H49" s="80">
        <f t="shared" si="64"/>
        <v>9.5479460453709988E-2</v>
      </c>
      <c r="I49" s="80">
        <f t="shared" si="65"/>
        <v>0.11560789980786131</v>
      </c>
      <c r="P49" s="17">
        <f t="shared" si="53"/>
        <v>-0.21331479971664913</v>
      </c>
      <c r="Q49" s="17">
        <f t="shared" si="54"/>
        <v>-8.0024535987262335E-2</v>
      </c>
      <c r="R49" s="17">
        <f t="shared" si="55"/>
        <v>-2.1935388153258586E-2</v>
      </c>
      <c r="S49" s="17">
        <f t="shared" si="56"/>
        <v>-3.2543368218220084E-2</v>
      </c>
      <c r="U49" s="17">
        <f t="shared" si="66"/>
        <v>0.13259654428379597</v>
      </c>
      <c r="V49" s="17">
        <f t="shared" si="67"/>
        <v>3.4176892764566508E-2</v>
      </c>
      <c r="W49" s="17">
        <f t="shared" si="68"/>
        <v>0.33163946362478158</v>
      </c>
      <c r="X49" s="17">
        <f t="shared" si="69"/>
        <v>8.2777880232895326E-2</v>
      </c>
      <c r="Z49" s="17">
        <f t="shared" si="70"/>
        <v>0.12210580002550173</v>
      </c>
      <c r="AA49" s="17">
        <f t="shared" si="71"/>
        <v>0.2097519631421863</v>
      </c>
      <c r="AB49" s="17">
        <f t="shared" si="72"/>
        <v>-1</v>
      </c>
      <c r="AC49" s="17">
        <f t="shared" si="73"/>
        <v>-1</v>
      </c>
    </row>
    <row r="50" spans="1:29" ht="17" x14ac:dyDescent="0.2">
      <c r="A50" s="63" t="s">
        <v>36</v>
      </c>
      <c r="C50" s="17">
        <f t="shared" ref="C50:G50" si="84">(C24-B24)/ABS(B24)</f>
        <v>0.22788605697151429</v>
      </c>
      <c r="D50" s="17">
        <f t="shared" si="84"/>
        <v>-0.22100122100122108</v>
      </c>
      <c r="E50" s="71">
        <f t="shared" si="84"/>
        <v>0.80564263322884022</v>
      </c>
      <c r="F50" s="71">
        <f t="shared" si="84"/>
        <v>4.6874999999999924E-2</v>
      </c>
      <c r="G50" s="71">
        <f t="shared" si="84"/>
        <v>0.10530679933665023</v>
      </c>
      <c r="H50" s="80">
        <f t="shared" si="64"/>
        <v>0.44761077269317517</v>
      </c>
      <c r="I50" s="80">
        <f t="shared" si="65"/>
        <v>0.11560789980786131</v>
      </c>
      <c r="P50" s="17">
        <f t="shared" si="53"/>
        <v>-0.16071148476958302</v>
      </c>
      <c r="Q50" s="17">
        <f t="shared" si="54"/>
        <v>8.8326192315796886E-2</v>
      </c>
      <c r="R50" s="17">
        <f t="shared" si="55"/>
        <v>1.1762132888981462</v>
      </c>
      <c r="S50" s="17">
        <f t="shared" si="56"/>
        <v>-0.2223347495306788</v>
      </c>
      <c r="U50" s="17">
        <f t="shared" si="66"/>
        <v>6.7391791881587698E-2</v>
      </c>
      <c r="V50" s="17">
        <f t="shared" si="67"/>
        <v>-7.5026622349866054E-2</v>
      </c>
      <c r="W50" s="17">
        <f t="shared" si="68"/>
        <v>-0.10994129657988774</v>
      </c>
      <c r="X50" s="17">
        <f t="shared" si="69"/>
        <v>0.53108026554013288</v>
      </c>
      <c r="Z50" s="17">
        <f t="shared" si="70"/>
        <v>-0.16717442308365715</v>
      </c>
      <c r="AA50" s="17">
        <f t="shared" si="71"/>
        <v>-0.12709321797376502</v>
      </c>
      <c r="AB50" s="17">
        <f t="shared" si="72"/>
        <v>-1</v>
      </c>
      <c r="AC50" s="17">
        <f t="shared" si="73"/>
        <v>-1</v>
      </c>
    </row>
    <row r="51" spans="1:29" ht="17" x14ac:dyDescent="0.2">
      <c r="A51" s="64" t="s">
        <v>37</v>
      </c>
      <c r="C51" s="17">
        <f t="shared" ref="C51:G51" si="85">(C25-B25)/ABS(B25)</f>
        <v>0.10721193699917235</v>
      </c>
      <c r="D51" s="17">
        <f t="shared" si="85"/>
        <v>0.22660344397304585</v>
      </c>
      <c r="E51" s="71">
        <f t="shared" si="85"/>
        <v>3.8860630722278328E-2</v>
      </c>
      <c r="F51" s="71">
        <f t="shared" si="85"/>
        <v>-0.11417939678809297</v>
      </c>
      <c r="G51" s="71">
        <f t="shared" si="85"/>
        <v>0.14768958655759709</v>
      </c>
      <c r="H51" s="80">
        <f t="shared" si="64"/>
        <v>5.0554498169911371E-3</v>
      </c>
      <c r="I51" s="80">
        <f t="shared" si="65"/>
        <v>0.11560789980786138</v>
      </c>
      <c r="P51" s="17">
        <f t="shared" si="53"/>
        <v>-0.22755411384074481</v>
      </c>
      <c r="Q51" s="17">
        <f t="shared" si="54"/>
        <v>-0.12112949004879013</v>
      </c>
      <c r="R51" s="17">
        <f t="shared" si="55"/>
        <v>-0.1652630354977494</v>
      </c>
      <c r="S51" s="17">
        <f t="shared" si="56"/>
        <v>1.6809583453768769E-2</v>
      </c>
      <c r="U51" s="17">
        <f t="shared" si="66"/>
        <v>0.1517743283057022</v>
      </c>
      <c r="V51" s="17">
        <f t="shared" si="67"/>
        <v>6.7194832817849673E-2</v>
      </c>
      <c r="W51" s="17">
        <f t="shared" si="68"/>
        <v>0.4693544535540895</v>
      </c>
      <c r="X51" s="17">
        <f t="shared" si="69"/>
        <v>-6.3802099783954892E-3</v>
      </c>
      <c r="Z51" s="17">
        <f t="shared" si="70"/>
        <v>0.20095447169991484</v>
      </c>
      <c r="AA51" s="17">
        <f t="shared" si="71"/>
        <v>0.29802523313219925</v>
      </c>
      <c r="AB51" s="17">
        <f t="shared" si="72"/>
        <v>-1</v>
      </c>
      <c r="AC51" s="17">
        <f t="shared" si="73"/>
        <v>-1</v>
      </c>
    </row>
    <row r="52" spans="1:29" x14ac:dyDescent="0.2">
      <c r="A52" s="67"/>
      <c r="C52" s="17"/>
      <c r="D52" s="17"/>
      <c r="E52" s="71"/>
      <c r="F52" s="71"/>
      <c r="G52" s="71"/>
      <c r="H52" s="80"/>
      <c r="I52" s="80"/>
      <c r="P52" s="17"/>
      <c r="Q52" s="17"/>
      <c r="R52" s="17"/>
      <c r="S52" s="17"/>
      <c r="U52" s="17"/>
      <c r="V52" s="17"/>
      <c r="W52" s="17"/>
      <c r="X52" s="17"/>
      <c r="Z52" s="17"/>
      <c r="AA52" s="17"/>
      <c r="AB52" s="17"/>
      <c r="AC52" s="17"/>
    </row>
    <row r="53" spans="1:29" ht="17" x14ac:dyDescent="0.2">
      <c r="A53" s="67" t="s">
        <v>38</v>
      </c>
      <c r="C53" s="17">
        <f t="shared" ref="C53:G53" si="86">(C27-B27)/ABS(B27)</f>
        <v>0.14440372334992188</v>
      </c>
      <c r="D53" s="17">
        <f t="shared" si="86"/>
        <v>0.29722366617496421</v>
      </c>
      <c r="E53" s="71">
        <f t="shared" si="86"/>
        <v>9.2591696715514857E-2</v>
      </c>
      <c r="F53" s="71">
        <f t="shared" si="86"/>
        <v>-7.497083072346214E-2</v>
      </c>
      <c r="G53" s="71">
        <f t="shared" si="86"/>
        <v>0.17013811339629153</v>
      </c>
      <c r="H53" s="80">
        <f t="shared" ref="H53:H54" si="87">(H27-G27)/ABS(G27)</f>
        <v>5.055449816991184E-3</v>
      </c>
      <c r="I53" s="80">
        <f t="shared" ref="I53:I54" si="88">(I27-H27)/ABS(H27)</f>
        <v>0.11560789980786125</v>
      </c>
      <c r="P53" s="17">
        <f t="shared" si="53"/>
        <v>-0.16875744300564544</v>
      </c>
      <c r="Q53" s="17">
        <f t="shared" si="54"/>
        <v>-7.6909342556740895E-2</v>
      </c>
      <c r="R53" s="17">
        <f t="shared" si="55"/>
        <v>-0.14054444112812547</v>
      </c>
      <c r="S53" s="17">
        <f t="shared" si="56"/>
        <v>4.3938060707858009E-2</v>
      </c>
      <c r="U53" s="17">
        <f t="shared" ref="U53:U54" si="89">(U27-P27)/ABS(P27)</f>
        <v>0.17519432863678927</v>
      </c>
      <c r="V53" s="17">
        <f t="shared" ref="V53:V54" si="90">(V27-Q27)/ABS(Q27)</f>
        <v>9.1365310982723463E-2</v>
      </c>
      <c r="W53" s="17">
        <f t="shared" ref="W53:W54" si="91">(W27-R27)/ABS(R27)</f>
        <v>0.49866391881455996</v>
      </c>
      <c r="X53" s="17">
        <f t="shared" ref="X53:X54" si="92">(X27-S27)/ABS(S27)</f>
        <v>9.855588521493772E-3</v>
      </c>
      <c r="Z53" s="17">
        <f t="shared" ref="Z53:Z54" si="93">(Z27-U27)/ABS(U27)</f>
        <v>0.21990458419785741</v>
      </c>
      <c r="AA53" s="17">
        <f t="shared" ref="AA53:AA54" si="94">(AA27-V27)/ABS(V27)</f>
        <v>0.30791380893416176</v>
      </c>
      <c r="AB53" s="17" t="e">
        <f t="shared" ref="AB53:AB54" si="95">(AB27-W27)/ABS(W27)</f>
        <v>#DIV/0!</v>
      </c>
      <c r="AC53" s="17" t="e">
        <f t="shared" ref="AC53:AC54" si="96">(AC27-X27)/ABS(X27)</f>
        <v>#DIV/0!</v>
      </c>
    </row>
    <row r="54" spans="1:29" ht="17" x14ac:dyDescent="0.2">
      <c r="A54" s="67" t="s">
        <v>39</v>
      </c>
      <c r="C54" s="17">
        <f t="shared" ref="C54:G54" si="97">(C28-B28)/ABS(B28)</f>
        <v>-3.2498833752376194E-2</v>
      </c>
      <c r="D54" s="17">
        <f t="shared" si="97"/>
        <v>-5.4439511121587479E-2</v>
      </c>
      <c r="E54" s="71">
        <f t="shared" si="97"/>
        <v>-4.9177626147772956E-2</v>
      </c>
      <c r="F54" s="71">
        <f t="shared" si="97"/>
        <v>-4.2386302364168384E-2</v>
      </c>
      <c r="G54" s="71">
        <f t="shared" si="97"/>
        <v>-1.9184510428036809E-2</v>
      </c>
      <c r="H54" s="80">
        <f t="shared" si="87"/>
        <v>0</v>
      </c>
      <c r="I54" s="80">
        <f t="shared" si="88"/>
        <v>0</v>
      </c>
      <c r="P54" s="17">
        <f t="shared" si="53"/>
        <v>-7.073347044176749E-2</v>
      </c>
      <c r="Q54" s="17">
        <f t="shared" si="54"/>
        <v>-4.7904447017726837E-2</v>
      </c>
      <c r="R54" s="17">
        <f t="shared" si="55"/>
        <v>-2.8760759197450195E-2</v>
      </c>
      <c r="S54" s="17">
        <f t="shared" si="56"/>
        <v>-2.5986673228193567E-2</v>
      </c>
      <c r="U54" s="17">
        <f t="shared" si="89"/>
        <v>-1.9928619259296378E-2</v>
      </c>
      <c r="V54" s="17">
        <f t="shared" si="90"/>
        <v>-2.2147009733257245E-2</v>
      </c>
      <c r="W54" s="17">
        <f t="shared" si="91"/>
        <v>-1.9557063389938831E-2</v>
      </c>
      <c r="X54" s="17">
        <f t="shared" si="92"/>
        <v>-1.607734678545451E-2</v>
      </c>
      <c r="Z54" s="17">
        <f t="shared" si="93"/>
        <v>-1.5534094013101228E-2</v>
      </c>
      <c r="AA54" s="17">
        <f t="shared" si="94"/>
        <v>-7.5605714492921923E-3</v>
      </c>
      <c r="AB54" s="17">
        <f t="shared" si="95"/>
        <v>-1</v>
      </c>
      <c r="AC54" s="17">
        <f t="shared" si="96"/>
        <v>-1</v>
      </c>
    </row>
    <row r="55" spans="1:29" x14ac:dyDescent="0.2">
      <c r="E55" s="72"/>
      <c r="F55" s="72"/>
      <c r="G55" s="72"/>
      <c r="H55" s="76"/>
      <c r="I55" s="76"/>
      <c r="P55" s="17"/>
      <c r="Q55" s="17"/>
      <c r="R55" s="17"/>
      <c r="S55" s="17"/>
      <c r="U55" s="17"/>
      <c r="V55" s="17"/>
      <c r="W55" s="17"/>
      <c r="X55" s="17"/>
      <c r="Z55" s="17"/>
      <c r="AA55" s="17"/>
      <c r="AB55" s="17"/>
      <c r="AC55" s="17"/>
    </row>
    <row r="56" spans="1:29" ht="17" x14ac:dyDescent="0.2">
      <c r="A56" s="68" t="s">
        <v>41</v>
      </c>
      <c r="E56" s="72"/>
      <c r="F56" s="72"/>
      <c r="G56" s="72"/>
      <c r="H56" s="76"/>
      <c r="I56" s="76"/>
    </row>
    <row r="57" spans="1:29" ht="17" x14ac:dyDescent="0.2">
      <c r="A57" s="66" t="s">
        <v>43</v>
      </c>
      <c r="E57" s="72"/>
      <c r="F57" s="72"/>
      <c r="G57" s="72"/>
      <c r="H57" s="76"/>
      <c r="I57" s="76"/>
    </row>
    <row r="58" spans="1:29" ht="17" x14ac:dyDescent="0.2">
      <c r="A58" s="63" t="s">
        <v>9</v>
      </c>
      <c r="B58" s="18">
        <f>B6/B$11</f>
        <v>0.11404684222791892</v>
      </c>
      <c r="C58" s="18">
        <f t="shared" ref="C58:G58" si="98">C6/C$11</f>
        <v>0.1184094174864596</v>
      </c>
      <c r="D58" s="18">
        <f t="shared" si="98"/>
        <v>0.12221007893139041</v>
      </c>
      <c r="E58" s="73">
        <f t="shared" si="98"/>
        <v>0.12390416303300134</v>
      </c>
      <c r="F58" s="73">
        <f t="shared" si="98"/>
        <v>0.12261135967909018</v>
      </c>
      <c r="G58" s="73">
        <f t="shared" si="98"/>
        <v>0.13504040719739249</v>
      </c>
      <c r="H58" s="81">
        <f t="shared" ref="H58:I58" si="99">H6/H$11</f>
        <v>0</v>
      </c>
      <c r="I58" s="81">
        <f t="shared" si="99"/>
        <v>0</v>
      </c>
      <c r="P58" s="18">
        <f t="shared" ref="P58:S58" si="100">P6/P$11</f>
        <v>0.12093667698825791</v>
      </c>
      <c r="Q58" s="18">
        <f t="shared" si="100"/>
        <v>0.12025926085870772</v>
      </c>
      <c r="R58" s="18">
        <f t="shared" si="100"/>
        <v>0.12060498074108456</v>
      </c>
      <c r="S58" s="18">
        <f t="shared" si="100"/>
        <v>0.12713982090615711</v>
      </c>
      <c r="U58" s="18">
        <f t="shared" ref="U58:X58" si="101">U6/U$11</f>
        <v>0.12969958941739443</v>
      </c>
      <c r="V58" s="18">
        <f t="shared" si="101"/>
        <v>0.13592068137966304</v>
      </c>
      <c r="W58" s="18">
        <f t="shared" si="101"/>
        <v>0.1346381651629758</v>
      </c>
      <c r="X58" s="18">
        <f t="shared" si="101"/>
        <v>0.13859364263862714</v>
      </c>
      <c r="Z58" s="18">
        <f t="shared" ref="Z58:AC58" si="102">Z6/Z$11</f>
        <v>0.13877141595376191</v>
      </c>
      <c r="AA58" s="18">
        <f t="shared" si="102"/>
        <v>0.13443669516167822</v>
      </c>
      <c r="AB58" s="18" t="e">
        <f t="shared" si="102"/>
        <v>#DIV/0!</v>
      </c>
      <c r="AC58" s="18" t="e">
        <f t="shared" si="102"/>
        <v>#DIV/0!</v>
      </c>
    </row>
    <row r="59" spans="1:29" ht="17" x14ac:dyDescent="0.2">
      <c r="A59" s="63" t="s">
        <v>10</v>
      </c>
      <c r="B59" s="18">
        <f t="shared" ref="B59:G62" si="103">B7/B$11</f>
        <v>0.14996504311349335</v>
      </c>
      <c r="C59" s="18">
        <f t="shared" si="103"/>
        <v>0.12534541837073063</v>
      </c>
      <c r="D59" s="18">
        <f t="shared" si="103"/>
        <v>0.11793564055859139</v>
      </c>
      <c r="E59" s="73">
        <f t="shared" si="103"/>
        <v>0.10992793867902879</v>
      </c>
      <c r="F59" s="73">
        <f t="shared" si="103"/>
        <v>9.8256595622754642E-2</v>
      </c>
      <c r="G59" s="73">
        <f t="shared" si="103"/>
        <v>8.3984462204759552E-2</v>
      </c>
      <c r="H59" s="81">
        <f t="shared" ref="H59:I59" si="104">H7/H$11</f>
        <v>0</v>
      </c>
      <c r="I59" s="81">
        <f t="shared" si="104"/>
        <v>0</v>
      </c>
      <c r="P59" s="18">
        <f t="shared" ref="P59:S59" si="105">P7/P$11</f>
        <v>0.10274944642184287</v>
      </c>
      <c r="Q59" s="18">
        <f t="shared" si="105"/>
        <v>0.10561763154090098</v>
      </c>
      <c r="R59" s="18">
        <f t="shared" si="105"/>
        <v>0.10517351740040203</v>
      </c>
      <c r="S59" s="18">
        <f t="shared" si="105"/>
        <v>8.4055735003745788E-2</v>
      </c>
      <c r="U59" s="18">
        <f t="shared" ref="U59:X59" si="106">U7/U$11</f>
        <v>8.288868193807486E-2</v>
      </c>
      <c r="V59" s="18">
        <f t="shared" si="106"/>
        <v>8.5586267002528735E-2</v>
      </c>
      <c r="W59" s="18">
        <f t="shared" si="106"/>
        <v>8.3979243907448306E-2</v>
      </c>
      <c r="X59" s="18">
        <f t="shared" si="106"/>
        <v>8.3606800420820943E-2</v>
      </c>
      <c r="Z59" s="18">
        <f t="shared" ref="Z59:AC59" si="107">Z7/Z$11</f>
        <v>8.5418573969226863E-2</v>
      </c>
      <c r="AA59" s="18">
        <f t="shared" si="107"/>
        <v>8.4049352485479206E-2</v>
      </c>
      <c r="AB59" s="18" t="e">
        <f t="shared" si="107"/>
        <v>#DIV/0!</v>
      </c>
      <c r="AC59" s="18" t="e">
        <f t="shared" si="107"/>
        <v>#DIV/0!</v>
      </c>
    </row>
    <row r="60" spans="1:29" ht="17" x14ac:dyDescent="0.2">
      <c r="A60" s="63" t="s">
        <v>11</v>
      </c>
      <c r="B60" s="18">
        <f t="shared" si="103"/>
        <v>0.10443369843859242</v>
      </c>
      <c r="C60" s="18">
        <f t="shared" si="103"/>
        <v>0.10799159942522382</v>
      </c>
      <c r="D60" s="18">
        <f t="shared" si="103"/>
        <v>0.11225258044930175</v>
      </c>
      <c r="E60" s="73">
        <f t="shared" si="103"/>
        <v>0.11004268600541608</v>
      </c>
      <c r="F60" s="73">
        <f t="shared" si="103"/>
        <v>0.10696259725375241</v>
      </c>
      <c r="G60" s="73">
        <f t="shared" si="103"/>
        <v>0.10563914810019197</v>
      </c>
      <c r="H60" s="81">
        <f t="shared" ref="H60:I60" si="108">H8/H$11</f>
        <v>0</v>
      </c>
      <c r="I60" s="81">
        <f t="shared" si="108"/>
        <v>0</v>
      </c>
      <c r="P60" s="18">
        <f t="shared" ref="P60:S60" si="109">P8/P$11</f>
        <v>0.10541374218834217</v>
      </c>
      <c r="Q60" s="18">
        <f t="shared" si="109"/>
        <v>0.104283587217959</v>
      </c>
      <c r="R60" s="18">
        <f t="shared" si="109"/>
        <v>0.10686264968238698</v>
      </c>
      <c r="S60" s="18">
        <f t="shared" si="109"/>
        <v>0.11023098896662983</v>
      </c>
      <c r="U60" s="18">
        <f t="shared" ref="U60:X60" si="110">U8/U$11</f>
        <v>0.1100412144498525</v>
      </c>
      <c r="V60" s="18">
        <f t="shared" si="110"/>
        <v>0.10878007313881052</v>
      </c>
      <c r="W60" s="18">
        <f t="shared" si="110"/>
        <v>0.10856359157102517</v>
      </c>
      <c r="X60" s="18">
        <f t="shared" si="110"/>
        <v>9.7989125941216212E-2</v>
      </c>
      <c r="Z60" s="18">
        <f t="shared" ref="Z60:AC60" si="111">Z8/Z$11</f>
        <v>0.10169207124529916</v>
      </c>
      <c r="AA60" s="18">
        <f t="shared" si="111"/>
        <v>0.11383064780602987</v>
      </c>
      <c r="AB60" s="18" t="e">
        <f t="shared" si="111"/>
        <v>#DIV/0!</v>
      </c>
      <c r="AC60" s="18" t="e">
        <f t="shared" si="111"/>
        <v>#DIV/0!</v>
      </c>
    </row>
    <row r="61" spans="1:29" ht="17" x14ac:dyDescent="0.2">
      <c r="A61" s="63" t="s">
        <v>12</v>
      </c>
      <c r="B61" s="18">
        <f t="shared" si="103"/>
        <v>0.56609764623630854</v>
      </c>
      <c r="C61" s="18">
        <f t="shared" si="103"/>
        <v>0.58165690284072069</v>
      </c>
      <c r="D61" s="18">
        <f t="shared" si="103"/>
        <v>0.58693381906496656</v>
      </c>
      <c r="E61" s="73">
        <f t="shared" si="103"/>
        <v>0.58773580575572593</v>
      </c>
      <c r="F61" s="73">
        <f t="shared" si="103"/>
        <v>0.60714994159264735</v>
      </c>
      <c r="G61" s="73">
        <f t="shared" si="103"/>
        <v>0.60610796088761876</v>
      </c>
      <c r="H61" s="81">
        <f t="shared" ref="H61:I61" si="112">H9/H$11</f>
        <v>0</v>
      </c>
      <c r="I61" s="81">
        <f t="shared" si="112"/>
        <v>0</v>
      </c>
      <c r="P61" s="18">
        <f t="shared" ref="P61:S61" si="113">P9/P$11</f>
        <v>0.60282609190139136</v>
      </c>
      <c r="Q61" s="18">
        <f t="shared" si="113"/>
        <v>0.60701926994635658</v>
      </c>
      <c r="R61" s="18">
        <f t="shared" si="113"/>
        <v>0.60460828975590397</v>
      </c>
      <c r="S61" s="18">
        <f t="shared" si="113"/>
        <v>0.61234593971833695</v>
      </c>
      <c r="U61" s="18">
        <f t="shared" ref="U61:X61" si="114">U9/U$11</f>
        <v>0.60935886247337467</v>
      </c>
      <c r="V61" s="18">
        <f t="shared" si="114"/>
        <v>0.60091233199983995</v>
      </c>
      <c r="W61" s="18">
        <f t="shared" si="114"/>
        <v>0.60162494001621625</v>
      </c>
      <c r="X61" s="18">
        <f t="shared" si="114"/>
        <v>0.61083613928146818</v>
      </c>
      <c r="Z61" s="18">
        <f t="shared" ref="Z61:AC61" si="115">Z9/Z$11</f>
        <v>0.60776824164912646</v>
      </c>
      <c r="AA61" s="18">
        <f t="shared" si="115"/>
        <v>0.60054876582347683</v>
      </c>
      <c r="AB61" s="18" t="e">
        <f t="shared" si="115"/>
        <v>#DIV/0!</v>
      </c>
      <c r="AC61" s="18" t="e">
        <f t="shared" si="115"/>
        <v>#DIV/0!</v>
      </c>
    </row>
    <row r="62" spans="1:29" ht="17" x14ac:dyDescent="0.2">
      <c r="A62" s="63" t="s">
        <v>13</v>
      </c>
      <c r="B62" s="18">
        <f t="shared" si="103"/>
        <v>6.5456769983686783E-2</v>
      </c>
      <c r="C62" s="18">
        <f t="shared" si="103"/>
        <v>6.6596661876865262E-2</v>
      </c>
      <c r="D62" s="18">
        <f t="shared" si="103"/>
        <v>6.0667880995749851E-2</v>
      </c>
      <c r="E62" s="73">
        <f t="shared" si="103"/>
        <v>6.8389406526827928E-2</v>
      </c>
      <c r="F62" s="73">
        <f t="shared" si="103"/>
        <v>6.5019505851755532E-2</v>
      </c>
      <c r="G62" s="73">
        <f t="shared" si="103"/>
        <v>6.9228021610037049E-2</v>
      </c>
      <c r="H62" s="81">
        <f t="shared" ref="H62:I62" si="116">H10/H$11</f>
        <v>0</v>
      </c>
      <c r="I62" s="81">
        <f t="shared" si="116"/>
        <v>0</v>
      </c>
      <c r="P62" s="18">
        <f t="shared" ref="P62:S62" si="117">P10/P$11</f>
        <v>6.8074042500165646E-2</v>
      </c>
      <c r="Q62" s="18">
        <f t="shared" si="117"/>
        <v>6.2820250436075711E-2</v>
      </c>
      <c r="R62" s="18">
        <f t="shared" si="117"/>
        <v>6.2750562420222422E-2</v>
      </c>
      <c r="S62" s="18">
        <f t="shared" si="117"/>
        <v>6.6227515405130319E-2</v>
      </c>
      <c r="U62" s="18">
        <f t="shared" ref="U62:X62" si="118">U10/U$11</f>
        <v>6.8011651721303648E-2</v>
      </c>
      <c r="V62" s="18">
        <f t="shared" si="118"/>
        <v>6.880064647915779E-2</v>
      </c>
      <c r="W62" s="18">
        <f t="shared" si="118"/>
        <v>7.1194059342334373E-2</v>
      </c>
      <c r="X62" s="18">
        <f t="shared" si="118"/>
        <v>6.8974291717867509E-2</v>
      </c>
      <c r="Z62" s="18">
        <f t="shared" ref="Z62:AC62" si="119">Z10/Z$11</f>
        <v>6.6349697182585668E-2</v>
      </c>
      <c r="AA62" s="18">
        <f t="shared" si="119"/>
        <v>6.7134538723336037E-2</v>
      </c>
      <c r="AB62" s="18" t="e">
        <f t="shared" si="119"/>
        <v>#DIV/0!</v>
      </c>
      <c r="AC62" s="18" t="e">
        <f t="shared" si="119"/>
        <v>#DIV/0!</v>
      </c>
    </row>
    <row r="63" spans="1:29" ht="17" x14ac:dyDescent="0.2">
      <c r="A63" s="62" t="s">
        <v>45</v>
      </c>
      <c r="E63" s="72"/>
      <c r="F63" s="72"/>
      <c r="G63" s="72"/>
      <c r="H63" s="76"/>
      <c r="I63" s="76"/>
    </row>
    <row r="64" spans="1:29" ht="17" x14ac:dyDescent="0.2">
      <c r="A64" s="57" t="s">
        <v>10</v>
      </c>
      <c r="B64" s="18">
        <f>(B7-B13)/ABS(B7)</f>
        <v>0.22649572649572644</v>
      </c>
      <c r="C64" s="18">
        <f t="shared" ref="C64:G64" si="120">(C7-C13)/ABS(C7)</f>
        <v>0.23677248677248683</v>
      </c>
      <c r="D64" s="18">
        <f t="shared" si="120"/>
        <v>0.21828665568369027</v>
      </c>
      <c r="E64" s="73">
        <f t="shared" si="120"/>
        <v>0.21899791231732771</v>
      </c>
      <c r="F64" s="73">
        <f t="shared" si="120"/>
        <v>0.15208613728129208</v>
      </c>
      <c r="G64" s="73">
        <f t="shared" si="120"/>
        <v>0.1634768740031898</v>
      </c>
      <c r="H64" s="81" t="e">
        <f t="shared" ref="H64:I64" si="121">(H7-H13)/ABS(H7)</f>
        <v>#DIV/0!</v>
      </c>
      <c r="I64" s="81" t="e">
        <f t="shared" si="121"/>
        <v>#DIV/0!</v>
      </c>
      <c r="P64" s="18">
        <f t="shared" ref="P64:S64" si="122">(P7-P13)/ABS(P7)</f>
        <v>0.15900668944607532</v>
      </c>
      <c r="Q64" s="18">
        <f t="shared" si="122"/>
        <v>0.16388153099500452</v>
      </c>
      <c r="R64" s="18">
        <f t="shared" si="122"/>
        <v>0.1227800121009361</v>
      </c>
      <c r="S64" s="18">
        <f t="shared" si="122"/>
        <v>0.16266609698782311</v>
      </c>
      <c r="U64" s="18">
        <f t="shared" ref="U64:X64" si="123">(U7-U13)/ABS(U7)</f>
        <v>0.16887093545005946</v>
      </c>
      <c r="V64" s="18">
        <f t="shared" si="123"/>
        <v>0.18554291057540995</v>
      </c>
      <c r="W64" s="18">
        <f t="shared" si="123"/>
        <v>0.15836202000533162</v>
      </c>
      <c r="X64" s="18">
        <f t="shared" si="123"/>
        <v>0.14692492625620224</v>
      </c>
      <c r="Z64" s="18">
        <f t="shared" ref="Z64:AC64" si="124">(Z7-Z13)/ABS(Z7)</f>
        <v>0.1747563384386232</v>
      </c>
      <c r="AA64" s="18">
        <f t="shared" si="124"/>
        <v>0.17563730165611721</v>
      </c>
      <c r="AB64" s="18" t="e">
        <f t="shared" si="124"/>
        <v>#DIV/0!</v>
      </c>
      <c r="AC64" s="18" t="e">
        <f t="shared" si="124"/>
        <v>#DIV/0!</v>
      </c>
    </row>
    <row r="65" spans="1:29" ht="17" x14ac:dyDescent="0.2">
      <c r="A65" s="57" t="s">
        <v>11</v>
      </c>
      <c r="B65" s="18">
        <f>(B8-B18)/ABS(B18)</f>
        <v>0</v>
      </c>
      <c r="C65" s="18">
        <f t="shared" ref="C65:G65" si="125">(C8-C18)/ABS(C18)</f>
        <v>0</v>
      </c>
      <c r="D65" s="18">
        <f t="shared" si="125"/>
        <v>0</v>
      </c>
      <c r="E65" s="73">
        <f t="shared" si="125"/>
        <v>0</v>
      </c>
      <c r="F65" s="73">
        <f t="shared" si="125"/>
        <v>0</v>
      </c>
      <c r="G65" s="73">
        <f t="shared" si="125"/>
        <v>0</v>
      </c>
      <c r="H65" s="81">
        <f t="shared" ref="H65:I65" si="126">(H8-H18)/ABS(H18)</f>
        <v>-1</v>
      </c>
      <c r="I65" s="81">
        <f t="shared" si="126"/>
        <v>-1</v>
      </c>
      <c r="P65" s="18">
        <f t="shared" ref="P65:S65" si="127">(P8-P18)/ABS(P18)</f>
        <v>0</v>
      </c>
      <c r="Q65" s="18">
        <f t="shared" si="127"/>
        <v>0</v>
      </c>
      <c r="R65" s="18">
        <f t="shared" si="127"/>
        <v>0</v>
      </c>
      <c r="S65" s="18">
        <f t="shared" si="127"/>
        <v>0</v>
      </c>
      <c r="U65" s="18">
        <f t="shared" ref="U65:X65" si="128">(U8-U18)/ABS(U18)</f>
        <v>0</v>
      </c>
      <c r="V65" s="18">
        <f t="shared" si="128"/>
        <v>0</v>
      </c>
      <c r="W65" s="18">
        <f t="shared" si="128"/>
        <v>0</v>
      </c>
      <c r="X65" s="18">
        <f t="shared" si="128"/>
        <v>0</v>
      </c>
      <c r="Z65" s="18">
        <f t="shared" ref="Z65:AC65" si="129">(Z8-Z18)/ABS(Z18)</f>
        <v>0</v>
      </c>
      <c r="AA65" s="18">
        <f t="shared" si="129"/>
        <v>0</v>
      </c>
      <c r="AB65" s="18" t="e">
        <f t="shared" si="129"/>
        <v>#DIV/0!</v>
      </c>
      <c r="AC65" s="18" t="e">
        <f t="shared" si="129"/>
        <v>#DIV/0!</v>
      </c>
    </row>
    <row r="66" spans="1:29" s="2" customFormat="1" ht="17" x14ac:dyDescent="0.2">
      <c r="A66" s="57" t="s">
        <v>12</v>
      </c>
      <c r="B66" s="74">
        <f t="shared" ref="B66:G66" si="130">(B9-B14)/ABS(B9)</f>
        <v>0.10873256831163483</v>
      </c>
      <c r="C66" s="74">
        <f t="shared" si="130"/>
        <v>0.11154924224428722</v>
      </c>
      <c r="D66" s="74">
        <f t="shared" si="130"/>
        <v>0.1131294740762195</v>
      </c>
      <c r="E66" s="74">
        <f t="shared" si="130"/>
        <v>0.10386567746973838</v>
      </c>
      <c r="F66" s="74">
        <f t="shared" si="130"/>
        <v>8.8648491668784205E-2</v>
      </c>
      <c r="G66" s="74">
        <f t="shared" si="130"/>
        <v>0.1022836095764272</v>
      </c>
      <c r="H66" s="82" t="e">
        <f t="shared" ref="H66:I66" si="131">(H9-H14)/ABS(H9)</f>
        <v>#DIV/0!</v>
      </c>
      <c r="I66" s="82" t="e">
        <f t="shared" si="131"/>
        <v>#DIV/0!</v>
      </c>
      <c r="P66" s="19">
        <f t="shared" ref="P66:S66" si="132">(P9-P14)/ABS(P9)</f>
        <v>8.9241682757851395E-2</v>
      </c>
      <c r="Q66" s="19">
        <f t="shared" si="132"/>
        <v>9.547685845347724E-2</v>
      </c>
      <c r="R66" s="19">
        <f t="shared" si="132"/>
        <v>8.9655802204673646E-2</v>
      </c>
      <c r="S66" s="19">
        <f t="shared" si="132"/>
        <v>8.2287129909082102E-2</v>
      </c>
      <c r="U66" s="19">
        <f t="shared" ref="U66:X66" si="133">(U9-U14)/ABS(U9)</f>
        <v>8.9626193077507188E-2</v>
      </c>
      <c r="V66" s="19">
        <f t="shared" si="133"/>
        <v>0.10908202062331193</v>
      </c>
      <c r="W66" s="19">
        <f t="shared" si="133"/>
        <v>9.951365991140397E-2</v>
      </c>
      <c r="X66" s="19">
        <f t="shared" si="133"/>
        <v>0.10866338539952804</v>
      </c>
      <c r="Z66" s="19">
        <f t="shared" ref="Z66:AC66" si="134">(Z9-Z14)/ABS(Z9)</f>
        <v>0.11057865882702747</v>
      </c>
      <c r="AA66" s="19">
        <f t="shared" si="134"/>
        <v>0.11315688879989817</v>
      </c>
      <c r="AB66" s="19" t="e">
        <f t="shared" si="134"/>
        <v>#DIV/0!</v>
      </c>
      <c r="AC66" s="19" t="e">
        <f t="shared" si="134"/>
        <v>#DIV/0!</v>
      </c>
    </row>
    <row r="67" spans="1:29" ht="17" x14ac:dyDescent="0.2">
      <c r="A67" s="62" t="s">
        <v>42</v>
      </c>
      <c r="E67" s="72"/>
      <c r="F67" s="72"/>
      <c r="G67" s="72"/>
      <c r="H67" s="76"/>
      <c r="I67" s="76"/>
    </row>
    <row r="68" spans="1:29" ht="17" x14ac:dyDescent="0.2">
      <c r="A68" s="57" t="s">
        <v>10</v>
      </c>
      <c r="B68" s="18">
        <f>B13/B$11</f>
        <v>0.11599860172453974</v>
      </c>
      <c r="C68" s="18">
        <f t="shared" ref="C68:G68" si="135">C13/C$11</f>
        <v>9.5667071957554986E-2</v>
      </c>
      <c r="D68" s="18">
        <f t="shared" si="135"/>
        <v>9.2191863995142689E-2</v>
      </c>
      <c r="E68" s="73">
        <f t="shared" si="135"/>
        <v>8.5853949602974267E-2</v>
      </c>
      <c r="F68" s="73">
        <f t="shared" si="135"/>
        <v>8.3313129532079977E-2</v>
      </c>
      <c r="G68" s="73">
        <f t="shared" si="135"/>
        <v>7.0254944858686413E-2</v>
      </c>
      <c r="H68" s="81">
        <f t="shared" ref="H68:I68" si="136">H13/H$11</f>
        <v>0</v>
      </c>
      <c r="I68" s="81">
        <f t="shared" si="136"/>
        <v>0</v>
      </c>
      <c r="P68" s="18">
        <f t="shared" ref="P68:S68" si="137">P13/P$11</f>
        <v>8.6411597103888738E-2</v>
      </c>
      <c r="Q68" s="18">
        <f t="shared" si="137"/>
        <v>8.8308852383911854E-2</v>
      </c>
      <c r="R68" s="18">
        <f t="shared" si="137"/>
        <v>9.2260311661282651E-2</v>
      </c>
      <c r="S68" s="18">
        <f t="shared" si="137"/>
        <v>7.0382716661243724E-2</v>
      </c>
      <c r="U68" s="18">
        <f t="shared" ref="U68:X68" si="138">U13/U$11</f>
        <v>6.8891192680969715E-2</v>
      </c>
      <c r="V68" s="18">
        <f t="shared" si="138"/>
        <v>6.970634191759538E-2</v>
      </c>
      <c r="W68" s="18">
        <f t="shared" si="138"/>
        <v>7.0680121203744353E-2</v>
      </c>
      <c r="X68" s="18">
        <f t="shared" si="138"/>
        <v>7.132287743447481E-2</v>
      </c>
      <c r="Z68" s="18">
        <f t="shared" ref="Z68:AC68" si="139">Z13/Z$11</f>
        <v>7.0491136747716079E-2</v>
      </c>
      <c r="AA68" s="18">
        <f t="shared" si="139"/>
        <v>6.9287151008985776E-2</v>
      </c>
      <c r="AB68" s="18" t="e">
        <f t="shared" si="139"/>
        <v>#DIV/0!</v>
      </c>
      <c r="AC68" s="18" t="e">
        <f t="shared" si="139"/>
        <v>#DIV/0!</v>
      </c>
    </row>
    <row r="69" spans="1:29" ht="17" x14ac:dyDescent="0.2">
      <c r="A69" s="57" t="s">
        <v>12</v>
      </c>
      <c r="B69" s="18">
        <f t="shared" ref="B69:G70" si="140">B14/B$11</f>
        <v>0.50454439524586348</v>
      </c>
      <c r="C69" s="18">
        <f t="shared" si="140"/>
        <v>0.5167735160826793</v>
      </c>
      <c r="D69" s="18">
        <f t="shared" si="140"/>
        <v>0.5205343047965999</v>
      </c>
      <c r="E69" s="73">
        <f t="shared" si="140"/>
        <v>0.52669022811768496</v>
      </c>
      <c r="F69" s="73">
        <f t="shared" si="140"/>
        <v>0.55332701505366866</v>
      </c>
      <c r="G69" s="73">
        <f t="shared" si="140"/>
        <v>0.54411305085502515</v>
      </c>
      <c r="H69" s="81">
        <f t="shared" ref="H69:I69" si="141">H14/H$11</f>
        <v>0</v>
      </c>
      <c r="I69" s="81">
        <f t="shared" si="141"/>
        <v>0</v>
      </c>
      <c r="P69" s="18">
        <f t="shared" ref="P69:S69" si="142">P14/P$11</f>
        <v>0.5490288770497721</v>
      </c>
      <c r="Q69" s="18">
        <f t="shared" si="142"/>
        <v>0.54906297703115525</v>
      </c>
      <c r="R69" s="18">
        <f t="shared" si="142"/>
        <v>0.55040164851824269</v>
      </c>
      <c r="S69" s="18">
        <f t="shared" si="142"/>
        <v>0.56195774982743529</v>
      </c>
      <c r="U69" s="18">
        <f t="shared" ref="U69:X69" si="143">U14/U$11</f>
        <v>0.55474434741184586</v>
      </c>
      <c r="V69" s="18">
        <f t="shared" si="143"/>
        <v>0.53536360060783095</v>
      </c>
      <c r="W69" s="18">
        <f t="shared" si="143"/>
        <v>0.54175504034122368</v>
      </c>
      <c r="X69" s="18">
        <f t="shared" si="143"/>
        <v>0.54446061646276622</v>
      </c>
      <c r="Z69" s="18">
        <f t="shared" ref="Z69:AC69" si="144">Z14/Z$11</f>
        <v>0.54056204460990531</v>
      </c>
      <c r="AA69" s="18">
        <f t="shared" si="144"/>
        <v>0.53259253591027356</v>
      </c>
      <c r="AB69" s="18" t="e">
        <f t="shared" si="144"/>
        <v>#DIV/0!</v>
      </c>
      <c r="AC69" s="18" t="e">
        <f t="shared" si="144"/>
        <v>#DIV/0!</v>
      </c>
    </row>
    <row r="70" spans="1:29" ht="17" x14ac:dyDescent="0.2">
      <c r="A70" s="69" t="s">
        <v>27</v>
      </c>
      <c r="B70" s="18">
        <f t="shared" si="140"/>
        <v>0.62054299697040316</v>
      </c>
      <c r="C70" s="18">
        <f t="shared" si="140"/>
        <v>0.61244058804023427</v>
      </c>
      <c r="D70" s="18">
        <f t="shared" si="140"/>
        <v>0.61272616879174258</v>
      </c>
      <c r="E70" s="73">
        <f t="shared" si="140"/>
        <v>0.61254417772065917</v>
      </c>
      <c r="F70" s="73">
        <f t="shared" si="140"/>
        <v>0.63664014458574869</v>
      </c>
      <c r="G70" s="73">
        <f t="shared" si="140"/>
        <v>0.61436799571371159</v>
      </c>
      <c r="H70" s="81">
        <f t="shared" ref="H70:I70" si="145">H15/H$11</f>
        <v>0.61436799571371148</v>
      </c>
      <c r="I70" s="81">
        <f t="shared" si="145"/>
        <v>0.61436799571371148</v>
      </c>
      <c r="P70" s="18">
        <f t="shared" ref="P70:S70" si="146">P15/P$11</f>
        <v>0.63544047415366078</v>
      </c>
      <c r="Q70" s="18">
        <f t="shared" si="146"/>
        <v>0.63737182941506698</v>
      </c>
      <c r="R70" s="18">
        <f t="shared" si="146"/>
        <v>0.64266196017952537</v>
      </c>
      <c r="S70" s="18">
        <f t="shared" si="146"/>
        <v>0.63234046648867903</v>
      </c>
      <c r="U70" s="18">
        <f t="shared" ref="U70:X70" si="147">U15/U$11</f>
        <v>0.62363554009281552</v>
      </c>
      <c r="V70" s="18">
        <f t="shared" si="147"/>
        <v>0.60506994252542634</v>
      </c>
      <c r="W70" s="18">
        <f t="shared" si="147"/>
        <v>0.61243516154496802</v>
      </c>
      <c r="X70" s="18">
        <f t="shared" si="147"/>
        <v>0.61578349389724107</v>
      </c>
      <c r="Z70" s="18">
        <f t="shared" ref="Z70:AC70" si="148">Z15/Z$11</f>
        <v>0.61105318135762143</v>
      </c>
      <c r="AA70" s="18">
        <f t="shared" si="148"/>
        <v>0.6018796869192593</v>
      </c>
      <c r="AB70" s="18" t="e">
        <f t="shared" si="148"/>
        <v>#DIV/0!</v>
      </c>
      <c r="AC70" s="18" t="e">
        <f t="shared" si="148"/>
        <v>#DIV/0!</v>
      </c>
    </row>
    <row r="71" spans="1:29" ht="17" x14ac:dyDescent="0.2">
      <c r="A71" s="57" t="s">
        <v>29</v>
      </c>
      <c r="B71" s="18">
        <f>B17/B$11</f>
        <v>0.10851200186436728</v>
      </c>
      <c r="C71" s="18">
        <f t="shared" ref="C71:G71" si="149">C17/C$11</f>
        <v>0.10564275450425555</v>
      </c>
      <c r="D71" s="18">
        <f t="shared" si="149"/>
        <v>9.8749241044323019E-2</v>
      </c>
      <c r="E71" s="73">
        <f t="shared" si="149"/>
        <v>9.8292559783357061E-2</v>
      </c>
      <c r="F71" s="73">
        <f t="shared" si="149"/>
        <v>9.1798726058495525E-2</v>
      </c>
      <c r="G71" s="73">
        <f t="shared" si="149"/>
        <v>9.7021922578916814E-2</v>
      </c>
      <c r="H71" s="83">
        <f>G71*0.95</f>
        <v>9.2170826449970975E-2</v>
      </c>
      <c r="I71" s="83">
        <f>H71*0.95</f>
        <v>8.7562285127472425E-2</v>
      </c>
      <c r="P71" s="18">
        <f t="shared" ref="P71:S71" si="150">P17/P$11</f>
        <v>9.6419024298100481E-2</v>
      </c>
      <c r="Q71" s="18">
        <f t="shared" si="150"/>
        <v>9.1129966522153008E-2</v>
      </c>
      <c r="R71" s="18">
        <f t="shared" si="150"/>
        <v>8.5350310126558582E-2</v>
      </c>
      <c r="S71" s="18">
        <f t="shared" si="150"/>
        <v>9.3917604190683873E-2</v>
      </c>
      <c r="U71" s="18">
        <f t="shared" ref="U71:X71" si="151">U17/U$11</f>
        <v>9.2921891686629607E-2</v>
      </c>
      <c r="V71" s="18">
        <f t="shared" si="151"/>
        <v>9.5443512614834469E-2</v>
      </c>
      <c r="W71" s="18">
        <f t="shared" si="151"/>
        <v>9.4614259252589886E-2</v>
      </c>
      <c r="X71" s="18">
        <f t="shared" si="151"/>
        <v>0.10290155469959486</v>
      </c>
      <c r="Z71" s="18">
        <f t="shared" ref="Z71:AC71" si="152">Z17/Z$11</f>
        <v>9.3139980104126052E-2</v>
      </c>
      <c r="AA71" s="18">
        <f t="shared" si="152"/>
        <v>0.1056237565316251</v>
      </c>
      <c r="AB71" s="18" t="e">
        <f t="shared" si="152"/>
        <v>#DIV/0!</v>
      </c>
      <c r="AC71" s="18" t="e">
        <f t="shared" si="152"/>
        <v>#DIV/0!</v>
      </c>
    </row>
    <row r="72" spans="1:29" ht="17" x14ac:dyDescent="0.2">
      <c r="A72" s="57" t="s">
        <v>31</v>
      </c>
      <c r="B72" s="18">
        <f t="shared" ref="B72:G73" si="153">B18/B$11</f>
        <v>0.10443369843859242</v>
      </c>
      <c r="C72" s="18">
        <f t="shared" si="153"/>
        <v>0.10799159942522382</v>
      </c>
      <c r="D72" s="18">
        <f t="shared" si="153"/>
        <v>0.11225258044930175</v>
      </c>
      <c r="E72" s="73">
        <f t="shared" si="153"/>
        <v>0.11004268600541608</v>
      </c>
      <c r="F72" s="73">
        <f t="shared" si="153"/>
        <v>0.10696259725375241</v>
      </c>
      <c r="G72" s="73">
        <f t="shared" si="153"/>
        <v>0.10563914810019197</v>
      </c>
      <c r="H72" s="83">
        <f t="shared" ref="H72:I72" si="154">G72*0.95</f>
        <v>0.10035719069518237</v>
      </c>
      <c r="I72" s="83">
        <f t="shared" si="154"/>
        <v>9.5339331160423244E-2</v>
      </c>
      <c r="P72" s="18">
        <f t="shared" ref="P72:S72" si="155">P18/P$11</f>
        <v>0.10541374218834217</v>
      </c>
      <c r="Q72" s="18">
        <f t="shared" si="155"/>
        <v>0.104283587217959</v>
      </c>
      <c r="R72" s="18">
        <f t="shared" si="155"/>
        <v>0.10686264968238698</v>
      </c>
      <c r="S72" s="18">
        <f t="shared" si="155"/>
        <v>0.11023098896662983</v>
      </c>
      <c r="U72" s="18">
        <f t="shared" ref="U72:X72" si="156">U18/U$11</f>
        <v>0.1100412144498525</v>
      </c>
      <c r="V72" s="18">
        <f t="shared" si="156"/>
        <v>0.10878007313881052</v>
      </c>
      <c r="W72" s="18">
        <f t="shared" si="156"/>
        <v>0.10856359157102517</v>
      </c>
      <c r="X72" s="18">
        <f t="shared" si="156"/>
        <v>9.7989125941216212E-2</v>
      </c>
      <c r="Z72" s="18">
        <f t="shared" ref="Z72:AC72" si="157">Z18/Z$11</f>
        <v>0.10169207124529916</v>
      </c>
      <c r="AA72" s="18">
        <f t="shared" si="157"/>
        <v>0.11383064780602987</v>
      </c>
      <c r="AB72" s="18" t="e">
        <f t="shared" si="157"/>
        <v>#DIV/0!</v>
      </c>
      <c r="AC72" s="18" t="e">
        <f t="shared" si="157"/>
        <v>#DIV/0!</v>
      </c>
    </row>
    <row r="73" spans="1:29" ht="17" x14ac:dyDescent="0.2">
      <c r="A73" s="57" t="s">
        <v>30</v>
      </c>
      <c r="B73" s="18">
        <f t="shared" si="153"/>
        <v>0</v>
      </c>
      <c r="C73" s="18">
        <f t="shared" si="153"/>
        <v>0</v>
      </c>
      <c r="D73" s="18">
        <f t="shared" si="153"/>
        <v>0</v>
      </c>
      <c r="E73" s="73">
        <f t="shared" si="153"/>
        <v>0</v>
      </c>
      <c r="F73" s="73">
        <f t="shared" si="153"/>
        <v>-4.6725882171431091E-3</v>
      </c>
      <c r="G73" s="73">
        <f t="shared" si="153"/>
        <v>2.2324418448899403E-5</v>
      </c>
      <c r="H73" s="83">
        <f t="shared" ref="H73:I73" si="158">G73*0.95</f>
        <v>2.1208197526454433E-5</v>
      </c>
      <c r="I73" s="83">
        <f t="shared" si="158"/>
        <v>2.0147787650131711E-5</v>
      </c>
      <c r="P73" s="18">
        <f t="shared" ref="P73:S73" si="159">P19/P$11</f>
        <v>0</v>
      </c>
      <c r="Q73" s="18">
        <f t="shared" si="159"/>
        <v>0</v>
      </c>
      <c r="R73" s="18">
        <f t="shared" si="159"/>
        <v>0</v>
      </c>
      <c r="S73" s="18">
        <f t="shared" si="159"/>
        <v>-1.5207964770214136E-2</v>
      </c>
      <c r="U73" s="18">
        <f t="shared" ref="U73:X73" si="160">U19/U$11</f>
        <v>1.4545127967840625E-4</v>
      </c>
      <c r="V73" s="18">
        <f t="shared" si="160"/>
        <v>0</v>
      </c>
      <c r="W73" s="18">
        <f t="shared" si="160"/>
        <v>0</v>
      </c>
      <c r="X73" s="18">
        <f t="shared" si="160"/>
        <v>0</v>
      </c>
      <c r="Z73" s="18">
        <f t="shared" ref="Z73:AC73" si="161">Z19/Z$11</f>
        <v>1.2262053921690652E-4</v>
      </c>
      <c r="AA73" s="18">
        <f t="shared" si="161"/>
        <v>2.2774146060619314E-5</v>
      </c>
      <c r="AB73" s="18" t="e">
        <f t="shared" si="161"/>
        <v>#DIV/0!</v>
      </c>
      <c r="AC73" s="18" t="e">
        <f t="shared" si="161"/>
        <v>#DIV/0!</v>
      </c>
    </row>
    <row r="74" spans="1:29" ht="17" x14ac:dyDescent="0.2">
      <c r="A74" s="69" t="s">
        <v>44</v>
      </c>
      <c r="B74" s="18">
        <f>(SUM(B17:B19)+B15)/ABS(B11)</f>
        <v>0.83348869727336283</v>
      </c>
      <c r="C74" s="18">
        <f t="shared" ref="C74:G74" si="162">(SUM(C17:C19)+C15)/ABS(C11)</f>
        <v>0.82607494196971354</v>
      </c>
      <c r="D74" s="18">
        <f t="shared" si="162"/>
        <v>0.82372799028536725</v>
      </c>
      <c r="E74" s="73">
        <f t="shared" si="162"/>
        <v>0.82087942350943222</v>
      </c>
      <c r="F74" s="73">
        <f t="shared" si="162"/>
        <v>0.83072887968085352</v>
      </c>
      <c r="G74" s="73">
        <f t="shared" si="162"/>
        <v>0.81705139081126932</v>
      </c>
      <c r="H74" s="81">
        <f t="shared" ref="H74:I74" si="163">(SUM(H17:H19)+H15)/ABS(H11)</f>
        <v>0.8069172210563913</v>
      </c>
      <c r="I74" s="81">
        <f t="shared" si="163"/>
        <v>0.7972897597892572</v>
      </c>
      <c r="P74" s="18">
        <f t="shared" ref="P74:S74" si="164">(SUM(P17:P19)+P15)/ABS(P11)</f>
        <v>0.83727324064010344</v>
      </c>
      <c r="Q74" s="18">
        <f t="shared" si="164"/>
        <v>0.83278538315517914</v>
      </c>
      <c r="R74" s="18">
        <f t="shared" si="164"/>
        <v>0.83487491998847096</v>
      </c>
      <c r="S74" s="18">
        <f t="shared" si="164"/>
        <v>0.82128109487577849</v>
      </c>
      <c r="U74" s="18">
        <f t="shared" ref="U74:X74" si="165">(SUM(U17:U19)+U15)/ABS(U11)</f>
        <v>0.82674409750897604</v>
      </c>
      <c r="V74" s="18">
        <f t="shared" si="165"/>
        <v>0.80929352827907131</v>
      </c>
      <c r="W74" s="18">
        <f t="shared" si="165"/>
        <v>0.81561301236858319</v>
      </c>
      <c r="X74" s="18">
        <f t="shared" si="165"/>
        <v>0.81667417453805202</v>
      </c>
      <c r="Z74" s="18">
        <f t="shared" ref="Z74:AC74" si="166">(SUM(Z17:Z19)+Z15)/ABS(Z11)</f>
        <v>0.80600785324626356</v>
      </c>
      <c r="AA74" s="18">
        <f t="shared" si="166"/>
        <v>0.82135686540297492</v>
      </c>
      <c r="AB74" s="18" t="e">
        <f t="shared" si="166"/>
        <v>#DIV/0!</v>
      </c>
      <c r="AC74" s="18" t="e">
        <f t="shared" si="166"/>
        <v>#DIV/0!</v>
      </c>
    </row>
    <row r="75" spans="1:29" ht="17" x14ac:dyDescent="0.2">
      <c r="A75" s="56" t="s">
        <v>47</v>
      </c>
      <c r="B75" s="73">
        <f>B20/B11</f>
        <v>0.16651130272663714</v>
      </c>
      <c r="C75" s="73">
        <f t="shared" ref="C75:G75" si="167">C20/C11</f>
        <v>0.17392505803028641</v>
      </c>
      <c r="D75" s="73">
        <f t="shared" si="167"/>
        <v>0.17627200971463267</v>
      </c>
      <c r="E75" s="73">
        <f t="shared" si="167"/>
        <v>0.17912057649056773</v>
      </c>
      <c r="F75" s="73">
        <f t="shared" si="167"/>
        <v>0.16927112031914651</v>
      </c>
      <c r="G75" s="73">
        <f t="shared" si="167"/>
        <v>0.18294860918873074</v>
      </c>
      <c r="H75" s="83">
        <f>H20/H11</f>
        <v>0.19308277894360867</v>
      </c>
      <c r="I75" s="83">
        <f t="shared" ref="I75" si="168">I20/I11</f>
        <v>0.20271024021074274</v>
      </c>
      <c r="P75" s="18">
        <f t="shared" ref="P75:S75" si="169">P20/P11</f>
        <v>0.16272675935989653</v>
      </c>
      <c r="Q75" s="18">
        <f t="shared" si="169"/>
        <v>0.16721461684482097</v>
      </c>
      <c r="R75" s="18">
        <f t="shared" si="169"/>
        <v>0.16512508001152906</v>
      </c>
      <c r="S75" s="18">
        <f t="shared" si="169"/>
        <v>0.17871890512422148</v>
      </c>
      <c r="U75" s="73">
        <f t="shared" ref="U75:X75" si="170">U20/U11</f>
        <v>0.17325590249102393</v>
      </c>
      <c r="V75" s="73">
        <f t="shared" si="170"/>
        <v>0.19070647172092867</v>
      </c>
      <c r="W75" s="73">
        <f t="shared" si="170"/>
        <v>0.18438698763141687</v>
      </c>
      <c r="X75" s="73">
        <f t="shared" si="170"/>
        <v>0.18332582546194789</v>
      </c>
      <c r="Y75" s="72"/>
      <c r="Z75" s="73">
        <f t="shared" ref="Z75:AC75" si="171">Z20/Z11</f>
        <v>0.19399214675373647</v>
      </c>
      <c r="AA75" s="73">
        <f t="shared" si="171"/>
        <v>0.17864313459702511</v>
      </c>
      <c r="AB75" s="73" t="e">
        <f t="shared" si="171"/>
        <v>#DIV/0!</v>
      </c>
      <c r="AC75" s="73" t="e">
        <f t="shared" si="171"/>
        <v>#DIV/0!</v>
      </c>
    </row>
    <row r="76" spans="1:29" ht="17" x14ac:dyDescent="0.2">
      <c r="A76" s="56" t="s">
        <v>46</v>
      </c>
      <c r="B76" s="73">
        <f t="shared" ref="B76:G76" si="172">B25/B11</f>
        <v>0.10542414355628058</v>
      </c>
      <c r="C76" s="73">
        <f t="shared" si="172"/>
        <v>0.11072731292141051</v>
      </c>
      <c r="D76" s="73">
        <f t="shared" si="172"/>
        <v>0.11936854887674558</v>
      </c>
      <c r="E76" s="73">
        <f t="shared" si="172"/>
        <v>0.11717996970670579</v>
      </c>
      <c r="F76" s="73">
        <f t="shared" si="172"/>
        <v>9.9689228802538971E-2</v>
      </c>
      <c r="G76" s="73">
        <f t="shared" si="172"/>
        <v>0.11588605616823694</v>
      </c>
      <c r="H76" s="83">
        <f t="shared" ref="H76:I76" si="173">H25/H11</f>
        <v>0.1119922233746966</v>
      </c>
      <c r="I76" s="83">
        <f t="shared" si="173"/>
        <v>0.12013404722486359</v>
      </c>
      <c r="P76" s="18">
        <f t="shared" ref="P76:S76" si="174">P25/P11</f>
        <v>8.9961024537432183E-2</v>
      </c>
      <c r="Q76" s="18">
        <f t="shared" si="174"/>
        <v>9.6221115264809282E-2</v>
      </c>
      <c r="R76" s="18">
        <f t="shared" si="174"/>
        <v>9.4052382752695979E-2</v>
      </c>
      <c r="S76" s="18">
        <f t="shared" si="174"/>
        <v>0.11370383219451367</v>
      </c>
      <c r="U76" s="18">
        <f t="shared" ref="U76:X76" si="175">U25/U11</f>
        <v>0.10227470182487658</v>
      </c>
      <c r="V76" s="18">
        <f t="shared" si="175"/>
        <v>0.10675104208653487</v>
      </c>
      <c r="W76" s="18">
        <f t="shared" si="175"/>
        <v>0.14374304650458802</v>
      </c>
      <c r="X76" s="18">
        <f t="shared" si="175"/>
        <v>0.11211342778045463</v>
      </c>
      <c r="Z76" s="18">
        <f t="shared" ref="Z76:AC76" si="176">Z25/Z11</f>
        <v>0.11600456185284243</v>
      </c>
      <c r="AA76" s="18">
        <f t="shared" si="176"/>
        <v>0.12933710837578427</v>
      </c>
      <c r="AB76" s="18" t="e">
        <f t="shared" si="176"/>
        <v>#DIV/0!</v>
      </c>
      <c r="AC76" s="18" t="e">
        <f t="shared" si="176"/>
        <v>#DIV/0!</v>
      </c>
    </row>
    <row r="77" spans="1:29" x14ac:dyDescent="0.2">
      <c r="H77" s="76"/>
      <c r="I77" s="76"/>
    </row>
    <row r="78" spans="1:29" ht="17" x14ac:dyDescent="0.2">
      <c r="A78" s="70" t="s">
        <v>154</v>
      </c>
      <c r="H78" s="76"/>
      <c r="I78" s="76"/>
    </row>
    <row r="79" spans="1:29" ht="17" x14ac:dyDescent="0.2">
      <c r="A79" s="47" t="s">
        <v>108</v>
      </c>
      <c r="B79" s="23">
        <v>361972</v>
      </c>
      <c r="C79" s="23">
        <v>400709</v>
      </c>
      <c r="D79" s="23">
        <v>491296</v>
      </c>
      <c r="E79" s="23">
        <v>510467</v>
      </c>
      <c r="F79" s="23">
        <v>452263</v>
      </c>
      <c r="G79" s="23">
        <v>519118</v>
      </c>
      <c r="H79" s="76"/>
      <c r="I79" s="76"/>
    </row>
    <row r="80" spans="1:29" ht="17" x14ac:dyDescent="0.2">
      <c r="A80" s="47" t="s">
        <v>155</v>
      </c>
      <c r="B80" s="23">
        <v>53665</v>
      </c>
      <c r="C80" s="23">
        <v>59930</v>
      </c>
      <c r="D80" s="23">
        <v>65038</v>
      </c>
      <c r="E80" s="23">
        <v>72923</v>
      </c>
      <c r="F80" s="23">
        <v>80251</v>
      </c>
      <c r="G80" s="23">
        <v>80640</v>
      </c>
      <c r="H80" s="85">
        <f>G80*(1+H98)</f>
        <v>87897.600000000006</v>
      </c>
      <c r="I80" s="85">
        <f>H80*(1+I98)</f>
        <v>95808.38400000002</v>
      </c>
    </row>
    <row r="81" spans="1:9" ht="17" x14ac:dyDescent="0.2">
      <c r="A81" s="47" t="s">
        <v>156</v>
      </c>
      <c r="B81" s="23">
        <v>22792</v>
      </c>
      <c r="C81" s="23">
        <v>20265</v>
      </c>
      <c r="D81" s="23">
        <v>24244</v>
      </c>
      <c r="E81" s="23">
        <v>28670</v>
      </c>
      <c r="F81" s="23">
        <v>28709</v>
      </c>
      <c r="G81" s="23">
        <v>37514</v>
      </c>
      <c r="H81" s="85">
        <f>G81*(1+H99)</f>
        <v>41265.4</v>
      </c>
      <c r="I81" s="85">
        <f>H81*(1+I99)</f>
        <v>45391.94</v>
      </c>
    </row>
    <row r="82" spans="1:9" ht="17" x14ac:dyDescent="0.2">
      <c r="A82" s="47" t="s">
        <v>132</v>
      </c>
      <c r="B82" s="23">
        <v>-15726</v>
      </c>
      <c r="C82" s="23">
        <v>-23089</v>
      </c>
      <c r="D82" s="23">
        <v>-38280</v>
      </c>
      <c r="E82" s="23">
        <v>-45513</v>
      </c>
      <c r="F82" s="23">
        <v>-13908</v>
      </c>
      <c r="G82" s="23">
        <v>-33463</v>
      </c>
      <c r="H82" s="76"/>
      <c r="I82" s="76"/>
    </row>
    <row r="83" spans="1:9" ht="17" x14ac:dyDescent="0.2">
      <c r="A83" s="47" t="s">
        <v>157</v>
      </c>
      <c r="B83" s="23">
        <v>-23795</v>
      </c>
      <c r="C83" s="23">
        <v>37112</v>
      </c>
      <c r="D83" s="23">
        <v>47574</v>
      </c>
      <c r="E83" s="23">
        <v>86470</v>
      </c>
      <c r="F83" s="23">
        <v>-73811</v>
      </c>
      <c r="G83" s="23">
        <v>-14244</v>
      </c>
      <c r="H83" s="76"/>
      <c r="I83" s="76"/>
    </row>
    <row r="84" spans="1:9" ht="17" x14ac:dyDescent="0.2">
      <c r="A84" s="47" t="s">
        <v>158</v>
      </c>
      <c r="B84" s="23">
        <v>398908</v>
      </c>
      <c r="C84" s="23">
        <v>494927</v>
      </c>
      <c r="D84" s="23">
        <v>589872</v>
      </c>
      <c r="E84" s="23">
        <v>653017</v>
      </c>
      <c r="F84" s="23">
        <v>473504</v>
      </c>
      <c r="G84" s="23">
        <v>589565</v>
      </c>
      <c r="H84" s="76"/>
      <c r="I84" s="76"/>
    </row>
    <row r="85" spans="1:9" ht="17" x14ac:dyDescent="0.2">
      <c r="A85" s="47" t="s">
        <v>159</v>
      </c>
      <c r="B85" s="23">
        <v>-119888</v>
      </c>
      <c r="C85" s="23">
        <v>-85565</v>
      </c>
      <c r="D85" s="23">
        <v>-88768</v>
      </c>
      <c r="E85" s="23">
        <v>-94172</v>
      </c>
      <c r="F85" s="23">
        <v>-87234</v>
      </c>
      <c r="G85" s="23">
        <v>-105396</v>
      </c>
      <c r="H85" s="76">
        <v>-90000</v>
      </c>
      <c r="I85" s="76">
        <v>-95000</v>
      </c>
    </row>
    <row r="86" spans="1:9" ht="17" x14ac:dyDescent="0.2">
      <c r="A86" s="47" t="s">
        <v>160</v>
      </c>
      <c r="B86" s="23">
        <v>279020</v>
      </c>
      <c r="C86" s="23">
        <v>409362</v>
      </c>
      <c r="D86" s="23">
        <v>501104</v>
      </c>
      <c r="E86" s="23">
        <v>558845</v>
      </c>
      <c r="F86" s="23">
        <v>386270</v>
      </c>
      <c r="G86" s="23">
        <v>484169</v>
      </c>
      <c r="H86" s="76"/>
      <c r="I86" s="76"/>
    </row>
    <row r="87" spans="1:9" ht="17" x14ac:dyDescent="0.2">
      <c r="A87" s="47" t="s">
        <v>161</v>
      </c>
      <c r="B87" s="15">
        <f>B86/(B28*1000)</f>
        <v>6.4392284944838236</v>
      </c>
      <c r="C87" s="15">
        <f t="shared" ref="C87:G87" si="177">C86/(C28*1000)</f>
        <v>9.7646016409774656</v>
      </c>
      <c r="D87" s="15">
        <f t="shared" si="177"/>
        <v>12.641120102774943</v>
      </c>
      <c r="E87" s="15">
        <f t="shared" si="177"/>
        <v>14.82687633032841</v>
      </c>
      <c r="F87" s="15">
        <f t="shared" si="177"/>
        <v>10.701851627846748</v>
      </c>
      <c r="G87" s="15">
        <f t="shared" si="177"/>
        <v>13.676583125603278</v>
      </c>
      <c r="H87" s="76"/>
      <c r="I87" s="76"/>
    </row>
    <row r="88" spans="1:9" ht="17" x14ac:dyDescent="0.2">
      <c r="A88" s="47" t="s">
        <v>162</v>
      </c>
      <c r="B88" s="23">
        <v>365912</v>
      </c>
      <c r="C88" s="23">
        <v>582915</v>
      </c>
      <c r="D88" s="23">
        <v>-44058</v>
      </c>
      <c r="E88" s="23">
        <v>939788</v>
      </c>
      <c r="F88" s="23">
        <v>-55676</v>
      </c>
      <c r="G88" s="23">
        <v>-40807</v>
      </c>
      <c r="H88" s="76"/>
      <c r="I88" s="76"/>
    </row>
    <row r="89" spans="1:9" ht="17" x14ac:dyDescent="0.2">
      <c r="A89" s="47" t="s">
        <v>166</v>
      </c>
      <c r="B89" s="23">
        <v>32222</v>
      </c>
      <c r="C89" s="23">
        <v>58987</v>
      </c>
      <c r="D89" s="23">
        <v>-39826</v>
      </c>
      <c r="E89" s="23">
        <v>-49066</v>
      </c>
      <c r="F89" s="23">
        <v>34275</v>
      </c>
      <c r="G89" s="23">
        <v>161</v>
      </c>
      <c r="H89" s="76"/>
      <c r="I89" s="76"/>
    </row>
    <row r="90" spans="1:9" ht="17" x14ac:dyDescent="0.2">
      <c r="A90" s="47" t="s">
        <v>163</v>
      </c>
      <c r="B90" s="23">
        <v>-591212</v>
      </c>
      <c r="C90" s="23">
        <v>-699007</v>
      </c>
      <c r="D90" s="23">
        <v>-304590</v>
      </c>
      <c r="E90" s="23">
        <v>-1320902</v>
      </c>
      <c r="F90" s="23">
        <v>-293740</v>
      </c>
      <c r="G90" s="23">
        <v>-269025</v>
      </c>
      <c r="H90" s="76"/>
      <c r="I90" s="76"/>
    </row>
    <row r="91" spans="1:9" ht="17" x14ac:dyDescent="0.2">
      <c r="A91" s="47" t="s">
        <v>165</v>
      </c>
      <c r="B91" s="23">
        <v>-92166</v>
      </c>
      <c r="C91" s="23">
        <v>-105715</v>
      </c>
      <c r="D91" s="23">
        <v>-121925</v>
      </c>
      <c r="E91" s="23">
        <v>-139399</v>
      </c>
      <c r="F91" s="23">
        <v>-157531</v>
      </c>
      <c r="G91" s="23">
        <v>-169772</v>
      </c>
      <c r="H91" s="76"/>
      <c r="I91" s="76"/>
    </row>
    <row r="92" spans="1:9" ht="17" x14ac:dyDescent="0.2">
      <c r="A92" s="47" t="s">
        <v>132</v>
      </c>
      <c r="B92" s="23">
        <v>-11203</v>
      </c>
      <c r="C92" s="23">
        <v>-37</v>
      </c>
      <c r="D92" s="23">
        <v>27517</v>
      </c>
      <c r="E92" s="23">
        <v>-932</v>
      </c>
      <c r="F92" s="23">
        <v>-8874</v>
      </c>
      <c r="G92" s="23">
        <v>3203</v>
      </c>
      <c r="H92" s="76"/>
      <c r="I92" s="76"/>
    </row>
    <row r="93" spans="1:9" ht="17" x14ac:dyDescent="0.2">
      <c r="A93" s="47" t="s">
        <v>164</v>
      </c>
      <c r="B93" s="23">
        <v>-17427</v>
      </c>
      <c r="C93" s="23">
        <v>246505</v>
      </c>
      <c r="D93" s="23">
        <v>18222</v>
      </c>
      <c r="E93" s="23">
        <v>-11666</v>
      </c>
      <c r="F93" s="23">
        <v>-95276</v>
      </c>
      <c r="G93" s="23">
        <v>7929</v>
      </c>
      <c r="H93" s="76"/>
      <c r="I93" s="76"/>
    </row>
    <row r="94" spans="1:9" x14ac:dyDescent="0.2">
      <c r="B94" s="23"/>
      <c r="C94" s="23"/>
      <c r="D94" s="23"/>
      <c r="E94" s="23"/>
      <c r="F94" s="23"/>
      <c r="G94" s="23"/>
      <c r="H94" s="76"/>
      <c r="I94" s="76"/>
    </row>
    <row r="95" spans="1:9" ht="17" x14ac:dyDescent="0.2">
      <c r="A95" s="47" t="s">
        <v>144</v>
      </c>
      <c r="B95" s="23">
        <v>-17427</v>
      </c>
      <c r="C95" s="23">
        <v>246505</v>
      </c>
      <c r="D95" s="23">
        <v>18222</v>
      </c>
      <c r="E95" s="23">
        <v>-11666</v>
      </c>
      <c r="F95" s="23">
        <v>-95276</v>
      </c>
      <c r="G95" s="23">
        <v>7929</v>
      </c>
      <c r="H95" s="76"/>
      <c r="I95" s="76"/>
    </row>
    <row r="96" spans="1:9" x14ac:dyDescent="0.2">
      <c r="B96" s="23"/>
      <c r="C96" s="23"/>
      <c r="D96" s="23"/>
      <c r="E96" s="23"/>
      <c r="F96" s="23"/>
      <c r="G96" s="23"/>
      <c r="H96" s="76"/>
      <c r="I96" s="76"/>
    </row>
    <row r="97" spans="1:9" ht="17" x14ac:dyDescent="0.2">
      <c r="A97" s="47" t="s">
        <v>108</v>
      </c>
      <c r="B97" s="23"/>
      <c r="C97" s="17">
        <f>(C79-B79)/ABS(B79)</f>
        <v>0.10701656481716817</v>
      </c>
      <c r="D97" s="17">
        <f t="shared" ref="D97:G97" si="178">(D79-C79)/ABS(C79)</f>
        <v>0.22606679660302115</v>
      </c>
      <c r="E97" s="17">
        <f t="shared" si="178"/>
        <v>3.9021282485507722E-2</v>
      </c>
      <c r="F97" s="17">
        <f t="shared" si="178"/>
        <v>-0.11402108265568588</v>
      </c>
      <c r="G97" s="17">
        <f t="shared" si="178"/>
        <v>0.14782327981727447</v>
      </c>
      <c r="H97" s="76"/>
      <c r="I97" s="76"/>
    </row>
    <row r="98" spans="1:9" ht="17" x14ac:dyDescent="0.2">
      <c r="A98" s="47" t="s">
        <v>155</v>
      </c>
      <c r="B98" s="23"/>
      <c r="C98" s="17">
        <f t="shared" ref="C98:G98" si="179">(C80-B80)/ABS(B80)</f>
        <v>0.11674275598621076</v>
      </c>
      <c r="D98" s="17">
        <f t="shared" si="179"/>
        <v>8.5232771566827972E-2</v>
      </c>
      <c r="E98" s="17">
        <f t="shared" si="179"/>
        <v>0.12123681540022756</v>
      </c>
      <c r="F98" s="17">
        <f t="shared" si="179"/>
        <v>0.10048955747843616</v>
      </c>
      <c r="G98" s="17">
        <f t="shared" si="179"/>
        <v>4.8472916225342985E-3</v>
      </c>
      <c r="H98" s="90">
        <v>0.09</v>
      </c>
      <c r="I98" s="87">
        <v>0.09</v>
      </c>
    </row>
    <row r="99" spans="1:9" ht="17" x14ac:dyDescent="0.2">
      <c r="A99" s="47" t="s">
        <v>156</v>
      </c>
      <c r="B99" s="23"/>
      <c r="C99" s="17">
        <f t="shared" ref="C99:G99" si="180">(C81-B81)/ABS(B81)</f>
        <v>-0.11087223587223587</v>
      </c>
      <c r="D99" s="17">
        <f t="shared" si="180"/>
        <v>0.19634838391315076</v>
      </c>
      <c r="E99" s="17">
        <f t="shared" si="180"/>
        <v>0.18256063355881869</v>
      </c>
      <c r="F99" s="17">
        <f t="shared" si="180"/>
        <v>1.3603069410533658E-3</v>
      </c>
      <c r="G99" s="17">
        <f t="shared" si="180"/>
        <v>0.30669824793618727</v>
      </c>
      <c r="H99" s="89">
        <v>0.1</v>
      </c>
      <c r="I99" s="89">
        <v>0.1</v>
      </c>
    </row>
    <row r="100" spans="1:9" ht="17" x14ac:dyDescent="0.2">
      <c r="A100" s="47" t="s">
        <v>132</v>
      </c>
      <c r="B100" s="23"/>
      <c r="C100" s="17">
        <f t="shared" ref="C100:G100" si="181">(C82-B82)/ABS(B82)</f>
        <v>-0.468205519521811</v>
      </c>
      <c r="D100" s="17">
        <f t="shared" si="181"/>
        <v>-0.65793234873749407</v>
      </c>
      <c r="E100" s="17">
        <f t="shared" si="181"/>
        <v>-0.1889498432601881</v>
      </c>
      <c r="F100" s="17">
        <f t="shared" si="181"/>
        <v>0.6944169797640235</v>
      </c>
      <c r="G100" s="17">
        <f t="shared" si="181"/>
        <v>-1.4060253091745758</v>
      </c>
      <c r="H100" s="76"/>
      <c r="I100" s="76"/>
    </row>
    <row r="101" spans="1:9" ht="17" x14ac:dyDescent="0.2">
      <c r="A101" s="47" t="s">
        <v>157</v>
      </c>
      <c r="B101" s="23"/>
      <c r="C101" s="17">
        <f t="shared" ref="C101:G101" si="182">(C83-B83)/ABS(B83)</f>
        <v>2.5596553897877707</v>
      </c>
      <c r="D101" s="17">
        <f t="shared" si="182"/>
        <v>0.28190342746281527</v>
      </c>
      <c r="E101" s="17">
        <f t="shared" si="182"/>
        <v>0.81758943960987096</v>
      </c>
      <c r="F101" s="17">
        <f t="shared" si="182"/>
        <v>-1.8536024054585405</v>
      </c>
      <c r="G101" s="17">
        <f t="shared" si="182"/>
        <v>0.80702063378087274</v>
      </c>
      <c r="H101" s="76"/>
      <c r="I101" s="76"/>
    </row>
    <row r="102" spans="1:9" ht="17" x14ac:dyDescent="0.2">
      <c r="A102" s="47" t="s">
        <v>158</v>
      </c>
      <c r="B102" s="23"/>
      <c r="C102" s="17">
        <f t="shared" ref="C102:G102" si="183">(C84-B84)/ABS(B84)</f>
        <v>0.2407046236224894</v>
      </c>
      <c r="D102" s="17">
        <f t="shared" si="183"/>
        <v>0.19183637182857269</v>
      </c>
      <c r="E102" s="17">
        <f t="shared" si="183"/>
        <v>0.10704864784224374</v>
      </c>
      <c r="F102" s="17">
        <f t="shared" si="183"/>
        <v>-0.27489789699196193</v>
      </c>
      <c r="G102" s="17">
        <f t="shared" si="183"/>
        <v>0.24511091775359869</v>
      </c>
      <c r="H102" s="76"/>
      <c r="I102" s="76"/>
    </row>
    <row r="103" spans="1:9" ht="17" x14ac:dyDescent="0.2">
      <c r="A103" s="47" t="s">
        <v>159</v>
      </c>
      <c r="B103" s="23"/>
      <c r="C103" s="17">
        <f t="shared" ref="C103:G103" si="184">(C85-B85)/ABS(B85)</f>
        <v>0.28629220605898836</v>
      </c>
      <c r="D103" s="17">
        <f t="shared" si="184"/>
        <v>-3.7433530064862969E-2</v>
      </c>
      <c r="E103" s="17">
        <f t="shared" si="184"/>
        <v>-6.0877793799567412E-2</v>
      </c>
      <c r="F103" s="17">
        <f t="shared" si="184"/>
        <v>7.3673703436265559E-2</v>
      </c>
      <c r="G103" s="17">
        <f t="shared" si="184"/>
        <v>-0.20819863814567716</v>
      </c>
      <c r="H103" s="76"/>
      <c r="I103" s="76"/>
    </row>
    <row r="104" spans="1:9" ht="17" x14ac:dyDescent="0.2">
      <c r="A104" s="47" t="s">
        <v>160</v>
      </c>
      <c r="B104" s="23"/>
      <c r="C104" s="17">
        <f t="shared" ref="C104:G104" si="185">(C86-B86)/ABS(B86)</f>
        <v>0.4671421403483621</v>
      </c>
      <c r="D104" s="17">
        <f t="shared" si="185"/>
        <v>0.22410971218628012</v>
      </c>
      <c r="E104" s="17">
        <f t="shared" si="185"/>
        <v>0.11522757750886044</v>
      </c>
      <c r="F104" s="17">
        <f t="shared" si="185"/>
        <v>-0.30880655637967591</v>
      </c>
      <c r="G104" s="17">
        <f t="shared" si="185"/>
        <v>0.25344707070184069</v>
      </c>
      <c r="H104" s="76"/>
      <c r="I104" s="76"/>
    </row>
    <row r="105" spans="1:9" ht="17" x14ac:dyDescent="0.2">
      <c r="A105" s="47" t="s">
        <v>161</v>
      </c>
      <c r="B105" s="15"/>
      <c r="C105" s="17">
        <f t="shared" ref="C105:G105" si="186">(C87-B87)/ABS(B87)</f>
        <v>0.51642415692226618</v>
      </c>
      <c r="D105" s="17">
        <f t="shared" si="186"/>
        <v>0.29458636077134731</v>
      </c>
      <c r="E105" s="17">
        <f t="shared" si="186"/>
        <v>0.17290842977385021</v>
      </c>
      <c r="F105" s="17">
        <f t="shared" si="186"/>
        <v>-0.27821265994131983</v>
      </c>
      <c r="G105" s="17">
        <f t="shared" si="186"/>
        <v>0.27796418799305073</v>
      </c>
      <c r="H105" s="76"/>
      <c r="I105" s="76"/>
    </row>
    <row r="106" spans="1:9" ht="17" x14ac:dyDescent="0.2">
      <c r="A106" s="47" t="s">
        <v>162</v>
      </c>
      <c r="B106" s="23"/>
      <c r="C106" s="17">
        <f t="shared" ref="C106:G106" si="187">(C88-B88)/ABS(B88)</f>
        <v>0.59304696211110863</v>
      </c>
      <c r="D106" s="17">
        <f t="shared" si="187"/>
        <v>-1.0755822032371787</v>
      </c>
      <c r="E106" s="17">
        <f t="shared" si="187"/>
        <v>22.330700440328659</v>
      </c>
      <c r="F106" s="17">
        <f t="shared" si="187"/>
        <v>-1.059243148454758</v>
      </c>
      <c r="G106" s="17">
        <f t="shared" si="187"/>
        <v>0.26706300739995692</v>
      </c>
      <c r="H106" s="76"/>
      <c r="I106" s="76"/>
    </row>
    <row r="107" spans="1:9" ht="17" x14ac:dyDescent="0.2">
      <c r="A107" s="47" t="s">
        <v>166</v>
      </c>
      <c r="B107" s="23"/>
      <c r="C107" s="17">
        <f t="shared" ref="C107:G107" si="188">(C89-B89)/ABS(B89)</f>
        <v>0.8306436596114456</v>
      </c>
      <c r="D107" s="17">
        <f t="shared" si="188"/>
        <v>-1.6751657144794616</v>
      </c>
      <c r="E107" s="17">
        <f t="shared" si="188"/>
        <v>-0.23200924019484759</v>
      </c>
      <c r="F107" s="17">
        <f t="shared" si="188"/>
        <v>1.6985488933273549</v>
      </c>
      <c r="G107" s="17">
        <f t="shared" si="188"/>
        <v>-0.99530269876002919</v>
      </c>
      <c r="H107" s="76"/>
      <c r="I107" s="76"/>
    </row>
    <row r="108" spans="1:9" ht="17" x14ac:dyDescent="0.2">
      <c r="A108" s="47" t="s">
        <v>163</v>
      </c>
      <c r="B108" s="23"/>
      <c r="C108" s="17">
        <f t="shared" ref="C108:G108" si="189">(C90-B90)/ABS(B90)</f>
        <v>-0.18232884312226411</v>
      </c>
      <c r="D108" s="17">
        <f t="shared" si="189"/>
        <v>0.56425329073957775</v>
      </c>
      <c r="E108" s="17">
        <f t="shared" si="189"/>
        <v>-3.3366558324304805</v>
      </c>
      <c r="F108" s="17">
        <f t="shared" si="189"/>
        <v>0.77762165550510187</v>
      </c>
      <c r="G108" s="17">
        <f t="shared" si="189"/>
        <v>8.4139034520324091E-2</v>
      </c>
      <c r="H108" s="76"/>
      <c r="I108" s="76"/>
    </row>
    <row r="109" spans="1:9" ht="17" x14ac:dyDescent="0.2">
      <c r="A109" s="47" t="s">
        <v>165</v>
      </c>
      <c r="B109" s="23"/>
      <c r="C109" s="17">
        <f t="shared" ref="C109:G109" si="190">(C91-B91)/ABS(B91)</f>
        <v>-0.14700648829286289</v>
      </c>
      <c r="D109" s="17">
        <f t="shared" si="190"/>
        <v>-0.15333680177836637</v>
      </c>
      <c r="E109" s="17">
        <f t="shared" si="190"/>
        <v>-0.14331761328685669</v>
      </c>
      <c r="F109" s="17">
        <f t="shared" si="190"/>
        <v>-0.13007266910092613</v>
      </c>
      <c r="G109" s="17">
        <f t="shared" si="190"/>
        <v>-7.7705340536148443E-2</v>
      </c>
      <c r="H109" s="76"/>
      <c r="I109" s="76"/>
    </row>
    <row r="110" spans="1:9" ht="17" x14ac:dyDescent="0.2">
      <c r="A110" s="47" t="s">
        <v>132</v>
      </c>
      <c r="B110" s="23"/>
      <c r="C110" s="17">
        <f t="shared" ref="C110:G110" si="191">(C92-B92)/ABS(B92)</f>
        <v>0.99669731321967325</v>
      </c>
      <c r="D110" s="17">
        <f t="shared" si="191"/>
        <v>744.70270270270271</v>
      </c>
      <c r="E110" s="17">
        <f t="shared" si="191"/>
        <v>-1.0338699712904751</v>
      </c>
      <c r="F110" s="17">
        <f t="shared" si="191"/>
        <v>-8.5214592274678118</v>
      </c>
      <c r="G110" s="17">
        <f t="shared" si="191"/>
        <v>1.3609420779806176</v>
      </c>
      <c r="H110" s="76"/>
      <c r="I110" s="76"/>
    </row>
    <row r="111" spans="1:9" ht="17" x14ac:dyDescent="0.2">
      <c r="A111" s="47" t="s">
        <v>164</v>
      </c>
      <c r="B111" s="23"/>
      <c r="C111" s="17">
        <f t="shared" ref="C111:G111" si="192">(C93-B93)/ABS(B93)</f>
        <v>15.145004877488955</v>
      </c>
      <c r="D111" s="17">
        <f t="shared" si="192"/>
        <v>-0.92607857852781894</v>
      </c>
      <c r="E111" s="17">
        <f t="shared" si="192"/>
        <v>-1.6402151245746899</v>
      </c>
      <c r="F111" s="17">
        <f t="shared" si="192"/>
        <v>-7.1669809703411627</v>
      </c>
      <c r="G111" s="17">
        <f t="shared" si="192"/>
        <v>1.0832213778915991</v>
      </c>
      <c r="H111" s="76"/>
      <c r="I111" s="76"/>
    </row>
    <row r="112" spans="1:9" x14ac:dyDescent="0.2">
      <c r="H112" s="76"/>
      <c r="I112" s="76"/>
    </row>
    <row r="113" spans="1:9" ht="32" x14ac:dyDescent="0.2">
      <c r="A113" s="29" t="s">
        <v>54</v>
      </c>
      <c r="B113" s="30"/>
      <c r="C113" s="30"/>
      <c r="D113" s="30"/>
      <c r="E113" s="30"/>
      <c r="F113" s="30"/>
      <c r="G113" s="30"/>
      <c r="H113" s="76"/>
      <c r="I113" s="76"/>
    </row>
    <row r="114" spans="1:9" x14ac:dyDescent="0.2">
      <c r="A114" s="31" t="s">
        <v>55</v>
      </c>
      <c r="F114" s="32" t="s">
        <v>153</v>
      </c>
      <c r="G114" s="32" t="s">
        <v>153</v>
      </c>
      <c r="H114" s="76"/>
      <c r="I114" s="76"/>
    </row>
    <row r="115" spans="1:9" x14ac:dyDescent="0.2">
      <c r="A115" s="32" t="s">
        <v>56</v>
      </c>
      <c r="B115" s="33">
        <v>25438</v>
      </c>
      <c r="C115" s="33">
        <v>190615</v>
      </c>
      <c r="D115" s="33">
        <v>168821</v>
      </c>
      <c r="E115" s="33">
        <v>148160</v>
      </c>
      <c r="F115" s="33">
        <v>60356</v>
      </c>
      <c r="G115" s="33">
        <v>114098</v>
      </c>
      <c r="H115" s="76"/>
      <c r="I115" s="76"/>
    </row>
    <row r="116" spans="1:9" x14ac:dyDescent="0.2">
      <c r="A116" s="32" t="s">
        <v>57</v>
      </c>
      <c r="B116" s="34">
        <v>166993</v>
      </c>
      <c r="C116" s="34">
        <v>209269</v>
      </c>
      <c r="D116" s="34">
        <v>217453</v>
      </c>
      <c r="E116" s="34">
        <v>180579</v>
      </c>
      <c r="F116" s="34">
        <v>191289</v>
      </c>
      <c r="G116" s="34">
        <v>200870</v>
      </c>
      <c r="H116" s="76"/>
      <c r="I116" s="76"/>
    </row>
    <row r="117" spans="1:9" ht="32" x14ac:dyDescent="0.2">
      <c r="A117" s="32" t="s">
        <v>58</v>
      </c>
      <c r="B117" s="34">
        <v>190091</v>
      </c>
      <c r="C117" s="34">
        <v>210260</v>
      </c>
      <c r="D117" s="34">
        <v>244560</v>
      </c>
      <c r="E117" s="34">
        <v>255327</v>
      </c>
      <c r="F117" s="34">
        <v>257492</v>
      </c>
      <c r="G117" s="34">
        <v>282809</v>
      </c>
      <c r="H117" s="76"/>
      <c r="I117" s="76"/>
    </row>
    <row r="118" spans="1:9" x14ac:dyDescent="0.2">
      <c r="A118" s="32" t="s">
        <v>59</v>
      </c>
      <c r="B118" s="34">
        <v>45975</v>
      </c>
      <c r="C118" s="34">
        <v>52955</v>
      </c>
      <c r="D118" s="34">
        <v>66683</v>
      </c>
      <c r="E118" s="34">
        <v>68328</v>
      </c>
      <c r="F118" s="34">
        <v>81570</v>
      </c>
      <c r="G118" s="34">
        <v>82964</v>
      </c>
      <c r="H118" s="76"/>
      <c r="I118" s="76"/>
    </row>
    <row r="119" spans="1:9" x14ac:dyDescent="0.2">
      <c r="A119" s="32" t="s">
        <v>60</v>
      </c>
      <c r="B119" s="34">
        <v>25710</v>
      </c>
      <c r="C119" s="34">
        <v>19129</v>
      </c>
      <c r="D119" s="34">
        <v>24169</v>
      </c>
      <c r="E119" s="34">
        <v>27242</v>
      </c>
      <c r="F119" s="34">
        <v>37287</v>
      </c>
      <c r="G119" s="34">
        <v>30215</v>
      </c>
      <c r="H119" s="76"/>
      <c r="I119" s="76"/>
    </row>
    <row r="120" spans="1:9" x14ac:dyDescent="0.2">
      <c r="A120" s="32" t="s">
        <v>61</v>
      </c>
      <c r="B120" s="34">
        <v>112744</v>
      </c>
      <c r="C120" s="34">
        <v>105389</v>
      </c>
      <c r="D120" s="34">
        <v>147698</v>
      </c>
      <c r="E120" s="34">
        <v>180904</v>
      </c>
      <c r="F120" s="34">
        <v>162660</v>
      </c>
      <c r="G120" s="34">
        <v>106335</v>
      </c>
      <c r="H120" s="76"/>
      <c r="I120" s="76"/>
    </row>
    <row r="121" spans="1:9" x14ac:dyDescent="0.2">
      <c r="A121" s="32" t="s">
        <v>62</v>
      </c>
      <c r="B121" s="34">
        <v>566951</v>
      </c>
      <c r="C121" s="34">
        <v>787617</v>
      </c>
      <c r="D121" s="34">
        <v>869384</v>
      </c>
      <c r="E121" s="34">
        <v>860540</v>
      </c>
      <c r="F121" s="34">
        <v>790654</v>
      </c>
      <c r="G121" s="34">
        <v>817291</v>
      </c>
      <c r="H121" s="76"/>
      <c r="I121" s="76"/>
    </row>
    <row r="122" spans="1:9" x14ac:dyDescent="0.2">
      <c r="A122" s="31" t="s">
        <v>63</v>
      </c>
      <c r="F122" s="32" t="s">
        <v>153</v>
      </c>
      <c r="G122" s="32" t="s">
        <v>153</v>
      </c>
      <c r="H122" s="76"/>
      <c r="I122" s="76"/>
    </row>
    <row r="123" spans="1:9" x14ac:dyDescent="0.2">
      <c r="A123" s="32" t="s">
        <v>64</v>
      </c>
      <c r="B123" s="34">
        <v>41147</v>
      </c>
      <c r="C123" s="34">
        <v>44845</v>
      </c>
      <c r="D123" s="34">
        <v>88063</v>
      </c>
      <c r="E123" s="34">
        <v>108372</v>
      </c>
      <c r="F123" s="34">
        <v>105659</v>
      </c>
      <c r="G123" s="34">
        <v>108791</v>
      </c>
      <c r="H123" s="76"/>
      <c r="I123" s="76"/>
    </row>
    <row r="124" spans="1:9" x14ac:dyDescent="0.2">
      <c r="A124" s="32" t="s">
        <v>65</v>
      </c>
      <c r="B124" s="34">
        <v>170498</v>
      </c>
      <c r="C124" s="34">
        <v>164071</v>
      </c>
      <c r="D124" s="34">
        <v>186456</v>
      </c>
      <c r="E124" s="34">
        <v>193572</v>
      </c>
      <c r="F124" s="34">
        <v>172725</v>
      </c>
      <c r="G124" s="34">
        <v>176817</v>
      </c>
      <c r="H124" s="76"/>
      <c r="I124" s="76"/>
    </row>
    <row r="125" spans="1:9" x14ac:dyDescent="0.2">
      <c r="A125" s="32" t="s">
        <v>66</v>
      </c>
      <c r="B125" s="34">
        <v>243654</v>
      </c>
      <c r="C125" s="34">
        <v>243708</v>
      </c>
      <c r="D125" s="34">
        <v>292456</v>
      </c>
      <c r="E125" s="34">
        <v>312772</v>
      </c>
      <c r="F125" s="34">
        <v>333787</v>
      </c>
      <c r="G125" s="34">
        <v>364620</v>
      </c>
      <c r="H125" s="76"/>
      <c r="I125" s="76"/>
    </row>
    <row r="126" spans="1:9" x14ac:dyDescent="0.2">
      <c r="A126" s="32" t="s">
        <v>67</v>
      </c>
      <c r="B126" s="34">
        <v>31822</v>
      </c>
      <c r="C126" s="34">
        <v>42705</v>
      </c>
      <c r="D126" s="34">
        <v>13014</v>
      </c>
      <c r="E126" s="34">
        <v>27815</v>
      </c>
      <c r="F126" s="34">
        <v>22536</v>
      </c>
      <c r="G126" s="34">
        <v>24505</v>
      </c>
      <c r="H126" s="76"/>
      <c r="I126" s="76"/>
    </row>
    <row r="127" spans="1:9" x14ac:dyDescent="0.2">
      <c r="A127" s="32" t="s">
        <v>68</v>
      </c>
      <c r="B127" s="34">
        <v>487121</v>
      </c>
      <c r="C127" s="34">
        <v>495329</v>
      </c>
      <c r="D127" s="34">
        <v>579989</v>
      </c>
      <c r="E127" s="34">
        <v>642531</v>
      </c>
      <c r="F127" s="34">
        <v>634707</v>
      </c>
      <c r="G127" s="34">
        <v>674733</v>
      </c>
      <c r="H127" s="76"/>
      <c r="I127" s="76"/>
    </row>
    <row r="128" spans="1:9" x14ac:dyDescent="0.2">
      <c r="A128" s="32" t="s">
        <v>69</v>
      </c>
      <c r="B128" s="34">
        <v>-252182</v>
      </c>
      <c r="C128" s="34">
        <v>-252448</v>
      </c>
      <c r="D128" s="34">
        <v>-282625</v>
      </c>
      <c r="E128" s="34">
        <v>-318466</v>
      </c>
      <c r="F128" s="34">
        <v>-332472</v>
      </c>
      <c r="G128" s="34">
        <v>-370368</v>
      </c>
      <c r="H128" s="76"/>
      <c r="I128" s="76"/>
    </row>
    <row r="129" spans="1:9" x14ac:dyDescent="0.2">
      <c r="A129" s="32" t="s">
        <v>70</v>
      </c>
      <c r="B129" s="34">
        <v>234939</v>
      </c>
      <c r="C129" s="34">
        <v>242881</v>
      </c>
      <c r="D129" s="34">
        <v>297364</v>
      </c>
      <c r="E129" s="34">
        <v>324065</v>
      </c>
      <c r="F129" s="34">
        <v>302235</v>
      </c>
      <c r="G129" s="34">
        <v>304365</v>
      </c>
      <c r="H129" s="76"/>
      <c r="I129" s="76"/>
    </row>
    <row r="130" spans="1:9" x14ac:dyDescent="0.2">
      <c r="A130" s="31" t="s">
        <v>71</v>
      </c>
      <c r="F130" s="32" t="s">
        <v>153</v>
      </c>
      <c r="G130" s="32" t="s">
        <v>153</v>
      </c>
      <c r="H130" s="76"/>
      <c r="I130" s="76"/>
    </row>
    <row r="131" spans="1:9" x14ac:dyDescent="0.2">
      <c r="A131" s="32" t="s">
        <v>72</v>
      </c>
      <c r="C131" s="34">
        <v>228785</v>
      </c>
      <c r="D131" s="34">
        <v>228268</v>
      </c>
      <c r="E131" s="34">
        <v>210702</v>
      </c>
      <c r="F131" s="34">
        <v>219202</v>
      </c>
      <c r="G131" s="34">
        <v>207323</v>
      </c>
      <c r="H131" s="76"/>
      <c r="I131" s="76"/>
    </row>
    <row r="132" spans="1:9" ht="32" x14ac:dyDescent="0.2">
      <c r="A132" s="32" t="s">
        <v>73</v>
      </c>
      <c r="B132" s="34">
        <v>8718</v>
      </c>
      <c r="C132" s="34">
        <v>11982</v>
      </c>
      <c r="D132" s="34">
        <v>13251</v>
      </c>
      <c r="E132" s="34">
        <v>15433</v>
      </c>
      <c r="F132" s="34">
        <v>13395</v>
      </c>
      <c r="G132" s="34">
        <v>16720</v>
      </c>
      <c r="H132" s="76"/>
      <c r="I132" s="76"/>
    </row>
    <row r="133" spans="1:9" x14ac:dyDescent="0.2">
      <c r="A133" s="32" t="s">
        <v>74</v>
      </c>
      <c r="B133" s="34">
        <v>14919</v>
      </c>
      <c r="C133" s="34">
        <v>15093</v>
      </c>
      <c r="D133" s="34">
        <v>15061</v>
      </c>
      <c r="E133" s="34">
        <v>15034</v>
      </c>
      <c r="F133" s="34">
        <v>11763</v>
      </c>
      <c r="G133" s="34">
        <v>11688</v>
      </c>
      <c r="H133" s="76"/>
      <c r="I133" s="76"/>
    </row>
    <row r="134" spans="1:9" ht="48" x14ac:dyDescent="0.2">
      <c r="A134" s="32" t="s">
        <v>75</v>
      </c>
      <c r="B134" s="34">
        <v>63809</v>
      </c>
      <c r="C134" s="34">
        <v>73140</v>
      </c>
      <c r="D134" s="34">
        <v>81306</v>
      </c>
      <c r="E134" s="34">
        <v>95558</v>
      </c>
      <c r="F134" s="34">
        <v>108354</v>
      </c>
      <c r="G134" s="34">
        <v>134105</v>
      </c>
      <c r="H134" s="76"/>
      <c r="I134" s="76"/>
    </row>
    <row r="135" spans="1:9" x14ac:dyDescent="0.2">
      <c r="A135" s="32" t="s">
        <v>76</v>
      </c>
      <c r="B135" s="34">
        <v>0</v>
      </c>
      <c r="C135" s="34">
        <v>0</v>
      </c>
      <c r="D135" s="34">
        <v>40000</v>
      </c>
      <c r="E135" s="34">
        <v>125840</v>
      </c>
      <c r="F135" s="34">
        <v>125840</v>
      </c>
      <c r="G135" s="34">
        <v>143553</v>
      </c>
      <c r="H135" s="76"/>
      <c r="I135" s="76"/>
    </row>
    <row r="136" spans="1:9" x14ac:dyDescent="0.2">
      <c r="A136" s="32" t="s">
        <v>77</v>
      </c>
      <c r="B136" s="34">
        <v>12523</v>
      </c>
      <c r="C136" s="34">
        <v>12521</v>
      </c>
      <c r="D136" s="34">
        <v>20630</v>
      </c>
      <c r="E136" s="34">
        <v>22535</v>
      </c>
      <c r="F136" s="34">
        <v>28852</v>
      </c>
      <c r="G136" s="34">
        <v>26174</v>
      </c>
      <c r="H136" s="76"/>
      <c r="I136" s="76"/>
    </row>
    <row r="137" spans="1:9" x14ac:dyDescent="0.2">
      <c r="A137" s="32" t="s">
        <v>78</v>
      </c>
      <c r="B137" s="34">
        <v>5526</v>
      </c>
      <c r="C137" s="34">
        <v>10073</v>
      </c>
      <c r="D137" s="34">
        <v>1904</v>
      </c>
      <c r="E137" s="34">
        <v>2109</v>
      </c>
      <c r="F137" s="34">
        <v>1926</v>
      </c>
      <c r="G137" s="34">
        <v>13680</v>
      </c>
      <c r="H137" s="76"/>
      <c r="I137" s="76"/>
    </row>
    <row r="138" spans="1:9" x14ac:dyDescent="0.2">
      <c r="A138" s="32" t="s">
        <v>79</v>
      </c>
      <c r="B138" s="34">
        <v>105495</v>
      </c>
      <c r="C138" s="34">
        <v>351594</v>
      </c>
      <c r="D138" s="34">
        <v>400420</v>
      </c>
      <c r="E138" s="34">
        <v>487211</v>
      </c>
      <c r="F138" s="34">
        <v>509332</v>
      </c>
      <c r="G138" s="34">
        <v>553243</v>
      </c>
      <c r="H138" s="76"/>
      <c r="I138" s="76"/>
    </row>
    <row r="139" spans="1:9" x14ac:dyDescent="0.2">
      <c r="A139" s="32" t="s">
        <v>80</v>
      </c>
      <c r="B139" s="34">
        <v>907385</v>
      </c>
      <c r="C139" s="34">
        <v>1382092</v>
      </c>
      <c r="D139" s="34">
        <v>1567168</v>
      </c>
      <c r="E139" s="34">
        <v>1671816</v>
      </c>
      <c r="F139" s="34">
        <v>1602221</v>
      </c>
      <c r="G139" s="34">
        <v>1674899</v>
      </c>
      <c r="H139" s="76"/>
      <c r="I139" s="76"/>
    </row>
    <row r="140" spans="1:9" x14ac:dyDescent="0.2">
      <c r="A140" s="31" t="s">
        <v>81</v>
      </c>
      <c r="F140" s="32" t="s">
        <v>153</v>
      </c>
      <c r="G140" s="32" t="s">
        <v>153</v>
      </c>
      <c r="H140" s="76"/>
      <c r="I140" s="76"/>
    </row>
    <row r="141" spans="1:9" x14ac:dyDescent="0.2">
      <c r="A141" s="32" t="s">
        <v>82</v>
      </c>
      <c r="B141" s="34">
        <v>35893</v>
      </c>
      <c r="C141" s="34">
        <v>43394</v>
      </c>
      <c r="D141" s="34">
        <v>2855</v>
      </c>
      <c r="E141" s="34">
        <v>55588</v>
      </c>
      <c r="F141" s="34">
        <v>54813</v>
      </c>
      <c r="G141" s="34">
        <v>56366</v>
      </c>
      <c r="H141" s="76"/>
      <c r="I141" s="76"/>
    </row>
    <row r="142" spans="1:9" x14ac:dyDescent="0.2">
      <c r="A142" s="32" t="s">
        <v>83</v>
      </c>
      <c r="B142" s="34">
        <v>92546</v>
      </c>
      <c r="C142" s="34">
        <v>111101</v>
      </c>
      <c r="D142" s="34">
        <v>94499</v>
      </c>
      <c r="E142" s="34">
        <v>91547</v>
      </c>
      <c r="F142" s="34">
        <v>89715</v>
      </c>
      <c r="G142" s="34">
        <v>106267</v>
      </c>
      <c r="H142" s="76"/>
      <c r="I142" s="76"/>
    </row>
    <row r="143" spans="1:9" x14ac:dyDescent="0.2">
      <c r="A143" s="32" t="s">
        <v>84</v>
      </c>
      <c r="B143" s="34">
        <v>40962</v>
      </c>
      <c r="C143" s="34">
        <v>46214</v>
      </c>
      <c r="D143" s="34">
        <v>58520</v>
      </c>
      <c r="E143" s="34">
        <v>59567</v>
      </c>
      <c r="F143" s="34">
        <v>40442</v>
      </c>
      <c r="G143" s="34">
        <v>54689</v>
      </c>
      <c r="H143" s="76"/>
      <c r="I143" s="76"/>
    </row>
    <row r="144" spans="1:9" x14ac:dyDescent="0.2">
      <c r="A144" s="32" t="s">
        <v>85</v>
      </c>
      <c r="B144" s="34">
        <v>25981</v>
      </c>
      <c r="C144" s="34">
        <v>27881</v>
      </c>
      <c r="D144" s="34">
        <v>31695</v>
      </c>
      <c r="E144" s="34">
        <v>37982</v>
      </c>
      <c r="F144" s="34">
        <v>34473</v>
      </c>
      <c r="G144" s="34">
        <v>33367</v>
      </c>
      <c r="H144" s="76"/>
      <c r="I144" s="76"/>
    </row>
    <row r="145" spans="1:9" x14ac:dyDescent="0.2">
      <c r="A145" s="32" t="s">
        <v>86</v>
      </c>
      <c r="C145" s="34">
        <v>33318</v>
      </c>
      <c r="D145" s="34">
        <v>35861</v>
      </c>
      <c r="E145" s="34">
        <v>37155</v>
      </c>
      <c r="F145" s="34">
        <v>34877</v>
      </c>
      <c r="G145" s="34">
        <v>39330</v>
      </c>
      <c r="H145" s="76"/>
      <c r="I145" s="76"/>
    </row>
    <row r="146" spans="1:9" x14ac:dyDescent="0.2">
      <c r="A146" s="32" t="s">
        <v>87</v>
      </c>
      <c r="B146" s="34">
        <v>22210</v>
      </c>
      <c r="C146" s="34">
        <v>23735</v>
      </c>
      <c r="D146" s="34">
        <v>26377</v>
      </c>
      <c r="E146" s="34">
        <v>32588</v>
      </c>
      <c r="F146" s="34">
        <v>31435</v>
      </c>
      <c r="G146" s="34">
        <v>28135</v>
      </c>
      <c r="H146" s="76"/>
      <c r="I146" s="76"/>
    </row>
    <row r="147" spans="1:9" x14ac:dyDescent="0.2">
      <c r="A147" s="32" t="s">
        <v>88</v>
      </c>
      <c r="B147" s="34">
        <v>107150</v>
      </c>
      <c r="C147" s="34">
        <v>101921</v>
      </c>
      <c r="D147" s="34">
        <v>141175</v>
      </c>
      <c r="E147" s="34">
        <v>173737</v>
      </c>
      <c r="F147" s="34">
        <v>157909</v>
      </c>
      <c r="G147" s="34">
        <v>104246</v>
      </c>
      <c r="H147" s="76"/>
      <c r="I147" s="76"/>
    </row>
    <row r="148" spans="1:9" x14ac:dyDescent="0.2">
      <c r="A148" s="32" t="s">
        <v>89</v>
      </c>
      <c r="B148" s="34">
        <v>55001</v>
      </c>
      <c r="C148" s="34">
        <v>66267</v>
      </c>
      <c r="D148" s="34">
        <v>79837</v>
      </c>
      <c r="E148" s="34">
        <v>102577</v>
      </c>
      <c r="F148" s="34">
        <v>92957</v>
      </c>
      <c r="G148" s="34">
        <v>124950</v>
      </c>
      <c r="H148" s="76"/>
      <c r="I148" s="76"/>
    </row>
    <row r="149" spans="1:9" x14ac:dyDescent="0.2">
      <c r="A149" s="32" t="s">
        <v>90</v>
      </c>
      <c r="B149" s="34">
        <v>379743</v>
      </c>
      <c r="C149" s="34">
        <v>453831</v>
      </c>
      <c r="D149" s="34">
        <v>470819</v>
      </c>
      <c r="E149" s="34">
        <v>590741</v>
      </c>
      <c r="F149" s="34">
        <v>536621</v>
      </c>
      <c r="G149" s="34">
        <v>547350</v>
      </c>
      <c r="H149" s="76"/>
      <c r="I149" s="76"/>
    </row>
    <row r="150" spans="1:9" x14ac:dyDescent="0.2">
      <c r="A150" s="31" t="s">
        <v>91</v>
      </c>
      <c r="F150" s="32" t="s">
        <v>153</v>
      </c>
      <c r="G150" s="32" t="s">
        <v>153</v>
      </c>
      <c r="H150" s="76"/>
      <c r="I150" s="76"/>
    </row>
    <row r="151" spans="1:9" x14ac:dyDescent="0.2">
      <c r="A151" s="32" t="s">
        <v>92</v>
      </c>
      <c r="B151" s="34">
        <v>3495691</v>
      </c>
      <c r="C151" s="34">
        <v>4071055</v>
      </c>
      <c r="D151" s="34">
        <v>4116018</v>
      </c>
      <c r="E151" s="34">
        <v>5014638</v>
      </c>
      <c r="F151" s="34">
        <v>4967420</v>
      </c>
      <c r="G151" s="34">
        <v>4934062</v>
      </c>
      <c r="H151" s="76"/>
      <c r="I151" s="76"/>
    </row>
    <row r="152" spans="1:9" x14ac:dyDescent="0.2">
      <c r="A152" s="32" t="s">
        <v>86</v>
      </c>
      <c r="C152" s="34">
        <v>202731</v>
      </c>
      <c r="D152" s="34">
        <v>202268</v>
      </c>
      <c r="E152" s="34">
        <v>184471</v>
      </c>
      <c r="F152" s="34">
        <v>195244</v>
      </c>
      <c r="G152" s="34">
        <v>179548</v>
      </c>
      <c r="H152" s="76"/>
      <c r="I152" s="76"/>
    </row>
    <row r="153" spans="1:9" x14ac:dyDescent="0.2">
      <c r="A153" s="32" t="s">
        <v>87</v>
      </c>
      <c r="B153" s="34">
        <v>31065</v>
      </c>
      <c r="C153" s="34">
        <v>34675</v>
      </c>
      <c r="D153" s="34">
        <v>37125</v>
      </c>
      <c r="E153" s="34">
        <v>36913</v>
      </c>
      <c r="F153" s="34">
        <v>40179</v>
      </c>
      <c r="G153" s="34">
        <v>38559</v>
      </c>
      <c r="H153" s="76"/>
      <c r="I153" s="76"/>
    </row>
    <row r="154" spans="1:9" x14ac:dyDescent="0.2">
      <c r="A154" s="32" t="s">
        <v>78</v>
      </c>
      <c r="B154" s="34">
        <v>0</v>
      </c>
      <c r="C154" s="34">
        <v>0</v>
      </c>
      <c r="D154" s="34">
        <v>6099</v>
      </c>
      <c r="E154" s="34">
        <v>3922</v>
      </c>
      <c r="F154" s="34">
        <v>7761</v>
      </c>
      <c r="G154" s="34">
        <v>0</v>
      </c>
      <c r="H154" s="76"/>
      <c r="I154" s="76"/>
    </row>
    <row r="155" spans="1:9" x14ac:dyDescent="0.2">
      <c r="A155" s="32" t="s">
        <v>89</v>
      </c>
      <c r="B155" s="34">
        <v>40807</v>
      </c>
      <c r="C155" s="34">
        <v>35559</v>
      </c>
      <c r="D155" s="34">
        <v>35244</v>
      </c>
      <c r="E155" s="34">
        <v>50667</v>
      </c>
      <c r="F155" s="34">
        <v>44061</v>
      </c>
      <c r="G155" s="34">
        <v>45747</v>
      </c>
      <c r="H155" s="76"/>
      <c r="I155" s="76"/>
    </row>
    <row r="156" spans="1:9" x14ac:dyDescent="0.2">
      <c r="A156" s="32" t="s">
        <v>93</v>
      </c>
      <c r="B156" s="34">
        <v>3567563</v>
      </c>
      <c r="C156" s="34">
        <v>4344020</v>
      </c>
      <c r="D156" s="34">
        <v>4396754</v>
      </c>
      <c r="E156" s="34">
        <v>5290611</v>
      </c>
      <c r="F156" s="34">
        <v>5254665</v>
      </c>
      <c r="G156" s="34">
        <v>5197916</v>
      </c>
      <c r="H156" s="76"/>
      <c r="I156" s="76"/>
    </row>
    <row r="157" spans="1:9" x14ac:dyDescent="0.2">
      <c r="A157" s="32" t="s">
        <v>94</v>
      </c>
      <c r="B157" s="34">
        <v>3947306</v>
      </c>
      <c r="C157" s="34">
        <v>4797851</v>
      </c>
      <c r="D157" s="34">
        <v>4867573</v>
      </c>
      <c r="E157" s="34">
        <v>5881352</v>
      </c>
      <c r="F157" s="34">
        <v>5791286</v>
      </c>
      <c r="G157" s="34">
        <v>5745266</v>
      </c>
      <c r="H157" s="76"/>
      <c r="I157" s="76"/>
    </row>
    <row r="158" spans="1:9" x14ac:dyDescent="0.2">
      <c r="A158" s="32" t="s">
        <v>95</v>
      </c>
      <c r="B158" s="32" t="s">
        <v>96</v>
      </c>
      <c r="C158" s="32" t="s">
        <v>96</v>
      </c>
      <c r="D158" s="32" t="s">
        <v>96</v>
      </c>
      <c r="E158" s="32" t="s">
        <v>96</v>
      </c>
      <c r="F158" s="32" t="s">
        <v>96</v>
      </c>
      <c r="G158" s="32" t="s">
        <v>96</v>
      </c>
      <c r="H158" s="76"/>
      <c r="I158" s="76"/>
    </row>
    <row r="159" spans="1:9" x14ac:dyDescent="0.2">
      <c r="A159" s="31" t="s">
        <v>97</v>
      </c>
      <c r="F159" s="32" t="s">
        <v>153</v>
      </c>
      <c r="G159" s="32" t="s">
        <v>153</v>
      </c>
      <c r="H159" s="76"/>
      <c r="I159" s="76"/>
    </row>
    <row r="160" spans="1:9" ht="64" x14ac:dyDescent="0.2">
      <c r="A160" s="32" t="s">
        <v>98</v>
      </c>
      <c r="B160" s="34">
        <v>410</v>
      </c>
      <c r="C160" s="34">
        <v>389</v>
      </c>
      <c r="D160" s="34">
        <v>389</v>
      </c>
      <c r="E160" s="34">
        <v>361</v>
      </c>
      <c r="F160" s="34">
        <v>354</v>
      </c>
      <c r="G160" s="34">
        <v>347</v>
      </c>
      <c r="H160" s="76"/>
      <c r="I160" s="76"/>
    </row>
    <row r="161" spans="1:9" ht="32" x14ac:dyDescent="0.2">
      <c r="A161" s="32" t="s">
        <v>99</v>
      </c>
      <c r="B161" s="34">
        <v>0</v>
      </c>
      <c r="C161" s="34">
        <v>0</v>
      </c>
      <c r="D161" s="34">
        <v>0</v>
      </c>
      <c r="E161" s="34">
        <v>0</v>
      </c>
      <c r="F161" s="34">
        <v>0</v>
      </c>
      <c r="G161" s="34">
        <v>0</v>
      </c>
      <c r="H161" s="76"/>
      <c r="I161" s="76"/>
    </row>
    <row r="162" spans="1:9" x14ac:dyDescent="0.2">
      <c r="A162" s="32" t="s">
        <v>100</v>
      </c>
      <c r="B162" s="34">
        <v>569</v>
      </c>
      <c r="C162" s="34">
        <v>243</v>
      </c>
      <c r="D162" s="34">
        <v>5122</v>
      </c>
      <c r="E162" s="34">
        <v>840</v>
      </c>
      <c r="F162" s="34">
        <v>9693</v>
      </c>
      <c r="G162" s="34">
        <v>2801</v>
      </c>
      <c r="H162" s="76"/>
      <c r="I162" s="76"/>
    </row>
    <row r="163" spans="1:9" x14ac:dyDescent="0.2">
      <c r="A163" s="32" t="s">
        <v>101</v>
      </c>
      <c r="B163" s="34">
        <v>-3036471</v>
      </c>
      <c r="C163" s="34">
        <v>-3412649</v>
      </c>
      <c r="D163" s="34">
        <v>-3303492</v>
      </c>
      <c r="E163" s="34">
        <v>-4207917</v>
      </c>
      <c r="F163" s="34">
        <v>-4194418</v>
      </c>
      <c r="G163" s="34">
        <v>-4069648</v>
      </c>
      <c r="H163" s="76"/>
      <c r="I163" s="76"/>
    </row>
    <row r="164" spans="1:9" x14ac:dyDescent="0.2">
      <c r="A164" s="32" t="s">
        <v>102</v>
      </c>
      <c r="B164" s="34">
        <v>-4429</v>
      </c>
      <c r="C164" s="34">
        <v>-3742</v>
      </c>
      <c r="D164" s="34">
        <v>-2424</v>
      </c>
      <c r="E164" s="34">
        <v>-2820</v>
      </c>
      <c r="F164" s="34">
        <v>-4694</v>
      </c>
      <c r="G164" s="34">
        <v>-3867</v>
      </c>
      <c r="H164" s="76"/>
      <c r="I164" s="76"/>
    </row>
    <row r="165" spans="1:9" x14ac:dyDescent="0.2">
      <c r="A165" s="32" t="s">
        <v>103</v>
      </c>
      <c r="B165" s="34">
        <v>-3039921</v>
      </c>
      <c r="C165" s="34">
        <v>-3415759</v>
      </c>
      <c r="D165" s="34">
        <v>-3300405</v>
      </c>
      <c r="E165" s="34">
        <v>-4209536</v>
      </c>
      <c r="F165" s="34">
        <v>-4189065</v>
      </c>
      <c r="G165" s="34">
        <v>-4070367</v>
      </c>
      <c r="H165" s="76"/>
      <c r="I165" s="76"/>
    </row>
    <row r="166" spans="1:9" x14ac:dyDescent="0.2">
      <c r="A166" s="32" t="s">
        <v>104</v>
      </c>
      <c r="B166" s="33">
        <v>907385</v>
      </c>
      <c r="C166" s="33">
        <v>1382092</v>
      </c>
      <c r="D166" s="33">
        <v>1567168</v>
      </c>
      <c r="E166" s="33">
        <v>1671816</v>
      </c>
      <c r="F166" s="33">
        <v>1602221</v>
      </c>
      <c r="G166" s="33">
        <v>1674899</v>
      </c>
      <c r="H166" s="76"/>
      <c r="I166" s="76"/>
    </row>
    <row r="167" spans="1:9" x14ac:dyDescent="0.2">
      <c r="H167" s="76"/>
      <c r="I167" s="76"/>
    </row>
    <row r="168" spans="1:9" ht="17" x14ac:dyDescent="0.2">
      <c r="A168" s="41" t="s">
        <v>201</v>
      </c>
      <c r="H168" s="76"/>
      <c r="I168" s="76"/>
    </row>
    <row r="169" spans="1:9" x14ac:dyDescent="0.2">
      <c r="A169" s="42"/>
      <c r="H169" s="76"/>
      <c r="I169" s="76"/>
    </row>
    <row r="170" spans="1:9" ht="17" x14ac:dyDescent="0.2">
      <c r="A170" s="43" t="s">
        <v>32</v>
      </c>
      <c r="B170" s="10">
        <f>B20*1000</f>
        <v>571599.99999999988</v>
      </c>
      <c r="C170" s="10">
        <f t="shared" ref="C170:I170" si="193">C20*1000</f>
        <v>629400.00000000047</v>
      </c>
      <c r="D170" s="10">
        <f t="shared" si="193"/>
        <v>725800</v>
      </c>
      <c r="E170" s="10">
        <f t="shared" si="193"/>
        <v>780499.99999999977</v>
      </c>
      <c r="F170" s="10">
        <f t="shared" si="193"/>
        <v>767999.99999999953</v>
      </c>
      <c r="G170" s="10">
        <f t="shared" si="193"/>
        <v>819500.00000000058</v>
      </c>
      <c r="H170" s="10">
        <f t="shared" si="193"/>
        <v>899490.80000000098</v>
      </c>
      <c r="I170" s="10">
        <f t="shared" si="193"/>
        <v>982114.70240000146</v>
      </c>
    </row>
    <row r="171" spans="1:9" ht="17" x14ac:dyDescent="0.2">
      <c r="A171" s="42" t="s">
        <v>167</v>
      </c>
      <c r="B171" s="10">
        <f>B174</f>
        <v>66700</v>
      </c>
      <c r="C171" s="10">
        <f t="shared" ref="C171:I171" si="194">C174</f>
        <v>81900</v>
      </c>
      <c r="D171" s="10">
        <f t="shared" si="194"/>
        <v>63800</v>
      </c>
      <c r="E171" s="10">
        <f t="shared" si="194"/>
        <v>115200</v>
      </c>
      <c r="F171" s="10">
        <f t="shared" si="194"/>
        <v>120600</v>
      </c>
      <c r="G171" s="10">
        <f t="shared" si="194"/>
        <v>133300</v>
      </c>
      <c r="H171" s="10">
        <f t="shared" si="194"/>
        <v>192966.51600000027</v>
      </c>
      <c r="I171" s="10">
        <f t="shared" si="194"/>
        <v>215274.96964800038</v>
      </c>
    </row>
    <row r="172" spans="1:9" ht="17" x14ac:dyDescent="0.2">
      <c r="A172" s="42" t="s">
        <v>168</v>
      </c>
      <c r="B172" s="10">
        <f>B170-B171</f>
        <v>504899.99999999988</v>
      </c>
      <c r="C172" s="10">
        <f t="shared" ref="C172:I172" si="195">C170-C171</f>
        <v>547500.00000000047</v>
      </c>
      <c r="D172" s="10">
        <f t="shared" si="195"/>
        <v>662000</v>
      </c>
      <c r="E172" s="10">
        <f t="shared" si="195"/>
        <v>665299.99999999977</v>
      </c>
      <c r="F172" s="10">
        <f t="shared" si="195"/>
        <v>647399.99999999953</v>
      </c>
      <c r="G172" s="10">
        <f t="shared" si="195"/>
        <v>686200.00000000058</v>
      </c>
      <c r="H172" s="10">
        <f t="shared" si="195"/>
        <v>706524.28400000068</v>
      </c>
      <c r="I172" s="10">
        <f t="shared" si="195"/>
        <v>766839.73275200115</v>
      </c>
    </row>
    <row r="173" spans="1:9" x14ac:dyDescent="0.2">
      <c r="A173" s="42"/>
      <c r="B173" s="10"/>
      <c r="C173" s="10"/>
      <c r="D173" s="10"/>
      <c r="E173" s="10"/>
      <c r="F173" s="10"/>
      <c r="G173" s="10"/>
      <c r="H173" s="76"/>
      <c r="I173" s="76"/>
    </row>
    <row r="174" spans="1:9" ht="17" x14ac:dyDescent="0.2">
      <c r="A174" s="44" t="s">
        <v>36</v>
      </c>
      <c r="B174" s="10">
        <f t="shared" ref="B174:G175" si="196">B24*1000</f>
        <v>66700</v>
      </c>
      <c r="C174" s="10">
        <f t="shared" si="196"/>
        <v>81900</v>
      </c>
      <c r="D174" s="10">
        <f t="shared" si="196"/>
        <v>63800</v>
      </c>
      <c r="E174" s="10">
        <f t="shared" si="196"/>
        <v>115200</v>
      </c>
      <c r="F174" s="10">
        <f t="shared" si="196"/>
        <v>120600</v>
      </c>
      <c r="G174" s="10">
        <f t="shared" si="196"/>
        <v>133300</v>
      </c>
      <c r="H174" s="10">
        <f t="shared" ref="H174:I174" si="197">H24*1000</f>
        <v>192966.51600000027</v>
      </c>
      <c r="I174" s="10">
        <f t="shared" si="197"/>
        <v>215274.96964800038</v>
      </c>
    </row>
    <row r="175" spans="1:9" ht="17" x14ac:dyDescent="0.2">
      <c r="A175" s="44" t="s">
        <v>169</v>
      </c>
      <c r="B175" s="10">
        <f t="shared" si="196"/>
        <v>361899.99999999994</v>
      </c>
      <c r="C175" s="10">
        <f t="shared" si="196"/>
        <v>400700.00000000041</v>
      </c>
      <c r="D175" s="10">
        <f t="shared" si="196"/>
        <v>491499.99999999994</v>
      </c>
      <c r="E175" s="10">
        <f t="shared" si="196"/>
        <v>510599.99999999977</v>
      </c>
      <c r="F175" s="10">
        <f t="shared" si="196"/>
        <v>452299.99999999948</v>
      </c>
      <c r="G175" s="10">
        <f t="shared" si="196"/>
        <v>519100.00000000058</v>
      </c>
      <c r="H175" s="10">
        <f t="shared" ref="H175:I175" si="198">H25*1000</f>
        <v>521724.28400000068</v>
      </c>
      <c r="I175" s="10">
        <f t="shared" si="198"/>
        <v>582039.73275200103</v>
      </c>
    </row>
    <row r="176" spans="1:9" ht="17" x14ac:dyDescent="0.2">
      <c r="A176" s="45" t="s">
        <v>170</v>
      </c>
      <c r="B176" s="28">
        <f>B174/B175</f>
        <v>0.18430505664548222</v>
      </c>
      <c r="C176" s="28">
        <f t="shared" ref="C176:G176" si="199">C174/C175</f>
        <v>0.20439231345145975</v>
      </c>
      <c r="D176" s="28">
        <f t="shared" si="199"/>
        <v>0.12980671414038658</v>
      </c>
      <c r="E176" s="28">
        <f t="shared" si="199"/>
        <v>0.22561692126909527</v>
      </c>
      <c r="F176" s="28">
        <f t="shared" si="199"/>
        <v>0.26663718770727424</v>
      </c>
      <c r="G176" s="28">
        <f t="shared" si="199"/>
        <v>0.2567905991138506</v>
      </c>
      <c r="H176" s="28">
        <f t="shared" ref="H176:I176" si="200">H174/H175</f>
        <v>0.36986301369863017</v>
      </c>
      <c r="I176" s="28">
        <f t="shared" si="200"/>
        <v>0.36986301369863012</v>
      </c>
    </row>
    <row r="177" spans="1:9" x14ac:dyDescent="0.2">
      <c r="A177" s="42"/>
      <c r="H177" s="76"/>
      <c r="I177" s="76"/>
    </row>
    <row r="178" spans="1:9" ht="17" x14ac:dyDescent="0.2">
      <c r="A178" s="46" t="s">
        <v>171</v>
      </c>
      <c r="H178" s="76"/>
      <c r="I178" s="76"/>
    </row>
    <row r="179" spans="1:9" x14ac:dyDescent="0.2">
      <c r="A179" s="42"/>
      <c r="B179" s="40"/>
      <c r="C179" s="40"/>
      <c r="D179" s="40"/>
      <c r="E179" s="40"/>
      <c r="F179" s="40"/>
      <c r="G179" s="40"/>
      <c r="H179" s="76"/>
      <c r="I179" s="76"/>
    </row>
    <row r="180" spans="1:9" ht="17" x14ac:dyDescent="0.2">
      <c r="A180" s="42" t="s">
        <v>172</v>
      </c>
      <c r="B180" s="40">
        <f>B121-B115-B149</f>
        <v>161770</v>
      </c>
      <c r="C180" s="40">
        <f t="shared" ref="C180:G180" si="201">C121-C115-C149</f>
        <v>143171</v>
      </c>
      <c r="D180" s="40">
        <f t="shared" si="201"/>
        <v>229744</v>
      </c>
      <c r="E180" s="40">
        <f t="shared" si="201"/>
        <v>121639</v>
      </c>
      <c r="F180" s="40">
        <f t="shared" si="201"/>
        <v>193677</v>
      </c>
      <c r="G180" s="40">
        <f t="shared" si="201"/>
        <v>155843</v>
      </c>
      <c r="H180" s="76"/>
      <c r="I180" s="76"/>
    </row>
    <row r="181" spans="1:9" ht="17" x14ac:dyDescent="0.2">
      <c r="A181" s="42" t="s">
        <v>173</v>
      </c>
      <c r="B181" s="40">
        <f>B129</f>
        <v>234939</v>
      </c>
      <c r="C181" s="40">
        <f t="shared" ref="C181:G181" si="202">C129</f>
        <v>242881</v>
      </c>
      <c r="D181" s="40">
        <f t="shared" si="202"/>
        <v>297364</v>
      </c>
      <c r="E181" s="40">
        <f t="shared" si="202"/>
        <v>324065</v>
      </c>
      <c r="F181" s="40">
        <f t="shared" si="202"/>
        <v>302235</v>
      </c>
      <c r="G181" s="40">
        <f t="shared" si="202"/>
        <v>304365</v>
      </c>
      <c r="H181" s="76"/>
      <c r="I181" s="76"/>
    </row>
    <row r="182" spans="1:9" ht="17" x14ac:dyDescent="0.2">
      <c r="A182" s="42" t="s">
        <v>77</v>
      </c>
      <c r="B182" s="40">
        <f>B138</f>
        <v>105495</v>
      </c>
      <c r="C182" s="40">
        <f t="shared" ref="C182:G182" si="203">C138</f>
        <v>351594</v>
      </c>
      <c r="D182" s="40">
        <f t="shared" si="203"/>
        <v>400420</v>
      </c>
      <c r="E182" s="40">
        <f t="shared" si="203"/>
        <v>487211</v>
      </c>
      <c r="F182" s="40">
        <f t="shared" si="203"/>
        <v>509332</v>
      </c>
      <c r="G182" s="40">
        <f t="shared" si="203"/>
        <v>553243</v>
      </c>
      <c r="H182" s="76"/>
      <c r="I182" s="76"/>
    </row>
    <row r="183" spans="1:9" ht="17" x14ac:dyDescent="0.2">
      <c r="A183" s="42" t="s">
        <v>174</v>
      </c>
      <c r="B183" s="40">
        <f>SUM(B180:B182)</f>
        <v>502204</v>
      </c>
      <c r="C183" s="40">
        <f t="shared" ref="C183:G183" si="204">SUM(C180:C182)</f>
        <v>737646</v>
      </c>
      <c r="D183" s="40">
        <f t="shared" si="204"/>
        <v>927528</v>
      </c>
      <c r="E183" s="40">
        <f t="shared" si="204"/>
        <v>932915</v>
      </c>
      <c r="F183" s="40">
        <f t="shared" si="204"/>
        <v>1005244</v>
      </c>
      <c r="G183" s="40">
        <f t="shared" si="204"/>
        <v>1013451</v>
      </c>
      <c r="H183" s="85">
        <f>H216</f>
        <v>1137034.3759597016</v>
      </c>
      <c r="I183" s="85">
        <f>I216</f>
        <v>1263371.5288441128</v>
      </c>
    </row>
    <row r="184" spans="1:9" x14ac:dyDescent="0.2">
      <c r="A184" s="42"/>
      <c r="H184" s="76"/>
      <c r="I184" s="76"/>
    </row>
    <row r="185" spans="1:9" ht="17" x14ac:dyDescent="0.2">
      <c r="A185" s="42" t="s">
        <v>175</v>
      </c>
      <c r="B185" s="28">
        <f>B172/B183</f>
        <v>1.0053683363732664</v>
      </c>
      <c r="C185" s="28">
        <f t="shared" ref="C185:F185" si="205">C172/C183</f>
        <v>0.74222594577887013</v>
      </c>
      <c r="D185" s="28">
        <f t="shared" si="205"/>
        <v>0.71372508431012327</v>
      </c>
      <c r="E185" s="28">
        <f t="shared" si="205"/>
        <v>0.71314106858609816</v>
      </c>
      <c r="F185" s="28">
        <f t="shared" si="205"/>
        <v>0.644022744726653</v>
      </c>
      <c r="G185" s="28">
        <f>G172/G183</f>
        <v>0.67709242972773287</v>
      </c>
      <c r="H185" s="28">
        <f t="shared" ref="H185:I185" si="206">H172/H183</f>
        <v>0.62137460303578462</v>
      </c>
      <c r="I185" s="28">
        <f t="shared" si="206"/>
        <v>0.60697879859110027</v>
      </c>
    </row>
    <row r="186" spans="1:9" x14ac:dyDescent="0.2">
      <c r="H186" s="76"/>
      <c r="I186" s="76"/>
    </row>
    <row r="187" spans="1:9" ht="17" x14ac:dyDescent="0.2">
      <c r="A187" s="48" t="s">
        <v>176</v>
      </c>
      <c r="H187" s="76"/>
      <c r="I187" s="76"/>
    </row>
    <row r="188" spans="1:9" x14ac:dyDescent="0.2">
      <c r="A188" s="48"/>
      <c r="H188" s="76"/>
      <c r="I188" s="76"/>
    </row>
    <row r="189" spans="1:9" ht="17" x14ac:dyDescent="0.2">
      <c r="A189" s="49" t="s">
        <v>32</v>
      </c>
      <c r="H189" s="76"/>
      <c r="I189" s="76"/>
    </row>
    <row r="190" spans="1:9" ht="17" x14ac:dyDescent="0.2">
      <c r="A190" s="50" t="s">
        <v>177</v>
      </c>
      <c r="H190" s="76"/>
      <c r="I190" s="76"/>
    </row>
    <row r="191" spans="1:9" ht="17" x14ac:dyDescent="0.2">
      <c r="A191" s="50" t="s">
        <v>167</v>
      </c>
      <c r="H191" s="76"/>
      <c r="I191" s="76"/>
    </row>
    <row r="192" spans="1:9" ht="17" x14ac:dyDescent="0.2">
      <c r="A192" s="49" t="s">
        <v>168</v>
      </c>
      <c r="H192" s="76"/>
      <c r="I192" s="76"/>
    </row>
    <row r="193" spans="1:9" ht="17" x14ac:dyDescent="0.2">
      <c r="A193" s="49" t="s">
        <v>155</v>
      </c>
      <c r="H193" s="76"/>
      <c r="I193" s="76"/>
    </row>
    <row r="194" spans="1:9" ht="17" x14ac:dyDescent="0.2">
      <c r="A194" s="49" t="s">
        <v>159</v>
      </c>
      <c r="H194" s="76"/>
      <c r="I194" s="76"/>
    </row>
    <row r="195" spans="1:9" ht="17" x14ac:dyDescent="0.2">
      <c r="A195" s="51" t="s">
        <v>172</v>
      </c>
      <c r="H195" s="76"/>
      <c r="I195" s="76"/>
    </row>
    <row r="196" spans="1:9" ht="17" x14ac:dyDescent="0.2">
      <c r="A196" s="51" t="s">
        <v>178</v>
      </c>
      <c r="H196" s="76"/>
      <c r="I196" s="76"/>
    </row>
    <row r="197" spans="1:9" x14ac:dyDescent="0.2">
      <c r="A197" s="50"/>
      <c r="H197" s="76"/>
      <c r="I197" s="76"/>
    </row>
    <row r="198" spans="1:9" ht="17" x14ac:dyDescent="0.2">
      <c r="A198" s="50" t="s">
        <v>178</v>
      </c>
      <c r="H198" s="76"/>
      <c r="I198" s="76"/>
    </row>
    <row r="199" spans="1:9" ht="17" x14ac:dyDescent="0.2">
      <c r="A199" s="50" t="s">
        <v>179</v>
      </c>
      <c r="H199" s="76"/>
      <c r="I199" s="76"/>
    </row>
    <row r="200" spans="1:9" x14ac:dyDescent="0.2">
      <c r="A200" s="50"/>
      <c r="H200" s="76"/>
      <c r="I200" s="76"/>
    </row>
    <row r="201" spans="1:9" x14ac:dyDescent="0.2">
      <c r="A201" s="50"/>
      <c r="H201" s="76"/>
      <c r="I201" s="76"/>
    </row>
    <row r="202" spans="1:9" ht="17" x14ac:dyDescent="0.2">
      <c r="A202" s="50" t="s">
        <v>180</v>
      </c>
      <c r="H202" s="76"/>
      <c r="I202" s="76"/>
    </row>
    <row r="203" spans="1:9" ht="17" x14ac:dyDescent="0.2">
      <c r="A203" s="50" t="s">
        <v>181</v>
      </c>
      <c r="H203" s="76"/>
      <c r="I203" s="76"/>
    </row>
    <row r="204" spans="1:9" x14ac:dyDescent="0.2">
      <c r="A204" s="50"/>
      <c r="H204" s="76"/>
      <c r="I204" s="76"/>
    </row>
    <row r="205" spans="1:9" ht="17" x14ac:dyDescent="0.2">
      <c r="A205" s="50" t="s">
        <v>179</v>
      </c>
      <c r="H205" s="76"/>
      <c r="I205" s="76"/>
    </row>
    <row r="206" spans="1:9" ht="17" x14ac:dyDescent="0.2">
      <c r="A206" s="50" t="s">
        <v>182</v>
      </c>
      <c r="H206" s="76"/>
      <c r="I206" s="76"/>
    </row>
    <row r="207" spans="1:9" ht="17" x14ac:dyDescent="0.2">
      <c r="A207" s="50" t="s">
        <v>183</v>
      </c>
      <c r="H207" s="76"/>
      <c r="I207" s="76"/>
    </row>
    <row r="208" spans="1:9" ht="17" x14ac:dyDescent="0.2">
      <c r="A208" s="50" t="s">
        <v>184</v>
      </c>
      <c r="H208" s="76"/>
      <c r="I208" s="76"/>
    </row>
    <row r="209" spans="1:9" ht="17" x14ac:dyDescent="0.2">
      <c r="A209" s="50" t="s">
        <v>185</v>
      </c>
      <c r="H209" s="76"/>
      <c r="I209" s="76"/>
    </row>
    <row r="210" spans="1:9" x14ac:dyDescent="0.2">
      <c r="A210" s="48"/>
      <c r="H210" s="76"/>
      <c r="I210" s="76"/>
    </row>
    <row r="211" spans="1:9" ht="17" x14ac:dyDescent="0.2">
      <c r="A211" s="49" t="s">
        <v>186</v>
      </c>
      <c r="B211" s="75">
        <v>234</v>
      </c>
      <c r="C211" s="75">
        <v>279</v>
      </c>
      <c r="D211" s="75">
        <v>368</v>
      </c>
      <c r="E211" s="75">
        <v>546</v>
      </c>
      <c r="F211" s="75">
        <v>339</v>
      </c>
      <c r="G211" s="75">
        <v>409</v>
      </c>
      <c r="H211" s="84">
        <v>450</v>
      </c>
      <c r="I211" s="84">
        <v>500</v>
      </c>
    </row>
    <row r="212" spans="1:9" ht="17" x14ac:dyDescent="0.2">
      <c r="A212" s="48" t="s">
        <v>182</v>
      </c>
      <c r="B212" s="75">
        <f>(B141+B151)-SUM(B115+B116+B120)</f>
        <v>3226409</v>
      </c>
      <c r="C212" s="75">
        <f t="shared" ref="C212:G212" si="207">(C141+C151)-SUM(C115+C116+C120)</f>
        <v>3609176</v>
      </c>
      <c r="D212" s="75">
        <f t="shared" si="207"/>
        <v>3584901</v>
      </c>
      <c r="E212" s="75">
        <f t="shared" si="207"/>
        <v>4560583</v>
      </c>
      <c r="F212" s="75">
        <f t="shared" si="207"/>
        <v>4607928</v>
      </c>
      <c r="G212" s="75">
        <f t="shared" si="207"/>
        <v>4569125</v>
      </c>
      <c r="H212" s="84">
        <f>H213*H229</f>
        <v>4742761.440176392</v>
      </c>
      <c r="I212" s="84">
        <f>I213*I229</f>
        <v>5269734.9335293248</v>
      </c>
    </row>
    <row r="213" spans="1:9" ht="17" x14ac:dyDescent="0.2">
      <c r="A213" s="48" t="s">
        <v>187</v>
      </c>
      <c r="B213" s="75">
        <f>B211*B28*1000</f>
        <v>10139519.051999999</v>
      </c>
      <c r="C213" s="75">
        <f t="shared" ref="C213:I213" si="208">C211*C28*1000</f>
        <v>11696534.298</v>
      </c>
      <c r="D213" s="75">
        <f t="shared" si="208"/>
        <v>14587811.088</v>
      </c>
      <c r="E213" s="75">
        <f t="shared" si="208"/>
        <v>20579477.645999998</v>
      </c>
      <c r="F213" s="75">
        <f t="shared" si="208"/>
        <v>12235782.605999999</v>
      </c>
      <c r="G213" s="75">
        <f t="shared" si="208"/>
        <v>14479137.017000001</v>
      </c>
      <c r="H213" s="84">
        <f t="shared" si="208"/>
        <v>15930590.85</v>
      </c>
      <c r="I213" s="84">
        <f t="shared" si="208"/>
        <v>17700656.5</v>
      </c>
    </row>
    <row r="214" spans="1:9" ht="17" x14ac:dyDescent="0.2">
      <c r="A214" s="48" t="s">
        <v>188</v>
      </c>
      <c r="B214" s="75">
        <f>SUM(B212:B213)</f>
        <v>13365928.051999999</v>
      </c>
      <c r="C214" s="75">
        <f t="shared" ref="C214:I214" si="209">SUM(C212:C213)</f>
        <v>15305710.298</v>
      </c>
      <c r="D214" s="75">
        <f t="shared" si="209"/>
        <v>18172712.088</v>
      </c>
      <c r="E214" s="75">
        <f t="shared" si="209"/>
        <v>25140060.645999998</v>
      </c>
      <c r="F214" s="75">
        <f t="shared" si="209"/>
        <v>16843710.605999999</v>
      </c>
      <c r="G214" s="75">
        <f t="shared" si="209"/>
        <v>19048262.017000001</v>
      </c>
      <c r="H214" s="84">
        <f t="shared" si="209"/>
        <v>20673352.290176392</v>
      </c>
      <c r="I214" s="84">
        <f t="shared" si="209"/>
        <v>22970391.433529325</v>
      </c>
    </row>
    <row r="215" spans="1:9" ht="17" x14ac:dyDescent="0.2">
      <c r="A215" s="48" t="s">
        <v>204</v>
      </c>
      <c r="B215" s="100">
        <f>B214/(B11*1000)</f>
        <v>3.8935935830808672</v>
      </c>
      <c r="C215" s="100">
        <f t="shared" ref="C215:I215" si="210">C214/(C11*1000)</f>
        <v>4.2294988112081358</v>
      </c>
      <c r="D215" s="100">
        <f t="shared" si="210"/>
        <v>4.413530561748634</v>
      </c>
      <c r="E215" s="100">
        <f t="shared" si="210"/>
        <v>5.7695094886859133</v>
      </c>
      <c r="F215" s="100">
        <f t="shared" si="210"/>
        <v>3.7124397976681145</v>
      </c>
      <c r="G215" s="100">
        <f t="shared" si="210"/>
        <v>4.2524137199178451</v>
      </c>
      <c r="H215" s="100">
        <f t="shared" si="210"/>
        <v>4.43769776218664</v>
      </c>
      <c r="I215" s="100">
        <f t="shared" si="210"/>
        <v>4.7411300878062379</v>
      </c>
    </row>
    <row r="216" spans="1:9" ht="17" x14ac:dyDescent="0.2">
      <c r="A216" s="48" t="s">
        <v>171</v>
      </c>
      <c r="B216" s="75">
        <f>B183</f>
        <v>502204</v>
      </c>
      <c r="C216" s="75">
        <f>C183</f>
        <v>737646</v>
      </c>
      <c r="D216" s="75">
        <f>D183</f>
        <v>927528</v>
      </c>
      <c r="E216" s="75">
        <f>E183</f>
        <v>932915</v>
      </c>
      <c r="F216" s="75">
        <f>F183</f>
        <v>1005244</v>
      </c>
      <c r="G216" s="75">
        <f>G183</f>
        <v>1013451</v>
      </c>
      <c r="H216" s="84">
        <f>H214*H231</f>
        <v>1137034.3759597016</v>
      </c>
      <c r="I216" s="84">
        <f>I214*I231</f>
        <v>1263371.5288441128</v>
      </c>
    </row>
    <row r="217" spans="1:9" ht="17" x14ac:dyDescent="0.2">
      <c r="A217" s="52" t="s">
        <v>189</v>
      </c>
      <c r="B217" s="10">
        <f t="shared" ref="B217:I217" si="211">(B20*1000)+B80</f>
        <v>625264.99999999988</v>
      </c>
      <c r="C217" s="10">
        <f t="shared" si="211"/>
        <v>689330.00000000047</v>
      </c>
      <c r="D217" s="10">
        <f t="shared" si="211"/>
        <v>790838</v>
      </c>
      <c r="E217" s="10">
        <f t="shared" si="211"/>
        <v>853422.99999999977</v>
      </c>
      <c r="F217" s="10">
        <f t="shared" si="211"/>
        <v>848250.99999999953</v>
      </c>
      <c r="G217" s="10">
        <f t="shared" si="211"/>
        <v>900140.00000000058</v>
      </c>
      <c r="H217" s="85">
        <f t="shared" si="211"/>
        <v>987388.40000000095</v>
      </c>
      <c r="I217" s="85">
        <f t="shared" si="211"/>
        <v>1077923.0864000015</v>
      </c>
    </row>
    <row r="218" spans="1:9" ht="17" x14ac:dyDescent="0.2">
      <c r="A218" s="52" t="s">
        <v>190</v>
      </c>
      <c r="B218" s="10">
        <f>B217+B81+B83+B85</f>
        <v>504373.99999999988</v>
      </c>
      <c r="C218" s="10">
        <f>C217+C81+C83+C85</f>
        <v>661142.00000000047</v>
      </c>
      <c r="D218" s="10">
        <f>D217+D81+D83+D85</f>
        <v>773888</v>
      </c>
      <c r="E218" s="10">
        <f>E217+E81+E83+E85</f>
        <v>874390.99999999977</v>
      </c>
      <c r="F218" s="10">
        <f>F217+F81+F83+F85</f>
        <v>715914.99999999953</v>
      </c>
      <c r="G218" s="10">
        <f>G217+G81+G83+G85</f>
        <v>818014.00000000058</v>
      </c>
      <c r="H218" s="10">
        <f>H217+H81+H83+H85</f>
        <v>938653.80000000098</v>
      </c>
      <c r="I218" s="10">
        <f>I217+I81+I83+I85</f>
        <v>1028315.0264000015</v>
      </c>
    </row>
    <row r="219" spans="1:9" ht="17" x14ac:dyDescent="0.2">
      <c r="A219" s="48" t="s">
        <v>191</v>
      </c>
      <c r="B219" s="18">
        <f>B217/(B$11*1000)</f>
        <v>0.18214431367979492</v>
      </c>
      <c r="C219" s="18">
        <f t="shared" ref="C219:I219" si="212">C217/(C$11*1000)</f>
        <v>0.19048579639659569</v>
      </c>
      <c r="D219" s="18">
        <f t="shared" si="212"/>
        <v>0.1920675166970249</v>
      </c>
      <c r="E219" s="18">
        <f t="shared" si="212"/>
        <v>0.19585601505484918</v>
      </c>
      <c r="F219" s="18">
        <f t="shared" si="212"/>
        <v>0.18695885036697443</v>
      </c>
      <c r="G219" s="18">
        <f t="shared" si="212"/>
        <v>0.2009510202259232</v>
      </c>
      <c r="H219" s="81">
        <f t="shared" si="212"/>
        <v>0.21195069051143542</v>
      </c>
      <c r="I219" s="81">
        <f t="shared" si="212"/>
        <v>0.22248526291163806</v>
      </c>
    </row>
    <row r="220" spans="1:9" ht="17" x14ac:dyDescent="0.2">
      <c r="A220" s="53" t="s">
        <v>192</v>
      </c>
      <c r="B220" s="18">
        <f>B218/(B$11*1000)</f>
        <v>0.14692787229084128</v>
      </c>
      <c r="C220" s="18">
        <f t="shared" ref="C220:I220" si="213">C218/(C$11*1000)</f>
        <v>0.18269647396927172</v>
      </c>
      <c r="D220" s="18">
        <f t="shared" si="213"/>
        <v>0.18795094110503946</v>
      </c>
      <c r="E220" s="18">
        <f t="shared" si="213"/>
        <v>0.20066805893422679</v>
      </c>
      <c r="F220" s="18">
        <f t="shared" si="213"/>
        <v>0.15779132044698149</v>
      </c>
      <c r="G220" s="18">
        <f t="shared" si="213"/>
        <v>0.18261686833058008</v>
      </c>
      <c r="H220" s="81">
        <f t="shared" si="213"/>
        <v>0.20148942509470721</v>
      </c>
      <c r="I220" s="81">
        <f t="shared" si="213"/>
        <v>0.21224607014279459</v>
      </c>
    </row>
    <row r="221" spans="1:9" ht="17" x14ac:dyDescent="0.2">
      <c r="A221" s="48" t="s">
        <v>193</v>
      </c>
      <c r="C221" s="54">
        <f>C219/B219-1</f>
        <v>4.5796009484352584E-2</v>
      </c>
      <c r="D221" s="54">
        <f t="shared" ref="D221:I221" si="214">D219/C219-1</f>
        <v>8.3036128170734802E-3</v>
      </c>
      <c r="E221" s="54">
        <f t="shared" si="214"/>
        <v>1.9724826055831146E-2</v>
      </c>
      <c r="F221" s="54">
        <f t="shared" si="214"/>
        <v>-4.5427068887228694E-2</v>
      </c>
      <c r="G221" s="54">
        <f t="shared" si="214"/>
        <v>7.484090660315923E-2</v>
      </c>
      <c r="H221" s="86">
        <f t="shared" si="214"/>
        <v>5.4738066386254891E-2</v>
      </c>
      <c r="I221" s="86">
        <f t="shared" si="214"/>
        <v>4.9702939748782038E-2</v>
      </c>
    </row>
    <row r="222" spans="1:9" ht="17" x14ac:dyDescent="0.2">
      <c r="A222" s="48" t="s">
        <v>194</v>
      </c>
      <c r="C222" s="54">
        <f t="shared" ref="C222:I222" si="215">C220/B220-1</f>
        <v>0.24344326995784082</v>
      </c>
      <c r="D222" s="54">
        <f t="shared" si="215"/>
        <v>2.8760637912757403E-2</v>
      </c>
      <c r="E222" s="54">
        <f t="shared" si="215"/>
        <v>6.7661900251301033E-2</v>
      </c>
      <c r="F222" s="54">
        <f t="shared" si="215"/>
        <v>-0.21366997176814795</v>
      </c>
      <c r="G222" s="54">
        <f t="shared" si="215"/>
        <v>0.15733151743248186</v>
      </c>
      <c r="H222" s="86">
        <f t="shared" si="215"/>
        <v>0.10334509038871098</v>
      </c>
      <c r="I222" s="86">
        <f t="shared" si="215"/>
        <v>5.3385655564957668E-2</v>
      </c>
    </row>
    <row r="223" spans="1:9" ht="17" x14ac:dyDescent="0.2">
      <c r="A223" s="48" t="s">
        <v>195</v>
      </c>
      <c r="B223" s="8">
        <f>B185</f>
        <v>1.0053683363732664</v>
      </c>
      <c r="C223" s="8">
        <f>C185</f>
        <v>0.74222594577887013</v>
      </c>
      <c r="D223" s="8">
        <f>D185</f>
        <v>0.71372508431012327</v>
      </c>
      <c r="E223" s="8">
        <f>E185</f>
        <v>0.71314106858609816</v>
      </c>
      <c r="F223" s="8">
        <f>F185</f>
        <v>0.644022744726653</v>
      </c>
      <c r="G223" s="8">
        <f>G185</f>
        <v>0.67709242972773287</v>
      </c>
      <c r="H223" s="87">
        <f>H185</f>
        <v>0.62137460303578462</v>
      </c>
      <c r="I223" s="87">
        <f>I185</f>
        <v>0.60697879859110027</v>
      </c>
    </row>
    <row r="224" spans="1:9" ht="17" x14ac:dyDescent="0.2">
      <c r="A224" s="48" t="s">
        <v>196</v>
      </c>
      <c r="B224" s="27">
        <f t="shared" ref="B224:I224" si="216">B$214/B217</f>
        <v>21.376421280577038</v>
      </c>
      <c r="C224" s="27">
        <f t="shared" si="216"/>
        <v>22.203748999753369</v>
      </c>
      <c r="D224" s="27">
        <f t="shared" si="216"/>
        <v>22.979057769100624</v>
      </c>
      <c r="E224" s="27">
        <f t="shared" si="216"/>
        <v>29.457913187247126</v>
      </c>
      <c r="F224" s="27">
        <f t="shared" si="216"/>
        <v>19.856988799305874</v>
      </c>
      <c r="G224" s="27">
        <f t="shared" si="216"/>
        <v>21.161443794298652</v>
      </c>
      <c r="H224" s="88">
        <f t="shared" si="216"/>
        <v>20.937406485812851</v>
      </c>
      <c r="I224" s="88">
        <f t="shared" si="216"/>
        <v>21.309861272426026</v>
      </c>
    </row>
    <row r="225" spans="1:9" ht="17" x14ac:dyDescent="0.2">
      <c r="A225" s="48" t="s">
        <v>197</v>
      </c>
      <c r="B225" s="27">
        <f>B$214/B218</f>
        <v>26.500033808245472</v>
      </c>
      <c r="C225" s="27">
        <f t="shared" ref="C225:I225" si="217">C$214/C218</f>
        <v>23.150412918858564</v>
      </c>
      <c r="D225" s="27">
        <f t="shared" si="217"/>
        <v>23.482354149437644</v>
      </c>
      <c r="E225" s="27">
        <f t="shared" si="217"/>
        <v>28.751508931359087</v>
      </c>
      <c r="F225" s="27">
        <f t="shared" si="217"/>
        <v>23.527528555764317</v>
      </c>
      <c r="G225" s="27">
        <f t="shared" si="217"/>
        <v>23.285985346216552</v>
      </c>
      <c r="H225" s="88">
        <f t="shared" si="217"/>
        <v>22.02446982069041</v>
      </c>
      <c r="I225" s="88">
        <f t="shared" si="217"/>
        <v>22.337893392403014</v>
      </c>
    </row>
    <row r="226" spans="1:9" ht="17" x14ac:dyDescent="0.2">
      <c r="A226" s="48" t="s">
        <v>198</v>
      </c>
      <c r="B226" s="27">
        <f>B214/B216</f>
        <v>26.614539215139661</v>
      </c>
      <c r="C226" s="27">
        <f t="shared" ref="C226:I226" si="218">C214/C216</f>
        <v>20.749397811416316</v>
      </c>
      <c r="D226" s="27">
        <f t="shared" si="218"/>
        <v>19.5926291044583</v>
      </c>
      <c r="E226" s="27">
        <f t="shared" si="218"/>
        <v>26.947857678352261</v>
      </c>
      <c r="F226" s="27">
        <f t="shared" si="218"/>
        <v>16.755842965488974</v>
      </c>
      <c r="G226" s="27">
        <f t="shared" si="218"/>
        <v>18.795444493123004</v>
      </c>
      <c r="H226" s="88">
        <f t="shared" si="218"/>
        <v>18.18181818181818</v>
      </c>
      <c r="I226" s="88">
        <f t="shared" si="218"/>
        <v>18.181818181818183</v>
      </c>
    </row>
    <row r="227" spans="1:9" ht="17" x14ac:dyDescent="0.2">
      <c r="A227" s="48" t="s">
        <v>199</v>
      </c>
      <c r="B227" s="15">
        <f>B87/B211</f>
        <v>2.751807048924711E-2</v>
      </c>
      <c r="C227" s="15">
        <f t="shared" ref="C227:I227" si="219">C87/C211</f>
        <v>3.4998572189883392E-2</v>
      </c>
      <c r="D227" s="15">
        <f t="shared" si="219"/>
        <v>3.4350869844497131E-2</v>
      </c>
      <c r="E227" s="15">
        <f t="shared" si="219"/>
        <v>2.7155451154447639E-2</v>
      </c>
      <c r="F227" s="15">
        <f t="shared" si="219"/>
        <v>3.1568883857955012E-2</v>
      </c>
      <c r="G227" s="15">
        <f t="shared" si="219"/>
        <v>3.3439078546707281E-2</v>
      </c>
      <c r="H227" s="78">
        <f t="shared" si="219"/>
        <v>0</v>
      </c>
      <c r="I227" s="78">
        <f t="shared" si="219"/>
        <v>0</v>
      </c>
    </row>
    <row r="228" spans="1:9" x14ac:dyDescent="0.2">
      <c r="H228" s="76"/>
      <c r="I228" s="76"/>
    </row>
    <row r="229" spans="1:9" ht="17" x14ac:dyDescent="0.2">
      <c r="A229" s="47" t="s">
        <v>200</v>
      </c>
      <c r="B229" s="28">
        <f>B212/B213</f>
        <v>0.31820138444964974</v>
      </c>
      <c r="C229" s="28">
        <f t="shared" ref="C229:G229" si="220">C212/C213</f>
        <v>0.30856798330571611</v>
      </c>
      <c r="D229" s="28">
        <f t="shared" si="220"/>
        <v>0.24574632742186769</v>
      </c>
      <c r="E229" s="28">
        <f t="shared" si="220"/>
        <v>0.22160829727796486</v>
      </c>
      <c r="F229" s="28">
        <f t="shared" si="220"/>
        <v>0.3765944646434331</v>
      </c>
      <c r="G229" s="28">
        <f t="shared" si="220"/>
        <v>0.31556611382538724</v>
      </c>
      <c r="H229" s="89">
        <f>B230</f>
        <v>0.29771409515400316</v>
      </c>
      <c r="I229" s="89">
        <f>H229</f>
        <v>0.29771409515400316</v>
      </c>
    </row>
    <row r="230" spans="1:9" ht="17" x14ac:dyDescent="0.2">
      <c r="A230" s="47" t="s">
        <v>202</v>
      </c>
      <c r="B230" s="8">
        <f>AVERAGE(B229:G229)</f>
        <v>0.29771409515400316</v>
      </c>
    </row>
    <row r="231" spans="1:9" ht="17" x14ac:dyDescent="0.2">
      <c r="A231" s="47" t="s">
        <v>203</v>
      </c>
      <c r="B231">
        <f>B216/B214</f>
        <v>3.7573447802964427E-2</v>
      </c>
      <c r="C231">
        <f>C216/C214</f>
        <v>4.819416973391874E-2</v>
      </c>
      <c r="D231">
        <f>D216/D214</f>
        <v>5.1039602427448087E-2</v>
      </c>
      <c r="E231">
        <f>E216/E214</f>
        <v>3.7108701253210176E-2</v>
      </c>
      <c r="F231">
        <f>F216/F214</f>
        <v>5.9680673903404396E-2</v>
      </c>
      <c r="G231">
        <f>G216/G214</f>
        <v>5.3204381538616251E-2</v>
      </c>
      <c r="H231">
        <v>5.5E-2</v>
      </c>
      <c r="I231">
        <v>5.5E-2</v>
      </c>
    </row>
  </sheetData>
  <mergeCells count="4">
    <mergeCell ref="U3:X3"/>
    <mergeCell ref="Z3:AC3"/>
    <mergeCell ref="P3:S3"/>
    <mergeCell ref="K3:N3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225-EE46-A04E-A486-7A095897D0ED}">
  <dimension ref="A1:G54"/>
  <sheetViews>
    <sheetView topLeftCell="A17" workbookViewId="0">
      <selection sqref="A1:G54"/>
    </sheetView>
  </sheetViews>
  <sheetFormatPr baseColWidth="10" defaultRowHeight="16" x14ac:dyDescent="0.2"/>
  <cols>
    <col min="2" max="3" width="14" customWidth="1"/>
    <col min="4" max="6" width="11.5" bestFit="1" customWidth="1"/>
    <col min="7" max="7" width="11.6640625" bestFit="1" customWidth="1"/>
  </cols>
  <sheetData>
    <row r="1" spans="1:7" ht="96" x14ac:dyDescent="0.2">
      <c r="A1" s="29" t="s">
        <v>54</v>
      </c>
      <c r="B1" s="30">
        <f t="shared" ref="B1:E1" si="0">C1-1</f>
        <v>2018</v>
      </c>
      <c r="C1" s="30">
        <f t="shared" si="0"/>
        <v>2019</v>
      </c>
      <c r="D1" s="30">
        <f t="shared" si="0"/>
        <v>2020</v>
      </c>
      <c r="E1" s="30">
        <f t="shared" si="0"/>
        <v>2021</v>
      </c>
      <c r="F1" s="30">
        <f>G1-1</f>
        <v>2022</v>
      </c>
      <c r="G1" s="30">
        <v>2023</v>
      </c>
    </row>
    <row r="2" spans="1:7" ht="32" x14ac:dyDescent="0.2">
      <c r="A2" s="31" t="s">
        <v>55</v>
      </c>
      <c r="F2" s="32" t="s">
        <v>153</v>
      </c>
      <c r="G2" s="32" t="s">
        <v>153</v>
      </c>
    </row>
    <row r="3" spans="1:7" ht="48" x14ac:dyDescent="0.2">
      <c r="A3" s="32" t="s">
        <v>56</v>
      </c>
      <c r="B3" s="33">
        <v>25438</v>
      </c>
      <c r="C3" s="33">
        <v>190615</v>
      </c>
      <c r="D3" s="33">
        <v>168821</v>
      </c>
      <c r="E3" s="33">
        <v>148160</v>
      </c>
      <c r="F3" s="33">
        <v>60356</v>
      </c>
      <c r="G3" s="33">
        <v>114098</v>
      </c>
    </row>
    <row r="4" spans="1:7" ht="64" x14ac:dyDescent="0.2">
      <c r="A4" s="32" t="s">
        <v>57</v>
      </c>
      <c r="B4" s="34">
        <v>166993</v>
      </c>
      <c r="C4" s="34">
        <v>209269</v>
      </c>
      <c r="D4" s="34">
        <v>217453</v>
      </c>
      <c r="E4" s="34">
        <v>180579</v>
      </c>
      <c r="F4" s="34">
        <v>191289</v>
      </c>
      <c r="G4" s="34">
        <v>200870</v>
      </c>
    </row>
    <row r="5" spans="1:7" ht="128" x14ac:dyDescent="0.2">
      <c r="A5" s="32" t="s">
        <v>58</v>
      </c>
      <c r="B5" s="34">
        <v>190091</v>
      </c>
      <c r="C5" s="34">
        <v>210260</v>
      </c>
      <c r="D5" s="34">
        <v>244560</v>
      </c>
      <c r="E5" s="34">
        <v>255327</v>
      </c>
      <c r="F5" s="34">
        <v>257492</v>
      </c>
      <c r="G5" s="34">
        <v>282809</v>
      </c>
    </row>
    <row r="6" spans="1:7" x14ac:dyDescent="0.2">
      <c r="A6" s="32" t="s">
        <v>59</v>
      </c>
      <c r="B6" s="34">
        <v>45975</v>
      </c>
      <c r="C6" s="34">
        <v>52955</v>
      </c>
      <c r="D6" s="34">
        <v>66683</v>
      </c>
      <c r="E6" s="34">
        <v>68328</v>
      </c>
      <c r="F6" s="34">
        <v>81570</v>
      </c>
      <c r="G6" s="34">
        <v>82964</v>
      </c>
    </row>
    <row r="7" spans="1:7" ht="48" x14ac:dyDescent="0.2">
      <c r="A7" s="32" t="s">
        <v>60</v>
      </c>
      <c r="B7" s="34">
        <v>25710</v>
      </c>
      <c r="C7" s="34">
        <v>19129</v>
      </c>
      <c r="D7" s="34">
        <v>24169</v>
      </c>
      <c r="E7" s="34">
        <v>27242</v>
      </c>
      <c r="F7" s="34">
        <v>37287</v>
      </c>
      <c r="G7" s="34">
        <v>30215</v>
      </c>
    </row>
    <row r="8" spans="1:7" ht="48" x14ac:dyDescent="0.2">
      <c r="A8" s="32" t="s">
        <v>61</v>
      </c>
      <c r="B8" s="34">
        <v>112744</v>
      </c>
      <c r="C8" s="34">
        <v>105389</v>
      </c>
      <c r="D8" s="34">
        <v>147698</v>
      </c>
      <c r="E8" s="34">
        <v>180904</v>
      </c>
      <c r="F8" s="34">
        <v>162660</v>
      </c>
      <c r="G8" s="34">
        <v>106335</v>
      </c>
    </row>
    <row r="9" spans="1:7" ht="48" x14ac:dyDescent="0.2">
      <c r="A9" s="32" t="s">
        <v>62</v>
      </c>
      <c r="B9" s="34">
        <v>566951</v>
      </c>
      <c r="C9" s="34">
        <v>787617</v>
      </c>
      <c r="D9" s="34">
        <v>869384</v>
      </c>
      <c r="E9" s="34">
        <v>860540</v>
      </c>
      <c r="F9" s="34">
        <v>790654</v>
      </c>
      <c r="G9" s="34">
        <v>817291</v>
      </c>
    </row>
    <row r="10" spans="1:7" ht="48" x14ac:dyDescent="0.2">
      <c r="A10" s="31" t="s">
        <v>63</v>
      </c>
      <c r="F10" s="32" t="s">
        <v>153</v>
      </c>
      <c r="G10" s="32" t="s">
        <v>153</v>
      </c>
    </row>
    <row r="11" spans="1:7" ht="32" x14ac:dyDescent="0.2">
      <c r="A11" s="32" t="s">
        <v>64</v>
      </c>
      <c r="B11" s="34">
        <v>41147</v>
      </c>
      <c r="C11" s="34">
        <v>44845</v>
      </c>
      <c r="D11" s="34">
        <v>88063</v>
      </c>
      <c r="E11" s="34">
        <v>108372</v>
      </c>
      <c r="F11" s="34">
        <v>105659</v>
      </c>
      <c r="G11" s="34">
        <v>108791</v>
      </c>
    </row>
    <row r="12" spans="1:7" ht="64" x14ac:dyDescent="0.2">
      <c r="A12" s="32" t="s">
        <v>65</v>
      </c>
      <c r="B12" s="34">
        <v>170498</v>
      </c>
      <c r="C12" s="34">
        <v>164071</v>
      </c>
      <c r="D12" s="34">
        <v>186456</v>
      </c>
      <c r="E12" s="34">
        <v>193572</v>
      </c>
      <c r="F12" s="34">
        <v>172725</v>
      </c>
      <c r="G12" s="34">
        <v>176817</v>
      </c>
    </row>
    <row r="13" spans="1:7" x14ac:dyDescent="0.2">
      <c r="A13" s="32" t="s">
        <v>66</v>
      </c>
      <c r="B13" s="34">
        <v>243654</v>
      </c>
      <c r="C13" s="34">
        <v>243708</v>
      </c>
      <c r="D13" s="34">
        <v>292456</v>
      </c>
      <c r="E13" s="34">
        <v>312772</v>
      </c>
      <c r="F13" s="34">
        <v>333787</v>
      </c>
      <c r="G13" s="34">
        <v>364620</v>
      </c>
    </row>
    <row r="14" spans="1:7" ht="32" x14ac:dyDescent="0.2">
      <c r="A14" s="32" t="s">
        <v>67</v>
      </c>
      <c r="B14" s="34">
        <v>31822</v>
      </c>
      <c r="C14" s="34">
        <v>42705</v>
      </c>
      <c r="D14" s="34">
        <v>13014</v>
      </c>
      <c r="E14" s="34">
        <v>27815</v>
      </c>
      <c r="F14" s="34">
        <v>22536</v>
      </c>
      <c r="G14" s="34">
        <v>24505</v>
      </c>
    </row>
    <row r="15" spans="1:7" ht="64" x14ac:dyDescent="0.2">
      <c r="A15" s="32" t="s">
        <v>68</v>
      </c>
      <c r="B15" s="34">
        <v>487121</v>
      </c>
      <c r="C15" s="34">
        <v>495329</v>
      </c>
      <c r="D15" s="34">
        <v>579989</v>
      </c>
      <c r="E15" s="34">
        <v>642531</v>
      </c>
      <c r="F15" s="34">
        <v>634707</v>
      </c>
      <c r="G15" s="34">
        <v>674733</v>
      </c>
    </row>
    <row r="16" spans="1:7" ht="96" x14ac:dyDescent="0.2">
      <c r="A16" s="32" t="s">
        <v>69</v>
      </c>
      <c r="B16" s="34">
        <v>-252182</v>
      </c>
      <c r="C16" s="34">
        <v>-252448</v>
      </c>
      <c r="D16" s="34">
        <v>-282625</v>
      </c>
      <c r="E16" s="34">
        <v>-318466</v>
      </c>
      <c r="F16" s="34">
        <v>-332472</v>
      </c>
      <c r="G16" s="34">
        <v>-370368</v>
      </c>
    </row>
    <row r="17" spans="1:7" ht="64" x14ac:dyDescent="0.2">
      <c r="A17" s="32" t="s">
        <v>70</v>
      </c>
      <c r="B17" s="34">
        <v>234939</v>
      </c>
      <c r="C17" s="34">
        <v>242881</v>
      </c>
      <c r="D17" s="34">
        <v>297364</v>
      </c>
      <c r="E17" s="34">
        <v>324065</v>
      </c>
      <c r="F17" s="34">
        <v>302235</v>
      </c>
      <c r="G17" s="34">
        <v>304365</v>
      </c>
    </row>
    <row r="18" spans="1:7" ht="32" x14ac:dyDescent="0.2">
      <c r="A18" s="31" t="s">
        <v>71</v>
      </c>
      <c r="F18" s="32" t="s">
        <v>153</v>
      </c>
      <c r="G18" s="32" t="s">
        <v>153</v>
      </c>
    </row>
    <row r="19" spans="1:7" ht="48" x14ac:dyDescent="0.2">
      <c r="A19" s="32" t="s">
        <v>72</v>
      </c>
      <c r="C19" s="34">
        <v>228785</v>
      </c>
      <c r="D19" s="34">
        <v>228268</v>
      </c>
      <c r="E19" s="34">
        <v>210702</v>
      </c>
      <c r="F19" s="34">
        <v>219202</v>
      </c>
      <c r="G19" s="34">
        <v>207323</v>
      </c>
    </row>
    <row r="20" spans="1:7" ht="80" x14ac:dyDescent="0.2">
      <c r="A20" s="32" t="s">
        <v>73</v>
      </c>
      <c r="B20" s="34">
        <v>8718</v>
      </c>
      <c r="C20" s="34">
        <v>11982</v>
      </c>
      <c r="D20" s="34">
        <v>13251</v>
      </c>
      <c r="E20" s="34">
        <v>15433</v>
      </c>
      <c r="F20" s="34">
        <v>13395</v>
      </c>
      <c r="G20" s="34">
        <v>16720</v>
      </c>
    </row>
    <row r="21" spans="1:7" x14ac:dyDescent="0.2">
      <c r="A21" s="32" t="s">
        <v>74</v>
      </c>
      <c r="B21" s="34">
        <v>14919</v>
      </c>
      <c r="C21" s="34">
        <v>15093</v>
      </c>
      <c r="D21" s="34">
        <v>15061</v>
      </c>
      <c r="E21" s="34">
        <v>15034</v>
      </c>
      <c r="F21" s="34">
        <v>11763</v>
      </c>
      <c r="G21" s="34">
        <v>11688</v>
      </c>
    </row>
    <row r="22" spans="1:7" ht="176" x14ac:dyDescent="0.2">
      <c r="A22" s="32" t="s">
        <v>75</v>
      </c>
      <c r="B22" s="34">
        <v>63809</v>
      </c>
      <c r="C22" s="34">
        <v>73140</v>
      </c>
      <c r="D22" s="34">
        <v>81306</v>
      </c>
      <c r="E22" s="34">
        <v>95558</v>
      </c>
      <c r="F22" s="34">
        <v>108354</v>
      </c>
      <c r="G22" s="34">
        <v>134105</v>
      </c>
    </row>
    <row r="23" spans="1:7" x14ac:dyDescent="0.2">
      <c r="A23" s="32" t="s">
        <v>76</v>
      </c>
      <c r="B23" s="34">
        <v>0</v>
      </c>
      <c r="C23" s="34">
        <v>0</v>
      </c>
      <c r="D23" s="34">
        <v>40000</v>
      </c>
      <c r="E23" s="34">
        <v>125840</v>
      </c>
      <c r="F23" s="34">
        <v>125840</v>
      </c>
      <c r="G23" s="34">
        <v>143553</v>
      </c>
    </row>
    <row r="24" spans="1:7" x14ac:dyDescent="0.2">
      <c r="A24" s="32" t="s">
        <v>77</v>
      </c>
      <c r="B24" s="34">
        <v>12523</v>
      </c>
      <c r="C24" s="34">
        <v>12521</v>
      </c>
      <c r="D24" s="34">
        <v>20630</v>
      </c>
      <c r="E24" s="34">
        <v>22535</v>
      </c>
      <c r="F24" s="34">
        <v>28852</v>
      </c>
      <c r="G24" s="34">
        <v>26174</v>
      </c>
    </row>
    <row r="25" spans="1:7" ht="48" x14ac:dyDescent="0.2">
      <c r="A25" s="32" t="s">
        <v>78</v>
      </c>
      <c r="B25" s="34">
        <v>5526</v>
      </c>
      <c r="C25" s="34">
        <v>10073</v>
      </c>
      <c r="D25" s="34">
        <v>1904</v>
      </c>
      <c r="E25" s="34">
        <v>2109</v>
      </c>
      <c r="F25" s="34">
        <v>1926</v>
      </c>
      <c r="G25" s="34">
        <v>13680</v>
      </c>
    </row>
    <row r="26" spans="1:7" ht="32" x14ac:dyDescent="0.2">
      <c r="A26" s="32" t="s">
        <v>79</v>
      </c>
      <c r="B26" s="34">
        <v>105495</v>
      </c>
      <c r="C26" s="34">
        <v>351594</v>
      </c>
      <c r="D26" s="34">
        <v>400420</v>
      </c>
      <c r="E26" s="34">
        <v>487211</v>
      </c>
      <c r="F26" s="34">
        <v>509332</v>
      </c>
      <c r="G26" s="34">
        <v>553243</v>
      </c>
    </row>
    <row r="27" spans="1:7" x14ac:dyDescent="0.2">
      <c r="A27" s="32" t="s">
        <v>80</v>
      </c>
      <c r="B27" s="34">
        <v>907385</v>
      </c>
      <c r="C27" s="34">
        <v>1382092</v>
      </c>
      <c r="D27" s="34">
        <v>1567168</v>
      </c>
      <c r="E27" s="34">
        <v>1671816</v>
      </c>
      <c r="F27" s="34">
        <v>1602221</v>
      </c>
      <c r="G27" s="34">
        <v>1674899</v>
      </c>
    </row>
    <row r="28" spans="1:7" ht="32" x14ac:dyDescent="0.2">
      <c r="A28" s="31" t="s">
        <v>81</v>
      </c>
      <c r="F28" s="32" t="s">
        <v>153</v>
      </c>
      <c r="G28" s="32" t="s">
        <v>153</v>
      </c>
    </row>
    <row r="29" spans="1:7" ht="64" x14ac:dyDescent="0.2">
      <c r="A29" s="32" t="s">
        <v>82</v>
      </c>
      <c r="B29" s="34">
        <v>35893</v>
      </c>
      <c r="C29" s="34">
        <v>43394</v>
      </c>
      <c r="D29" s="34">
        <v>2855</v>
      </c>
      <c r="E29" s="34">
        <v>55588</v>
      </c>
      <c r="F29" s="34">
        <v>54813</v>
      </c>
      <c r="G29" s="34">
        <v>56366</v>
      </c>
    </row>
    <row r="30" spans="1:7" ht="32" x14ac:dyDescent="0.2">
      <c r="A30" s="32" t="s">
        <v>83</v>
      </c>
      <c r="B30" s="34">
        <v>92546</v>
      </c>
      <c r="C30" s="34">
        <v>111101</v>
      </c>
      <c r="D30" s="34">
        <v>94499</v>
      </c>
      <c r="E30" s="34">
        <v>91547</v>
      </c>
      <c r="F30" s="34">
        <v>89715</v>
      </c>
      <c r="G30" s="34">
        <v>106267</v>
      </c>
    </row>
    <row r="31" spans="1:7" ht="48" x14ac:dyDescent="0.2">
      <c r="A31" s="32" t="s">
        <v>84</v>
      </c>
      <c r="B31" s="34">
        <v>40962</v>
      </c>
      <c r="C31" s="34">
        <v>46214</v>
      </c>
      <c r="D31" s="34">
        <v>58520</v>
      </c>
      <c r="E31" s="34">
        <v>59567</v>
      </c>
      <c r="F31" s="34">
        <v>40442</v>
      </c>
      <c r="G31" s="34">
        <v>54689</v>
      </c>
    </row>
    <row r="32" spans="1:7" ht="32" x14ac:dyDescent="0.2">
      <c r="A32" s="32" t="s">
        <v>85</v>
      </c>
      <c r="B32" s="34">
        <v>25981</v>
      </c>
      <c r="C32" s="34">
        <v>27881</v>
      </c>
      <c r="D32" s="34">
        <v>31695</v>
      </c>
      <c r="E32" s="34">
        <v>37982</v>
      </c>
      <c r="F32" s="34">
        <v>34473</v>
      </c>
      <c r="G32" s="34">
        <v>33367</v>
      </c>
    </row>
    <row r="33" spans="1:7" ht="48" x14ac:dyDescent="0.2">
      <c r="A33" s="32" t="s">
        <v>86</v>
      </c>
      <c r="C33" s="34">
        <v>33318</v>
      </c>
      <c r="D33" s="34">
        <v>35861</v>
      </c>
      <c r="E33" s="34">
        <v>37155</v>
      </c>
      <c r="F33" s="34">
        <v>34877</v>
      </c>
      <c r="G33" s="34">
        <v>39330</v>
      </c>
    </row>
    <row r="34" spans="1:7" ht="32" x14ac:dyDescent="0.2">
      <c r="A34" s="32" t="s">
        <v>87</v>
      </c>
      <c r="B34" s="34">
        <v>22210</v>
      </c>
      <c r="C34" s="34">
        <v>23735</v>
      </c>
      <c r="D34" s="34">
        <v>26377</v>
      </c>
      <c r="E34" s="34">
        <v>32588</v>
      </c>
      <c r="F34" s="34">
        <v>31435</v>
      </c>
      <c r="G34" s="34">
        <v>28135</v>
      </c>
    </row>
    <row r="35" spans="1:7" ht="48" x14ac:dyDescent="0.2">
      <c r="A35" s="32" t="s">
        <v>88</v>
      </c>
      <c r="B35" s="34">
        <v>107150</v>
      </c>
      <c r="C35" s="34">
        <v>101921</v>
      </c>
      <c r="D35" s="34">
        <v>141175</v>
      </c>
      <c r="E35" s="34">
        <v>173737</v>
      </c>
      <c r="F35" s="34">
        <v>157909</v>
      </c>
      <c r="G35" s="34">
        <v>104246</v>
      </c>
    </row>
    <row r="36" spans="1:7" ht="48" x14ac:dyDescent="0.2">
      <c r="A36" s="32" t="s">
        <v>89</v>
      </c>
      <c r="B36" s="34">
        <v>55001</v>
      </c>
      <c r="C36" s="34">
        <v>66267</v>
      </c>
      <c r="D36" s="34">
        <v>79837</v>
      </c>
      <c r="E36" s="34">
        <v>102577</v>
      </c>
      <c r="F36" s="34">
        <v>92957</v>
      </c>
      <c r="G36" s="34">
        <v>124950</v>
      </c>
    </row>
    <row r="37" spans="1:7" ht="48" x14ac:dyDescent="0.2">
      <c r="A37" s="32" t="s">
        <v>90</v>
      </c>
      <c r="B37" s="34">
        <v>379743</v>
      </c>
      <c r="C37" s="34">
        <v>453831</v>
      </c>
      <c r="D37" s="34">
        <v>470819</v>
      </c>
      <c r="E37" s="34">
        <v>590741</v>
      </c>
      <c r="F37" s="34">
        <v>536621</v>
      </c>
      <c r="G37" s="34">
        <v>547350</v>
      </c>
    </row>
    <row r="38" spans="1:7" ht="32" x14ac:dyDescent="0.2">
      <c r="A38" s="31" t="s">
        <v>91</v>
      </c>
      <c r="F38" s="32" t="s">
        <v>153</v>
      </c>
      <c r="G38" s="32" t="s">
        <v>153</v>
      </c>
    </row>
    <row r="39" spans="1:7" ht="64" x14ac:dyDescent="0.2">
      <c r="A39" s="32" t="s">
        <v>92</v>
      </c>
      <c r="B39" s="34">
        <v>3495691</v>
      </c>
      <c r="C39" s="34">
        <v>4071055</v>
      </c>
      <c r="D39" s="34">
        <v>4116018</v>
      </c>
      <c r="E39" s="34">
        <v>5014638</v>
      </c>
      <c r="F39" s="34">
        <v>4967420</v>
      </c>
      <c r="G39" s="34">
        <v>4934062</v>
      </c>
    </row>
    <row r="40" spans="1:7" ht="48" x14ac:dyDescent="0.2">
      <c r="A40" s="32" t="s">
        <v>86</v>
      </c>
      <c r="C40" s="34">
        <v>202731</v>
      </c>
      <c r="D40" s="34">
        <v>202268</v>
      </c>
      <c r="E40" s="34">
        <v>184471</v>
      </c>
      <c r="F40" s="34">
        <v>195244</v>
      </c>
      <c r="G40" s="34">
        <v>179548</v>
      </c>
    </row>
    <row r="41" spans="1:7" ht="32" x14ac:dyDescent="0.2">
      <c r="A41" s="32" t="s">
        <v>87</v>
      </c>
      <c r="B41" s="34">
        <v>31065</v>
      </c>
      <c r="C41" s="34">
        <v>34675</v>
      </c>
      <c r="D41" s="34">
        <v>37125</v>
      </c>
      <c r="E41" s="34">
        <v>36913</v>
      </c>
      <c r="F41" s="34">
        <v>40179</v>
      </c>
      <c r="G41" s="34">
        <v>38559</v>
      </c>
    </row>
    <row r="42" spans="1:7" ht="48" x14ac:dyDescent="0.2">
      <c r="A42" s="32" t="s">
        <v>78</v>
      </c>
      <c r="B42" s="34">
        <v>0</v>
      </c>
      <c r="C42" s="34">
        <v>0</v>
      </c>
      <c r="D42" s="34">
        <v>6099</v>
      </c>
      <c r="E42" s="34">
        <v>3922</v>
      </c>
      <c r="F42" s="34">
        <v>7761</v>
      </c>
      <c r="G42" s="34">
        <v>0</v>
      </c>
    </row>
    <row r="43" spans="1:7" ht="48" x14ac:dyDescent="0.2">
      <c r="A43" s="32" t="s">
        <v>89</v>
      </c>
      <c r="B43" s="34">
        <v>40807</v>
      </c>
      <c r="C43" s="34">
        <v>35559</v>
      </c>
      <c r="D43" s="34">
        <v>35244</v>
      </c>
      <c r="E43" s="34">
        <v>50667</v>
      </c>
      <c r="F43" s="34">
        <v>44061</v>
      </c>
      <c r="G43" s="34">
        <v>45747</v>
      </c>
    </row>
    <row r="44" spans="1:7" ht="48" x14ac:dyDescent="0.2">
      <c r="A44" s="32" t="s">
        <v>93</v>
      </c>
      <c r="B44" s="34">
        <v>3567563</v>
      </c>
      <c r="C44" s="34">
        <v>4344020</v>
      </c>
      <c r="D44" s="34">
        <v>4396754</v>
      </c>
      <c r="E44" s="34">
        <v>5290611</v>
      </c>
      <c r="F44" s="34">
        <v>5254665</v>
      </c>
      <c r="G44" s="34">
        <v>5197916</v>
      </c>
    </row>
    <row r="45" spans="1:7" ht="32" x14ac:dyDescent="0.2">
      <c r="A45" s="32" t="s">
        <v>94</v>
      </c>
      <c r="B45" s="34">
        <v>3947306</v>
      </c>
      <c r="C45" s="34">
        <v>4797851</v>
      </c>
      <c r="D45" s="34">
        <v>4867573</v>
      </c>
      <c r="E45" s="34">
        <v>5881352</v>
      </c>
      <c r="F45" s="34">
        <v>5791286</v>
      </c>
      <c r="G45" s="34">
        <v>5745266</v>
      </c>
    </row>
    <row r="46" spans="1:7" ht="64" x14ac:dyDescent="0.2">
      <c r="A46" s="32" t="s">
        <v>95</v>
      </c>
      <c r="B46" s="32" t="s">
        <v>96</v>
      </c>
      <c r="C46" s="32" t="s">
        <v>96</v>
      </c>
      <c r="D46" s="32" t="s">
        <v>96</v>
      </c>
      <c r="E46" s="32" t="s">
        <v>96</v>
      </c>
      <c r="F46" s="32" t="s">
        <v>96</v>
      </c>
      <c r="G46" s="32" t="s">
        <v>96</v>
      </c>
    </row>
    <row r="47" spans="1:7" ht="32" x14ac:dyDescent="0.2">
      <c r="A47" s="31" t="s">
        <v>97</v>
      </c>
      <c r="F47" s="32" t="s">
        <v>153</v>
      </c>
      <c r="G47" s="32" t="s">
        <v>153</v>
      </c>
    </row>
    <row r="48" spans="1:7" ht="208" x14ac:dyDescent="0.2">
      <c r="A48" s="32" t="s">
        <v>98</v>
      </c>
      <c r="B48" s="34">
        <v>410</v>
      </c>
      <c r="C48" s="34">
        <v>389</v>
      </c>
      <c r="D48" s="34">
        <v>389</v>
      </c>
      <c r="E48" s="34">
        <v>361</v>
      </c>
      <c r="F48" s="34">
        <v>354</v>
      </c>
      <c r="G48" s="34">
        <v>347</v>
      </c>
    </row>
    <row r="49" spans="1:7" ht="128" x14ac:dyDescent="0.2">
      <c r="A49" s="32" t="s">
        <v>99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</row>
    <row r="50" spans="1:7" ht="48" x14ac:dyDescent="0.2">
      <c r="A50" s="32" t="s">
        <v>100</v>
      </c>
      <c r="B50" s="34">
        <v>569</v>
      </c>
      <c r="C50" s="34">
        <v>243</v>
      </c>
      <c r="D50" s="34">
        <v>5122</v>
      </c>
      <c r="E50" s="34">
        <v>840</v>
      </c>
      <c r="F50" s="34">
        <v>9693</v>
      </c>
      <c r="G50" s="34">
        <v>2801</v>
      </c>
    </row>
    <row r="51" spans="1:7" ht="32" x14ac:dyDescent="0.2">
      <c r="A51" s="32" t="s">
        <v>101</v>
      </c>
      <c r="B51" s="34">
        <v>-3036471</v>
      </c>
      <c r="C51" s="34">
        <v>-3412649</v>
      </c>
      <c r="D51" s="34">
        <v>-3303492</v>
      </c>
      <c r="E51" s="34">
        <v>-4207917</v>
      </c>
      <c r="F51" s="34">
        <v>-4194418</v>
      </c>
      <c r="G51" s="34">
        <v>-4069648</v>
      </c>
    </row>
    <row r="52" spans="1:7" ht="64" x14ac:dyDescent="0.2">
      <c r="A52" s="32" t="s">
        <v>102</v>
      </c>
      <c r="B52" s="34">
        <v>-4429</v>
      </c>
      <c r="C52" s="34">
        <v>-3742</v>
      </c>
      <c r="D52" s="34">
        <v>-2424</v>
      </c>
      <c r="E52" s="34">
        <v>-2820</v>
      </c>
      <c r="F52" s="34">
        <v>-4694</v>
      </c>
      <c r="G52" s="34">
        <v>-3867</v>
      </c>
    </row>
    <row r="53" spans="1:7" ht="48" x14ac:dyDescent="0.2">
      <c r="A53" s="32" t="s">
        <v>103</v>
      </c>
      <c r="B53" s="34">
        <v>-3039921</v>
      </c>
      <c r="C53" s="34">
        <v>-3415759</v>
      </c>
      <c r="D53" s="34">
        <v>-3300405</v>
      </c>
      <c r="E53" s="34">
        <v>-4209536</v>
      </c>
      <c r="F53" s="34">
        <v>-4189065</v>
      </c>
      <c r="G53" s="34">
        <v>-4070367</v>
      </c>
    </row>
    <row r="54" spans="1:7" ht="80" x14ac:dyDescent="0.2">
      <c r="A54" s="32" t="s">
        <v>104</v>
      </c>
      <c r="B54" s="33">
        <v>907385</v>
      </c>
      <c r="C54" s="33">
        <v>1382092</v>
      </c>
      <c r="D54" s="33">
        <v>1567168</v>
      </c>
      <c r="E54" s="33">
        <v>1671816</v>
      </c>
      <c r="F54" s="33">
        <v>1602221</v>
      </c>
      <c r="G54" s="33">
        <v>1674899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09E1-8D4E-1949-A29D-27DA7B2A25BE}">
  <dimension ref="A1:H69"/>
  <sheetViews>
    <sheetView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C61" sqref="C61:H61"/>
    </sheetView>
  </sheetViews>
  <sheetFormatPr baseColWidth="10" defaultRowHeight="16" x14ac:dyDescent="0.2"/>
  <cols>
    <col min="1" max="1" width="29.6640625" bestFit="1" customWidth="1"/>
    <col min="2" max="8" width="10.5" bestFit="1" customWidth="1"/>
  </cols>
  <sheetData>
    <row r="1" spans="1:8" x14ac:dyDescent="0.2">
      <c r="A1" s="98" t="s">
        <v>105</v>
      </c>
      <c r="B1" s="98" t="s">
        <v>106</v>
      </c>
      <c r="C1" s="98"/>
      <c r="D1" s="98"/>
      <c r="E1" s="98"/>
      <c r="F1" s="98"/>
      <c r="G1" s="98"/>
      <c r="H1" s="98"/>
    </row>
    <row r="2" spans="1:8" x14ac:dyDescent="0.2">
      <c r="A2" s="99"/>
      <c r="B2" s="29">
        <f t="shared" ref="B2:F2" si="0">C2-1</f>
        <v>2017</v>
      </c>
      <c r="C2" s="29">
        <f t="shared" si="0"/>
        <v>2018</v>
      </c>
      <c r="D2" s="29">
        <f t="shared" si="0"/>
        <v>2019</v>
      </c>
      <c r="E2" s="29">
        <f t="shared" si="0"/>
        <v>2020</v>
      </c>
      <c r="F2" s="29">
        <f t="shared" si="0"/>
        <v>2021</v>
      </c>
      <c r="G2" s="29">
        <f>H2-1</f>
        <v>2022</v>
      </c>
      <c r="H2" s="29">
        <v>2023</v>
      </c>
    </row>
    <row r="3" spans="1:8" x14ac:dyDescent="0.2">
      <c r="A3" s="31" t="s">
        <v>107</v>
      </c>
      <c r="G3" s="32" t="s">
        <v>153</v>
      </c>
      <c r="H3" s="32" t="s">
        <v>153</v>
      </c>
    </row>
    <row r="4" spans="1:8" x14ac:dyDescent="0.2">
      <c r="A4" s="32" t="s">
        <v>108</v>
      </c>
      <c r="B4" s="33">
        <v>277905</v>
      </c>
      <c r="C4" s="33">
        <v>361972</v>
      </c>
      <c r="D4" s="33">
        <v>400709</v>
      </c>
      <c r="E4" s="33">
        <v>491296</v>
      </c>
      <c r="F4" s="33">
        <v>510467</v>
      </c>
      <c r="G4" s="33">
        <v>452263</v>
      </c>
      <c r="H4" s="33">
        <v>519118</v>
      </c>
    </row>
    <row r="5" spans="1:8" ht="48" x14ac:dyDescent="0.2">
      <c r="A5" s="31" t="s">
        <v>109</v>
      </c>
      <c r="G5" s="32" t="s">
        <v>153</v>
      </c>
      <c r="H5" s="32" t="s">
        <v>153</v>
      </c>
    </row>
    <row r="6" spans="1:8" x14ac:dyDescent="0.2">
      <c r="A6" s="32" t="s">
        <v>110</v>
      </c>
      <c r="B6" s="34">
        <v>44369</v>
      </c>
      <c r="C6" s="34">
        <v>53665</v>
      </c>
      <c r="D6" s="34">
        <v>59930</v>
      </c>
      <c r="E6" s="34">
        <v>65038</v>
      </c>
      <c r="F6" s="34">
        <v>72923</v>
      </c>
      <c r="G6" s="34">
        <v>80251</v>
      </c>
      <c r="H6" s="34">
        <v>80640</v>
      </c>
    </row>
    <row r="7" spans="1:8" x14ac:dyDescent="0.2">
      <c r="A7" s="32" t="s">
        <v>30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-21173</v>
      </c>
      <c r="H7" s="34">
        <v>149</v>
      </c>
    </row>
    <row r="8" spans="1:8" x14ac:dyDescent="0.2">
      <c r="A8" s="32" t="s">
        <v>111</v>
      </c>
      <c r="B8" s="34">
        <v>-3148</v>
      </c>
      <c r="C8" s="34">
        <v>-4737</v>
      </c>
      <c r="D8" s="34">
        <v>2023</v>
      </c>
      <c r="E8" s="34">
        <v>2922</v>
      </c>
      <c r="F8" s="34">
        <v>1189</v>
      </c>
      <c r="G8" s="34">
        <v>1813</v>
      </c>
      <c r="H8" s="34">
        <v>1299</v>
      </c>
    </row>
    <row r="9" spans="1:8" x14ac:dyDescent="0.2">
      <c r="A9" s="32" t="s">
        <v>112</v>
      </c>
      <c r="B9" s="34">
        <v>10976</v>
      </c>
      <c r="C9" s="34">
        <v>8033</v>
      </c>
      <c r="D9" s="34">
        <v>4748</v>
      </c>
      <c r="E9" s="34">
        <v>5526</v>
      </c>
      <c r="F9" s="34">
        <v>7509</v>
      </c>
      <c r="G9" s="34">
        <v>5645</v>
      </c>
      <c r="H9" s="34">
        <v>5535</v>
      </c>
    </row>
    <row r="10" spans="1:8" ht="32" x14ac:dyDescent="0.2">
      <c r="A10" s="32" t="s">
        <v>113</v>
      </c>
      <c r="B10" s="34">
        <v>6160</v>
      </c>
      <c r="C10" s="34">
        <v>-872</v>
      </c>
      <c r="D10" s="34">
        <v>-3297</v>
      </c>
      <c r="E10" s="34">
        <v>14424</v>
      </c>
      <c r="F10" s="34">
        <v>1988</v>
      </c>
      <c r="G10" s="34">
        <v>253</v>
      </c>
      <c r="H10" s="34">
        <v>-19509</v>
      </c>
    </row>
    <row r="11" spans="1:8" ht="32" x14ac:dyDescent="0.2">
      <c r="A11" s="32" t="s">
        <v>114</v>
      </c>
      <c r="B11" s="34">
        <v>20713</v>
      </c>
      <c r="C11" s="34">
        <v>22792</v>
      </c>
      <c r="D11" s="34">
        <v>20265</v>
      </c>
      <c r="E11" s="34">
        <v>24244</v>
      </c>
      <c r="F11" s="34">
        <v>28670</v>
      </c>
      <c r="G11" s="34">
        <v>28709</v>
      </c>
      <c r="H11" s="34">
        <v>37514</v>
      </c>
    </row>
    <row r="12" spans="1:8" ht="32" x14ac:dyDescent="0.2">
      <c r="A12" s="32" t="s">
        <v>115</v>
      </c>
      <c r="B12" s="34">
        <v>-27227</v>
      </c>
      <c r="C12" s="34">
        <v>-23786</v>
      </c>
      <c r="D12" s="34">
        <v>-25735</v>
      </c>
      <c r="E12" s="34">
        <v>-60364</v>
      </c>
      <c r="F12" s="34">
        <v>-18911</v>
      </c>
      <c r="G12" s="34">
        <v>-2169</v>
      </c>
      <c r="H12" s="34">
        <v>-3397</v>
      </c>
    </row>
    <row r="13" spans="1:8" ht="32" x14ac:dyDescent="0.2">
      <c r="A13" s="32" t="s">
        <v>116</v>
      </c>
      <c r="B13" s="34">
        <v>-277</v>
      </c>
      <c r="C13" s="34">
        <v>899</v>
      </c>
      <c r="D13" s="34">
        <v>1195</v>
      </c>
      <c r="E13" s="34">
        <v>2134</v>
      </c>
      <c r="F13" s="34">
        <v>659</v>
      </c>
      <c r="G13" s="34">
        <v>3536</v>
      </c>
      <c r="H13" s="34">
        <v>1472</v>
      </c>
    </row>
    <row r="14" spans="1:8" x14ac:dyDescent="0.2">
      <c r="A14" s="32" t="s">
        <v>117</v>
      </c>
      <c r="D14" s="34">
        <v>0</v>
      </c>
      <c r="E14" s="34">
        <v>0</v>
      </c>
      <c r="F14" s="34">
        <v>-36758</v>
      </c>
      <c r="G14" s="34">
        <v>0</v>
      </c>
      <c r="H14" s="34">
        <v>-17713</v>
      </c>
    </row>
    <row r="15" spans="1:8" ht="32" x14ac:dyDescent="0.2">
      <c r="A15" s="31" t="s">
        <v>118</v>
      </c>
      <c r="B15" s="34"/>
      <c r="C15" s="34"/>
      <c r="G15" s="32" t="s">
        <v>153</v>
      </c>
      <c r="H15" s="32" t="s">
        <v>153</v>
      </c>
    </row>
    <row r="16" spans="1:8" x14ac:dyDescent="0.2">
      <c r="A16" s="32" t="s">
        <v>119</v>
      </c>
      <c r="B16" s="34">
        <v>-22649</v>
      </c>
      <c r="C16" s="34">
        <v>-18172</v>
      </c>
      <c r="D16" s="34">
        <v>-20900</v>
      </c>
      <c r="E16" s="34">
        <v>-33334</v>
      </c>
      <c r="F16" s="34">
        <v>-8107</v>
      </c>
      <c r="G16" s="34">
        <v>-6333</v>
      </c>
      <c r="H16" s="34">
        <v>-26515</v>
      </c>
    </row>
    <row r="17" spans="1:8" ht="32" x14ac:dyDescent="0.2">
      <c r="A17" s="32" t="s">
        <v>120</v>
      </c>
      <c r="B17" s="34">
        <v>1527</v>
      </c>
      <c r="C17" s="34">
        <v>-12455</v>
      </c>
      <c r="D17" s="34">
        <v>-6741</v>
      </c>
      <c r="E17" s="34">
        <v>-24959</v>
      </c>
      <c r="F17" s="34">
        <v>-9420</v>
      </c>
      <c r="G17" s="34">
        <v>-17059</v>
      </c>
      <c r="H17" s="34">
        <v>160</v>
      </c>
    </row>
    <row r="18" spans="1:8" ht="32" x14ac:dyDescent="0.2">
      <c r="A18" s="32" t="s">
        <v>121</v>
      </c>
      <c r="B18" s="34">
        <v>22267</v>
      </c>
      <c r="C18" s="34">
        <v>10010</v>
      </c>
      <c r="D18" s="34">
        <v>66137</v>
      </c>
      <c r="E18" s="34">
        <v>68954</v>
      </c>
      <c r="F18" s="34">
        <v>51346</v>
      </c>
      <c r="G18" s="34">
        <v>-36605</v>
      </c>
      <c r="H18" s="34">
        <v>69373</v>
      </c>
    </row>
    <row r="19" spans="1:8" x14ac:dyDescent="0.2">
      <c r="A19" s="32" t="s">
        <v>122</v>
      </c>
      <c r="B19" s="34">
        <v>8420</v>
      </c>
      <c r="C19" s="34">
        <v>2174</v>
      </c>
      <c r="D19" s="34">
        <v>5322</v>
      </c>
      <c r="E19" s="34">
        <v>5544</v>
      </c>
      <c r="F19" s="34">
        <v>6216</v>
      </c>
      <c r="G19" s="34">
        <v>1507</v>
      </c>
      <c r="H19" s="34">
        <v>-5163</v>
      </c>
    </row>
    <row r="20" spans="1:8" ht="32" x14ac:dyDescent="0.2">
      <c r="A20" s="32" t="s">
        <v>123</v>
      </c>
      <c r="D20" s="34">
        <v>3302</v>
      </c>
      <c r="E20" s="34">
        <v>2592</v>
      </c>
      <c r="F20" s="34">
        <v>1210</v>
      </c>
      <c r="G20" s="34">
        <v>2174</v>
      </c>
      <c r="H20" s="34">
        <v>632</v>
      </c>
    </row>
    <row r="21" spans="1:8" ht="32" x14ac:dyDescent="0.2">
      <c r="A21" s="32" t="s">
        <v>124</v>
      </c>
      <c r="B21" s="34">
        <v>2225</v>
      </c>
      <c r="C21" s="34">
        <v>-5352</v>
      </c>
      <c r="D21" s="34">
        <v>-10008</v>
      </c>
      <c r="E21" s="34">
        <v>28777</v>
      </c>
      <c r="F21" s="34">
        <v>45225</v>
      </c>
      <c r="G21" s="34">
        <v>-17495</v>
      </c>
      <c r="H21" s="34">
        <v>-52731</v>
      </c>
    </row>
    <row r="22" spans="1:8" ht="32" x14ac:dyDescent="0.2">
      <c r="A22" s="32" t="s">
        <v>125</v>
      </c>
      <c r="B22" s="34">
        <v>341261</v>
      </c>
      <c r="C22" s="34">
        <v>394171</v>
      </c>
      <c r="D22" s="34">
        <v>496950</v>
      </c>
      <c r="E22" s="34">
        <v>592794</v>
      </c>
      <c r="F22" s="34">
        <v>654206</v>
      </c>
      <c r="G22" s="34">
        <v>475317</v>
      </c>
      <c r="H22" s="34">
        <v>590864</v>
      </c>
    </row>
    <row r="23" spans="1:8" x14ac:dyDescent="0.2">
      <c r="A23" s="31" t="s">
        <v>126</v>
      </c>
      <c r="G23" s="32" t="s">
        <v>153</v>
      </c>
      <c r="H23" s="32" t="s">
        <v>153</v>
      </c>
    </row>
    <row r="24" spans="1:8" x14ac:dyDescent="0.2">
      <c r="A24" s="32" t="s">
        <v>127</v>
      </c>
      <c r="B24" s="34">
        <v>-90011</v>
      </c>
      <c r="C24" s="34">
        <v>-119888</v>
      </c>
      <c r="D24" s="34">
        <v>-85565</v>
      </c>
      <c r="E24" s="34">
        <v>-88768</v>
      </c>
      <c r="F24" s="34">
        <v>-94172</v>
      </c>
      <c r="G24" s="34">
        <v>-87234</v>
      </c>
      <c r="H24" s="34">
        <v>-105396</v>
      </c>
    </row>
    <row r="25" spans="1:8" x14ac:dyDescent="0.2">
      <c r="A25" s="32" t="s">
        <v>128</v>
      </c>
      <c r="B25" s="34">
        <v>6835</v>
      </c>
      <c r="C25" s="34">
        <v>8367</v>
      </c>
      <c r="D25" s="34">
        <v>0</v>
      </c>
      <c r="E25" s="34">
        <v>-40000</v>
      </c>
      <c r="F25" s="34">
        <v>-49082</v>
      </c>
      <c r="G25" s="34">
        <v>0</v>
      </c>
      <c r="H25" s="34">
        <v>0</v>
      </c>
    </row>
    <row r="26" spans="1:8" x14ac:dyDescent="0.2">
      <c r="A26" s="32" t="s">
        <v>129</v>
      </c>
      <c r="C26" s="34">
        <v>94007</v>
      </c>
      <c r="D26" s="34">
        <v>12258</v>
      </c>
      <c r="E26" s="34">
        <v>174</v>
      </c>
      <c r="F26" s="34">
        <v>16</v>
      </c>
      <c r="G26" s="34">
        <v>41089</v>
      </c>
      <c r="H26" s="34">
        <v>161</v>
      </c>
    </row>
    <row r="27" spans="1:8" ht="32" x14ac:dyDescent="0.2">
      <c r="A27" s="32" t="s">
        <v>130</v>
      </c>
      <c r="C27" s="34">
        <v>-70152</v>
      </c>
      <c r="D27" s="34">
        <v>50152</v>
      </c>
      <c r="E27" s="34">
        <v>0</v>
      </c>
      <c r="F27" s="34">
        <v>0</v>
      </c>
      <c r="G27" s="34">
        <v>0</v>
      </c>
      <c r="H27" s="34">
        <v>0</v>
      </c>
    </row>
    <row r="28" spans="1:8" ht="32" x14ac:dyDescent="0.2">
      <c r="A28" s="32" t="s">
        <v>131</v>
      </c>
      <c r="D28" s="34">
        <v>-3423</v>
      </c>
      <c r="E28" s="34">
        <v>0</v>
      </c>
      <c r="F28" s="34">
        <v>0</v>
      </c>
      <c r="G28" s="34">
        <v>-6814</v>
      </c>
      <c r="H28" s="34">
        <v>0</v>
      </c>
    </row>
    <row r="29" spans="1:8" x14ac:dyDescent="0.2">
      <c r="A29" s="32" t="s">
        <v>132</v>
      </c>
      <c r="B29" s="34">
        <v>-562</v>
      </c>
      <c r="C29" s="34">
        <v>-591</v>
      </c>
      <c r="D29" s="34">
        <v>-1276</v>
      </c>
      <c r="E29" s="34">
        <v>-333</v>
      </c>
      <c r="F29" s="34">
        <v>515</v>
      </c>
      <c r="G29" s="34">
        <v>-722</v>
      </c>
      <c r="H29" s="34">
        <v>-1682</v>
      </c>
    </row>
    <row r="30" spans="1:8" x14ac:dyDescent="0.2">
      <c r="A30" s="32" t="s">
        <v>133</v>
      </c>
      <c r="B30" s="34">
        <v>-83738</v>
      </c>
      <c r="C30" s="34">
        <v>-88257</v>
      </c>
      <c r="D30" s="34">
        <v>-27854</v>
      </c>
      <c r="E30" s="34">
        <v>-128927</v>
      </c>
      <c r="F30" s="34">
        <v>-142723</v>
      </c>
      <c r="G30" s="34">
        <v>-53681</v>
      </c>
      <c r="H30" s="34">
        <v>-106917</v>
      </c>
    </row>
    <row r="31" spans="1:8" x14ac:dyDescent="0.2">
      <c r="A31" s="31" t="s">
        <v>134</v>
      </c>
      <c r="G31" s="32" t="s">
        <v>153</v>
      </c>
      <c r="H31" s="32" t="s">
        <v>153</v>
      </c>
    </row>
    <row r="32" spans="1:8" ht="32" x14ac:dyDescent="0.2">
      <c r="A32" s="32" t="s">
        <v>135</v>
      </c>
      <c r="B32" s="34">
        <v>1900000</v>
      </c>
      <c r="C32" s="34">
        <v>970000</v>
      </c>
      <c r="D32" s="34">
        <v>675000</v>
      </c>
      <c r="E32" s="34">
        <v>158000</v>
      </c>
      <c r="F32" s="34">
        <v>1850000</v>
      </c>
      <c r="G32" s="34">
        <v>120000</v>
      </c>
      <c r="H32" s="34">
        <v>14898</v>
      </c>
    </row>
    <row r="33" spans="1:8" ht="32" x14ac:dyDescent="0.2">
      <c r="A33" s="32" t="s">
        <v>136</v>
      </c>
      <c r="B33" s="34">
        <v>-928193</v>
      </c>
      <c r="C33" s="34">
        <v>-604088</v>
      </c>
      <c r="D33" s="34">
        <v>-92085</v>
      </c>
      <c r="E33" s="34">
        <v>-202058</v>
      </c>
      <c r="F33" s="34">
        <v>-910212</v>
      </c>
      <c r="G33" s="34">
        <v>-175676</v>
      </c>
      <c r="H33" s="34">
        <v>-55705</v>
      </c>
    </row>
    <row r="34" spans="1:8" ht="32" x14ac:dyDescent="0.2">
      <c r="A34" s="32" t="s">
        <v>137</v>
      </c>
      <c r="B34" s="34">
        <v>6099</v>
      </c>
      <c r="C34" s="34">
        <v>9832</v>
      </c>
      <c r="D34" s="34">
        <v>13064</v>
      </c>
      <c r="E34" s="34">
        <v>30970</v>
      </c>
      <c r="F34" s="34">
        <v>19682</v>
      </c>
      <c r="G34" s="34">
        <v>3312</v>
      </c>
      <c r="H34" s="34">
        <v>8656</v>
      </c>
    </row>
    <row r="35" spans="1:8" x14ac:dyDescent="0.2">
      <c r="A35" s="32" t="s">
        <v>138</v>
      </c>
      <c r="B35" s="34">
        <v>-1064253</v>
      </c>
      <c r="C35" s="34">
        <v>-591212</v>
      </c>
      <c r="D35" s="34">
        <v>-699007</v>
      </c>
      <c r="E35" s="34">
        <v>-304590</v>
      </c>
      <c r="F35" s="34">
        <v>-1320902</v>
      </c>
      <c r="G35" s="34">
        <v>-293740</v>
      </c>
      <c r="H35" s="34">
        <v>-269025</v>
      </c>
    </row>
    <row r="36" spans="1:8" ht="32" x14ac:dyDescent="0.2">
      <c r="A36" s="32" t="s">
        <v>139</v>
      </c>
      <c r="B36" s="34">
        <v>-9449</v>
      </c>
      <c r="C36" s="34">
        <v>-6962</v>
      </c>
      <c r="D36" s="34">
        <v>-5951</v>
      </c>
      <c r="E36" s="34">
        <v>-6803</v>
      </c>
      <c r="F36" s="34">
        <v>-6820</v>
      </c>
      <c r="G36" s="34">
        <v>-10720</v>
      </c>
      <c r="H36" s="34">
        <v>-5410</v>
      </c>
    </row>
    <row r="37" spans="1:8" ht="32" x14ac:dyDescent="0.2">
      <c r="A37" s="32" t="s">
        <v>140</v>
      </c>
      <c r="B37" s="34">
        <v>-84298</v>
      </c>
      <c r="C37" s="34">
        <v>-92166</v>
      </c>
      <c r="D37" s="34">
        <v>-105715</v>
      </c>
      <c r="E37" s="34">
        <v>-121925</v>
      </c>
      <c r="F37" s="34">
        <v>-139399</v>
      </c>
      <c r="G37" s="34">
        <v>-157531</v>
      </c>
      <c r="H37" s="34">
        <v>-169772</v>
      </c>
    </row>
    <row r="38" spans="1:8" x14ac:dyDescent="0.2">
      <c r="A38" s="32" t="s">
        <v>141</v>
      </c>
      <c r="B38" s="34">
        <v>-16846</v>
      </c>
      <c r="C38" s="34">
        <v>-8207</v>
      </c>
      <c r="D38" s="34">
        <v>-8098</v>
      </c>
      <c r="E38" s="34">
        <v>0</v>
      </c>
      <c r="F38" s="34">
        <v>-14938</v>
      </c>
      <c r="G38" s="34">
        <v>-1594</v>
      </c>
      <c r="H38" s="34">
        <v>0</v>
      </c>
    </row>
    <row r="39" spans="1:8" x14ac:dyDescent="0.2">
      <c r="A39" s="32" t="s">
        <v>132</v>
      </c>
      <c r="B39" s="34">
        <v>-205</v>
      </c>
      <c r="D39" s="34">
        <v>0</v>
      </c>
      <c r="E39" s="34">
        <v>0</v>
      </c>
      <c r="F39" s="34">
        <v>-244</v>
      </c>
      <c r="G39" s="34">
        <v>0</v>
      </c>
      <c r="H39" s="34">
        <v>0</v>
      </c>
    </row>
    <row r="40" spans="1:8" x14ac:dyDescent="0.2">
      <c r="A40" s="32" t="s">
        <v>142</v>
      </c>
      <c r="B40" s="34">
        <v>-197145</v>
      </c>
      <c r="C40" s="34">
        <v>-322803</v>
      </c>
      <c r="D40" s="34">
        <v>-222792</v>
      </c>
      <c r="E40" s="34">
        <v>-446406</v>
      </c>
      <c r="F40" s="34">
        <v>-522833</v>
      </c>
      <c r="G40" s="34">
        <v>-515949</v>
      </c>
      <c r="H40" s="34">
        <v>-476358</v>
      </c>
    </row>
    <row r="41" spans="1:8" ht="32" x14ac:dyDescent="0.2">
      <c r="A41" s="32" t="s">
        <v>143</v>
      </c>
      <c r="B41" s="34">
        <v>66</v>
      </c>
      <c r="C41" s="34">
        <v>-538</v>
      </c>
      <c r="D41" s="34">
        <v>201</v>
      </c>
      <c r="E41" s="34">
        <v>761</v>
      </c>
      <c r="F41" s="34">
        <v>-316</v>
      </c>
      <c r="G41" s="34">
        <v>-963</v>
      </c>
      <c r="H41" s="34">
        <v>340</v>
      </c>
    </row>
    <row r="42" spans="1:8" ht="32" x14ac:dyDescent="0.2">
      <c r="A42" s="32" t="s">
        <v>144</v>
      </c>
      <c r="B42" s="34">
        <v>60444</v>
      </c>
      <c r="C42" s="34">
        <v>-17427</v>
      </c>
      <c r="D42" s="34">
        <v>246505</v>
      </c>
      <c r="E42" s="34">
        <v>18222</v>
      </c>
      <c r="F42" s="34">
        <v>-11666</v>
      </c>
      <c r="G42" s="34">
        <v>-95276</v>
      </c>
      <c r="H42" s="34">
        <v>7929</v>
      </c>
    </row>
    <row r="43" spans="1:8" ht="32" x14ac:dyDescent="0.2">
      <c r="A43" s="32" t="s">
        <v>145</v>
      </c>
      <c r="B43" s="34">
        <v>42815</v>
      </c>
      <c r="C43" s="34">
        <v>35768</v>
      </c>
      <c r="D43" s="34">
        <v>25438</v>
      </c>
      <c r="E43" s="34">
        <v>190615</v>
      </c>
      <c r="F43" s="34">
        <v>168821</v>
      </c>
      <c r="G43" s="34">
        <v>148160</v>
      </c>
      <c r="H43" s="34">
        <v>60356</v>
      </c>
    </row>
    <row r="44" spans="1:8" ht="32" x14ac:dyDescent="0.2">
      <c r="A44" s="32" t="s">
        <v>146</v>
      </c>
      <c r="B44" s="34">
        <v>126496</v>
      </c>
      <c r="C44" s="34">
        <v>191762</v>
      </c>
      <c r="D44" s="34">
        <v>166993</v>
      </c>
      <c r="E44" s="34">
        <v>209269</v>
      </c>
      <c r="F44" s="34">
        <v>217453</v>
      </c>
      <c r="G44" s="34">
        <v>180579</v>
      </c>
      <c r="H44" s="34">
        <v>191289</v>
      </c>
    </row>
    <row r="45" spans="1:8" ht="48" x14ac:dyDescent="0.2">
      <c r="A45" s="32" t="s">
        <v>147</v>
      </c>
      <c r="B45" s="34">
        <v>25091</v>
      </c>
      <c r="C45" s="34">
        <v>27316</v>
      </c>
      <c r="D45" s="34">
        <v>44988</v>
      </c>
      <c r="E45" s="34">
        <v>84040</v>
      </c>
      <c r="F45" s="34">
        <v>115872</v>
      </c>
      <c r="G45" s="34">
        <v>161741</v>
      </c>
      <c r="H45" s="34">
        <v>143559</v>
      </c>
    </row>
    <row r="46" spans="1:8" ht="80" x14ac:dyDescent="0.2">
      <c r="A46" s="32" t="s">
        <v>148</v>
      </c>
      <c r="B46" s="34">
        <v>194402</v>
      </c>
      <c r="C46" s="34">
        <v>254846</v>
      </c>
      <c r="D46" s="34">
        <v>237419</v>
      </c>
      <c r="E46" s="34">
        <v>483924</v>
      </c>
      <c r="F46" s="34">
        <v>502146</v>
      </c>
      <c r="G46" s="34">
        <v>490480</v>
      </c>
      <c r="H46" s="34">
        <v>395204</v>
      </c>
    </row>
    <row r="47" spans="1:8" ht="32" x14ac:dyDescent="0.2">
      <c r="A47" s="32" t="s">
        <v>149</v>
      </c>
      <c r="B47" s="34">
        <v>35768</v>
      </c>
      <c r="C47" s="34">
        <v>25438</v>
      </c>
      <c r="D47" s="34">
        <v>190615</v>
      </c>
      <c r="E47" s="34">
        <v>168821</v>
      </c>
      <c r="F47" s="34">
        <v>148160</v>
      </c>
      <c r="G47" s="34">
        <v>60356</v>
      </c>
      <c r="H47" s="34">
        <v>114098</v>
      </c>
    </row>
    <row r="48" spans="1:8" ht="32" x14ac:dyDescent="0.2">
      <c r="A48" s="32" t="s">
        <v>150</v>
      </c>
      <c r="B48" s="34">
        <v>191762</v>
      </c>
      <c r="C48" s="34">
        <v>166993</v>
      </c>
      <c r="D48" s="34">
        <v>209269</v>
      </c>
      <c r="E48" s="34">
        <v>217453</v>
      </c>
      <c r="F48" s="34">
        <v>180579</v>
      </c>
      <c r="G48" s="34">
        <v>191289</v>
      </c>
      <c r="H48" s="34">
        <v>200870</v>
      </c>
    </row>
    <row r="49" spans="1:8" ht="48" x14ac:dyDescent="0.2">
      <c r="A49" s="32" t="s">
        <v>151</v>
      </c>
      <c r="B49" s="34">
        <v>27316</v>
      </c>
      <c r="C49" s="34">
        <v>44988</v>
      </c>
      <c r="D49" s="34">
        <v>84040</v>
      </c>
      <c r="E49" s="34">
        <v>115872</v>
      </c>
      <c r="F49" s="34">
        <v>161741</v>
      </c>
      <c r="G49" s="34">
        <v>143559</v>
      </c>
      <c r="H49" s="34">
        <v>88165</v>
      </c>
    </row>
    <row r="50" spans="1:8" ht="80" x14ac:dyDescent="0.2">
      <c r="A50" s="32" t="s">
        <v>152</v>
      </c>
      <c r="B50" s="33">
        <v>254846</v>
      </c>
      <c r="C50" s="33">
        <v>237419</v>
      </c>
      <c r="D50" s="33">
        <v>483924</v>
      </c>
      <c r="E50" s="33">
        <v>502146</v>
      </c>
      <c r="F50" s="33">
        <v>490480</v>
      </c>
      <c r="G50" s="33">
        <v>395204</v>
      </c>
      <c r="H50" s="33">
        <v>403133</v>
      </c>
    </row>
    <row r="52" spans="1:8" x14ac:dyDescent="0.2">
      <c r="A52" s="35" t="s">
        <v>154</v>
      </c>
    </row>
    <row r="53" spans="1:8" x14ac:dyDescent="0.2">
      <c r="A53" s="36" t="s">
        <v>108</v>
      </c>
      <c r="B53" s="39">
        <f>B4</f>
        <v>277905</v>
      </c>
      <c r="C53" s="39">
        <f t="shared" ref="C53:H53" si="1">C4</f>
        <v>361972</v>
      </c>
      <c r="D53" s="39">
        <f t="shared" si="1"/>
        <v>400709</v>
      </c>
      <c r="E53" s="39">
        <f t="shared" si="1"/>
        <v>491296</v>
      </c>
      <c r="F53" s="39">
        <f t="shared" si="1"/>
        <v>510467</v>
      </c>
      <c r="G53" s="39">
        <f t="shared" si="1"/>
        <v>452263</v>
      </c>
      <c r="H53" s="39">
        <f t="shared" si="1"/>
        <v>519118</v>
      </c>
    </row>
    <row r="54" spans="1:8" x14ac:dyDescent="0.2">
      <c r="A54" s="37" t="s">
        <v>155</v>
      </c>
      <c r="B54" s="40">
        <f>B6</f>
        <v>44369</v>
      </c>
      <c r="C54" s="40">
        <f t="shared" ref="C54:H54" si="2">C6</f>
        <v>53665</v>
      </c>
      <c r="D54" s="40">
        <f t="shared" si="2"/>
        <v>59930</v>
      </c>
      <c r="E54" s="40">
        <f t="shared" si="2"/>
        <v>65038</v>
      </c>
      <c r="F54" s="40">
        <f t="shared" si="2"/>
        <v>72923</v>
      </c>
      <c r="G54" s="40">
        <f t="shared" si="2"/>
        <v>80251</v>
      </c>
      <c r="H54" s="40">
        <f t="shared" si="2"/>
        <v>80640</v>
      </c>
    </row>
    <row r="55" spans="1:8" x14ac:dyDescent="0.2">
      <c r="A55" s="37" t="s">
        <v>156</v>
      </c>
      <c r="B55" s="40">
        <f>B11</f>
        <v>20713</v>
      </c>
      <c r="C55" s="40">
        <f t="shared" ref="C55:H55" si="3">C11</f>
        <v>22792</v>
      </c>
      <c r="D55" s="40">
        <f t="shared" si="3"/>
        <v>20265</v>
      </c>
      <c r="E55" s="40">
        <f t="shared" si="3"/>
        <v>24244</v>
      </c>
      <c r="F55" s="40">
        <f t="shared" si="3"/>
        <v>28670</v>
      </c>
      <c r="G55" s="40">
        <f t="shared" si="3"/>
        <v>28709</v>
      </c>
      <c r="H55" s="40">
        <f t="shared" si="3"/>
        <v>37514</v>
      </c>
    </row>
    <row r="56" spans="1:8" x14ac:dyDescent="0.2">
      <c r="A56" s="37" t="s">
        <v>132</v>
      </c>
      <c r="B56" s="40">
        <f>B7+B9+B10+B12+B13+B14</f>
        <v>-10368</v>
      </c>
      <c r="C56" s="40">
        <f t="shared" ref="C56:H56" si="4">C7+C9+C10+C12+C13+C14</f>
        <v>-15726</v>
      </c>
      <c r="D56" s="40">
        <f t="shared" si="4"/>
        <v>-23089</v>
      </c>
      <c r="E56" s="40">
        <f t="shared" si="4"/>
        <v>-38280</v>
      </c>
      <c r="F56" s="40">
        <f t="shared" si="4"/>
        <v>-45513</v>
      </c>
      <c r="G56" s="40">
        <f t="shared" si="4"/>
        <v>-13908</v>
      </c>
      <c r="H56" s="40">
        <f t="shared" si="4"/>
        <v>-33463</v>
      </c>
    </row>
    <row r="57" spans="1:8" x14ac:dyDescent="0.2">
      <c r="A57" s="37" t="s">
        <v>157</v>
      </c>
      <c r="B57" s="40">
        <f>SUM(B16:B21)</f>
        <v>11790</v>
      </c>
      <c r="C57" s="40">
        <f t="shared" ref="C57:H57" si="5">SUM(C16:C21)</f>
        <v>-23795</v>
      </c>
      <c r="D57" s="40">
        <f t="shared" si="5"/>
        <v>37112</v>
      </c>
      <c r="E57" s="40">
        <f t="shared" si="5"/>
        <v>47574</v>
      </c>
      <c r="F57" s="40">
        <f t="shared" si="5"/>
        <v>86470</v>
      </c>
      <c r="G57" s="40">
        <f t="shared" si="5"/>
        <v>-73811</v>
      </c>
      <c r="H57" s="40">
        <f t="shared" si="5"/>
        <v>-14244</v>
      </c>
    </row>
    <row r="58" spans="1:8" x14ac:dyDescent="0.2">
      <c r="A58" s="36" t="s">
        <v>158</v>
      </c>
      <c r="B58" s="39">
        <f>SUM(B53:B57)</f>
        <v>344409</v>
      </c>
      <c r="C58" s="39">
        <f>SUM(C53:C57)</f>
        <v>398908</v>
      </c>
      <c r="D58" s="39">
        <f t="shared" ref="D58:H58" si="6">SUM(D53:D57)</f>
        <v>494927</v>
      </c>
      <c r="E58" s="39">
        <f t="shared" si="6"/>
        <v>589872</v>
      </c>
      <c r="F58" s="39">
        <f t="shared" si="6"/>
        <v>653017</v>
      </c>
      <c r="G58" s="39">
        <f t="shared" si="6"/>
        <v>473504</v>
      </c>
      <c r="H58" s="39">
        <f t="shared" si="6"/>
        <v>589565</v>
      </c>
    </row>
    <row r="59" spans="1:8" x14ac:dyDescent="0.2">
      <c r="A59" s="37" t="s">
        <v>159</v>
      </c>
      <c r="B59" s="40">
        <f>B24</f>
        <v>-90011</v>
      </c>
      <c r="C59" s="40">
        <f>C24</f>
        <v>-119888</v>
      </c>
      <c r="D59" s="40">
        <f t="shared" ref="D59:H59" si="7">D24</f>
        <v>-85565</v>
      </c>
      <c r="E59" s="40">
        <f t="shared" si="7"/>
        <v>-88768</v>
      </c>
      <c r="F59" s="40">
        <f t="shared" si="7"/>
        <v>-94172</v>
      </c>
      <c r="G59" s="40">
        <f t="shared" si="7"/>
        <v>-87234</v>
      </c>
      <c r="H59" s="40">
        <f t="shared" si="7"/>
        <v>-105396</v>
      </c>
    </row>
    <row r="60" spans="1:8" x14ac:dyDescent="0.2">
      <c r="A60" s="36" t="s">
        <v>160</v>
      </c>
      <c r="B60" s="39">
        <f>SUM(B58:B59)</f>
        <v>254398</v>
      </c>
      <c r="C60" s="39">
        <f>SUM(C58:C59)</f>
        <v>279020</v>
      </c>
      <c r="D60" s="39">
        <f t="shared" ref="D60:H60" si="8">SUM(D58:D59)</f>
        <v>409362</v>
      </c>
      <c r="E60" s="39">
        <f t="shared" si="8"/>
        <v>501104</v>
      </c>
      <c r="F60" s="39">
        <f t="shared" si="8"/>
        <v>558845</v>
      </c>
      <c r="G60" s="39">
        <f t="shared" si="8"/>
        <v>386270</v>
      </c>
      <c r="H60" s="39">
        <f t="shared" si="8"/>
        <v>484169</v>
      </c>
    </row>
    <row r="61" spans="1:8" x14ac:dyDescent="0.2">
      <c r="A61" s="38" t="s">
        <v>161</v>
      </c>
      <c r="B61" s="22" t="e">
        <f>B60/('Statement of Income'!A28*1000)</f>
        <v>#VALUE!</v>
      </c>
      <c r="C61" s="22">
        <f>C60/('Statement of Income'!B28*1000)</f>
        <v>6.4392284944838236</v>
      </c>
      <c r="D61" s="22">
        <f>D60/('Statement of Income'!C28*1000)</f>
        <v>9.7646016409774656</v>
      </c>
      <c r="E61" s="22">
        <f>E60/('Statement of Income'!D28*1000)</f>
        <v>12.641120102774943</v>
      </c>
      <c r="F61" s="22">
        <f>F60/('Statement of Income'!E28*1000)</f>
        <v>14.82687633032841</v>
      </c>
      <c r="G61" s="22">
        <f>G60/('Statement of Income'!F28*1000)</f>
        <v>10.701851627846748</v>
      </c>
      <c r="H61" s="22">
        <f>H60/('Statement of Income'!G28*1000)</f>
        <v>13.676583125603278</v>
      </c>
    </row>
    <row r="62" spans="1:8" x14ac:dyDescent="0.2">
      <c r="A62" s="37" t="s">
        <v>162</v>
      </c>
      <c r="B62" s="40">
        <f>B32+B33</f>
        <v>971807</v>
      </c>
      <c r="C62" s="40">
        <f>C32+C33</f>
        <v>365912</v>
      </c>
      <c r="D62" s="40">
        <f t="shared" ref="D62:H62" si="9">D32+D33</f>
        <v>582915</v>
      </c>
      <c r="E62" s="40">
        <f t="shared" si="9"/>
        <v>-44058</v>
      </c>
      <c r="F62" s="40">
        <f t="shared" si="9"/>
        <v>939788</v>
      </c>
      <c r="G62" s="40">
        <f t="shared" si="9"/>
        <v>-55676</v>
      </c>
      <c r="H62" s="40">
        <f t="shared" si="9"/>
        <v>-40807</v>
      </c>
    </row>
    <row r="63" spans="1:8" x14ac:dyDescent="0.2">
      <c r="A63" s="37" t="s">
        <v>166</v>
      </c>
      <c r="B63" s="40">
        <f>B25+B26+B27+B28</f>
        <v>6835</v>
      </c>
      <c r="C63" s="40">
        <f>C25+C26+C27+C28</f>
        <v>32222</v>
      </c>
      <c r="D63" s="40">
        <f t="shared" ref="D63:H63" si="10">D25+D26+D27+D28</f>
        <v>58987</v>
      </c>
      <c r="E63" s="40">
        <f t="shared" si="10"/>
        <v>-39826</v>
      </c>
      <c r="F63" s="40">
        <f t="shared" si="10"/>
        <v>-49066</v>
      </c>
      <c r="G63" s="40">
        <f t="shared" si="10"/>
        <v>34275</v>
      </c>
      <c r="H63" s="40">
        <f t="shared" si="10"/>
        <v>161</v>
      </c>
    </row>
    <row r="64" spans="1:8" x14ac:dyDescent="0.2">
      <c r="A64" s="37" t="s">
        <v>163</v>
      </c>
      <c r="B64" s="40">
        <f>B35</f>
        <v>-1064253</v>
      </c>
      <c r="C64" s="40">
        <f>C35</f>
        <v>-591212</v>
      </c>
      <c r="D64" s="40">
        <f t="shared" ref="D64:H64" si="11">D35</f>
        <v>-699007</v>
      </c>
      <c r="E64" s="40">
        <f t="shared" si="11"/>
        <v>-304590</v>
      </c>
      <c r="F64" s="40">
        <f t="shared" si="11"/>
        <v>-1320902</v>
      </c>
      <c r="G64" s="40">
        <f t="shared" si="11"/>
        <v>-293740</v>
      </c>
      <c r="H64" s="40">
        <f t="shared" si="11"/>
        <v>-269025</v>
      </c>
    </row>
    <row r="65" spans="1:8" x14ac:dyDescent="0.2">
      <c r="A65" s="37" t="s">
        <v>165</v>
      </c>
      <c r="B65" s="40">
        <f>B37</f>
        <v>-84298</v>
      </c>
      <c r="C65" s="40">
        <f>C37</f>
        <v>-92166</v>
      </c>
      <c r="D65" s="40">
        <f t="shared" ref="D65:H65" si="12">D37</f>
        <v>-105715</v>
      </c>
      <c r="E65" s="40">
        <f t="shared" si="12"/>
        <v>-121925</v>
      </c>
      <c r="F65" s="40">
        <f t="shared" si="12"/>
        <v>-139399</v>
      </c>
      <c r="G65" s="40">
        <f t="shared" si="12"/>
        <v>-157531</v>
      </c>
      <c r="H65" s="40">
        <f t="shared" si="12"/>
        <v>-169772</v>
      </c>
    </row>
    <row r="66" spans="1:8" x14ac:dyDescent="0.2">
      <c r="A66" s="37" t="s">
        <v>132</v>
      </c>
      <c r="B66" s="40">
        <f>B39+B38+B36+B34+B29+B41+B8</f>
        <v>-24045</v>
      </c>
      <c r="C66" s="40">
        <f t="shared" ref="C66:H66" si="13">C39+C38+C36+C34+C29+C41+C8</f>
        <v>-11203</v>
      </c>
      <c r="D66" s="40">
        <f t="shared" si="13"/>
        <v>-37</v>
      </c>
      <c r="E66" s="40">
        <f t="shared" si="13"/>
        <v>27517</v>
      </c>
      <c r="F66" s="40">
        <f t="shared" si="13"/>
        <v>-932</v>
      </c>
      <c r="G66" s="40">
        <f t="shared" si="13"/>
        <v>-8874</v>
      </c>
      <c r="H66" s="40">
        <f t="shared" si="13"/>
        <v>3203</v>
      </c>
    </row>
    <row r="67" spans="1:8" x14ac:dyDescent="0.2">
      <c r="A67" s="36" t="s">
        <v>164</v>
      </c>
      <c r="B67" s="39">
        <f>B60+SUM(B62:B66)</f>
        <v>60444</v>
      </c>
      <c r="C67" s="39">
        <f t="shared" ref="C67:H67" si="14">C60+SUM(C62:C66)</f>
        <v>-17427</v>
      </c>
      <c r="D67" s="39">
        <f t="shared" si="14"/>
        <v>246505</v>
      </c>
      <c r="E67" s="39">
        <f t="shared" si="14"/>
        <v>18222</v>
      </c>
      <c r="F67" s="39">
        <f t="shared" si="14"/>
        <v>-11666</v>
      </c>
      <c r="G67" s="39">
        <f t="shared" si="14"/>
        <v>-95276</v>
      </c>
      <c r="H67" s="39">
        <f t="shared" si="14"/>
        <v>7929</v>
      </c>
    </row>
    <row r="69" spans="1:8" ht="32" x14ac:dyDescent="0.2">
      <c r="A69" s="32" t="s">
        <v>144</v>
      </c>
      <c r="B69" s="34">
        <v>60444</v>
      </c>
      <c r="C69" s="34">
        <v>-17427</v>
      </c>
      <c r="D69" s="34">
        <v>246505</v>
      </c>
      <c r="E69" s="34">
        <v>18222</v>
      </c>
      <c r="F69" s="34">
        <v>-11666</v>
      </c>
      <c r="G69" s="34">
        <v>-95276</v>
      </c>
      <c r="H69" s="34">
        <v>7929</v>
      </c>
    </row>
  </sheetData>
  <mergeCells count="2">
    <mergeCell ref="A1:A2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23FC-7FEF-D247-9F9A-A1F927959359}">
  <dimension ref="A1:P45"/>
  <sheetViews>
    <sheetView workbookViewId="0">
      <pane xSplit="1" ySplit="3" topLeftCell="B27" activePane="bottomRight" state="frozen"/>
      <selection pane="topRight" activeCell="B1" sqref="B1"/>
      <selection pane="bottomLeft" activeCell="A4" sqref="A4"/>
      <selection pane="bottomRight" activeCell="H45" sqref="H45"/>
    </sheetView>
  </sheetViews>
  <sheetFormatPr baseColWidth="10" defaultRowHeight="16" x14ac:dyDescent="0.2"/>
  <cols>
    <col min="1" max="1" width="36.5" bestFit="1" customWidth="1"/>
    <col min="2" max="7" width="9" bestFit="1" customWidth="1"/>
    <col min="8" max="9" width="9" customWidth="1"/>
  </cols>
  <sheetData>
    <row r="1" spans="1:16" x14ac:dyDescent="0.2">
      <c r="A1" s="1" t="s">
        <v>1</v>
      </c>
      <c r="B1" s="1">
        <v>2018</v>
      </c>
      <c r="C1" s="1">
        <f>B1+1</f>
        <v>2019</v>
      </c>
      <c r="D1" s="1">
        <f t="shared" ref="D1:G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/>
      <c r="I1" s="1"/>
      <c r="K1" s="1">
        <v>2018</v>
      </c>
      <c r="L1" s="1">
        <f>K1+1</f>
        <v>2019</v>
      </c>
      <c r="M1" s="1">
        <f t="shared" ref="M1:P1" si="1">L1+1</f>
        <v>2020</v>
      </c>
      <c r="N1" s="1">
        <f t="shared" si="1"/>
        <v>2021</v>
      </c>
      <c r="O1" s="1">
        <f t="shared" si="1"/>
        <v>2022</v>
      </c>
      <c r="P1" s="1">
        <f t="shared" si="1"/>
        <v>2023</v>
      </c>
    </row>
    <row r="4" spans="1:16" x14ac:dyDescent="0.2">
      <c r="A4" s="1" t="s">
        <v>7</v>
      </c>
    </row>
    <row r="5" spans="1:16" x14ac:dyDescent="0.2">
      <c r="A5" s="2" t="s">
        <v>2</v>
      </c>
      <c r="B5">
        <v>246</v>
      </c>
      <c r="C5">
        <v>239</v>
      </c>
      <c r="D5">
        <v>208</v>
      </c>
      <c r="E5">
        <v>193</v>
      </c>
      <c r="F5">
        <v>124</v>
      </c>
      <c r="G5">
        <v>165</v>
      </c>
    </row>
    <row r="6" spans="1:16" x14ac:dyDescent="0.2">
      <c r="A6" s="2" t="s">
        <v>3</v>
      </c>
      <c r="B6">
        <v>12</v>
      </c>
      <c r="C6">
        <v>11</v>
      </c>
      <c r="D6">
        <v>21</v>
      </c>
      <c r="E6">
        <v>12</v>
      </c>
      <c r="F6">
        <v>2</v>
      </c>
      <c r="G6">
        <v>3</v>
      </c>
    </row>
    <row r="7" spans="1:16" x14ac:dyDescent="0.2">
      <c r="A7" s="2" t="s">
        <v>4</v>
      </c>
      <c r="B7">
        <v>800</v>
      </c>
      <c r="C7">
        <v>856</v>
      </c>
      <c r="D7">
        <v>395</v>
      </c>
      <c r="E7">
        <v>999</v>
      </c>
      <c r="F7">
        <v>906</v>
      </c>
      <c r="G7">
        <v>543</v>
      </c>
    </row>
    <row r="8" spans="1:16" x14ac:dyDescent="0.2">
      <c r="A8" s="5" t="s">
        <v>5</v>
      </c>
      <c r="B8" s="4">
        <f t="shared" ref="B8:F8" si="2">SUM(B5:B7)</f>
        <v>1058</v>
      </c>
      <c r="C8" s="4">
        <f t="shared" si="2"/>
        <v>1106</v>
      </c>
      <c r="D8" s="4">
        <f t="shared" si="2"/>
        <v>624</v>
      </c>
      <c r="E8" s="4">
        <f t="shared" si="2"/>
        <v>1204</v>
      </c>
      <c r="F8" s="4">
        <f t="shared" si="2"/>
        <v>1032</v>
      </c>
      <c r="G8" s="4">
        <f>SUM(G5:G7)</f>
        <v>711</v>
      </c>
      <c r="H8" s="4"/>
      <c r="I8" s="4"/>
    </row>
    <row r="9" spans="1:16" x14ac:dyDescent="0.2">
      <c r="A9" s="5"/>
      <c r="B9" s="4"/>
      <c r="C9" s="4"/>
      <c r="D9" s="4"/>
      <c r="E9" s="4"/>
      <c r="F9" s="4"/>
      <c r="G9" s="4"/>
      <c r="H9" s="4"/>
      <c r="I9" s="4"/>
    </row>
    <row r="10" spans="1:16" x14ac:dyDescent="0.2">
      <c r="A10" s="6" t="s">
        <v>6</v>
      </c>
    </row>
    <row r="11" spans="1:16" x14ac:dyDescent="0.2">
      <c r="A11" s="2" t="s">
        <v>2</v>
      </c>
      <c r="B11">
        <v>5486</v>
      </c>
      <c r="C11">
        <v>5784</v>
      </c>
      <c r="D11">
        <v>5992</v>
      </c>
      <c r="E11">
        <v>6185</v>
      </c>
      <c r="F11">
        <v>6400</v>
      </c>
      <c r="G11">
        <v>6566</v>
      </c>
    </row>
    <row r="12" spans="1:16" x14ac:dyDescent="0.2">
      <c r="A12" s="2" t="s">
        <v>3</v>
      </c>
      <c r="B12">
        <v>390</v>
      </c>
      <c r="C12">
        <v>342</v>
      </c>
      <c r="D12">
        <v>363</v>
      </c>
      <c r="E12">
        <v>375</v>
      </c>
      <c r="F12">
        <v>286</v>
      </c>
      <c r="G12">
        <v>288</v>
      </c>
    </row>
    <row r="13" spans="1:16" x14ac:dyDescent="0.2">
      <c r="A13" s="2" t="s">
        <v>4</v>
      </c>
      <c r="B13">
        <v>10038</v>
      </c>
      <c r="C13">
        <v>10894</v>
      </c>
      <c r="D13">
        <v>11289</v>
      </c>
      <c r="E13">
        <v>12288</v>
      </c>
      <c r="F13">
        <v>13194</v>
      </c>
      <c r="G13">
        <v>13737</v>
      </c>
    </row>
    <row r="14" spans="1:16" x14ac:dyDescent="0.2">
      <c r="A14" s="5" t="s">
        <v>5</v>
      </c>
      <c r="B14" s="4">
        <f t="shared" ref="B14" si="3">SUM(B11:B13)</f>
        <v>15914</v>
      </c>
      <c r="C14" s="4">
        <f t="shared" ref="C14" si="4">SUM(C11:C13)</f>
        <v>17020</v>
      </c>
      <c r="D14" s="4">
        <f t="shared" ref="D14" si="5">SUM(D11:D13)</f>
        <v>17644</v>
      </c>
      <c r="E14" s="4">
        <f t="shared" ref="E14" si="6">SUM(E11:E13)</f>
        <v>18848</v>
      </c>
      <c r="F14" s="4">
        <f t="shared" ref="F14" si="7">SUM(F11:F13)</f>
        <v>19880</v>
      </c>
      <c r="G14" s="4">
        <f>SUM(G11:G13)</f>
        <v>20591</v>
      </c>
      <c r="H14" s="4"/>
      <c r="I14" s="4"/>
    </row>
    <row r="16" spans="1:16" x14ac:dyDescent="0.2">
      <c r="A16" s="6" t="s">
        <v>8</v>
      </c>
    </row>
    <row r="17" spans="1:9" x14ac:dyDescent="0.2">
      <c r="A17" s="2" t="s">
        <v>9</v>
      </c>
      <c r="B17" s="10">
        <v>391.5</v>
      </c>
      <c r="C17" s="10">
        <v>428.5</v>
      </c>
      <c r="D17" s="10">
        <v>503.2</v>
      </c>
      <c r="E17" s="10">
        <v>539.9</v>
      </c>
      <c r="F17" s="10">
        <v>556.29999999999995</v>
      </c>
      <c r="G17" s="10">
        <v>604.9</v>
      </c>
      <c r="H17" s="10"/>
      <c r="I17" s="10"/>
    </row>
    <row r="18" spans="1:9" x14ac:dyDescent="0.2">
      <c r="A18" s="2" t="s">
        <v>10</v>
      </c>
      <c r="B18" s="10">
        <v>514.79999999999995</v>
      </c>
      <c r="C18" s="10">
        <v>453.6</v>
      </c>
      <c r="D18" s="10">
        <v>485.6</v>
      </c>
      <c r="E18" s="10">
        <v>479</v>
      </c>
      <c r="F18" s="10">
        <v>445.8</v>
      </c>
      <c r="G18" s="10">
        <v>376.2</v>
      </c>
      <c r="H18" s="10"/>
      <c r="I18" s="10"/>
    </row>
    <row r="19" spans="1:9" x14ac:dyDescent="0.2">
      <c r="A19" s="2" t="s">
        <v>11</v>
      </c>
      <c r="B19" s="10">
        <v>358.5</v>
      </c>
      <c r="C19" s="10">
        <v>390.8</v>
      </c>
      <c r="D19" s="10">
        <v>462.2</v>
      </c>
      <c r="E19" s="10">
        <v>479.5</v>
      </c>
      <c r="F19" s="10">
        <v>485.3</v>
      </c>
      <c r="G19" s="10">
        <v>473.2</v>
      </c>
      <c r="H19" s="10"/>
      <c r="I19" s="10"/>
    </row>
    <row r="20" spans="1:9" x14ac:dyDescent="0.2">
      <c r="A20" s="9" t="s">
        <v>18</v>
      </c>
      <c r="B20" s="10">
        <v>1943.3</v>
      </c>
      <c r="C20" s="10">
        <v>2104.9</v>
      </c>
      <c r="D20" s="10">
        <v>2416.6999999999998</v>
      </c>
      <c r="E20" s="10">
        <v>2561</v>
      </c>
      <c r="F20" s="10">
        <v>2754.7</v>
      </c>
      <c r="G20" s="10">
        <v>2715</v>
      </c>
      <c r="H20" s="10"/>
      <c r="I20" s="10"/>
    </row>
    <row r="21" spans="1:9" x14ac:dyDescent="0.2">
      <c r="A21" s="2" t="s">
        <v>19</v>
      </c>
      <c r="B21" s="10">
        <f t="shared" ref="B21" si="8">((B17+B19)/(B17+B19+B23))*B20</f>
        <v>1495.306248076331</v>
      </c>
      <c r="C21" s="10">
        <f t="shared" ref="C21" si="9">((C17+C19)/(C17+C19+C23))*C20</f>
        <v>1626.4685183438651</v>
      </c>
      <c r="D21" s="10">
        <f t="shared" ref="D21" si="10">((D17+D19)/(D17+D19+D23))*D20</f>
        <v>1919.9162113232387</v>
      </c>
      <c r="E21" s="10">
        <f t="shared" ref="E21:F21" si="11">((E17+E19)/(E17+E19+E23))*E20</f>
        <v>1981.6937908000607</v>
      </c>
      <c r="F21" s="10">
        <f t="shared" si="11"/>
        <v>2146.712195121951</v>
      </c>
      <c r="G21" s="10">
        <f>((G17+G19)/(G17+G19+G23))*G20</f>
        <v>2108.5157037890795</v>
      </c>
      <c r="H21" s="10"/>
      <c r="I21" s="10"/>
    </row>
    <row r="22" spans="1:9" x14ac:dyDescent="0.2">
      <c r="A22" s="2" t="s">
        <v>15</v>
      </c>
      <c r="B22" s="10">
        <f t="shared" ref="B22" si="12">B20-B21</f>
        <v>447.99375192366892</v>
      </c>
      <c r="C22" s="10">
        <f t="shared" ref="C22" si="13">C20-C21</f>
        <v>478.43148165613502</v>
      </c>
      <c r="D22" s="10">
        <f t="shared" ref="D22" si="14">D20-D21</f>
        <v>496.78378867676111</v>
      </c>
      <c r="E22" s="10">
        <f t="shared" ref="E22:F22" si="15">E20-E21</f>
        <v>579.3062091999393</v>
      </c>
      <c r="F22" s="10">
        <f t="shared" si="15"/>
        <v>607.98780487804879</v>
      </c>
      <c r="G22" s="10">
        <f>G20-G21</f>
        <v>606.48429621092055</v>
      </c>
      <c r="H22" s="10"/>
      <c r="I22" s="10"/>
    </row>
    <row r="23" spans="1:9" x14ac:dyDescent="0.2">
      <c r="A23" s="2" t="s">
        <v>13</v>
      </c>
      <c r="B23" s="10">
        <v>224.7</v>
      </c>
      <c r="C23" s="10">
        <v>241</v>
      </c>
      <c r="D23" s="10">
        <v>249.8</v>
      </c>
      <c r="E23" s="10">
        <v>298</v>
      </c>
      <c r="F23" s="10">
        <v>295</v>
      </c>
      <c r="G23" s="10">
        <v>310.10000000000002</v>
      </c>
      <c r="H23" s="10"/>
      <c r="I23" s="10"/>
    </row>
    <row r="24" spans="1:9" x14ac:dyDescent="0.2">
      <c r="A24" s="5" t="s">
        <v>5</v>
      </c>
      <c r="B24" s="11">
        <f t="shared" ref="B24:F24" si="16">SUM(B17:B20)+B23</f>
        <v>3432.7999999999997</v>
      </c>
      <c r="C24" s="11">
        <f t="shared" si="16"/>
        <v>3618.8</v>
      </c>
      <c r="D24" s="11">
        <f t="shared" si="16"/>
        <v>4117.5</v>
      </c>
      <c r="E24" s="11">
        <f t="shared" si="16"/>
        <v>4357.3999999999996</v>
      </c>
      <c r="F24" s="11">
        <f t="shared" si="16"/>
        <v>4537.0999999999995</v>
      </c>
      <c r="G24" s="11">
        <f>SUM(G17:G20)+G23</f>
        <v>4479.4000000000005</v>
      </c>
      <c r="H24" s="11"/>
      <c r="I24" s="11"/>
    </row>
    <row r="25" spans="1:9" x14ac:dyDescent="0.2">
      <c r="A25" s="2" t="s">
        <v>23</v>
      </c>
      <c r="B25" s="13">
        <f>B24/B34</f>
        <v>0.25343295041786018</v>
      </c>
      <c r="C25" s="13">
        <f t="shared" ref="C25:G25" si="17">C24/C34</f>
        <v>0.25270067385915296</v>
      </c>
      <c r="D25" s="13">
        <f t="shared" si="17"/>
        <v>0.25565483027747937</v>
      </c>
      <c r="E25" s="13">
        <f t="shared" si="17"/>
        <v>0.24508827880240056</v>
      </c>
      <c r="F25" s="13">
        <f t="shared" si="17"/>
        <v>0.25867308251472354</v>
      </c>
      <c r="G25" s="13">
        <f t="shared" si="17"/>
        <v>0.24510007769837708</v>
      </c>
      <c r="H25" s="13"/>
      <c r="I25" s="13"/>
    </row>
    <row r="27" spans="1:9" x14ac:dyDescent="0.2">
      <c r="A27" s="6" t="s">
        <v>17</v>
      </c>
    </row>
    <row r="28" spans="1:9" x14ac:dyDescent="0.2">
      <c r="A28" s="2" t="s">
        <v>14</v>
      </c>
      <c r="B28" s="7">
        <v>6.6000000000000003E-2</v>
      </c>
      <c r="C28" s="7">
        <v>3.2000000000000001E-2</v>
      </c>
      <c r="D28" s="7">
        <v>0.115</v>
      </c>
      <c r="E28" s="7">
        <v>3.5000000000000003E-2</v>
      </c>
      <c r="F28" s="7">
        <v>-8.0000000000000002E-3</v>
      </c>
      <c r="G28" s="7">
        <v>1.6E-2</v>
      </c>
      <c r="H28" s="7"/>
      <c r="I28" s="7"/>
    </row>
    <row r="29" spans="1:9" x14ac:dyDescent="0.2">
      <c r="A29" s="2" t="s">
        <v>15</v>
      </c>
      <c r="B29" s="7">
        <v>3.5000000000000003E-2</v>
      </c>
      <c r="C29" s="7">
        <v>1.9E-2</v>
      </c>
      <c r="D29" s="7">
        <v>4.3999999999999997E-2</v>
      </c>
      <c r="E29" s="8">
        <v>0.08</v>
      </c>
      <c r="F29" s="7">
        <v>1E-3</v>
      </c>
      <c r="G29" s="7">
        <v>1.7000000000000001E-2</v>
      </c>
      <c r="H29" s="7"/>
      <c r="I29" s="7"/>
    </row>
    <row r="31" spans="1:9" x14ac:dyDescent="0.2">
      <c r="A31" s="6" t="s">
        <v>16</v>
      </c>
    </row>
    <row r="32" spans="1:9" x14ac:dyDescent="0.2">
      <c r="A32" s="2" t="s">
        <v>14</v>
      </c>
      <c r="B32" s="10">
        <v>6591.6</v>
      </c>
      <c r="C32" s="10">
        <v>7044.4</v>
      </c>
      <c r="D32" s="10">
        <v>8287.1</v>
      </c>
      <c r="E32" s="10">
        <v>8641.4</v>
      </c>
      <c r="F32" s="10">
        <v>8751.7000000000007</v>
      </c>
      <c r="G32" s="10">
        <v>9026.1</v>
      </c>
      <c r="H32" s="10"/>
      <c r="I32" s="10"/>
    </row>
    <row r="33" spans="1:9" x14ac:dyDescent="0.2">
      <c r="A33" s="2" t="s">
        <v>15</v>
      </c>
      <c r="B33" s="10">
        <v>6953.6</v>
      </c>
      <c r="C33" s="10">
        <v>7276.1</v>
      </c>
      <c r="D33" s="10">
        <v>7818.6</v>
      </c>
      <c r="E33" s="10">
        <v>9137.5</v>
      </c>
      <c r="F33" s="10">
        <v>8788.2000000000007</v>
      </c>
      <c r="G33" s="10">
        <v>9249.7000000000007</v>
      </c>
      <c r="H33" s="10"/>
      <c r="I33" s="10"/>
    </row>
    <row r="34" spans="1:9" x14ac:dyDescent="0.2">
      <c r="A34" s="5" t="s">
        <v>5</v>
      </c>
      <c r="B34" s="11">
        <f t="shared" ref="B34:F34" si="18">SUM(B32:B33)</f>
        <v>13545.2</v>
      </c>
      <c r="C34" s="11">
        <f t="shared" si="18"/>
        <v>14320.5</v>
      </c>
      <c r="D34" s="11">
        <f t="shared" si="18"/>
        <v>16105.7</v>
      </c>
      <c r="E34" s="11">
        <f t="shared" si="18"/>
        <v>17778.900000000001</v>
      </c>
      <c r="F34" s="11">
        <f t="shared" si="18"/>
        <v>17539.900000000001</v>
      </c>
      <c r="G34" s="11">
        <f>SUM(G32:G33)</f>
        <v>18275.800000000003</v>
      </c>
      <c r="H34" s="11"/>
      <c r="I34" s="11"/>
    </row>
    <row r="35" spans="1:9" x14ac:dyDescent="0.2">
      <c r="B35" s="10"/>
      <c r="C35" s="10"/>
      <c r="D35" s="10"/>
      <c r="E35" s="10"/>
      <c r="F35" s="10"/>
      <c r="G35" s="10"/>
      <c r="H35" s="10"/>
      <c r="I35" s="10"/>
    </row>
    <row r="36" spans="1:9" x14ac:dyDescent="0.2">
      <c r="A36" s="1" t="s">
        <v>20</v>
      </c>
      <c r="B36" s="10"/>
      <c r="C36" s="10"/>
      <c r="D36" s="10"/>
      <c r="E36" s="10"/>
      <c r="F36" s="10"/>
      <c r="G36" s="10"/>
      <c r="H36" s="10"/>
      <c r="I36" s="10"/>
    </row>
    <row r="37" spans="1:9" x14ac:dyDescent="0.2">
      <c r="A37" s="2" t="s">
        <v>2</v>
      </c>
      <c r="B37" s="12">
        <f t="shared" ref="B37:F37" si="19">(B21+B19+B17)/B11</f>
        <v>0.40927930150862762</v>
      </c>
      <c r="C37" s="12">
        <f t="shared" si="19"/>
        <v>0.42285071202348984</v>
      </c>
      <c r="D37" s="12">
        <f t="shared" si="19"/>
        <v>0.48152807265074071</v>
      </c>
      <c r="E37" s="12">
        <f t="shared" si="19"/>
        <v>0.48522130813258868</v>
      </c>
      <c r="F37" s="12">
        <f t="shared" si="19"/>
        <v>0.49817378048780481</v>
      </c>
      <c r="G37" s="12">
        <f>(G21+G19+G17)/G11</f>
        <v>0.4853206981098202</v>
      </c>
      <c r="H37" s="12"/>
      <c r="I37" s="12"/>
    </row>
    <row r="38" spans="1:9" x14ac:dyDescent="0.2">
      <c r="A38" s="2" t="s">
        <v>3</v>
      </c>
      <c r="B38" s="12">
        <f t="shared" ref="B38:F38" si="20">B18/B12</f>
        <v>1.3199999999999998</v>
      </c>
      <c r="C38" s="12">
        <f t="shared" si="20"/>
        <v>1.3263157894736843</v>
      </c>
      <c r="D38" s="12">
        <f t="shared" si="20"/>
        <v>1.3377410468319559</v>
      </c>
      <c r="E38" s="12">
        <f t="shared" si="20"/>
        <v>1.2773333333333334</v>
      </c>
      <c r="F38" s="12">
        <f t="shared" si="20"/>
        <v>1.5587412587412588</v>
      </c>
      <c r="G38" s="12">
        <f>G18/G12</f>
        <v>1.3062499999999999</v>
      </c>
      <c r="H38" s="12"/>
      <c r="I38" s="12"/>
    </row>
    <row r="39" spans="1:9" x14ac:dyDescent="0.2">
      <c r="A39" s="2" t="s">
        <v>4</v>
      </c>
      <c r="B39" s="12">
        <f t="shared" ref="B39:F39" si="21">(B22+B23)/B13</f>
        <v>6.701471925918201E-2</v>
      </c>
      <c r="C39" s="12">
        <f t="shared" si="21"/>
        <v>6.6039240100618235E-2</v>
      </c>
      <c r="D39" s="12">
        <f t="shared" si="21"/>
        <v>6.6133739806604752E-2</v>
      </c>
      <c r="E39" s="12">
        <f t="shared" si="21"/>
        <v>7.1395362076817973E-2</v>
      </c>
      <c r="F39" s="12">
        <f t="shared" si="21"/>
        <v>6.8439275797942151E-2</v>
      </c>
      <c r="G39" s="12">
        <f>(G22+G23)/G13</f>
        <v>6.6723760370599156E-2</v>
      </c>
      <c r="H39" s="12"/>
      <c r="I39" s="12"/>
    </row>
    <row r="40" spans="1:9" x14ac:dyDescent="0.2">
      <c r="A40" s="3" t="s">
        <v>22</v>
      </c>
      <c r="B40" s="12">
        <f>B24/B14</f>
        <v>0.21570943823048885</v>
      </c>
      <c r="C40" s="12">
        <f t="shared" ref="C40:G40" si="22">C24/C14</f>
        <v>0.21262044653349002</v>
      </c>
      <c r="D40" s="12">
        <f t="shared" si="22"/>
        <v>0.2333654500113353</v>
      </c>
      <c r="E40" s="12">
        <f t="shared" si="22"/>
        <v>0.23118633276740236</v>
      </c>
      <c r="F40" s="12">
        <f t="shared" si="22"/>
        <v>0.22822434607645872</v>
      </c>
      <c r="G40" s="12">
        <f t="shared" si="22"/>
        <v>0.21754164440775098</v>
      </c>
      <c r="H40" s="12"/>
      <c r="I40" s="12"/>
    </row>
    <row r="41" spans="1:9" x14ac:dyDescent="0.2">
      <c r="B41" s="12"/>
      <c r="C41" s="12"/>
      <c r="D41" s="12"/>
      <c r="E41" s="12"/>
      <c r="F41" s="12"/>
      <c r="G41" s="12"/>
      <c r="H41" s="12"/>
      <c r="I41" s="12"/>
    </row>
    <row r="42" spans="1:9" x14ac:dyDescent="0.2">
      <c r="A42" s="6" t="s">
        <v>21</v>
      </c>
      <c r="B42" s="12"/>
      <c r="C42" s="12"/>
      <c r="D42" s="12"/>
      <c r="E42" s="12"/>
      <c r="F42" s="12"/>
      <c r="G42" s="12"/>
      <c r="H42" s="12"/>
      <c r="I42" s="12"/>
    </row>
    <row r="43" spans="1:9" x14ac:dyDescent="0.2">
      <c r="A43" s="2" t="s">
        <v>14</v>
      </c>
      <c r="B43" s="12">
        <f>B32/(B12+B11)</f>
        <v>1.1217835262083051</v>
      </c>
      <c r="C43" s="12">
        <f t="shared" ref="C43:G43" si="23">C32/(C12+C11)</f>
        <v>1.1499183806725433</v>
      </c>
      <c r="D43" s="12">
        <f t="shared" si="23"/>
        <v>1.3040283241542094</v>
      </c>
      <c r="E43" s="12">
        <f t="shared" si="23"/>
        <v>1.3172865853658535</v>
      </c>
      <c r="F43" s="12">
        <f t="shared" si="23"/>
        <v>1.3089590188453486</v>
      </c>
      <c r="G43" s="12">
        <f t="shared" si="23"/>
        <v>1.3169098336737672</v>
      </c>
      <c r="H43" s="12"/>
      <c r="I43" s="12"/>
    </row>
    <row r="44" spans="1:9" x14ac:dyDescent="0.2">
      <c r="A44" s="2" t="s">
        <v>15</v>
      </c>
      <c r="B44" s="12">
        <f>B33/B13</f>
        <v>0.69272763498704926</v>
      </c>
      <c r="C44" s="12">
        <f t="shared" ref="C44:G44" si="24">C33/C13</f>
        <v>0.66789976133651552</v>
      </c>
      <c r="D44" s="12">
        <f t="shared" si="24"/>
        <v>0.69258570289662502</v>
      </c>
      <c r="E44" s="12">
        <f t="shared" si="24"/>
        <v>0.74361165364583337</v>
      </c>
      <c r="F44" s="12">
        <f t="shared" si="24"/>
        <v>0.66607548885857215</v>
      </c>
      <c r="G44" s="12">
        <f t="shared" si="24"/>
        <v>0.67334206886510883</v>
      </c>
      <c r="H44" s="12"/>
      <c r="I44" s="12"/>
    </row>
    <row r="45" spans="1:9" x14ac:dyDescent="0.2">
      <c r="A45" s="3" t="s">
        <v>22</v>
      </c>
      <c r="B45" s="12">
        <f>B34/B14</f>
        <v>0.85114993087847179</v>
      </c>
      <c r="C45" s="12">
        <f t="shared" ref="C45:G45" si="25">C34/C14</f>
        <v>0.84139247943595774</v>
      </c>
      <c r="D45" s="12">
        <f t="shared" si="25"/>
        <v>0.91281455452278404</v>
      </c>
      <c r="E45" s="12">
        <f t="shared" si="25"/>
        <v>0.94327780135823436</v>
      </c>
      <c r="F45" s="12">
        <f t="shared" si="25"/>
        <v>0.88228873239436623</v>
      </c>
      <c r="G45" s="12">
        <f t="shared" si="25"/>
        <v>0.88756252731776031</v>
      </c>
      <c r="H45" s="12"/>
      <c r="I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 of Income</vt:lpstr>
      <vt:lpstr>Balance Sheet</vt:lpstr>
      <vt:lpstr>Statement of Cashflow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2024-06-30T21:31:11Z</dcterms:created>
  <dcterms:modified xsi:type="dcterms:W3CDTF">2024-08-21T20:21:35Z</dcterms:modified>
</cp:coreProperties>
</file>