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/Retail - Restaurants/"/>
    </mc:Choice>
  </mc:AlternateContent>
  <xr:revisionPtr revIDLastSave="0" documentId="13_ncr:1_{467775B3-2443-024D-B3AD-CB18ADA4AEEE}" xr6:coauthVersionLast="47" xr6:coauthVersionMax="47" xr10:uidLastSave="{00000000-0000-0000-0000-000000000000}"/>
  <bookViews>
    <workbookView xWindow="0" yWindow="500" windowWidth="23220" windowHeight="16280" activeTab="2" xr2:uid="{4B2595AD-AF64-7140-9385-F8A80B4A413A}"/>
  </bookViews>
  <sheets>
    <sheet name="Overview" sheetId="9" r:id="rId1"/>
    <sheet name="PZZA Case 1" sheetId="11" r:id="rId2"/>
    <sheet name="Denn Case 1" sheetId="10" r:id="rId3"/>
    <sheet name="Profitability" sheetId="1" r:id="rId4"/>
    <sheet name="Long Short Jul 2024" sheetId="8" r:id="rId5"/>
    <sheet name="Cost" sheetId="2" r:id="rId6"/>
    <sheet name="Solvency" sheetId="3" r:id="rId7"/>
    <sheet name="Valuation Metrics" sheetId="4" r:id="rId8"/>
    <sheet name="CAVA vs. CHIPOTLE" sheetId="6" r:id="rId9"/>
    <sheet name="US Fast Food" sheetId="7" r:id="rId10"/>
    <sheet name="Pizza Restaurants" sheetId="5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1" l="1"/>
  <c r="Q2" i="11"/>
  <c r="B2" i="11"/>
  <c r="C2" i="11" s="1"/>
  <c r="D2" i="11" s="1"/>
  <c r="B11" i="11" l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B2" i="10"/>
  <c r="C2" i="10" s="1"/>
  <c r="AE12" i="9"/>
  <c r="B11" i="10"/>
  <c r="B4" i="10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R2" i="9"/>
  <c r="B4" i="11" l="1"/>
  <c r="C4" i="11"/>
  <c r="B19" i="9"/>
  <c r="R4" i="6"/>
  <c r="O4" i="6"/>
  <c r="D2" i="10" l="1"/>
  <c r="C4" i="10"/>
  <c r="D4" i="11"/>
  <c r="Q4" i="6"/>
  <c r="N4" i="6"/>
  <c r="P4" i="6"/>
  <c r="S4" i="6"/>
  <c r="E2" i="10" l="1"/>
  <c r="D4" i="10"/>
  <c r="E2" i="11"/>
  <c r="E4" i="11" s="1"/>
  <c r="AE11" i="9"/>
  <c r="AF11" i="9" s="1"/>
  <c r="AB11" i="9" s="1"/>
  <c r="H11" i="9"/>
  <c r="I11" i="9"/>
  <c r="AE9" i="9"/>
  <c r="AF9" i="9" s="1"/>
  <c r="AB9" i="9" s="1"/>
  <c r="I9" i="9"/>
  <c r="K9" i="9" s="1"/>
  <c r="AE8" i="9"/>
  <c r="H8" i="9"/>
  <c r="I8" i="9"/>
  <c r="AE10" i="9"/>
  <c r="AF10" i="9" s="1"/>
  <c r="AB10" i="9" s="1"/>
  <c r="I10" i="9"/>
  <c r="J10" i="9" s="1"/>
  <c r="AE5" i="9"/>
  <c r="AF5" i="9" s="1"/>
  <c r="AB5" i="9" s="1"/>
  <c r="H5" i="9"/>
  <c r="I5" i="9"/>
  <c r="AJ3" i="9"/>
  <c r="R3" i="9" s="1"/>
  <c r="AE3" i="9"/>
  <c r="AF3" i="9" s="1"/>
  <c r="AB3" i="9" s="1"/>
  <c r="H3" i="9"/>
  <c r="I3" i="9"/>
  <c r="AE6" i="9"/>
  <c r="AF6" i="9" s="1"/>
  <c r="AB6" i="9" s="1"/>
  <c r="H6" i="9"/>
  <c r="I6" i="9"/>
  <c r="AI2" i="9"/>
  <c r="AE2" i="9"/>
  <c r="AD2" i="9"/>
  <c r="H2" i="9"/>
  <c r="I2" i="9"/>
  <c r="H7" i="9"/>
  <c r="I7" i="9"/>
  <c r="AE7" i="9"/>
  <c r="AF7" i="9" s="1"/>
  <c r="AB7" i="9" s="1"/>
  <c r="AF12" i="9"/>
  <c r="AB12" i="9" s="1"/>
  <c r="H12" i="9"/>
  <c r="I12" i="9"/>
  <c r="X12" i="9"/>
  <c r="Y12" i="9"/>
  <c r="AA12" i="9"/>
  <c r="X7" i="9"/>
  <c r="Y7" i="9"/>
  <c r="AA7" i="9"/>
  <c r="X2" i="9"/>
  <c r="B34" i="9" s="1"/>
  <c r="Y2" i="9"/>
  <c r="AA2" i="9"/>
  <c r="X6" i="9"/>
  <c r="Y6" i="9"/>
  <c r="AA6" i="9"/>
  <c r="X3" i="9"/>
  <c r="Y3" i="9"/>
  <c r="AA3" i="9"/>
  <c r="X5" i="9"/>
  <c r="Y5" i="9"/>
  <c r="AA5" i="9"/>
  <c r="X10" i="9"/>
  <c r="Y10" i="9"/>
  <c r="AA10" i="9"/>
  <c r="X8" i="9"/>
  <c r="Y8" i="9"/>
  <c r="AA8" i="9"/>
  <c r="X9" i="9"/>
  <c r="Y9" i="9"/>
  <c r="AA9" i="9"/>
  <c r="X11" i="9"/>
  <c r="Y11" i="9"/>
  <c r="AA11" i="9"/>
  <c r="R12" i="9"/>
  <c r="Z12" i="9" s="1"/>
  <c r="R7" i="9"/>
  <c r="R6" i="9"/>
  <c r="R5" i="9"/>
  <c r="R10" i="9"/>
  <c r="Z10" i="9" s="1"/>
  <c r="R8" i="9"/>
  <c r="R9" i="9"/>
  <c r="Z9" i="9" s="1"/>
  <c r="R11" i="9"/>
  <c r="Z11" i="9" s="1"/>
  <c r="R4" i="9"/>
  <c r="Z4" i="9" s="1"/>
  <c r="AE4" i="9"/>
  <c r="AF4" i="9" s="1"/>
  <c r="AB4" i="9" s="1"/>
  <c r="AA4" i="9"/>
  <c r="X4" i="9"/>
  <c r="Y4" i="9"/>
  <c r="B29" i="9"/>
  <c r="B18" i="9"/>
  <c r="N12" i="9" s="1"/>
  <c r="B16" i="9"/>
  <c r="L7" i="9" s="1"/>
  <c r="AK7" i="9" s="1"/>
  <c r="I4" i="9"/>
  <c r="J4" i="9" s="1"/>
  <c r="F12" i="9"/>
  <c r="F7" i="9"/>
  <c r="F2" i="9"/>
  <c r="F6" i="9"/>
  <c r="F3" i="9"/>
  <c r="F5" i="9"/>
  <c r="F10" i="9"/>
  <c r="F8" i="9"/>
  <c r="F9" i="9"/>
  <c r="F11" i="9"/>
  <c r="F4" i="9"/>
  <c r="N55" i="6"/>
  <c r="O55" i="6"/>
  <c r="P55" i="6"/>
  <c r="Q55" i="6"/>
  <c r="R55" i="6"/>
  <c r="S55" i="6"/>
  <c r="S54" i="6" s="1"/>
  <c r="O63" i="6"/>
  <c r="P63" i="6"/>
  <c r="Q63" i="6"/>
  <c r="R63" i="6"/>
  <c r="S63" i="6"/>
  <c r="N64" i="6"/>
  <c r="O64" i="6" s="1"/>
  <c r="M64" i="6"/>
  <c r="S85" i="6"/>
  <c r="R85" i="6"/>
  <c r="Q85" i="6"/>
  <c r="P85" i="6"/>
  <c r="O85" i="6"/>
  <c r="N85" i="6"/>
  <c r="M85" i="6"/>
  <c r="L85" i="6"/>
  <c r="N82" i="6"/>
  <c r="N78" i="6"/>
  <c r="N79" i="6" s="1"/>
  <c r="O78" i="6"/>
  <c r="P79" i="6" s="1"/>
  <c r="P78" i="6"/>
  <c r="Q78" i="6"/>
  <c r="R78" i="6"/>
  <c r="R79" i="6" s="1"/>
  <c r="L81" i="6"/>
  <c r="M81" i="6"/>
  <c r="M82" i="6" s="1"/>
  <c r="N81" i="6"/>
  <c r="O81" i="6"/>
  <c r="O82" i="6" s="1"/>
  <c r="P81" i="6"/>
  <c r="P82" i="6" s="1"/>
  <c r="R81" i="6"/>
  <c r="L75" i="6"/>
  <c r="L76" i="6" s="1"/>
  <c r="M75" i="6"/>
  <c r="M76" i="6" s="1"/>
  <c r="R75" i="6"/>
  <c r="N71" i="6"/>
  <c r="O71" i="6" s="1"/>
  <c r="P71" i="6" s="1"/>
  <c r="Q71" i="6" s="1"/>
  <c r="R71" i="6" s="1"/>
  <c r="S71" i="6" s="1"/>
  <c r="K71" i="6"/>
  <c r="J71" i="6" s="1"/>
  <c r="I71" i="6" s="1"/>
  <c r="N77" i="6"/>
  <c r="O77" i="6" s="1"/>
  <c r="P77" i="6" s="1"/>
  <c r="Q77" i="6" s="1"/>
  <c r="R77" i="6" s="1"/>
  <c r="S77" i="6" s="1"/>
  <c r="S75" i="6" s="1"/>
  <c r="K77" i="6"/>
  <c r="K75" i="6" s="1"/>
  <c r="J77" i="6"/>
  <c r="I77" i="6" s="1"/>
  <c r="Q79" i="6"/>
  <c r="O79" i="6"/>
  <c r="M79" i="6"/>
  <c r="L79" i="6"/>
  <c r="S78" i="6"/>
  <c r="S79" i="6" s="1"/>
  <c r="N83" i="6"/>
  <c r="O83" i="6" s="1"/>
  <c r="P83" i="6" s="1"/>
  <c r="Q83" i="6" s="1"/>
  <c r="R83" i="6" s="1"/>
  <c r="S83" i="6" s="1"/>
  <c r="S81" i="6" s="1"/>
  <c r="K83" i="6"/>
  <c r="K81" i="6" s="1"/>
  <c r="C62" i="6"/>
  <c r="C65" i="6" s="1"/>
  <c r="D62" i="6"/>
  <c r="D65" i="6" s="1"/>
  <c r="E62" i="6"/>
  <c r="F62" i="6"/>
  <c r="G62" i="6"/>
  <c r="G65" i="6" s="1"/>
  <c r="H62" i="6"/>
  <c r="H65" i="6" s="1"/>
  <c r="I62" i="6"/>
  <c r="I65" i="6" s="1"/>
  <c r="J62" i="6"/>
  <c r="J65" i="6" s="1"/>
  <c r="K62" i="6"/>
  <c r="K65" i="6" s="1"/>
  <c r="L62" i="6"/>
  <c r="L65" i="6" s="1"/>
  <c r="M62" i="6"/>
  <c r="M65" i="6" s="1"/>
  <c r="B62" i="6"/>
  <c r="B65" i="6" s="1"/>
  <c r="S73" i="6"/>
  <c r="R73" i="6"/>
  <c r="Q73" i="6"/>
  <c r="P73" i="6"/>
  <c r="O73" i="6"/>
  <c r="N69" i="6"/>
  <c r="C61" i="6"/>
  <c r="D61" i="6" s="1"/>
  <c r="E61" i="6" s="1"/>
  <c r="F61" i="6" s="1"/>
  <c r="G61" i="6" s="1"/>
  <c r="H61" i="6" s="1"/>
  <c r="I61" i="6" s="1"/>
  <c r="J61" i="6" s="1"/>
  <c r="K61" i="6" s="1"/>
  <c r="L61" i="6" s="1"/>
  <c r="O54" i="6" l="1"/>
  <c r="E63" i="6"/>
  <c r="F2" i="10"/>
  <c r="E4" i="10"/>
  <c r="F2" i="11"/>
  <c r="F4" i="11" s="1"/>
  <c r="D6" i="9"/>
  <c r="Z6" i="9"/>
  <c r="D8" i="9"/>
  <c r="Z8" i="9"/>
  <c r="D7" i="9"/>
  <c r="Z7" i="9"/>
  <c r="D3" i="9"/>
  <c r="Z3" i="9"/>
  <c r="D5" i="9"/>
  <c r="Z5" i="9"/>
  <c r="D2" i="9"/>
  <c r="Z2" i="9"/>
  <c r="V9" i="9"/>
  <c r="W9" i="9"/>
  <c r="AF8" i="9"/>
  <c r="AB8" i="9" s="1"/>
  <c r="B32" i="9" s="1"/>
  <c r="AN7" i="9"/>
  <c r="AL7" i="9"/>
  <c r="F63" i="6"/>
  <c r="L63" i="6"/>
  <c r="R54" i="6"/>
  <c r="Q54" i="6"/>
  <c r="K12" i="9"/>
  <c r="K2" i="9"/>
  <c r="J3" i="9"/>
  <c r="K8" i="9"/>
  <c r="J6" i="9"/>
  <c r="J2" i="9"/>
  <c r="K6" i="9"/>
  <c r="J7" i="9"/>
  <c r="AF2" i="9"/>
  <c r="AB2" i="9" s="1"/>
  <c r="J12" i="9"/>
  <c r="K3" i="9"/>
  <c r="B35" i="9"/>
  <c r="AC4" i="9"/>
  <c r="D4" i="9"/>
  <c r="AC5" i="9"/>
  <c r="J5" i="9"/>
  <c r="AM7" i="9"/>
  <c r="K10" i="9"/>
  <c r="K7" i="9"/>
  <c r="AC12" i="9"/>
  <c r="J8" i="9"/>
  <c r="L4" i="9"/>
  <c r="AC11" i="9"/>
  <c r="D11" i="9"/>
  <c r="J11" i="9"/>
  <c r="K11" i="9"/>
  <c r="AC9" i="9"/>
  <c r="D9" i="9"/>
  <c r="AG9" i="9"/>
  <c r="J9" i="9"/>
  <c r="U9" i="9"/>
  <c r="T9" i="9"/>
  <c r="AC10" i="9"/>
  <c r="D10" i="9"/>
  <c r="K5" i="9"/>
  <c r="AC3" i="9"/>
  <c r="AC6" i="9"/>
  <c r="N10" i="9"/>
  <c r="AC7" i="9"/>
  <c r="AO7" i="9" s="1"/>
  <c r="N4" i="9"/>
  <c r="N6" i="9"/>
  <c r="N11" i="9"/>
  <c r="N7" i="9"/>
  <c r="O7" i="9" s="1"/>
  <c r="N5" i="9"/>
  <c r="L9" i="9"/>
  <c r="AN9" i="9" s="1"/>
  <c r="L3" i="9"/>
  <c r="AN3" i="9" s="1"/>
  <c r="L12" i="9"/>
  <c r="AN12" i="9" s="1"/>
  <c r="D12" i="9"/>
  <c r="N8" i="9"/>
  <c r="N2" i="9"/>
  <c r="K4" i="9"/>
  <c r="L8" i="9"/>
  <c r="AL8" i="9" s="1"/>
  <c r="L6" i="9"/>
  <c r="AN6" i="9" s="1"/>
  <c r="L10" i="9"/>
  <c r="AN10" i="9" s="1"/>
  <c r="L2" i="9"/>
  <c r="AL2" i="9" s="1"/>
  <c r="L11" i="9"/>
  <c r="AK11" i="9" s="1"/>
  <c r="L5" i="9"/>
  <c r="AL5" i="9" s="1"/>
  <c r="N9" i="9"/>
  <c r="N3" i="9"/>
  <c r="E65" i="6"/>
  <c r="N63" i="6"/>
  <c r="F65" i="6"/>
  <c r="G63" i="6"/>
  <c r="P54" i="6"/>
  <c r="M63" i="6"/>
  <c r="K63" i="6"/>
  <c r="J63" i="6"/>
  <c r="I63" i="6"/>
  <c r="C63" i="6"/>
  <c r="H63" i="6"/>
  <c r="D63" i="6"/>
  <c r="S82" i="6"/>
  <c r="U81" i="6"/>
  <c r="U75" i="6"/>
  <c r="S76" i="6"/>
  <c r="L82" i="6"/>
  <c r="P64" i="6"/>
  <c r="O62" i="6"/>
  <c r="J83" i="6"/>
  <c r="I83" i="6" s="1"/>
  <c r="O75" i="6"/>
  <c r="N75" i="6"/>
  <c r="N76" i="6" s="1"/>
  <c r="Q75" i="6"/>
  <c r="N62" i="6"/>
  <c r="Q81" i="6"/>
  <c r="P75" i="6"/>
  <c r="P76" i="6" s="1"/>
  <c r="O69" i="6"/>
  <c r="O70" i="6" s="1"/>
  <c r="G2" i="10" l="1"/>
  <c r="F4" i="10"/>
  <c r="G2" i="11"/>
  <c r="G4" i="11" s="1"/>
  <c r="V10" i="9"/>
  <c r="AP10" i="9" s="1"/>
  <c r="W10" i="9"/>
  <c r="V2" i="9"/>
  <c r="AP2" i="9" s="1"/>
  <c r="W2" i="9"/>
  <c r="V12" i="9"/>
  <c r="AP12" i="9" s="1"/>
  <c r="W12" i="9"/>
  <c r="V11" i="9"/>
  <c r="AP11" i="9" s="1"/>
  <c r="W11" i="9"/>
  <c r="V4" i="9"/>
  <c r="W4" i="9"/>
  <c r="T8" i="9"/>
  <c r="V8" i="9"/>
  <c r="AP8" i="9" s="1"/>
  <c r="W8" i="9"/>
  <c r="U2" i="9"/>
  <c r="V5" i="9"/>
  <c r="AP5" i="9" s="1"/>
  <c r="W5" i="9"/>
  <c r="V7" i="9"/>
  <c r="AP7" i="9" s="1"/>
  <c r="W7" i="9"/>
  <c r="U3" i="9"/>
  <c r="V3" i="9"/>
  <c r="AP3" i="9" s="1"/>
  <c r="W3" i="9"/>
  <c r="V6" i="9"/>
  <c r="W6" i="9"/>
  <c r="AC8" i="9"/>
  <c r="AO8" i="9" s="1"/>
  <c r="U12" i="9"/>
  <c r="AL3" i="9"/>
  <c r="AL9" i="9"/>
  <c r="AL12" i="9"/>
  <c r="AL6" i="9"/>
  <c r="AK4" i="9"/>
  <c r="AL4" i="9"/>
  <c r="AL10" i="9"/>
  <c r="AL11" i="9"/>
  <c r="AG12" i="9"/>
  <c r="T12" i="9"/>
  <c r="AQ12" i="9" s="1"/>
  <c r="AG8" i="9"/>
  <c r="T2" i="9"/>
  <c r="AQ2" i="9" s="1"/>
  <c r="AK5" i="9"/>
  <c r="AN5" i="9"/>
  <c r="AN2" i="9"/>
  <c r="AK8" i="9"/>
  <c r="AN8" i="9"/>
  <c r="AG6" i="9"/>
  <c r="AN4" i="9"/>
  <c r="AN11" i="9"/>
  <c r="AP6" i="9"/>
  <c r="U8" i="9"/>
  <c r="AC2" i="9"/>
  <c r="AO2" i="9" s="1"/>
  <c r="AG2" i="9"/>
  <c r="T7" i="9"/>
  <c r="AQ7" i="9" s="1"/>
  <c r="T6" i="9"/>
  <c r="AQ6" i="9" s="1"/>
  <c r="T5" i="9"/>
  <c r="AQ5" i="9" s="1"/>
  <c r="AG11" i="9"/>
  <c r="U10" i="9"/>
  <c r="T3" i="9"/>
  <c r="AQ3" i="9" s="1"/>
  <c r="U6" i="9"/>
  <c r="AG3" i="9"/>
  <c r="T10" i="9"/>
  <c r="AQ10" i="9" s="1"/>
  <c r="AG10" i="9"/>
  <c r="AO12" i="9"/>
  <c r="U5" i="9"/>
  <c r="O6" i="9"/>
  <c r="AK6" i="9"/>
  <c r="AK3" i="9"/>
  <c r="AM3" i="9"/>
  <c r="AO9" i="9"/>
  <c r="AM5" i="9"/>
  <c r="U4" i="9"/>
  <c r="T4" i="9"/>
  <c r="U7" i="9"/>
  <c r="AM11" i="9"/>
  <c r="AO4" i="9"/>
  <c r="AO6" i="9"/>
  <c r="AO3" i="9"/>
  <c r="AM6" i="9"/>
  <c r="AK9" i="9"/>
  <c r="AM9" i="9"/>
  <c r="AO11" i="9"/>
  <c r="AO5" i="9"/>
  <c r="AM8" i="9"/>
  <c r="AK2" i="9"/>
  <c r="AM2" i="9"/>
  <c r="AK10" i="9"/>
  <c r="AM10" i="9"/>
  <c r="O12" i="9"/>
  <c r="AK12" i="9"/>
  <c r="AM12" i="9"/>
  <c r="AG7" i="9"/>
  <c r="AO10" i="9"/>
  <c r="AQ9" i="9"/>
  <c r="AP9" i="9"/>
  <c r="AM4" i="9"/>
  <c r="AG4" i="9"/>
  <c r="AQ8" i="9"/>
  <c r="B17" i="9"/>
  <c r="U11" i="9"/>
  <c r="T11" i="9"/>
  <c r="AQ11" i="9" s="1"/>
  <c r="O2" i="9"/>
  <c r="AG5" i="9"/>
  <c r="O10" i="9"/>
  <c r="O9" i="9"/>
  <c r="O5" i="9"/>
  <c r="O4" i="9"/>
  <c r="O11" i="9"/>
  <c r="O3" i="9"/>
  <c r="O8" i="9"/>
  <c r="Q76" i="6"/>
  <c r="Q82" i="6"/>
  <c r="R82" i="6"/>
  <c r="Q64" i="6"/>
  <c r="P62" i="6"/>
  <c r="O76" i="6"/>
  <c r="R76" i="6"/>
  <c r="P69" i="6"/>
  <c r="P70" i="6" s="1"/>
  <c r="H2" i="10" l="1"/>
  <c r="G4" i="10"/>
  <c r="H2" i="11"/>
  <c r="H4" i="11" s="1"/>
  <c r="B25" i="9"/>
  <c r="B26" i="9"/>
  <c r="B33" i="9"/>
  <c r="B24" i="9"/>
  <c r="B22" i="9"/>
  <c r="B30" i="9"/>
  <c r="B27" i="9"/>
  <c r="AP4" i="9"/>
  <c r="B23" i="9" s="1"/>
  <c r="B31" i="9"/>
  <c r="AQ4" i="9"/>
  <c r="R64" i="6"/>
  <c r="Q62" i="6"/>
  <c r="Q69" i="6"/>
  <c r="Q70" i="6" s="1"/>
  <c r="I2" i="10" l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T4" i="10" s="1"/>
  <c r="H4" i="10"/>
  <c r="I2" i="11"/>
  <c r="I4" i="11" s="1"/>
  <c r="S64" i="6"/>
  <c r="S62" i="6" s="1"/>
  <c r="R62" i="6"/>
  <c r="S69" i="6"/>
  <c r="R69" i="6"/>
  <c r="R70" i="6" s="1"/>
  <c r="I4" i="10" l="1"/>
  <c r="J2" i="11"/>
  <c r="J4" i="11" s="1"/>
  <c r="S70" i="6"/>
  <c r="J4" i="10" l="1"/>
  <c r="K2" i="11"/>
  <c r="K4" i="11" s="1"/>
  <c r="K58" i="6"/>
  <c r="L58" i="6"/>
  <c r="M58" i="6"/>
  <c r="M55" i="6"/>
  <c r="N54" i="6" s="1"/>
  <c r="L55" i="6"/>
  <c r="L54" i="6" s="1"/>
  <c r="C51" i="6"/>
  <c r="D51" i="6"/>
  <c r="E51" i="6"/>
  <c r="F51" i="6"/>
  <c r="G51" i="6"/>
  <c r="H51" i="6"/>
  <c r="I51" i="6"/>
  <c r="J51" i="6"/>
  <c r="K51" i="6"/>
  <c r="L51" i="6"/>
  <c r="M51" i="6"/>
  <c r="C52" i="6"/>
  <c r="C57" i="6" s="1"/>
  <c r="D52" i="6"/>
  <c r="D57" i="6" s="1"/>
  <c r="E52" i="6"/>
  <c r="E57" i="6" s="1"/>
  <c r="F52" i="6"/>
  <c r="F57" i="6" s="1"/>
  <c r="G52" i="6"/>
  <c r="G57" i="6" s="1"/>
  <c r="H52" i="6"/>
  <c r="H57" i="6" s="1"/>
  <c r="I52" i="6"/>
  <c r="I57" i="6" s="1"/>
  <c r="J52" i="6"/>
  <c r="J57" i="6" s="1"/>
  <c r="K52" i="6"/>
  <c r="K57" i="6" s="1"/>
  <c r="L52" i="6"/>
  <c r="L57" i="6" s="1"/>
  <c r="M52" i="6"/>
  <c r="M57" i="6" s="1"/>
  <c r="B51" i="6"/>
  <c r="B52" i="6"/>
  <c r="B57" i="6" s="1"/>
  <c r="K4" i="10" l="1"/>
  <c r="L2" i="11"/>
  <c r="L4" i="11" s="1"/>
  <c r="M54" i="6"/>
  <c r="C47" i="6"/>
  <c r="D47" i="6"/>
  <c r="E47" i="6"/>
  <c r="F47" i="6"/>
  <c r="G47" i="6"/>
  <c r="H47" i="6"/>
  <c r="I47" i="6"/>
  <c r="J47" i="6"/>
  <c r="K47" i="6"/>
  <c r="L47" i="6"/>
  <c r="M47" i="6"/>
  <c r="B47" i="6"/>
  <c r="B3" i="2"/>
  <c r="C3" i="2"/>
  <c r="C16" i="2" s="1"/>
  <c r="D3" i="2"/>
  <c r="D16" i="2" s="1"/>
  <c r="E3" i="2"/>
  <c r="B4" i="2"/>
  <c r="B17" i="2" s="1"/>
  <c r="C4" i="2"/>
  <c r="C17" i="2" s="1"/>
  <c r="D4" i="2"/>
  <c r="D17" i="2" s="1"/>
  <c r="E4" i="2"/>
  <c r="E17" i="2" s="1"/>
  <c r="C5" i="2"/>
  <c r="D5" i="2"/>
  <c r="E5" i="2"/>
  <c r="B8" i="2"/>
  <c r="C8" i="2"/>
  <c r="C23" i="2" s="1"/>
  <c r="D8" i="2"/>
  <c r="D23" i="2" s="1"/>
  <c r="E8" i="2"/>
  <c r="E23" i="2" s="1"/>
  <c r="B10" i="2"/>
  <c r="B27" i="2" s="1"/>
  <c r="C10" i="2"/>
  <c r="C27" i="2" s="1"/>
  <c r="D10" i="2"/>
  <c r="D27" i="2" s="1"/>
  <c r="E10" i="2"/>
  <c r="E27" i="2" s="1"/>
  <c r="B13" i="2"/>
  <c r="C13" i="2"/>
  <c r="D13" i="2"/>
  <c r="E13" i="2"/>
  <c r="B23" i="2"/>
  <c r="B28" i="2"/>
  <c r="C28" i="2"/>
  <c r="D28" i="2"/>
  <c r="E28" i="2"/>
  <c r="B30" i="2"/>
  <c r="C30" i="2"/>
  <c r="D30" i="2"/>
  <c r="E30" i="2"/>
  <c r="B35" i="2"/>
  <c r="C35" i="2"/>
  <c r="D35" i="2"/>
  <c r="D48" i="2" s="1"/>
  <c r="E35" i="2"/>
  <c r="E48" i="2" s="1"/>
  <c r="B36" i="2"/>
  <c r="B49" i="2" s="1"/>
  <c r="C36" i="2"/>
  <c r="C49" i="2" s="1"/>
  <c r="D36" i="2"/>
  <c r="D49" i="2" s="1"/>
  <c r="E36" i="2"/>
  <c r="E49" i="2" s="1"/>
  <c r="B37" i="2"/>
  <c r="C37" i="2"/>
  <c r="D37" i="2"/>
  <c r="E37" i="2"/>
  <c r="C40" i="2"/>
  <c r="C55" i="2" s="1"/>
  <c r="D40" i="2"/>
  <c r="D55" i="2" s="1"/>
  <c r="C45" i="2"/>
  <c r="C62" i="2" s="1"/>
  <c r="D45" i="2"/>
  <c r="D62" i="2" s="1"/>
  <c r="E45" i="2"/>
  <c r="E62" i="2" s="1"/>
  <c r="E50" i="2"/>
  <c r="E51" i="2"/>
  <c r="E52" i="2"/>
  <c r="E53" i="2"/>
  <c r="E54" i="2"/>
  <c r="B58" i="2"/>
  <c r="C58" i="2"/>
  <c r="D58" i="2"/>
  <c r="E58" i="2"/>
  <c r="E59" i="2"/>
  <c r="E60" i="2"/>
  <c r="B62" i="2"/>
  <c r="B68" i="2"/>
  <c r="C68" i="2"/>
  <c r="D68" i="2"/>
  <c r="D81" i="2" s="1"/>
  <c r="E68" i="2"/>
  <c r="E81" i="2" s="1"/>
  <c r="E69" i="2"/>
  <c r="E82" i="2" s="1"/>
  <c r="E70" i="2"/>
  <c r="E72" i="2"/>
  <c r="E74" i="2"/>
  <c r="B75" i="2"/>
  <c r="C75" i="2"/>
  <c r="D75" i="2"/>
  <c r="E75" i="2"/>
  <c r="B78" i="2"/>
  <c r="C78" i="2"/>
  <c r="D78" i="2"/>
  <c r="E78" i="2"/>
  <c r="B81" i="2"/>
  <c r="C81" i="2"/>
  <c r="B82" i="2"/>
  <c r="C82" i="2"/>
  <c r="D82" i="2"/>
  <c r="B85" i="2"/>
  <c r="C85" i="2"/>
  <c r="D85" i="2"/>
  <c r="E85" i="2"/>
  <c r="E86" i="2"/>
  <c r="E87" i="2"/>
  <c r="E88" i="2"/>
  <c r="E89" i="2"/>
  <c r="E91" i="2"/>
  <c r="E92" i="2"/>
  <c r="E93" i="2"/>
  <c r="B95" i="2"/>
  <c r="C95" i="2"/>
  <c r="D95" i="2"/>
  <c r="E95" i="2"/>
  <c r="B98" i="2"/>
  <c r="C98" i="2"/>
  <c r="D98" i="2"/>
  <c r="E98" i="2"/>
  <c r="C1" i="2"/>
  <c r="B1" i="2" s="1"/>
  <c r="D1" i="2"/>
  <c r="E1" i="2"/>
  <c r="B67" i="1"/>
  <c r="C67" i="1"/>
  <c r="D67" i="1"/>
  <c r="E67" i="1"/>
  <c r="B71" i="1"/>
  <c r="C71" i="1"/>
  <c r="D71" i="1"/>
  <c r="E71" i="1"/>
  <c r="B81" i="1"/>
  <c r="C81" i="1"/>
  <c r="D81" i="1"/>
  <c r="E81" i="1"/>
  <c r="B82" i="1"/>
  <c r="C82" i="1"/>
  <c r="D82" i="1"/>
  <c r="E82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7" i="1"/>
  <c r="C97" i="1"/>
  <c r="D97" i="1"/>
  <c r="E97" i="1"/>
  <c r="B98" i="1"/>
  <c r="C98" i="1"/>
  <c r="D98" i="1"/>
  <c r="E98" i="1"/>
  <c r="B99" i="1"/>
  <c r="C99" i="1"/>
  <c r="D99" i="1"/>
  <c r="E99" i="1"/>
  <c r="B102" i="1"/>
  <c r="C102" i="1"/>
  <c r="D102" i="1"/>
  <c r="E102" i="1"/>
  <c r="B56" i="1"/>
  <c r="B57" i="1"/>
  <c r="C57" i="1"/>
  <c r="D57" i="1"/>
  <c r="E57" i="1"/>
  <c r="B58" i="1"/>
  <c r="C58" i="1"/>
  <c r="D58" i="1"/>
  <c r="E58" i="1"/>
  <c r="B60" i="1"/>
  <c r="C60" i="1"/>
  <c r="D60" i="1"/>
  <c r="E60" i="1"/>
  <c r="B62" i="1"/>
  <c r="C62" i="1"/>
  <c r="D62" i="1"/>
  <c r="E62" i="1"/>
  <c r="B42" i="1"/>
  <c r="C42" i="1"/>
  <c r="C68" i="1" s="1"/>
  <c r="D42" i="1"/>
  <c r="D68" i="1" s="1"/>
  <c r="E42" i="1"/>
  <c r="E68" i="1" s="1"/>
  <c r="C43" i="1"/>
  <c r="D43" i="1"/>
  <c r="E43" i="1"/>
  <c r="B48" i="1"/>
  <c r="C48" i="1"/>
  <c r="D48" i="1"/>
  <c r="E48" i="1"/>
  <c r="B51" i="1"/>
  <c r="B84" i="1" s="1"/>
  <c r="C51" i="1"/>
  <c r="C84" i="1" s="1"/>
  <c r="D51" i="1"/>
  <c r="D84" i="1" s="1"/>
  <c r="E51" i="1"/>
  <c r="E84" i="1" s="1"/>
  <c r="B41" i="1"/>
  <c r="C41" i="1"/>
  <c r="D41" i="1"/>
  <c r="E41" i="1"/>
  <c r="B5" i="1"/>
  <c r="B37" i="6"/>
  <c r="C37" i="6"/>
  <c r="C39" i="6" s="1"/>
  <c r="D37" i="6"/>
  <c r="D39" i="6" s="1"/>
  <c r="B11" i="6"/>
  <c r="B13" i="6" s="1"/>
  <c r="C11" i="6"/>
  <c r="C13" i="6" s="1"/>
  <c r="D11" i="6"/>
  <c r="D13" i="6" s="1"/>
  <c r="B4" i="6"/>
  <c r="B6" i="6" s="1"/>
  <c r="C4" i="6"/>
  <c r="C6" i="6" s="1"/>
  <c r="D4" i="6"/>
  <c r="D6" i="6" s="1"/>
  <c r="L4" i="10" l="1"/>
  <c r="M2" i="11"/>
  <c r="M4" i="11" s="1"/>
  <c r="D14" i="2"/>
  <c r="B14" i="2"/>
  <c r="D46" i="2"/>
  <c r="B16" i="2"/>
  <c r="B31" i="2" s="1"/>
  <c r="D31" i="2"/>
  <c r="B54" i="1"/>
  <c r="C31" i="2"/>
  <c r="E14" i="2"/>
  <c r="D18" i="6"/>
  <c r="B24" i="6"/>
  <c r="B26" i="6" s="1"/>
  <c r="D63" i="2"/>
  <c r="C46" i="2"/>
  <c r="C14" i="2"/>
  <c r="C24" i="6"/>
  <c r="C26" i="6" s="1"/>
  <c r="B39" i="6"/>
  <c r="B68" i="1"/>
  <c r="C48" i="2"/>
  <c r="C63" i="2" s="1"/>
  <c r="E16" i="2"/>
  <c r="E31" i="2" s="1"/>
  <c r="D24" i="6"/>
  <c r="D26" i="6" s="1"/>
  <c r="B48" i="2"/>
  <c r="M4" i="10" l="1"/>
  <c r="N2" i="11"/>
  <c r="N4" i="11" s="1"/>
  <c r="B37" i="8"/>
  <c r="B47" i="8" s="1"/>
  <c r="C37" i="8"/>
  <c r="C47" i="8" s="1"/>
  <c r="D37" i="8"/>
  <c r="D47" i="8" s="1"/>
  <c r="E37" i="8"/>
  <c r="E47" i="8" s="1"/>
  <c r="F37" i="8"/>
  <c r="F47" i="8" s="1"/>
  <c r="G37" i="8"/>
  <c r="G47" i="8" s="1"/>
  <c r="B10" i="8"/>
  <c r="C10" i="8"/>
  <c r="D10" i="8"/>
  <c r="E10" i="8"/>
  <c r="F10" i="8"/>
  <c r="G10" i="8"/>
  <c r="C17" i="8"/>
  <c r="D17" i="8"/>
  <c r="B17" i="8"/>
  <c r="C7" i="8"/>
  <c r="C19" i="8" s="1"/>
  <c r="D7" i="8"/>
  <c r="D19" i="8" s="1"/>
  <c r="E7" i="8"/>
  <c r="E19" i="8" s="1"/>
  <c r="F7" i="8"/>
  <c r="F19" i="8" s="1"/>
  <c r="G7" i="8"/>
  <c r="G19" i="8" s="1"/>
  <c r="C8" i="8"/>
  <c r="C20" i="8" s="1"/>
  <c r="D8" i="8"/>
  <c r="D20" i="8" s="1"/>
  <c r="E8" i="8"/>
  <c r="E20" i="8" s="1"/>
  <c r="F8" i="8"/>
  <c r="F20" i="8" s="1"/>
  <c r="G8" i="8"/>
  <c r="G20" i="8" s="1"/>
  <c r="B8" i="8"/>
  <c r="B20" i="8" s="1"/>
  <c r="N4" i="10" l="1"/>
  <c r="O2" i="11"/>
  <c r="O4" i="11" s="1"/>
  <c r="B7" i="8"/>
  <c r="B19" i="8" s="1"/>
  <c r="O4" i="10" l="1"/>
  <c r="P2" i="11"/>
  <c r="P4" i="11" s="1"/>
  <c r="C39" i="8"/>
  <c r="C49" i="8" s="1"/>
  <c r="D39" i="8"/>
  <c r="D49" i="8" s="1"/>
  <c r="E39" i="8"/>
  <c r="E49" i="8" s="1"/>
  <c r="F39" i="8"/>
  <c r="F49" i="8" s="1"/>
  <c r="G39" i="8"/>
  <c r="G49" i="8" s="1"/>
  <c r="B39" i="8"/>
  <c r="B49" i="8" s="1"/>
  <c r="P4" i="10" l="1"/>
  <c r="Q4" i="11"/>
  <c r="C6" i="8"/>
  <c r="C18" i="8" s="1"/>
  <c r="D6" i="8"/>
  <c r="D18" i="8" s="1"/>
  <c r="E6" i="8"/>
  <c r="E18" i="8" s="1"/>
  <c r="F6" i="8"/>
  <c r="F18" i="8" s="1"/>
  <c r="G6" i="8"/>
  <c r="G18" i="8" s="1"/>
  <c r="B6" i="8"/>
  <c r="B18" i="8" s="1"/>
  <c r="Q4" i="10" l="1"/>
  <c r="R2" i="11"/>
  <c r="R4" i="11" s="1"/>
  <c r="C38" i="8"/>
  <c r="C48" i="8" s="1"/>
  <c r="D38" i="8"/>
  <c r="D48" i="8" s="1"/>
  <c r="E38" i="8"/>
  <c r="E48" i="8" s="1"/>
  <c r="F38" i="8"/>
  <c r="F48" i="8" s="1"/>
  <c r="G38" i="8"/>
  <c r="G48" i="8" s="1"/>
  <c r="B38" i="8"/>
  <c r="B48" i="8" s="1"/>
  <c r="S4" i="10" l="1"/>
  <c r="B16" i="10" s="1"/>
  <c r="B17" i="10" s="1"/>
  <c r="B19" i="10" s="1"/>
  <c r="R4" i="10"/>
  <c r="S2" i="11"/>
  <c r="T4" i="11" s="1"/>
  <c r="F5" i="8"/>
  <c r="F17" i="8" s="1"/>
  <c r="G5" i="8"/>
  <c r="G17" i="8" s="1"/>
  <c r="E5" i="8"/>
  <c r="E17" i="8" s="1"/>
  <c r="S4" i="11" l="1"/>
  <c r="B16" i="11" s="1"/>
  <c r="B17" i="11" s="1"/>
  <c r="B18" i="11" s="1"/>
  <c r="B20" i="11" s="1"/>
  <c r="B4" i="8"/>
  <c r="B16" i="8" s="1"/>
  <c r="C4" i="8"/>
  <c r="C16" i="8" s="1"/>
  <c r="D4" i="8"/>
  <c r="D16" i="8" s="1"/>
  <c r="E4" i="8"/>
  <c r="E16" i="8" s="1"/>
  <c r="F4" i="8"/>
  <c r="F16" i="8" s="1"/>
  <c r="G4" i="8"/>
  <c r="G16" i="8" s="1"/>
  <c r="C36" i="8" l="1"/>
  <c r="C46" i="8" s="1"/>
  <c r="D36" i="8"/>
  <c r="D46" i="8" s="1"/>
  <c r="E36" i="8"/>
  <c r="E46" i="8" s="1"/>
  <c r="F36" i="8"/>
  <c r="F46" i="8" s="1"/>
  <c r="G36" i="8"/>
  <c r="G46" i="8" s="1"/>
  <c r="B36" i="8"/>
  <c r="B46" i="8" s="1"/>
  <c r="C1" i="8"/>
  <c r="D1" i="8" s="1"/>
  <c r="E1" i="8" s="1"/>
  <c r="F1" i="8" s="1"/>
  <c r="G1" i="8" s="1"/>
  <c r="I4" i="7"/>
  <c r="J4" i="7"/>
  <c r="K4" i="7"/>
  <c r="L4" i="7"/>
  <c r="M4" i="7"/>
  <c r="H4" i="7"/>
  <c r="B70" i="7"/>
  <c r="C70" i="7"/>
  <c r="D70" i="7"/>
  <c r="E70" i="7"/>
  <c r="F70" i="7"/>
  <c r="G70" i="7"/>
  <c r="B71" i="7"/>
  <c r="C71" i="7"/>
  <c r="D71" i="7"/>
  <c r="E71" i="7"/>
  <c r="F71" i="7"/>
  <c r="G71" i="7"/>
  <c r="C65" i="7"/>
  <c r="D65" i="7"/>
  <c r="E65" i="7"/>
  <c r="F65" i="7"/>
  <c r="G65" i="7"/>
  <c r="C66" i="7"/>
  <c r="D66" i="7"/>
  <c r="E66" i="7"/>
  <c r="F66" i="7"/>
  <c r="G66" i="7"/>
  <c r="B54" i="7"/>
  <c r="C54" i="7"/>
  <c r="D54" i="7"/>
  <c r="E54" i="7"/>
  <c r="F54" i="7"/>
  <c r="G54" i="7"/>
  <c r="B55" i="7"/>
  <c r="C55" i="7"/>
  <c r="D55" i="7"/>
  <c r="E55" i="7"/>
  <c r="F55" i="7"/>
  <c r="G55" i="7"/>
  <c r="B49" i="7"/>
  <c r="C49" i="7"/>
  <c r="D49" i="7"/>
  <c r="E49" i="7"/>
  <c r="F49" i="7"/>
  <c r="G49" i="7"/>
  <c r="B50" i="7"/>
  <c r="C50" i="7"/>
  <c r="D50" i="7"/>
  <c r="E50" i="7"/>
  <c r="F50" i="7"/>
  <c r="G50" i="7"/>
  <c r="B33" i="7"/>
  <c r="C33" i="7"/>
  <c r="D33" i="7"/>
  <c r="E33" i="7"/>
  <c r="F33" i="7"/>
  <c r="G33" i="7"/>
  <c r="B34" i="7"/>
  <c r="C34" i="7"/>
  <c r="D34" i="7"/>
  <c r="E34" i="7"/>
  <c r="F34" i="7"/>
  <c r="G34" i="7"/>
  <c r="B28" i="7"/>
  <c r="C28" i="7"/>
  <c r="D28" i="7"/>
  <c r="E28" i="7"/>
  <c r="F28" i="7"/>
  <c r="G28" i="7"/>
  <c r="B29" i="7"/>
  <c r="C29" i="7"/>
  <c r="D29" i="7"/>
  <c r="E29" i="7"/>
  <c r="F29" i="7"/>
  <c r="G29" i="7"/>
  <c r="B61" i="7"/>
  <c r="G61" i="7"/>
  <c r="F61" i="7"/>
  <c r="E61" i="7"/>
  <c r="D61" i="7"/>
  <c r="C61" i="7"/>
  <c r="G40" i="7"/>
  <c r="F40" i="7"/>
  <c r="E40" i="7"/>
  <c r="D40" i="7"/>
  <c r="C40" i="7"/>
  <c r="B40" i="7"/>
  <c r="B27" i="7"/>
  <c r="C23" i="7"/>
  <c r="D23" i="7"/>
  <c r="E23" i="7"/>
  <c r="F23" i="7"/>
  <c r="G23" i="7"/>
  <c r="C24" i="7"/>
  <c r="D24" i="7"/>
  <c r="E24" i="7"/>
  <c r="F24" i="7"/>
  <c r="G24" i="7"/>
  <c r="G19" i="7"/>
  <c r="F19" i="7"/>
  <c r="E19" i="7"/>
  <c r="D19" i="7"/>
  <c r="C19" i="7"/>
  <c r="B19" i="7"/>
  <c r="B8" i="7"/>
  <c r="B12" i="7" s="1"/>
  <c r="C8" i="7"/>
  <c r="C12" i="7" s="1"/>
  <c r="D8" i="7"/>
  <c r="D12" i="7" s="1"/>
  <c r="E8" i="7"/>
  <c r="E11" i="7" s="1"/>
  <c r="F8" i="7"/>
  <c r="F12" i="7" s="1"/>
  <c r="G8" i="7"/>
  <c r="G12" i="7" s="1"/>
  <c r="C68" i="7"/>
  <c r="D68" i="7"/>
  <c r="E68" i="7"/>
  <c r="F68" i="7"/>
  <c r="G68" i="7"/>
  <c r="C69" i="7"/>
  <c r="D69" i="7"/>
  <c r="E69" i="7"/>
  <c r="F69" i="7"/>
  <c r="G69" i="7"/>
  <c r="B69" i="7"/>
  <c r="B68" i="7"/>
  <c r="D63" i="7"/>
  <c r="E63" i="7"/>
  <c r="F63" i="7"/>
  <c r="G63" i="7"/>
  <c r="D64" i="7"/>
  <c r="E64" i="7"/>
  <c r="F64" i="7"/>
  <c r="G64" i="7"/>
  <c r="C64" i="7"/>
  <c r="C63" i="7"/>
  <c r="C52" i="7"/>
  <c r="D52" i="7"/>
  <c r="E52" i="7"/>
  <c r="F52" i="7"/>
  <c r="G52" i="7"/>
  <c r="C53" i="7"/>
  <c r="D53" i="7"/>
  <c r="E53" i="7"/>
  <c r="F53" i="7"/>
  <c r="G53" i="7"/>
  <c r="B53" i="7"/>
  <c r="B52" i="7"/>
  <c r="C47" i="7"/>
  <c r="D47" i="7"/>
  <c r="E47" i="7"/>
  <c r="F47" i="7"/>
  <c r="G47" i="7"/>
  <c r="C48" i="7"/>
  <c r="D48" i="7"/>
  <c r="E48" i="7"/>
  <c r="F48" i="7"/>
  <c r="G48" i="7"/>
  <c r="B48" i="7"/>
  <c r="B47" i="7"/>
  <c r="D42" i="7"/>
  <c r="E42" i="7"/>
  <c r="F42" i="7"/>
  <c r="G42" i="7"/>
  <c r="D43" i="7"/>
  <c r="E43" i="7"/>
  <c r="F43" i="7"/>
  <c r="G43" i="7"/>
  <c r="C43" i="7"/>
  <c r="C42" i="7"/>
  <c r="B31" i="7"/>
  <c r="C31" i="7"/>
  <c r="D31" i="7"/>
  <c r="E31" i="7"/>
  <c r="F31" i="7"/>
  <c r="G31" i="7"/>
  <c r="C32" i="7"/>
  <c r="D32" i="7"/>
  <c r="E32" i="7"/>
  <c r="F32" i="7"/>
  <c r="G32" i="7"/>
  <c r="B32" i="7"/>
  <c r="C26" i="7"/>
  <c r="D26" i="7"/>
  <c r="E26" i="7"/>
  <c r="F26" i="7"/>
  <c r="G26" i="7"/>
  <c r="C27" i="7"/>
  <c r="D27" i="7"/>
  <c r="E27" i="7"/>
  <c r="F27" i="7"/>
  <c r="G27" i="7"/>
  <c r="B26" i="7"/>
  <c r="D21" i="7"/>
  <c r="E21" i="7"/>
  <c r="F21" i="7"/>
  <c r="G21" i="7"/>
  <c r="D22" i="7"/>
  <c r="E22" i="7"/>
  <c r="F22" i="7"/>
  <c r="G22" i="7"/>
  <c r="C22" i="7"/>
  <c r="C21" i="7"/>
  <c r="G56" i="2"/>
  <c r="I37" i="7" s="1"/>
  <c r="H56" i="2"/>
  <c r="I56" i="2"/>
  <c r="K37" i="7" s="1"/>
  <c r="J56" i="2"/>
  <c r="K56" i="2"/>
  <c r="M37" i="7" s="1"/>
  <c r="F56" i="2"/>
  <c r="H37" i="7" s="1"/>
  <c r="H43" i="7" s="1"/>
  <c r="B10" i="7"/>
  <c r="C11" i="7"/>
  <c r="F10" i="7"/>
  <c r="G11" i="7"/>
  <c r="C44" i="6"/>
  <c r="D44" i="6"/>
  <c r="B44" i="6"/>
  <c r="D41" i="6"/>
  <c r="C41" i="6"/>
  <c r="C15" i="6"/>
  <c r="D15" i="6"/>
  <c r="C31" i="6"/>
  <c r="D31" i="6"/>
  <c r="B31" i="6"/>
  <c r="C21" i="6"/>
  <c r="D21" i="6"/>
  <c r="B21" i="6"/>
  <c r="C18" i="6"/>
  <c r="B18" i="6"/>
  <c r="D28" i="6"/>
  <c r="C28" i="6"/>
  <c r="C34" i="6"/>
  <c r="D34" i="6"/>
  <c r="B34" i="6"/>
  <c r="B8" i="6"/>
  <c r="C8" i="6"/>
  <c r="D8" i="6"/>
  <c r="F11" i="6"/>
  <c r="F13" i="6" s="1"/>
  <c r="G11" i="6"/>
  <c r="G13" i="6" s="1"/>
  <c r="H11" i="6"/>
  <c r="H13" i="6" s="1"/>
  <c r="I11" i="6"/>
  <c r="I13" i="6" s="1"/>
  <c r="J11" i="6"/>
  <c r="J13" i="6" s="1"/>
  <c r="K11" i="6"/>
  <c r="L11" i="6"/>
  <c r="M11" i="6"/>
  <c r="E11" i="6"/>
  <c r="E13" i="6" s="1"/>
  <c r="G1" i="6"/>
  <c r="F1" i="6" s="1"/>
  <c r="E1" i="6" s="1"/>
  <c r="D1" i="6" s="1"/>
  <c r="C1" i="6" s="1"/>
  <c r="B1" i="6" s="1"/>
  <c r="I1" i="6"/>
  <c r="J1" i="6" s="1"/>
  <c r="K1" i="6" s="1"/>
  <c r="L1" i="6" s="1"/>
  <c r="M1" i="6" s="1"/>
  <c r="G83" i="2"/>
  <c r="H83" i="2"/>
  <c r="I83" i="2"/>
  <c r="J83" i="2"/>
  <c r="K83" i="2"/>
  <c r="F83" i="2"/>
  <c r="N1" i="2"/>
  <c r="O1" i="2" s="1"/>
  <c r="P1" i="2" s="1"/>
  <c r="Q1" i="2" s="1"/>
  <c r="R1" i="2" s="1"/>
  <c r="K98" i="2"/>
  <c r="J98" i="2"/>
  <c r="I98" i="2"/>
  <c r="H98" i="2"/>
  <c r="G98" i="2"/>
  <c r="F98" i="2"/>
  <c r="G78" i="2"/>
  <c r="H78" i="2"/>
  <c r="I78" i="2"/>
  <c r="J78" i="2"/>
  <c r="K78" i="2"/>
  <c r="L78" i="2" s="1"/>
  <c r="F78" i="2"/>
  <c r="K96" i="2"/>
  <c r="J96" i="2"/>
  <c r="I96" i="2"/>
  <c r="H96" i="2"/>
  <c r="G96" i="2"/>
  <c r="F96" i="2"/>
  <c r="K95" i="2"/>
  <c r="J95" i="2"/>
  <c r="I95" i="2"/>
  <c r="H95" i="2"/>
  <c r="G95" i="2"/>
  <c r="F95" i="2"/>
  <c r="G76" i="2"/>
  <c r="H76" i="2"/>
  <c r="I76" i="2"/>
  <c r="J76" i="2"/>
  <c r="K76" i="2"/>
  <c r="F76" i="2"/>
  <c r="G75" i="2"/>
  <c r="H75" i="2"/>
  <c r="I75" i="2"/>
  <c r="J75" i="2"/>
  <c r="K75" i="2"/>
  <c r="L75" i="2" s="1"/>
  <c r="F75" i="2"/>
  <c r="G74" i="2"/>
  <c r="H74" i="2"/>
  <c r="I74" i="2"/>
  <c r="J74" i="2"/>
  <c r="K74" i="2"/>
  <c r="F74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F94" i="2"/>
  <c r="F93" i="2"/>
  <c r="F92" i="2"/>
  <c r="G91" i="2"/>
  <c r="H91" i="2"/>
  <c r="I91" i="2"/>
  <c r="J91" i="2"/>
  <c r="K91" i="2"/>
  <c r="F91" i="2"/>
  <c r="G84" i="2"/>
  <c r="H84" i="2"/>
  <c r="I84" i="2"/>
  <c r="J84" i="2"/>
  <c r="K84" i="2"/>
  <c r="F84" i="2"/>
  <c r="G89" i="2"/>
  <c r="H89" i="2"/>
  <c r="I89" i="2"/>
  <c r="J89" i="2"/>
  <c r="K89" i="2"/>
  <c r="F89" i="2"/>
  <c r="G88" i="2"/>
  <c r="H88" i="2"/>
  <c r="I88" i="2"/>
  <c r="J88" i="2"/>
  <c r="K88" i="2"/>
  <c r="F88" i="2"/>
  <c r="G87" i="2"/>
  <c r="H87" i="2"/>
  <c r="I87" i="2"/>
  <c r="J87" i="2"/>
  <c r="K87" i="2"/>
  <c r="F87" i="2"/>
  <c r="G86" i="2"/>
  <c r="H86" i="2"/>
  <c r="I86" i="2"/>
  <c r="J86" i="2"/>
  <c r="K86" i="2"/>
  <c r="F86" i="2"/>
  <c r="G72" i="2"/>
  <c r="H72" i="2"/>
  <c r="I72" i="2"/>
  <c r="J72" i="2"/>
  <c r="K72" i="2"/>
  <c r="F72" i="2"/>
  <c r="G71" i="2"/>
  <c r="H71" i="2"/>
  <c r="H85" i="2" s="1"/>
  <c r="I71" i="2"/>
  <c r="I85" i="2" s="1"/>
  <c r="J71" i="2"/>
  <c r="K71" i="2"/>
  <c r="F71" i="2"/>
  <c r="F85" i="2" s="1"/>
  <c r="G70" i="2"/>
  <c r="H70" i="2"/>
  <c r="I70" i="2"/>
  <c r="J70" i="2"/>
  <c r="K70" i="2"/>
  <c r="F70" i="2"/>
  <c r="G69" i="2"/>
  <c r="H69" i="2"/>
  <c r="I69" i="2"/>
  <c r="J69" i="2"/>
  <c r="K69" i="2"/>
  <c r="F69" i="2"/>
  <c r="G68" i="2"/>
  <c r="G81" i="2" s="1"/>
  <c r="H68" i="2"/>
  <c r="H81" i="2" s="1"/>
  <c r="I68" i="2"/>
  <c r="I81" i="2" s="1"/>
  <c r="J68" i="2"/>
  <c r="J81" i="2" s="1"/>
  <c r="K68" i="2"/>
  <c r="F68" i="2"/>
  <c r="F81" i="2" s="1"/>
  <c r="E37" i="6"/>
  <c r="V1" i="2"/>
  <c r="W1" i="2" s="1"/>
  <c r="X1" i="2" s="1"/>
  <c r="Y1" i="2" s="1"/>
  <c r="Z1" i="2" s="1"/>
  <c r="G45" i="2"/>
  <c r="H45" i="2"/>
  <c r="I45" i="2"/>
  <c r="I62" i="2" s="1"/>
  <c r="J45" i="2"/>
  <c r="J62" i="2" s="1"/>
  <c r="K45" i="2"/>
  <c r="F45" i="2"/>
  <c r="K30" i="2"/>
  <c r="J30" i="2"/>
  <c r="I30" i="2"/>
  <c r="H30" i="2"/>
  <c r="G30" i="2"/>
  <c r="F30" i="2"/>
  <c r="G13" i="2"/>
  <c r="H13" i="2"/>
  <c r="I13" i="2"/>
  <c r="J13" i="2"/>
  <c r="K13" i="2"/>
  <c r="F13" i="2"/>
  <c r="L74" i="2" l="1"/>
  <c r="L76" i="2"/>
  <c r="L72" i="2"/>
  <c r="L70" i="2"/>
  <c r="L71" i="2"/>
  <c r="K81" i="2"/>
  <c r="R81" i="2" s="1"/>
  <c r="L68" i="2"/>
  <c r="L69" i="2"/>
  <c r="R83" i="2"/>
  <c r="Q89" i="2"/>
  <c r="O84" i="2"/>
  <c r="Q83" i="2"/>
  <c r="N83" i="2"/>
  <c r="O56" i="2"/>
  <c r="P93" i="2"/>
  <c r="N96" i="2"/>
  <c r="N56" i="2"/>
  <c r="O45" i="2"/>
  <c r="R86" i="2"/>
  <c r="R88" i="2"/>
  <c r="Q93" i="2"/>
  <c r="R92" i="2"/>
  <c r="P74" i="2"/>
  <c r="R78" i="2"/>
  <c r="R56" i="2"/>
  <c r="N30" i="2"/>
  <c r="Q70" i="2"/>
  <c r="P75" i="2"/>
  <c r="K15" i="6"/>
  <c r="N92" i="2"/>
  <c r="R95" i="2"/>
  <c r="Q56" i="2"/>
  <c r="P83" i="2"/>
  <c r="P56" i="2"/>
  <c r="L37" i="7"/>
  <c r="M43" i="7" s="1"/>
  <c r="N95" i="2"/>
  <c r="N78" i="2"/>
  <c r="O72" i="2"/>
  <c r="R94" i="2"/>
  <c r="R76" i="2"/>
  <c r="N13" i="2"/>
  <c r="Q69" i="2"/>
  <c r="O83" i="2"/>
  <c r="N69" i="2"/>
  <c r="Q13" i="2"/>
  <c r="Q62" i="2"/>
  <c r="Q95" i="2"/>
  <c r="F12" i="5"/>
  <c r="Q30" i="2"/>
  <c r="M59" i="7"/>
  <c r="R87" i="2"/>
  <c r="H57" i="7"/>
  <c r="H63" i="7" s="1"/>
  <c r="L59" i="7"/>
  <c r="Q87" i="2"/>
  <c r="J58" i="7"/>
  <c r="Q75" i="2"/>
  <c r="O95" i="2"/>
  <c r="F22" i="5"/>
  <c r="B24" i="5"/>
  <c r="F24" i="5"/>
  <c r="Q98" i="2"/>
  <c r="O91" i="2"/>
  <c r="R70" i="2"/>
  <c r="I59" i="7"/>
  <c r="N84" i="2"/>
  <c r="P13" i="2"/>
  <c r="G12" i="5"/>
  <c r="J57" i="7"/>
  <c r="H60" i="7"/>
  <c r="J60" i="7"/>
  <c r="H58" i="7"/>
  <c r="H64" i="7" s="1"/>
  <c r="B22" i="5"/>
  <c r="O13" i="2"/>
  <c r="E24" i="6"/>
  <c r="E26" i="6" s="1"/>
  <c r="K85" i="2"/>
  <c r="R71" i="2"/>
  <c r="G85" i="2"/>
  <c r="N71" i="2"/>
  <c r="P72" i="2"/>
  <c r="K59" i="7"/>
  <c r="M60" i="7"/>
  <c r="I60" i="7"/>
  <c r="M58" i="7"/>
  <c r="M48" i="7" s="1"/>
  <c r="I58" i="7"/>
  <c r="I48" i="7" s="1"/>
  <c r="D23" i="5"/>
  <c r="O93" i="2"/>
  <c r="P92" i="2"/>
  <c r="R74" i="2"/>
  <c r="N74" i="2"/>
  <c r="P95" i="2"/>
  <c r="C22" i="5"/>
  <c r="Q45" i="2"/>
  <c r="O71" i="2"/>
  <c r="R72" i="2"/>
  <c r="N76" i="2"/>
  <c r="Q78" i="2"/>
  <c r="N88" i="2"/>
  <c r="R91" i="2"/>
  <c r="N98" i="2"/>
  <c r="B12" i="5"/>
  <c r="F18" i="5"/>
  <c r="P69" i="2"/>
  <c r="N70" i="2"/>
  <c r="P86" i="2"/>
  <c r="R89" i="2"/>
  <c r="C12" i="5"/>
  <c r="E18" i="5"/>
  <c r="O69" i="2"/>
  <c r="Q72" i="2"/>
  <c r="O86" i="2"/>
  <c r="Q84" i="2"/>
  <c r="E23" i="5"/>
  <c r="O74" i="2"/>
  <c r="D12" i="5"/>
  <c r="E12" i="5"/>
  <c r="P30" i="2"/>
  <c r="R45" i="2"/>
  <c r="N45" i="2"/>
  <c r="O70" i="2"/>
  <c r="J85" i="2"/>
  <c r="Q71" i="2"/>
  <c r="H59" i="7"/>
  <c r="J59" i="7"/>
  <c r="L60" i="7"/>
  <c r="Q88" i="2"/>
  <c r="L58" i="7"/>
  <c r="Q91" i="2"/>
  <c r="Q94" i="2"/>
  <c r="G23" i="5"/>
  <c r="R93" i="2"/>
  <c r="C23" i="5"/>
  <c r="N93" i="2"/>
  <c r="O92" i="2"/>
  <c r="Q76" i="2"/>
  <c r="D22" i="5"/>
  <c r="O96" i="2"/>
  <c r="O78" i="2"/>
  <c r="R30" i="2"/>
  <c r="P45" i="2"/>
  <c r="R69" i="2"/>
  <c r="P71" i="2"/>
  <c r="Q74" i="2"/>
  <c r="O76" i="2"/>
  <c r="P84" i="2"/>
  <c r="N86" i="2"/>
  <c r="O88" i="2"/>
  <c r="K57" i="7"/>
  <c r="P85" i="2"/>
  <c r="K60" i="7"/>
  <c r="P88" i="2"/>
  <c r="R84" i="2"/>
  <c r="K58" i="7"/>
  <c r="P91" i="2"/>
  <c r="B23" i="5"/>
  <c r="F23" i="5"/>
  <c r="R75" i="2"/>
  <c r="N75" i="2"/>
  <c r="P76" i="2"/>
  <c r="E22" i="5"/>
  <c r="P96" i="2"/>
  <c r="E24" i="5"/>
  <c r="P98" i="2"/>
  <c r="R13" i="2"/>
  <c r="O30" i="2"/>
  <c r="P70" i="2"/>
  <c r="N72" i="2"/>
  <c r="O75" i="2"/>
  <c r="Q86" i="2"/>
  <c r="N91" i="2"/>
  <c r="Q92" i="2"/>
  <c r="Q96" i="2"/>
  <c r="G22" i="5"/>
  <c r="R96" i="2"/>
  <c r="C24" i="5"/>
  <c r="G24" i="5"/>
  <c r="R98" i="2"/>
  <c r="O98" i="2"/>
  <c r="D24" i="5"/>
  <c r="P78" i="2"/>
  <c r="M15" i="6"/>
  <c r="L15" i="6"/>
  <c r="D11" i="7"/>
  <c r="E13" i="7"/>
  <c r="E12" i="7"/>
  <c r="D13" i="7"/>
  <c r="G13" i="7"/>
  <c r="C13" i="7"/>
  <c r="F13" i="7"/>
  <c r="B13" i="7"/>
  <c r="I43" i="7"/>
  <c r="E10" i="7"/>
  <c r="F11" i="7"/>
  <c r="B11" i="7"/>
  <c r="D10" i="7"/>
  <c r="G10" i="7"/>
  <c r="C10" i="7"/>
  <c r="J37" i="7"/>
  <c r="K43" i="7" s="1"/>
  <c r="E41" i="6"/>
  <c r="H15" i="6"/>
  <c r="E15" i="6"/>
  <c r="I15" i="6"/>
  <c r="F15" i="6"/>
  <c r="J15" i="6"/>
  <c r="G15" i="6"/>
  <c r="E18" i="6"/>
  <c r="E39" i="6"/>
  <c r="P81" i="2"/>
  <c r="N81" i="2"/>
  <c r="Q81" i="2"/>
  <c r="Q68" i="2"/>
  <c r="N68" i="2"/>
  <c r="R68" i="2"/>
  <c r="O81" i="2"/>
  <c r="O68" i="2"/>
  <c r="P68" i="2"/>
  <c r="I82" i="2"/>
  <c r="F82" i="2"/>
  <c r="H82" i="2"/>
  <c r="K82" i="2"/>
  <c r="G82" i="2"/>
  <c r="J82" i="2"/>
  <c r="K62" i="2"/>
  <c r="F62" i="2"/>
  <c r="H62" i="2"/>
  <c r="G62" i="2"/>
  <c r="S89" i="2" l="1"/>
  <c r="L43" i="7"/>
  <c r="J64" i="7"/>
  <c r="S70" i="2"/>
  <c r="S94" i="2"/>
  <c r="H48" i="7"/>
  <c r="L48" i="7"/>
  <c r="H61" i="7"/>
  <c r="S56" i="2"/>
  <c r="S83" i="2"/>
  <c r="S93" i="2"/>
  <c r="K63" i="7"/>
  <c r="S91" i="2"/>
  <c r="O85" i="2"/>
  <c r="E28" i="6"/>
  <c r="E31" i="6"/>
  <c r="I64" i="7"/>
  <c r="S76" i="2"/>
  <c r="S92" i="2"/>
  <c r="M64" i="7"/>
  <c r="S87" i="2"/>
  <c r="S75" i="2"/>
  <c r="S74" i="2"/>
  <c r="S30" i="2"/>
  <c r="S95" i="2"/>
  <c r="S96" i="2"/>
  <c r="L24" i="5"/>
  <c r="D18" i="5"/>
  <c r="L18" i="5" s="1"/>
  <c r="O62" i="2"/>
  <c r="G18" i="5"/>
  <c r="R62" i="2"/>
  <c r="P82" i="2"/>
  <c r="E25" i="5"/>
  <c r="T22" i="5" s="1"/>
  <c r="L22" i="5"/>
  <c r="S88" i="2"/>
  <c r="K61" i="7"/>
  <c r="S45" i="2"/>
  <c r="K22" i="5"/>
  <c r="D25" i="5"/>
  <c r="S22" i="5" s="1"/>
  <c r="J23" i="5"/>
  <c r="J65" i="7"/>
  <c r="L57" i="7"/>
  <c r="Q85" i="2"/>
  <c r="L12" i="5"/>
  <c r="K12" i="5"/>
  <c r="J12" i="5"/>
  <c r="J22" i="5"/>
  <c r="C25" i="5"/>
  <c r="R23" i="5" s="1"/>
  <c r="I57" i="7"/>
  <c r="N85" i="2"/>
  <c r="M24" i="5"/>
  <c r="L65" i="7"/>
  <c r="N82" i="2"/>
  <c r="O82" i="2"/>
  <c r="K48" i="7"/>
  <c r="N24" i="5"/>
  <c r="M23" i="5"/>
  <c r="K66" i="7"/>
  <c r="S84" i="2"/>
  <c r="P62" i="2"/>
  <c r="S86" i="2"/>
  <c r="S69" i="2"/>
  <c r="I66" i="7"/>
  <c r="K65" i="7"/>
  <c r="S72" i="2"/>
  <c r="J66" i="7"/>
  <c r="N12" i="5"/>
  <c r="M22" i="5"/>
  <c r="F25" i="5"/>
  <c r="S81" i="2"/>
  <c r="C18" i="5"/>
  <c r="N62" i="2"/>
  <c r="B18" i="5"/>
  <c r="Q82" i="2"/>
  <c r="R82" i="2"/>
  <c r="K64" i="7"/>
  <c r="L64" i="7"/>
  <c r="S78" i="2"/>
  <c r="S98" i="2"/>
  <c r="S71" i="2"/>
  <c r="L66" i="7"/>
  <c r="H65" i="7"/>
  <c r="L23" i="5"/>
  <c r="K23" i="5"/>
  <c r="M57" i="7"/>
  <c r="M61" i="7" s="1"/>
  <c r="R85" i="2"/>
  <c r="B25" i="5"/>
  <c r="Q25" i="5" s="1"/>
  <c r="J61" i="7"/>
  <c r="M65" i="7"/>
  <c r="M12" i="5"/>
  <c r="K24" i="5"/>
  <c r="J24" i="5"/>
  <c r="N22" i="5"/>
  <c r="G25" i="5"/>
  <c r="V24" i="5" s="1"/>
  <c r="N23" i="5"/>
  <c r="M18" i="5"/>
  <c r="M66" i="7"/>
  <c r="H66" i="7"/>
  <c r="S13" i="2"/>
  <c r="I65" i="7"/>
  <c r="J48" i="7"/>
  <c r="J43" i="7"/>
  <c r="S68" i="2"/>
  <c r="J44" i="2"/>
  <c r="K44" i="2"/>
  <c r="I44" i="2"/>
  <c r="T23" i="5" l="1"/>
  <c r="S24" i="5"/>
  <c r="S23" i="5"/>
  <c r="Z23" i="5" s="1"/>
  <c r="V22" i="5"/>
  <c r="V23" i="5"/>
  <c r="S62" i="2"/>
  <c r="S85" i="2"/>
  <c r="T24" i="5"/>
  <c r="R24" i="5"/>
  <c r="R22" i="5"/>
  <c r="Z22" i="5" s="1"/>
  <c r="AA22" i="5"/>
  <c r="N18" i="5"/>
  <c r="O18" i="5" s="1"/>
  <c r="I61" i="7"/>
  <c r="I63" i="7"/>
  <c r="J63" i="7"/>
  <c r="L61" i="7"/>
  <c r="L63" i="7"/>
  <c r="Q23" i="5"/>
  <c r="Y23" i="5" s="1"/>
  <c r="S82" i="2"/>
  <c r="Q22" i="5"/>
  <c r="V25" i="5"/>
  <c r="N25" i="5"/>
  <c r="O12" i="5"/>
  <c r="Q24" i="5"/>
  <c r="U25" i="5"/>
  <c r="M25" i="5"/>
  <c r="U23" i="5"/>
  <c r="O22" i="5"/>
  <c r="O24" i="5"/>
  <c r="M63" i="7"/>
  <c r="J18" i="5"/>
  <c r="U22" i="5"/>
  <c r="AB22" i="5" s="1"/>
  <c r="O23" i="5"/>
  <c r="U24" i="5"/>
  <c r="R25" i="5"/>
  <c r="J25" i="5"/>
  <c r="K25" i="5"/>
  <c r="S25" i="5"/>
  <c r="T25" i="5"/>
  <c r="L25" i="5"/>
  <c r="K18" i="5"/>
  <c r="R44" i="2"/>
  <c r="Q44" i="2"/>
  <c r="I61" i="2"/>
  <c r="J61" i="2"/>
  <c r="K61" i="2"/>
  <c r="K5" i="6"/>
  <c r="L5" i="6"/>
  <c r="M5" i="6"/>
  <c r="AB23" i="5" l="1"/>
  <c r="AA23" i="5"/>
  <c r="AA24" i="5"/>
  <c r="Z24" i="5"/>
  <c r="Y24" i="5"/>
  <c r="AB24" i="5"/>
  <c r="AC22" i="5"/>
  <c r="AD22" i="5" s="1"/>
  <c r="Y22" i="5"/>
  <c r="O25" i="5"/>
  <c r="AC23" i="5"/>
  <c r="AC24" i="5"/>
  <c r="K77" i="2"/>
  <c r="K97" i="2"/>
  <c r="M12" i="6"/>
  <c r="K12" i="2"/>
  <c r="R61" i="2"/>
  <c r="J77" i="2"/>
  <c r="L12" i="6"/>
  <c r="J97" i="2"/>
  <c r="J12" i="2"/>
  <c r="S44" i="2"/>
  <c r="I77" i="2"/>
  <c r="I97" i="2"/>
  <c r="K12" i="6"/>
  <c r="I12" i="2"/>
  <c r="Q61" i="2"/>
  <c r="L77" i="2" l="1"/>
  <c r="AD23" i="5"/>
  <c r="AD24" i="5"/>
  <c r="S61" i="2"/>
  <c r="L16" i="6"/>
  <c r="M16" i="6"/>
  <c r="M22" i="6"/>
  <c r="K22" i="6"/>
  <c r="L22" i="6"/>
  <c r="L13" i="6"/>
  <c r="M13" i="6"/>
  <c r="K13" i="6"/>
  <c r="Q12" i="2"/>
  <c r="J29" i="2"/>
  <c r="R12" i="2"/>
  <c r="K29" i="2"/>
  <c r="L38" i="6"/>
  <c r="L45" i="6" s="1"/>
  <c r="Q97" i="2"/>
  <c r="M38" i="6"/>
  <c r="M45" i="6" s="1"/>
  <c r="K38" i="6"/>
  <c r="K45" i="6" s="1"/>
  <c r="R97" i="2"/>
  <c r="I29" i="2"/>
  <c r="Q77" i="2"/>
  <c r="R77" i="2"/>
  <c r="S77" i="2" l="1"/>
  <c r="S97" i="2"/>
  <c r="S12" i="2"/>
  <c r="K25" i="6"/>
  <c r="K35" i="6" s="1"/>
  <c r="M25" i="6"/>
  <c r="M32" i="6" s="1"/>
  <c r="M42" i="6"/>
  <c r="L25" i="6"/>
  <c r="L32" i="6" s="1"/>
  <c r="L42" i="6"/>
  <c r="M19" i="6"/>
  <c r="K19" i="6"/>
  <c r="L19" i="6"/>
  <c r="Q29" i="2"/>
  <c r="R29" i="2"/>
  <c r="L29" i="6" l="1"/>
  <c r="L35" i="6"/>
  <c r="K32" i="6"/>
  <c r="S29" i="2"/>
  <c r="M35" i="6"/>
  <c r="M29" i="6"/>
  <c r="G24" i="2" l="1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F26" i="2"/>
  <c r="F25" i="2"/>
  <c r="F24" i="2"/>
  <c r="K58" i="2"/>
  <c r="J58" i="2"/>
  <c r="I58" i="2"/>
  <c r="H58" i="2"/>
  <c r="G58" i="2"/>
  <c r="F58" i="2"/>
  <c r="K57" i="2"/>
  <c r="J57" i="2"/>
  <c r="I57" i="2"/>
  <c r="H57" i="2"/>
  <c r="G57" i="2"/>
  <c r="F57" i="2"/>
  <c r="G41" i="2"/>
  <c r="H41" i="2"/>
  <c r="I41" i="2"/>
  <c r="J41" i="2"/>
  <c r="K41" i="2"/>
  <c r="F41" i="2"/>
  <c r="G9" i="2"/>
  <c r="H9" i="2"/>
  <c r="I9" i="2"/>
  <c r="J9" i="2"/>
  <c r="K9" i="2"/>
  <c r="F9" i="2"/>
  <c r="R9" i="2" l="1"/>
  <c r="O9" i="2"/>
  <c r="Q41" i="2"/>
  <c r="O57" i="2"/>
  <c r="B17" i="5"/>
  <c r="F17" i="5"/>
  <c r="Q58" i="2"/>
  <c r="B11" i="5"/>
  <c r="D11" i="5"/>
  <c r="O26" i="2"/>
  <c r="P25" i="2"/>
  <c r="L16" i="7"/>
  <c r="Q24" i="2"/>
  <c r="P41" i="2"/>
  <c r="P57" i="2"/>
  <c r="G17" i="5"/>
  <c r="R58" i="2"/>
  <c r="G11" i="5"/>
  <c r="R26" i="2"/>
  <c r="C11" i="5"/>
  <c r="N26" i="2"/>
  <c r="O25" i="2"/>
  <c r="K16" i="7"/>
  <c r="P24" i="2"/>
  <c r="Q9" i="2"/>
  <c r="O41" i="2"/>
  <c r="Q57" i="2"/>
  <c r="D17" i="5"/>
  <c r="O58" i="2"/>
  <c r="H16" i="7"/>
  <c r="F11" i="5"/>
  <c r="Q26" i="2"/>
  <c r="R25" i="2"/>
  <c r="N25" i="2"/>
  <c r="J16" i="7"/>
  <c r="O24" i="2"/>
  <c r="N9" i="2"/>
  <c r="C17" i="5"/>
  <c r="N58" i="2"/>
  <c r="P9" i="2"/>
  <c r="R41" i="2"/>
  <c r="N41" i="2"/>
  <c r="N57" i="2"/>
  <c r="R57" i="2"/>
  <c r="E17" i="5"/>
  <c r="P58" i="2"/>
  <c r="E11" i="5"/>
  <c r="P26" i="2"/>
  <c r="Q25" i="2"/>
  <c r="M16" i="7"/>
  <c r="R24" i="2"/>
  <c r="I16" i="7"/>
  <c r="N24" i="2"/>
  <c r="S9" i="2" l="1"/>
  <c r="S26" i="2"/>
  <c r="S58" i="2"/>
  <c r="J27" i="7"/>
  <c r="J22" i="7"/>
  <c r="K17" i="5"/>
  <c r="L27" i="7"/>
  <c r="L22" i="7"/>
  <c r="S57" i="2"/>
  <c r="I27" i="7"/>
  <c r="I22" i="7"/>
  <c r="L11" i="5"/>
  <c r="L17" i="5"/>
  <c r="S24" i="2"/>
  <c r="N17" i="5"/>
  <c r="S41" i="2"/>
  <c r="K11" i="5"/>
  <c r="J11" i="5"/>
  <c r="M27" i="7"/>
  <c r="M22" i="7"/>
  <c r="H22" i="7"/>
  <c r="H27" i="7"/>
  <c r="J17" i="5"/>
  <c r="M11" i="5"/>
  <c r="K27" i="7"/>
  <c r="K22" i="7"/>
  <c r="N11" i="5"/>
  <c r="S25" i="2"/>
  <c r="M17" i="5"/>
  <c r="G42" i="2"/>
  <c r="H42" i="2"/>
  <c r="I42" i="2"/>
  <c r="J42" i="2"/>
  <c r="K42" i="2"/>
  <c r="F42" i="2"/>
  <c r="G10" i="2"/>
  <c r="H10" i="2"/>
  <c r="I10" i="2"/>
  <c r="J10" i="2"/>
  <c r="K10" i="2"/>
  <c r="F10" i="2"/>
  <c r="O10" i="2" l="1"/>
  <c r="Q42" i="2"/>
  <c r="Q10" i="2"/>
  <c r="O42" i="2"/>
  <c r="R10" i="2"/>
  <c r="P42" i="2"/>
  <c r="O11" i="5"/>
  <c r="N10" i="2"/>
  <c r="P10" i="2"/>
  <c r="R42" i="2"/>
  <c r="N42" i="2"/>
  <c r="O17" i="5"/>
  <c r="J27" i="2"/>
  <c r="F59" i="2"/>
  <c r="I27" i="2"/>
  <c r="K59" i="2"/>
  <c r="G59" i="2"/>
  <c r="F27" i="2"/>
  <c r="H27" i="2"/>
  <c r="J59" i="2"/>
  <c r="K27" i="2"/>
  <c r="G27" i="2"/>
  <c r="I59" i="2"/>
  <c r="H59" i="2"/>
  <c r="S42" i="2" l="1"/>
  <c r="S10" i="2"/>
  <c r="P59" i="2"/>
  <c r="O27" i="2"/>
  <c r="N59" i="2"/>
  <c r="P27" i="2"/>
  <c r="Q27" i="2"/>
  <c r="O59" i="2"/>
  <c r="N27" i="2"/>
  <c r="Q59" i="2"/>
  <c r="R59" i="2"/>
  <c r="R27" i="2"/>
  <c r="S27" i="2" l="1"/>
  <c r="S59" i="2"/>
  <c r="G8" i="2"/>
  <c r="H8" i="2"/>
  <c r="I8" i="2"/>
  <c r="J8" i="2"/>
  <c r="K8" i="2"/>
  <c r="F8" i="2"/>
  <c r="O8" i="2" l="1"/>
  <c r="R8" i="2"/>
  <c r="P8" i="2"/>
  <c r="N8" i="2"/>
  <c r="Q8" i="2"/>
  <c r="F23" i="2"/>
  <c r="K23" i="2"/>
  <c r="G23" i="2"/>
  <c r="J23" i="2"/>
  <c r="I23" i="2"/>
  <c r="H23" i="2"/>
  <c r="S8" i="2" l="1"/>
  <c r="Q23" i="2"/>
  <c r="N23" i="2"/>
  <c r="R23" i="2"/>
  <c r="P23" i="2"/>
  <c r="O23" i="2"/>
  <c r="S23" i="2" l="1"/>
  <c r="G38" i="2" l="1"/>
  <c r="H38" i="2"/>
  <c r="I38" i="2"/>
  <c r="J38" i="2"/>
  <c r="K38" i="2"/>
  <c r="F38" i="2"/>
  <c r="G6" i="2"/>
  <c r="H6" i="2"/>
  <c r="I6" i="2"/>
  <c r="J6" i="2"/>
  <c r="K6" i="2"/>
  <c r="F6" i="2"/>
  <c r="P38" i="2" l="1"/>
  <c r="P6" i="2"/>
  <c r="R38" i="2"/>
  <c r="R6" i="2"/>
  <c r="N38" i="2"/>
  <c r="O6" i="2"/>
  <c r="Q38" i="2"/>
  <c r="N6" i="2"/>
  <c r="Q6" i="2"/>
  <c r="O38" i="2"/>
  <c r="J18" i="2"/>
  <c r="F50" i="2"/>
  <c r="H50" i="2"/>
  <c r="I18" i="2"/>
  <c r="K50" i="2"/>
  <c r="G50" i="2"/>
  <c r="F18" i="2"/>
  <c r="H18" i="2"/>
  <c r="J50" i="2"/>
  <c r="K18" i="2"/>
  <c r="G18" i="2"/>
  <c r="I50" i="2"/>
  <c r="S38" i="2" l="1"/>
  <c r="S6" i="2"/>
  <c r="K36" i="7"/>
  <c r="P50" i="2"/>
  <c r="J15" i="7"/>
  <c r="O18" i="2"/>
  <c r="I36" i="7"/>
  <c r="N50" i="2"/>
  <c r="K15" i="7"/>
  <c r="P18" i="2"/>
  <c r="H36" i="7"/>
  <c r="M15" i="7"/>
  <c r="R18" i="2"/>
  <c r="I15" i="7"/>
  <c r="N18" i="2"/>
  <c r="L36" i="7"/>
  <c r="Q50" i="2"/>
  <c r="H15" i="7"/>
  <c r="M36" i="7"/>
  <c r="R50" i="2"/>
  <c r="J36" i="7"/>
  <c r="O50" i="2"/>
  <c r="L15" i="7"/>
  <c r="Q18" i="2"/>
  <c r="M26" i="7" l="1"/>
  <c r="M21" i="7"/>
  <c r="S18" i="2"/>
  <c r="I42" i="7"/>
  <c r="I47" i="7"/>
  <c r="M42" i="7"/>
  <c r="M47" i="7"/>
  <c r="I21" i="7"/>
  <c r="I26" i="7"/>
  <c r="K26" i="7"/>
  <c r="K21" i="7"/>
  <c r="S50" i="2"/>
  <c r="J42" i="7"/>
  <c r="J47" i="7"/>
  <c r="L47" i="7"/>
  <c r="L42" i="7"/>
  <c r="H42" i="7"/>
  <c r="H47" i="7"/>
  <c r="K47" i="7"/>
  <c r="K42" i="7"/>
  <c r="L21" i="7"/>
  <c r="L26" i="7"/>
  <c r="H26" i="7"/>
  <c r="H21" i="7"/>
  <c r="J26" i="7"/>
  <c r="J21" i="7"/>
  <c r="G37" i="2"/>
  <c r="H37" i="2"/>
  <c r="I37" i="2"/>
  <c r="J37" i="2"/>
  <c r="K37" i="2"/>
  <c r="F37" i="2"/>
  <c r="G5" i="2"/>
  <c r="H5" i="2"/>
  <c r="I5" i="2"/>
  <c r="J5" i="2"/>
  <c r="K5" i="2"/>
  <c r="F5" i="2"/>
  <c r="Q5" i="2" l="1"/>
  <c r="O37" i="2"/>
  <c r="N37" i="2"/>
  <c r="O5" i="2"/>
  <c r="Q37" i="2"/>
  <c r="P5" i="2"/>
  <c r="R37" i="2"/>
  <c r="R5" i="2"/>
  <c r="N5" i="2"/>
  <c r="P37" i="2"/>
  <c r="S5" i="2" l="1"/>
  <c r="S37" i="2"/>
  <c r="G36" i="2"/>
  <c r="H36" i="2"/>
  <c r="I36" i="2"/>
  <c r="J36" i="2"/>
  <c r="K36" i="2"/>
  <c r="F36" i="2"/>
  <c r="G4" i="2"/>
  <c r="H4" i="2"/>
  <c r="I4" i="2"/>
  <c r="J4" i="2"/>
  <c r="K4" i="2"/>
  <c r="F4" i="2"/>
  <c r="O4" i="2" l="1"/>
  <c r="Q36" i="2"/>
  <c r="R4" i="2"/>
  <c r="P36" i="2"/>
  <c r="Q4" i="2"/>
  <c r="O36" i="2"/>
  <c r="N4" i="2"/>
  <c r="P4" i="2"/>
  <c r="R36" i="2"/>
  <c r="N36" i="2"/>
  <c r="F17" i="2"/>
  <c r="H17" i="2"/>
  <c r="K17" i="2"/>
  <c r="G17" i="2"/>
  <c r="J17" i="2"/>
  <c r="F49" i="2"/>
  <c r="H49" i="2"/>
  <c r="J49" i="2"/>
  <c r="I49" i="2"/>
  <c r="I17" i="2"/>
  <c r="K49" i="2"/>
  <c r="G49" i="2"/>
  <c r="S36" i="2" l="1"/>
  <c r="S4" i="2"/>
  <c r="O17" i="2"/>
  <c r="R49" i="2"/>
  <c r="P49" i="2"/>
  <c r="O49" i="2"/>
  <c r="Q17" i="2"/>
  <c r="R17" i="2"/>
  <c r="N49" i="2"/>
  <c r="P17" i="2"/>
  <c r="Q49" i="2"/>
  <c r="N17" i="2"/>
  <c r="S17" i="2" l="1"/>
  <c r="S49" i="2"/>
  <c r="G53" i="2"/>
  <c r="H53" i="2"/>
  <c r="I53" i="2"/>
  <c r="J53" i="2"/>
  <c r="K53" i="2"/>
  <c r="G54" i="2"/>
  <c r="H54" i="2"/>
  <c r="I54" i="2"/>
  <c r="J54" i="2"/>
  <c r="K54" i="2"/>
  <c r="F54" i="2"/>
  <c r="F53" i="2"/>
  <c r="G52" i="2"/>
  <c r="H52" i="2"/>
  <c r="I52" i="2"/>
  <c r="J52" i="2"/>
  <c r="K52" i="2"/>
  <c r="F52" i="2"/>
  <c r="G51" i="2"/>
  <c r="H51" i="2"/>
  <c r="I51" i="2"/>
  <c r="J51" i="2"/>
  <c r="K51" i="2"/>
  <c r="F51" i="2"/>
  <c r="G39" i="2"/>
  <c r="H39" i="2"/>
  <c r="I39" i="2"/>
  <c r="J39" i="2"/>
  <c r="K39" i="2"/>
  <c r="F39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F22" i="2"/>
  <c r="F21" i="2"/>
  <c r="F20" i="2"/>
  <c r="F19" i="2"/>
  <c r="G7" i="2"/>
  <c r="H7" i="2"/>
  <c r="I7" i="2"/>
  <c r="J7" i="2"/>
  <c r="K7" i="2"/>
  <c r="F7" i="2"/>
  <c r="R54" i="2" l="1"/>
  <c r="Q19" i="2"/>
  <c r="J18" i="7"/>
  <c r="O21" i="2"/>
  <c r="K17" i="7"/>
  <c r="P20" i="2"/>
  <c r="O39" i="2"/>
  <c r="H38" i="7"/>
  <c r="P7" i="2"/>
  <c r="Q22" i="2"/>
  <c r="I18" i="7"/>
  <c r="N21" i="2"/>
  <c r="P19" i="2"/>
  <c r="N39" i="2"/>
  <c r="P51" i="2"/>
  <c r="I38" i="7"/>
  <c r="N52" i="2"/>
  <c r="M39" i="7"/>
  <c r="R53" i="2"/>
  <c r="I39" i="7"/>
  <c r="N53" i="2"/>
  <c r="M17" i="7"/>
  <c r="R20" i="2"/>
  <c r="I17" i="7"/>
  <c r="N20" i="2"/>
  <c r="O19" i="2"/>
  <c r="Q39" i="2"/>
  <c r="O51" i="2"/>
  <c r="L38" i="7"/>
  <c r="Q52" i="2"/>
  <c r="H39" i="7"/>
  <c r="L39" i="7"/>
  <c r="Q53" i="2"/>
  <c r="Q7" i="2"/>
  <c r="R22" i="2"/>
  <c r="Q51" i="2"/>
  <c r="J38" i="7"/>
  <c r="O52" i="2"/>
  <c r="J39" i="7"/>
  <c r="O53" i="2"/>
  <c r="H17" i="7"/>
  <c r="M18" i="7"/>
  <c r="R21" i="2"/>
  <c r="J17" i="7"/>
  <c r="O20" i="2"/>
  <c r="R39" i="2"/>
  <c r="M38" i="7"/>
  <c r="R52" i="2"/>
  <c r="Q54" i="2"/>
  <c r="S54" i="2" s="1"/>
  <c r="O7" i="2"/>
  <c r="H18" i="7"/>
  <c r="L18" i="7"/>
  <c r="Q21" i="2"/>
  <c r="R7" i="2"/>
  <c r="N7" i="2"/>
  <c r="K18" i="7"/>
  <c r="P21" i="2"/>
  <c r="L17" i="7"/>
  <c r="Q20" i="2"/>
  <c r="R19" i="2"/>
  <c r="N19" i="2"/>
  <c r="P39" i="2"/>
  <c r="R51" i="2"/>
  <c r="N51" i="2"/>
  <c r="K38" i="7"/>
  <c r="P52" i="2"/>
  <c r="K39" i="7"/>
  <c r="P53" i="2"/>
  <c r="S39" i="2" l="1"/>
  <c r="S51" i="2"/>
  <c r="S52" i="2"/>
  <c r="S7" i="2"/>
  <c r="L49" i="7"/>
  <c r="L40" i="7"/>
  <c r="K50" i="7"/>
  <c r="L28" i="7"/>
  <c r="L23" i="7"/>
  <c r="L19" i="7"/>
  <c r="J49" i="7"/>
  <c r="J40" i="7"/>
  <c r="J50" i="7"/>
  <c r="M28" i="7"/>
  <c r="M23" i="7"/>
  <c r="M19" i="7"/>
  <c r="S19" i="2"/>
  <c r="S21" i="2"/>
  <c r="L24" i="7"/>
  <c r="L29" i="7"/>
  <c r="H23" i="7"/>
  <c r="H28" i="7"/>
  <c r="H19" i="7"/>
  <c r="L50" i="7"/>
  <c r="I28" i="7"/>
  <c r="I23" i="7"/>
  <c r="I19" i="7"/>
  <c r="S22" i="2"/>
  <c r="H49" i="7"/>
  <c r="H40" i="7"/>
  <c r="S20" i="2"/>
  <c r="J29" i="7"/>
  <c r="J24" i="7"/>
  <c r="H24" i="7"/>
  <c r="H29" i="7"/>
  <c r="M29" i="7"/>
  <c r="M24" i="7"/>
  <c r="M50" i="7"/>
  <c r="I29" i="7"/>
  <c r="I24" i="7"/>
  <c r="J28" i="7"/>
  <c r="J23" i="7"/>
  <c r="J19" i="7"/>
  <c r="H50" i="7"/>
  <c r="I50" i="7"/>
  <c r="S53" i="2"/>
  <c r="K49" i="7"/>
  <c r="K40" i="7"/>
  <c r="K24" i="7"/>
  <c r="K29" i="7"/>
  <c r="I49" i="7"/>
  <c r="I40" i="7"/>
  <c r="K28" i="7"/>
  <c r="K23" i="7"/>
  <c r="K19" i="7"/>
  <c r="M49" i="7"/>
  <c r="M40" i="7"/>
  <c r="G35" i="2"/>
  <c r="H35" i="2"/>
  <c r="I35" i="2"/>
  <c r="J35" i="2"/>
  <c r="K35" i="2"/>
  <c r="F35" i="2"/>
  <c r="G3" i="2"/>
  <c r="H3" i="2"/>
  <c r="I3" i="2"/>
  <c r="J3" i="2"/>
  <c r="K3" i="2"/>
  <c r="F3" i="2"/>
  <c r="J4" i="6"/>
  <c r="J21" i="6" s="1"/>
  <c r="K4" i="6"/>
  <c r="K21" i="6" s="1"/>
  <c r="L4" i="6"/>
  <c r="L21" i="6" s="1"/>
  <c r="M4" i="6"/>
  <c r="M21" i="6" s="1"/>
  <c r="Q3" i="2" l="1"/>
  <c r="O35" i="2"/>
  <c r="P3" i="2"/>
  <c r="O3" i="2"/>
  <c r="Q35" i="2"/>
  <c r="L6" i="6"/>
  <c r="L9" i="6" s="1"/>
  <c r="J6" i="6"/>
  <c r="J8" i="6" s="1"/>
  <c r="K6" i="6"/>
  <c r="K9" i="6" s="1"/>
  <c r="M6" i="6"/>
  <c r="M9" i="6" s="1"/>
  <c r="R35" i="2"/>
  <c r="N35" i="2"/>
  <c r="R3" i="2"/>
  <c r="N3" i="2"/>
  <c r="P35" i="2"/>
  <c r="J16" i="2"/>
  <c r="F48" i="2"/>
  <c r="H48" i="2"/>
  <c r="I16" i="2"/>
  <c r="K48" i="2"/>
  <c r="G48" i="2"/>
  <c r="F16" i="2"/>
  <c r="H16" i="2"/>
  <c r="J48" i="2"/>
  <c r="K16" i="2"/>
  <c r="G16" i="2"/>
  <c r="I48" i="2"/>
  <c r="F37" i="6"/>
  <c r="F4" i="6"/>
  <c r="F21" i="6" s="1"/>
  <c r="G37" i="6"/>
  <c r="H37" i="6"/>
  <c r="S35" i="2" l="1"/>
  <c r="S3" i="2"/>
  <c r="N48" i="2"/>
  <c r="F44" i="6"/>
  <c r="R16" i="2"/>
  <c r="H18" i="6"/>
  <c r="H41" i="6"/>
  <c r="F18" i="6"/>
  <c r="F41" i="6"/>
  <c r="G18" i="6"/>
  <c r="G41" i="6"/>
  <c r="M8" i="6"/>
  <c r="K8" i="6"/>
  <c r="L8" i="6"/>
  <c r="F6" i="6"/>
  <c r="F8" i="6" s="1"/>
  <c r="H24" i="6"/>
  <c r="H31" i="6" s="1"/>
  <c r="H39" i="6"/>
  <c r="F24" i="6"/>
  <c r="F39" i="6"/>
  <c r="G24" i="6"/>
  <c r="G31" i="6" s="1"/>
  <c r="G39" i="6"/>
  <c r="N16" i="2"/>
  <c r="P48" i="2"/>
  <c r="O16" i="2"/>
  <c r="P16" i="2"/>
  <c r="E4" i="6"/>
  <c r="Q48" i="2"/>
  <c r="R48" i="2"/>
  <c r="O48" i="2"/>
  <c r="Q16" i="2"/>
  <c r="E21" i="6" l="1"/>
  <c r="E44" i="6"/>
  <c r="S48" i="2"/>
  <c r="F28" i="6"/>
  <c r="F31" i="6"/>
  <c r="G28" i="6"/>
  <c r="H28" i="6"/>
  <c r="E6" i="6"/>
  <c r="E8" i="6" s="1"/>
  <c r="E34" i="6"/>
  <c r="F26" i="6"/>
  <c r="F34" i="6"/>
  <c r="G26" i="6"/>
  <c r="H26" i="6"/>
  <c r="S16" i="2"/>
  <c r="I37" i="6" l="1"/>
  <c r="G4" i="6"/>
  <c r="H4" i="6"/>
  <c r="I4" i="6"/>
  <c r="I21" i="6" s="1"/>
  <c r="I44" i="6" l="1"/>
  <c r="H21" i="6"/>
  <c r="H44" i="6"/>
  <c r="G21" i="6"/>
  <c r="G44" i="6"/>
  <c r="I18" i="6"/>
  <c r="I41" i="6"/>
  <c r="I6" i="6"/>
  <c r="I8" i="6" s="1"/>
  <c r="G6" i="6"/>
  <c r="G8" i="6" s="1"/>
  <c r="G34" i="6"/>
  <c r="H6" i="6"/>
  <c r="H8" i="6" s="1"/>
  <c r="H34" i="6"/>
  <c r="I24" i="6"/>
  <c r="I39" i="6"/>
  <c r="L37" i="6"/>
  <c r="L44" i="6" s="1"/>
  <c r="K37" i="6"/>
  <c r="K44" i="6" s="1"/>
  <c r="M37" i="6"/>
  <c r="M44" i="6" s="1"/>
  <c r="J37" i="6"/>
  <c r="J44" i="6" s="1"/>
  <c r="M18" i="6" l="1"/>
  <c r="M41" i="6"/>
  <c r="L18" i="6"/>
  <c r="L41" i="6"/>
  <c r="J18" i="6"/>
  <c r="J41" i="6"/>
  <c r="K18" i="6"/>
  <c r="K41" i="6"/>
  <c r="I28" i="6"/>
  <c r="I31" i="6"/>
  <c r="I26" i="6"/>
  <c r="I34" i="6"/>
  <c r="J24" i="6"/>
  <c r="J39" i="6"/>
  <c r="M24" i="6"/>
  <c r="M31" i="6" s="1"/>
  <c r="M39" i="6"/>
  <c r="K24" i="6"/>
  <c r="K31" i="6" s="1"/>
  <c r="K39" i="6"/>
  <c r="L24" i="6"/>
  <c r="L31" i="6" s="1"/>
  <c r="L39" i="6"/>
  <c r="J28" i="6" l="1"/>
  <c r="J31" i="6"/>
  <c r="K34" i="6"/>
  <c r="K28" i="6"/>
  <c r="L34" i="6"/>
  <c r="L28" i="6"/>
  <c r="M34" i="6"/>
  <c r="M28" i="6"/>
  <c r="J26" i="6"/>
  <c r="J34" i="6"/>
  <c r="K26" i="6"/>
  <c r="L26" i="6"/>
  <c r="M26" i="6"/>
  <c r="G43" i="2" l="1"/>
  <c r="H43" i="2"/>
  <c r="I43" i="2"/>
  <c r="J43" i="2"/>
  <c r="K43" i="2"/>
  <c r="F43" i="2"/>
  <c r="G11" i="2"/>
  <c r="H11" i="2"/>
  <c r="I11" i="2"/>
  <c r="J11" i="2"/>
  <c r="K11" i="2"/>
  <c r="F11" i="2"/>
  <c r="B10" i="5" s="1"/>
  <c r="Q43" i="2" l="1"/>
  <c r="O43" i="2"/>
  <c r="P43" i="2"/>
  <c r="F10" i="5"/>
  <c r="Q11" i="2"/>
  <c r="B13" i="5"/>
  <c r="D10" i="5"/>
  <c r="O11" i="2"/>
  <c r="G10" i="5"/>
  <c r="R11" i="2"/>
  <c r="C10" i="5"/>
  <c r="N11" i="2"/>
  <c r="E10" i="5"/>
  <c r="P11" i="2"/>
  <c r="R43" i="2"/>
  <c r="N43" i="2"/>
  <c r="I28" i="2"/>
  <c r="I14" i="2"/>
  <c r="K60" i="2"/>
  <c r="G60" i="2"/>
  <c r="F28" i="2"/>
  <c r="F14" i="2"/>
  <c r="H28" i="2"/>
  <c r="H14" i="2"/>
  <c r="J60" i="2"/>
  <c r="G28" i="2"/>
  <c r="G14" i="2"/>
  <c r="I60" i="2"/>
  <c r="K28" i="2"/>
  <c r="K14" i="2"/>
  <c r="J28" i="2"/>
  <c r="J14" i="2"/>
  <c r="F60" i="2"/>
  <c r="B16" i="5" s="1"/>
  <c r="H60" i="2"/>
  <c r="S43" i="2" l="1"/>
  <c r="S11" i="2"/>
  <c r="R28" i="2"/>
  <c r="O28" i="2"/>
  <c r="E16" i="5"/>
  <c r="P60" i="2"/>
  <c r="Q13" i="5"/>
  <c r="Q12" i="5"/>
  <c r="Q11" i="5"/>
  <c r="P28" i="2"/>
  <c r="G13" i="5"/>
  <c r="V10" i="5" s="1"/>
  <c r="N10" i="5"/>
  <c r="Q10" i="5"/>
  <c r="Q28" i="2"/>
  <c r="F16" i="5"/>
  <c r="Q60" i="2"/>
  <c r="G16" i="5"/>
  <c r="R60" i="2"/>
  <c r="D16" i="5"/>
  <c r="O60" i="2"/>
  <c r="L10" i="5"/>
  <c r="E13" i="5"/>
  <c r="T10" i="5" s="1"/>
  <c r="B19" i="5"/>
  <c r="Q16" i="5" s="1"/>
  <c r="N28" i="2"/>
  <c r="C16" i="5"/>
  <c r="N60" i="2"/>
  <c r="C13" i="5"/>
  <c r="R10" i="5" s="1"/>
  <c r="J10" i="5"/>
  <c r="K10" i="5"/>
  <c r="D13" i="5"/>
  <c r="F13" i="5"/>
  <c r="U10" i="5" s="1"/>
  <c r="M10" i="5"/>
  <c r="R14" i="2"/>
  <c r="O14" i="2"/>
  <c r="P14" i="2"/>
  <c r="N14" i="2"/>
  <c r="Q14" i="2"/>
  <c r="G31" i="2"/>
  <c r="J31" i="2"/>
  <c r="F31" i="2"/>
  <c r="K31" i="2"/>
  <c r="H31" i="2"/>
  <c r="I31" i="2"/>
  <c r="Y10" i="5" l="1"/>
  <c r="AB10" i="5"/>
  <c r="O10" i="5"/>
  <c r="AC10" i="5"/>
  <c r="C19" i="5"/>
  <c r="R16" i="5" s="1"/>
  <c r="Y16" i="5" s="1"/>
  <c r="J16" i="5"/>
  <c r="K16" i="5"/>
  <c r="D19" i="5"/>
  <c r="F19" i="5"/>
  <c r="U16" i="5" s="1"/>
  <c r="M16" i="5"/>
  <c r="S13" i="5"/>
  <c r="K13" i="5"/>
  <c r="S12" i="5"/>
  <c r="S11" i="5"/>
  <c r="L13" i="5"/>
  <c r="T13" i="5"/>
  <c r="T12" i="5"/>
  <c r="AA12" i="5" s="1"/>
  <c r="T11" i="5"/>
  <c r="V13" i="5"/>
  <c r="N13" i="5"/>
  <c r="V12" i="5"/>
  <c r="V11" i="5"/>
  <c r="S10" i="5"/>
  <c r="Z10" i="5" s="1"/>
  <c r="R13" i="5"/>
  <c r="J13" i="5"/>
  <c r="R12" i="5"/>
  <c r="Y12" i="5" s="1"/>
  <c r="R11" i="5"/>
  <c r="Y11" i="5" s="1"/>
  <c r="Q19" i="5"/>
  <c r="Q18" i="5"/>
  <c r="Q17" i="5"/>
  <c r="G19" i="5"/>
  <c r="N16" i="5"/>
  <c r="S28" i="2"/>
  <c r="S60" i="2"/>
  <c r="U13" i="5"/>
  <c r="M13" i="5"/>
  <c r="U12" i="5"/>
  <c r="AB12" i="5" s="1"/>
  <c r="U11" i="5"/>
  <c r="AB11" i="5" s="1"/>
  <c r="E19" i="5"/>
  <c r="T16" i="5" s="1"/>
  <c r="L16" i="5"/>
  <c r="R31" i="2"/>
  <c r="P31" i="2"/>
  <c r="N31" i="2"/>
  <c r="S14" i="2"/>
  <c r="O31" i="2"/>
  <c r="Q31" i="2"/>
  <c r="O13" i="5" l="1"/>
  <c r="O16" i="5"/>
  <c r="N19" i="5"/>
  <c r="V19" i="5"/>
  <c r="V18" i="5"/>
  <c r="V17" i="5"/>
  <c r="S19" i="5"/>
  <c r="K19" i="5"/>
  <c r="S18" i="5"/>
  <c r="S17" i="5"/>
  <c r="AC11" i="5"/>
  <c r="AA11" i="5"/>
  <c r="S16" i="5"/>
  <c r="Z16" i="5" s="1"/>
  <c r="J19" i="5"/>
  <c r="R19" i="5"/>
  <c r="R18" i="5"/>
  <c r="Y18" i="5" s="1"/>
  <c r="R17" i="5"/>
  <c r="Y17" i="5" s="1"/>
  <c r="Z11" i="5"/>
  <c r="AC12" i="5"/>
  <c r="AD12" i="5" s="1"/>
  <c r="Z12" i="5"/>
  <c r="AA10" i="5"/>
  <c r="AD10" i="5" s="1"/>
  <c r="AB16" i="5"/>
  <c r="T19" i="5"/>
  <c r="L19" i="5"/>
  <c r="T18" i="5"/>
  <c r="T17" i="5"/>
  <c r="V16" i="5"/>
  <c r="AC16" i="5" s="1"/>
  <c r="U19" i="5"/>
  <c r="M19" i="5"/>
  <c r="U18" i="5"/>
  <c r="U17" i="5"/>
  <c r="S31" i="2"/>
  <c r="AD11" i="5" l="1"/>
  <c r="AC18" i="5"/>
  <c r="O19" i="5"/>
  <c r="AA18" i="5"/>
  <c r="Z18" i="5"/>
  <c r="AB18" i="5"/>
  <c r="AB17" i="5"/>
  <c r="AA17" i="5"/>
  <c r="Z17" i="5"/>
  <c r="AC17" i="5"/>
  <c r="AA16" i="5"/>
  <c r="AD16" i="5" s="1"/>
  <c r="G1" i="2"/>
  <c r="H1" i="2" s="1"/>
  <c r="I1" i="2" s="1"/>
  <c r="J1" i="2" s="1"/>
  <c r="K1" i="2" s="1"/>
  <c r="K77" i="1"/>
  <c r="K78" i="1"/>
  <c r="K79" i="1"/>
  <c r="K80" i="1"/>
  <c r="K81" i="1"/>
  <c r="G75" i="1"/>
  <c r="H75" i="1"/>
  <c r="I75" i="1"/>
  <c r="J75" i="1"/>
  <c r="K75" i="1"/>
  <c r="F75" i="1"/>
  <c r="G74" i="1"/>
  <c r="H74" i="1"/>
  <c r="I74" i="1"/>
  <c r="J74" i="1"/>
  <c r="K74" i="1"/>
  <c r="F74" i="1"/>
  <c r="G73" i="1"/>
  <c r="H73" i="1"/>
  <c r="I73" i="1"/>
  <c r="J73" i="1"/>
  <c r="K73" i="1"/>
  <c r="F73" i="1"/>
  <c r="G72" i="1"/>
  <c r="H72" i="1"/>
  <c r="I72" i="1"/>
  <c r="J72" i="1"/>
  <c r="K72" i="1"/>
  <c r="F72" i="1"/>
  <c r="G45" i="1"/>
  <c r="H45" i="1"/>
  <c r="I45" i="1"/>
  <c r="J45" i="1"/>
  <c r="K45" i="1"/>
  <c r="F45" i="1"/>
  <c r="X45" i="1" l="1"/>
  <c r="Z72" i="1"/>
  <c r="X73" i="1"/>
  <c r="Z74" i="1"/>
  <c r="Z45" i="1"/>
  <c r="X72" i="1"/>
  <c r="Z73" i="1"/>
  <c r="X74" i="1"/>
  <c r="Z75" i="1"/>
  <c r="V72" i="1"/>
  <c r="V74" i="1"/>
  <c r="AD18" i="5"/>
  <c r="W45" i="1"/>
  <c r="Y72" i="1"/>
  <c r="W73" i="1"/>
  <c r="Y74" i="1"/>
  <c r="V45" i="1"/>
  <c r="V73" i="1"/>
  <c r="AD17" i="5"/>
  <c r="Y45" i="1"/>
  <c r="Y73" i="1"/>
  <c r="W74" i="1"/>
  <c r="Y75" i="1"/>
  <c r="W72" i="1"/>
  <c r="G70" i="1"/>
  <c r="H70" i="1"/>
  <c r="I70" i="1"/>
  <c r="J70" i="1"/>
  <c r="K70" i="1"/>
  <c r="F70" i="1"/>
  <c r="G69" i="1"/>
  <c r="H69" i="1"/>
  <c r="I69" i="1"/>
  <c r="J69" i="1"/>
  <c r="K69" i="1"/>
  <c r="F69" i="1"/>
  <c r="G43" i="1"/>
  <c r="H43" i="1"/>
  <c r="I43" i="1"/>
  <c r="J43" i="1"/>
  <c r="K43" i="1"/>
  <c r="F43" i="1"/>
  <c r="AA45" i="1" l="1"/>
  <c r="AA75" i="1"/>
  <c r="AA72" i="1"/>
  <c r="Z43" i="1"/>
  <c r="AA74" i="1"/>
  <c r="AA73" i="1"/>
  <c r="X43" i="1"/>
  <c r="W43" i="1"/>
  <c r="Y43" i="1"/>
  <c r="W69" i="1"/>
  <c r="Y70" i="1"/>
  <c r="X70" i="1"/>
  <c r="Z69" i="1"/>
  <c r="Y69" i="1"/>
  <c r="W70" i="1"/>
  <c r="V69" i="1"/>
  <c r="V43" i="1"/>
  <c r="X69" i="1"/>
  <c r="Z70" i="1"/>
  <c r="V70" i="1"/>
  <c r="G42" i="1"/>
  <c r="H42" i="1"/>
  <c r="I42" i="1"/>
  <c r="J42" i="1"/>
  <c r="K42" i="1"/>
  <c r="F42" i="1"/>
  <c r="Y42" i="1" l="1"/>
  <c r="AA43" i="1"/>
  <c r="W42" i="1"/>
  <c r="Z42" i="1"/>
  <c r="V42" i="1"/>
  <c r="AA70" i="1"/>
  <c r="AA69" i="1"/>
  <c r="X42" i="1"/>
  <c r="K68" i="1"/>
  <c r="I68" i="1"/>
  <c r="F68" i="1"/>
  <c r="H68" i="1"/>
  <c r="G68" i="1"/>
  <c r="J68" i="1"/>
  <c r="G44" i="1"/>
  <c r="H44" i="1"/>
  <c r="I44" i="1"/>
  <c r="J44" i="1"/>
  <c r="K44" i="1"/>
  <c r="F41" i="1"/>
  <c r="K41" i="1"/>
  <c r="J41" i="1"/>
  <c r="I41" i="1"/>
  <c r="H41" i="1"/>
  <c r="G41" i="1"/>
  <c r="G67" i="1"/>
  <c r="H67" i="1"/>
  <c r="I67" i="1"/>
  <c r="J67" i="1"/>
  <c r="K67" i="1"/>
  <c r="F67" i="1"/>
  <c r="AA42" i="1" l="1"/>
  <c r="Y44" i="1"/>
  <c r="X44" i="1"/>
  <c r="W44" i="1"/>
  <c r="X41" i="1"/>
  <c r="V41" i="1"/>
  <c r="Y41" i="1"/>
  <c r="Z41" i="1"/>
  <c r="Z44" i="1"/>
  <c r="W68" i="1"/>
  <c r="Y68" i="1"/>
  <c r="X68" i="1"/>
  <c r="V68" i="1"/>
  <c r="Z68" i="1"/>
  <c r="W67" i="1"/>
  <c r="V67" i="1"/>
  <c r="Z67" i="1"/>
  <c r="Y67" i="1"/>
  <c r="X67" i="1"/>
  <c r="W41" i="1"/>
  <c r="K71" i="1"/>
  <c r="I71" i="1"/>
  <c r="G71" i="1"/>
  <c r="J71" i="1"/>
  <c r="H71" i="1"/>
  <c r="G78" i="1"/>
  <c r="H78" i="1"/>
  <c r="I78" i="1"/>
  <c r="J78" i="1"/>
  <c r="G79" i="1"/>
  <c r="H79" i="1"/>
  <c r="I79" i="1"/>
  <c r="J79" i="1"/>
  <c r="G80" i="1"/>
  <c r="H80" i="1"/>
  <c r="I80" i="1"/>
  <c r="J80" i="1"/>
  <c r="F80" i="1"/>
  <c r="F79" i="1"/>
  <c r="F78" i="1"/>
  <c r="G77" i="1"/>
  <c r="H77" i="1"/>
  <c r="I77" i="1"/>
  <c r="J77" i="1"/>
  <c r="F77" i="1"/>
  <c r="G47" i="1"/>
  <c r="H47" i="1"/>
  <c r="I47" i="1"/>
  <c r="J47" i="1"/>
  <c r="K47" i="1"/>
  <c r="F47" i="1"/>
  <c r="Y47" i="1" l="1"/>
  <c r="X47" i="1"/>
  <c r="AA44" i="1"/>
  <c r="Z47" i="1"/>
  <c r="V47" i="1"/>
  <c r="AA41" i="1"/>
  <c r="W77" i="1"/>
  <c r="V79" i="1"/>
  <c r="Y77" i="1"/>
  <c r="Z77" i="1"/>
  <c r="X80" i="1"/>
  <c r="X79" i="1"/>
  <c r="X78" i="1"/>
  <c r="V78" i="1"/>
  <c r="V77" i="1"/>
  <c r="Y80" i="1"/>
  <c r="Z80" i="1"/>
  <c r="Y79" i="1"/>
  <c r="Z79" i="1"/>
  <c r="Y78" i="1"/>
  <c r="Z78" i="1"/>
  <c r="W47" i="1"/>
  <c r="X77" i="1"/>
  <c r="W79" i="1"/>
  <c r="W78" i="1"/>
  <c r="Y71" i="1"/>
  <c r="W71" i="1"/>
  <c r="X71" i="1"/>
  <c r="Z71" i="1"/>
  <c r="AA68" i="1"/>
  <c r="AA67" i="1"/>
  <c r="G48" i="1"/>
  <c r="H48" i="1"/>
  <c r="I48" i="1"/>
  <c r="J48" i="1"/>
  <c r="K48" i="1"/>
  <c r="F48" i="1"/>
  <c r="G81" i="1"/>
  <c r="H81" i="1"/>
  <c r="I81" i="1"/>
  <c r="J81" i="1"/>
  <c r="F81" i="1"/>
  <c r="Y48" i="1" l="1"/>
  <c r="AA47" i="1"/>
  <c r="Z48" i="1"/>
  <c r="V48" i="1"/>
  <c r="X48" i="1"/>
  <c r="AA80" i="1"/>
  <c r="AA79" i="1"/>
  <c r="AA78" i="1"/>
  <c r="AA77" i="1"/>
  <c r="X81" i="1"/>
  <c r="W81" i="1"/>
  <c r="V81" i="1"/>
  <c r="Y81" i="1"/>
  <c r="Z81" i="1"/>
  <c r="W48" i="1"/>
  <c r="AA71" i="1"/>
  <c r="G49" i="1"/>
  <c r="H49" i="1"/>
  <c r="I49" i="1"/>
  <c r="J49" i="1"/>
  <c r="K49" i="1"/>
  <c r="F49" i="1"/>
  <c r="AA48" i="1" l="1"/>
  <c r="AA81" i="1"/>
  <c r="W49" i="1"/>
  <c r="Y49" i="1"/>
  <c r="X49" i="1"/>
  <c r="Z49" i="1"/>
  <c r="V49" i="1"/>
  <c r="H82" i="1"/>
  <c r="K82" i="1"/>
  <c r="J82" i="1"/>
  <c r="F82" i="1"/>
  <c r="G82" i="1"/>
  <c r="I82" i="1"/>
  <c r="J50" i="1"/>
  <c r="K50" i="1"/>
  <c r="I50" i="1"/>
  <c r="Y50" i="1" l="1"/>
  <c r="AA49" i="1"/>
  <c r="Z50" i="1"/>
  <c r="X82" i="1"/>
  <c r="Z82" i="1"/>
  <c r="V82" i="1"/>
  <c r="W82" i="1"/>
  <c r="Y82" i="1"/>
  <c r="K83" i="1"/>
  <c r="I83" i="1"/>
  <c r="J83" i="1"/>
  <c r="G51" i="1"/>
  <c r="H51" i="1"/>
  <c r="I51" i="1"/>
  <c r="J51" i="1"/>
  <c r="K51" i="1"/>
  <c r="F51" i="1"/>
  <c r="AA50" i="1" l="1"/>
  <c r="X51" i="1"/>
  <c r="W51" i="1"/>
  <c r="Z51" i="1"/>
  <c r="V51" i="1"/>
  <c r="Y51" i="1"/>
  <c r="Z83" i="1"/>
  <c r="Y83" i="1"/>
  <c r="AA82" i="1"/>
  <c r="K84" i="1"/>
  <c r="G84" i="1"/>
  <c r="H84" i="1"/>
  <c r="I84" i="1"/>
  <c r="J84" i="1"/>
  <c r="F84" i="1"/>
  <c r="Z1" i="5"/>
  <c r="AA1" i="5" s="1"/>
  <c r="AB1" i="5" s="1"/>
  <c r="AC1" i="5" s="1"/>
  <c r="Y1" i="5"/>
  <c r="C5" i="1"/>
  <c r="D5" i="1"/>
  <c r="E5" i="1"/>
  <c r="B6" i="1"/>
  <c r="B55" i="1" s="1"/>
  <c r="C6" i="1"/>
  <c r="C55" i="1" s="1"/>
  <c r="D6" i="1"/>
  <c r="D55" i="1" s="1"/>
  <c r="E6" i="1"/>
  <c r="E55" i="1" s="1"/>
  <c r="C7" i="1"/>
  <c r="C56" i="1" s="1"/>
  <c r="D7" i="1"/>
  <c r="D56" i="1" s="1"/>
  <c r="E7" i="1"/>
  <c r="E56" i="1" s="1"/>
  <c r="B10" i="1"/>
  <c r="C10" i="1"/>
  <c r="B12" i="1"/>
  <c r="C12" i="1"/>
  <c r="D12" i="1"/>
  <c r="E12" i="1"/>
  <c r="B15" i="1"/>
  <c r="B64" i="1" s="1"/>
  <c r="C15" i="1"/>
  <c r="C64" i="1" s="1"/>
  <c r="D15" i="1"/>
  <c r="D64" i="1" s="1"/>
  <c r="E15" i="1"/>
  <c r="E64" i="1" s="1"/>
  <c r="B19" i="1"/>
  <c r="B88" i="1" s="1"/>
  <c r="C19" i="1"/>
  <c r="C88" i="1" s="1"/>
  <c r="D19" i="1"/>
  <c r="D88" i="1" s="1"/>
  <c r="E19" i="1"/>
  <c r="E88" i="1" s="1"/>
  <c r="B28" i="1"/>
  <c r="C28" i="1"/>
  <c r="B36" i="1"/>
  <c r="B104" i="1" s="1"/>
  <c r="C36" i="1"/>
  <c r="C104" i="1" s="1"/>
  <c r="D36" i="1"/>
  <c r="D104" i="1" s="1"/>
  <c r="E36" i="1"/>
  <c r="E104" i="1" s="1"/>
  <c r="E1" i="1"/>
  <c r="D1" i="1" s="1"/>
  <c r="C1" i="1" s="1"/>
  <c r="B1" i="1" s="1"/>
  <c r="R1" i="5"/>
  <c r="S1" i="5" s="1"/>
  <c r="T1" i="5" s="1"/>
  <c r="U1" i="5" s="1"/>
  <c r="V1" i="5" s="1"/>
  <c r="K1" i="5"/>
  <c r="L1" i="5" s="1"/>
  <c r="M1" i="5" s="1"/>
  <c r="N1" i="5" s="1"/>
  <c r="J1" i="5"/>
  <c r="C1" i="5"/>
  <c r="D1" i="5" s="1"/>
  <c r="E1" i="5" s="1"/>
  <c r="F1" i="5" s="1"/>
  <c r="G1" i="5" s="1"/>
  <c r="K36" i="1"/>
  <c r="J36" i="1"/>
  <c r="I36" i="1"/>
  <c r="H36" i="1"/>
  <c r="G36" i="1"/>
  <c r="F36" i="1"/>
  <c r="G15" i="1"/>
  <c r="C54" i="8" s="1"/>
  <c r="C59" i="8" s="1"/>
  <c r="H15" i="1"/>
  <c r="D54" i="8" s="1"/>
  <c r="D59" i="8" s="1"/>
  <c r="I15" i="1"/>
  <c r="E54" i="8" s="1"/>
  <c r="E59" i="8" s="1"/>
  <c r="J15" i="1"/>
  <c r="F54" i="8" s="1"/>
  <c r="F59" i="8" s="1"/>
  <c r="K15" i="1"/>
  <c r="F15" i="1"/>
  <c r="B54" i="8" s="1"/>
  <c r="B59" i="8" s="1"/>
  <c r="AL1" i="1"/>
  <c r="AM1" i="1" s="1"/>
  <c r="AN1" i="1" s="1"/>
  <c r="AO1" i="1" s="1"/>
  <c r="AP1" i="1" s="1"/>
  <c r="K34" i="1"/>
  <c r="J34" i="1"/>
  <c r="I34" i="1"/>
  <c r="H34" i="1"/>
  <c r="G34" i="1"/>
  <c r="F34" i="1"/>
  <c r="G13" i="1"/>
  <c r="H13" i="1"/>
  <c r="I13" i="1"/>
  <c r="J13" i="1"/>
  <c r="K13" i="1"/>
  <c r="F13" i="1"/>
  <c r="G5" i="1"/>
  <c r="H5" i="1"/>
  <c r="I5" i="1"/>
  <c r="J5" i="1"/>
  <c r="K5" i="1"/>
  <c r="L5" i="1" s="1"/>
  <c r="F5" i="1"/>
  <c r="L13" i="1" l="1"/>
  <c r="G54" i="8"/>
  <c r="G59" i="8" s="1"/>
  <c r="L15" i="1"/>
  <c r="AA51" i="1"/>
  <c r="D33" i="1"/>
  <c r="D101" i="1" s="1"/>
  <c r="D61" i="1"/>
  <c r="C18" i="1"/>
  <c r="C87" i="1" s="1"/>
  <c r="C54" i="1"/>
  <c r="C33" i="1"/>
  <c r="C101" i="1" s="1"/>
  <c r="C61" i="1"/>
  <c r="B33" i="1"/>
  <c r="B101" i="1" s="1"/>
  <c r="B61" i="1"/>
  <c r="E18" i="1"/>
  <c r="E87" i="1" s="1"/>
  <c r="E54" i="1"/>
  <c r="AA83" i="1"/>
  <c r="E33" i="1"/>
  <c r="E101" i="1" s="1"/>
  <c r="E61" i="1"/>
  <c r="D18" i="1"/>
  <c r="D87" i="1" s="1"/>
  <c r="D54" i="1"/>
  <c r="I62" i="1"/>
  <c r="X76" i="2"/>
  <c r="X43" i="2"/>
  <c r="X11" i="2"/>
  <c r="V96" i="2"/>
  <c r="V60" i="2"/>
  <c r="V28" i="2"/>
  <c r="Z96" i="2"/>
  <c r="Z60" i="2"/>
  <c r="Z28" i="2"/>
  <c r="J64" i="1"/>
  <c r="Y78" i="2"/>
  <c r="Y13" i="2"/>
  <c r="Y45" i="2"/>
  <c r="B6" i="5"/>
  <c r="B30" i="5" s="1"/>
  <c r="U98" i="2"/>
  <c r="U30" i="2"/>
  <c r="U62" i="2"/>
  <c r="F6" i="5"/>
  <c r="F30" i="5" s="1"/>
  <c r="Y30" i="2"/>
  <c r="Y98" i="2"/>
  <c r="Y62" i="2"/>
  <c r="F62" i="1"/>
  <c r="U76" i="2"/>
  <c r="U11" i="2"/>
  <c r="U43" i="2"/>
  <c r="H62" i="1"/>
  <c r="W76" i="2"/>
  <c r="W43" i="2"/>
  <c r="W11" i="2"/>
  <c r="W96" i="2"/>
  <c r="W60" i="2"/>
  <c r="W28" i="2"/>
  <c r="I64" i="1"/>
  <c r="X78" i="2"/>
  <c r="X13" i="2"/>
  <c r="X45" i="2"/>
  <c r="V30" i="2"/>
  <c r="V98" i="2"/>
  <c r="V62" i="2"/>
  <c r="Z30" i="2"/>
  <c r="Z98" i="2"/>
  <c r="Z62" i="2"/>
  <c r="K62" i="1"/>
  <c r="Z76" i="2"/>
  <c r="Z43" i="2"/>
  <c r="Z11" i="2"/>
  <c r="G62" i="1"/>
  <c r="V76" i="2"/>
  <c r="V43" i="2"/>
  <c r="V11" i="2"/>
  <c r="X96" i="2"/>
  <c r="X60" i="2"/>
  <c r="X28" i="2"/>
  <c r="F64" i="1"/>
  <c r="U78" i="2"/>
  <c r="U13" i="2"/>
  <c r="U45" i="2"/>
  <c r="H64" i="1"/>
  <c r="W78" i="2"/>
  <c r="W13" i="2"/>
  <c r="W45" i="2"/>
  <c r="W30" i="2"/>
  <c r="W98" i="2"/>
  <c r="W62" i="2"/>
  <c r="J62" i="1"/>
  <c r="Y76" i="2"/>
  <c r="Y43" i="2"/>
  <c r="Y11" i="2"/>
  <c r="U96" i="2"/>
  <c r="U28" i="2"/>
  <c r="U60" i="2"/>
  <c r="Y96" i="2"/>
  <c r="Y60" i="2"/>
  <c r="Y28" i="2"/>
  <c r="K64" i="1"/>
  <c r="Z13" i="2"/>
  <c r="Z78" i="2"/>
  <c r="Z45" i="2"/>
  <c r="G64" i="1"/>
  <c r="V13" i="2"/>
  <c r="V78" i="2"/>
  <c r="V45" i="2"/>
  <c r="E6" i="5"/>
  <c r="E30" i="5" s="1"/>
  <c r="X62" i="2"/>
  <c r="X30" i="2"/>
  <c r="X98" i="2"/>
  <c r="Y68" i="2"/>
  <c r="Y3" i="2"/>
  <c r="Y35" i="2"/>
  <c r="F54" i="1"/>
  <c r="U68" i="2"/>
  <c r="U35" i="2"/>
  <c r="U3" i="2"/>
  <c r="X68" i="2"/>
  <c r="X3" i="2"/>
  <c r="X35" i="2"/>
  <c r="W68" i="2"/>
  <c r="W3" i="2"/>
  <c r="W35" i="2"/>
  <c r="Z68" i="2"/>
  <c r="Z3" i="2"/>
  <c r="Z35" i="2"/>
  <c r="G54" i="1"/>
  <c r="V68" i="2"/>
  <c r="V35" i="2"/>
  <c r="V3" i="2"/>
  <c r="F104" i="1"/>
  <c r="V84" i="1"/>
  <c r="G104" i="1"/>
  <c r="Y84" i="1"/>
  <c r="J104" i="1"/>
  <c r="X84" i="1"/>
  <c r="I104" i="1"/>
  <c r="W84" i="1"/>
  <c r="H104" i="1"/>
  <c r="Z84" i="1"/>
  <c r="K104" i="1"/>
  <c r="B4" i="5"/>
  <c r="F102" i="1"/>
  <c r="F4" i="5"/>
  <c r="F28" i="5" s="1"/>
  <c r="J102" i="1"/>
  <c r="C4" i="5"/>
  <c r="G102" i="1"/>
  <c r="G4" i="5"/>
  <c r="G28" i="5" s="1"/>
  <c r="K102" i="1"/>
  <c r="Z102" i="1" s="1"/>
  <c r="D4" i="5"/>
  <c r="D28" i="5" s="1"/>
  <c r="H102" i="1"/>
  <c r="E4" i="5"/>
  <c r="I102" i="1"/>
  <c r="S102" i="1" s="1"/>
  <c r="K54" i="1"/>
  <c r="J54" i="1"/>
  <c r="H54" i="1"/>
  <c r="I54" i="1"/>
  <c r="G18" i="1"/>
  <c r="C22" i="8" s="1"/>
  <c r="C28" i="8" s="1"/>
  <c r="F18" i="1"/>
  <c r="B22" i="8" s="1"/>
  <c r="B28" i="8" s="1"/>
  <c r="Z15" i="1"/>
  <c r="V15" i="1"/>
  <c r="W36" i="1"/>
  <c r="Y36" i="1"/>
  <c r="C16" i="1"/>
  <c r="Z36" i="1"/>
  <c r="B16" i="1"/>
  <c r="V36" i="1"/>
  <c r="B18" i="1"/>
  <c r="W15" i="1"/>
  <c r="D6" i="5"/>
  <c r="X36" i="1"/>
  <c r="Y15" i="1"/>
  <c r="G6" i="5"/>
  <c r="G30" i="5" s="1"/>
  <c r="C6" i="5"/>
  <c r="C30" i="5" s="1"/>
  <c r="X15" i="1"/>
  <c r="W13" i="1"/>
  <c r="V13" i="1"/>
  <c r="X34" i="1"/>
  <c r="Y34" i="1"/>
  <c r="X13" i="1"/>
  <c r="V34" i="1"/>
  <c r="Z34" i="1"/>
  <c r="W34" i="1"/>
  <c r="Z13" i="1"/>
  <c r="Y13" i="1"/>
  <c r="AD1" i="1"/>
  <c r="AE1" i="1" s="1"/>
  <c r="AF1" i="1" s="1"/>
  <c r="AG1" i="1" s="1"/>
  <c r="AH1" i="1" s="1"/>
  <c r="V5" i="1"/>
  <c r="V1" i="1"/>
  <c r="W1" i="1" s="1"/>
  <c r="X1" i="1" s="1"/>
  <c r="Y1" i="1" s="1"/>
  <c r="Z1" i="1" s="1"/>
  <c r="G11" i="1"/>
  <c r="C25" i="8" s="1"/>
  <c r="C31" i="8" s="1"/>
  <c r="H11" i="1"/>
  <c r="D25" i="8" s="1"/>
  <c r="D31" i="8" s="1"/>
  <c r="I11" i="1"/>
  <c r="E25" i="8" s="1"/>
  <c r="E31" i="8" s="1"/>
  <c r="J11" i="1"/>
  <c r="F25" i="8" s="1"/>
  <c r="F31" i="8" s="1"/>
  <c r="K11" i="1"/>
  <c r="F11" i="1"/>
  <c r="B25" i="8" s="1"/>
  <c r="B31" i="8" s="1"/>
  <c r="G32" i="1"/>
  <c r="H32" i="1"/>
  <c r="I32" i="1"/>
  <c r="J32" i="1"/>
  <c r="K32" i="1"/>
  <c r="F32" i="1"/>
  <c r="G31" i="1"/>
  <c r="H31" i="1"/>
  <c r="I31" i="1"/>
  <c r="J31" i="1"/>
  <c r="K31" i="1"/>
  <c r="F31" i="1"/>
  <c r="G30" i="1"/>
  <c r="H30" i="1"/>
  <c r="I30" i="1"/>
  <c r="J30" i="1"/>
  <c r="K30" i="1"/>
  <c r="F30" i="1"/>
  <c r="G29" i="1"/>
  <c r="H29" i="1"/>
  <c r="I29" i="1"/>
  <c r="J29" i="1"/>
  <c r="K29" i="1"/>
  <c r="F29" i="1"/>
  <c r="Y62" i="1" l="1"/>
  <c r="G25" i="8"/>
  <c r="G31" i="8" s="1"/>
  <c r="L11" i="1"/>
  <c r="AA98" i="2"/>
  <c r="V102" i="1"/>
  <c r="K4" i="5"/>
  <c r="C37" i="1"/>
  <c r="B37" i="1"/>
  <c r="B87" i="1"/>
  <c r="S62" i="1"/>
  <c r="S104" i="1"/>
  <c r="S64" i="1"/>
  <c r="S54" i="1"/>
  <c r="V64" i="1"/>
  <c r="Z64" i="1"/>
  <c r="V62" i="1"/>
  <c r="Y64" i="1"/>
  <c r="AA96" i="2"/>
  <c r="Z62" i="1"/>
  <c r="AA13" i="2"/>
  <c r="AA11" i="2"/>
  <c r="N4" i="5"/>
  <c r="Z104" i="1"/>
  <c r="W64" i="1"/>
  <c r="W104" i="1"/>
  <c r="K98" i="1"/>
  <c r="Z92" i="2"/>
  <c r="Z25" i="2"/>
  <c r="Z57" i="2"/>
  <c r="X93" i="2"/>
  <c r="X58" i="2"/>
  <c r="X26" i="2"/>
  <c r="I60" i="1"/>
  <c r="X74" i="2"/>
  <c r="X41" i="2"/>
  <c r="X9" i="2"/>
  <c r="F97" i="1"/>
  <c r="H5" i="7"/>
  <c r="U91" i="2"/>
  <c r="U56" i="2"/>
  <c r="U24" i="2"/>
  <c r="J98" i="1"/>
  <c r="Y92" i="2"/>
  <c r="Y57" i="2"/>
  <c r="Y25" i="2"/>
  <c r="W93" i="2"/>
  <c r="W26" i="2"/>
  <c r="W58" i="2"/>
  <c r="F60" i="1"/>
  <c r="U74" i="2"/>
  <c r="U41" i="2"/>
  <c r="U9" i="2"/>
  <c r="L6" i="5"/>
  <c r="D30" i="5"/>
  <c r="W62" i="1"/>
  <c r="AA78" i="2"/>
  <c r="F36" i="5"/>
  <c r="M30" i="5"/>
  <c r="K97" i="1"/>
  <c r="M5" i="7"/>
  <c r="Z91" i="2"/>
  <c r="Z56" i="2"/>
  <c r="Z24" i="2"/>
  <c r="I98" i="1"/>
  <c r="X92" i="2"/>
  <c r="X57" i="2"/>
  <c r="X25" i="2"/>
  <c r="V93" i="2"/>
  <c r="V26" i="2"/>
  <c r="V58" i="2"/>
  <c r="I100" i="1"/>
  <c r="X94" i="2"/>
  <c r="K60" i="1"/>
  <c r="Z74" i="2"/>
  <c r="Z9" i="2"/>
  <c r="Z41" i="2"/>
  <c r="G60" i="1"/>
  <c r="V74" i="2"/>
  <c r="V9" i="2"/>
  <c r="V41" i="2"/>
  <c r="N30" i="5"/>
  <c r="G36" i="5"/>
  <c r="M4" i="5"/>
  <c r="E28" i="5"/>
  <c r="V104" i="1"/>
  <c r="AA30" i="2"/>
  <c r="AA28" i="2"/>
  <c r="X64" i="1"/>
  <c r="AA76" i="2"/>
  <c r="I97" i="1"/>
  <c r="K5" i="7"/>
  <c r="X91" i="2"/>
  <c r="X56" i="2"/>
  <c r="X24" i="2"/>
  <c r="G98" i="1"/>
  <c r="V92" i="2"/>
  <c r="V25" i="2"/>
  <c r="V57" i="2"/>
  <c r="K100" i="1"/>
  <c r="Z94" i="2"/>
  <c r="D34" i="5"/>
  <c r="L30" i="5"/>
  <c r="E36" i="5"/>
  <c r="H97" i="1"/>
  <c r="J5" i="7"/>
  <c r="W91" i="2"/>
  <c r="W56" i="2"/>
  <c r="W24" i="2"/>
  <c r="U93" i="2"/>
  <c r="U26" i="2"/>
  <c r="U58" i="2"/>
  <c r="J100" i="1"/>
  <c r="Y94" i="2"/>
  <c r="H60" i="1"/>
  <c r="W74" i="2"/>
  <c r="W41" i="2"/>
  <c r="W9" i="2"/>
  <c r="C36" i="5"/>
  <c r="J30" i="5"/>
  <c r="J4" i="5"/>
  <c r="C28" i="5"/>
  <c r="B28" i="5"/>
  <c r="B36" i="5"/>
  <c r="AA43" i="2"/>
  <c r="G97" i="1"/>
  <c r="I5" i="7"/>
  <c r="V91" i="2"/>
  <c r="V56" i="2"/>
  <c r="V24" i="2"/>
  <c r="Z93" i="2"/>
  <c r="Z58" i="2"/>
  <c r="Z26" i="2"/>
  <c r="J97" i="1"/>
  <c r="L5" i="7"/>
  <c r="Y91" i="2"/>
  <c r="Y56" i="2"/>
  <c r="Y24" i="2"/>
  <c r="F98" i="1"/>
  <c r="U92" i="2"/>
  <c r="U25" i="2"/>
  <c r="U57" i="2"/>
  <c r="H98" i="1"/>
  <c r="W92" i="2"/>
  <c r="W25" i="2"/>
  <c r="W57" i="2"/>
  <c r="Y93" i="2"/>
  <c r="Y26" i="2"/>
  <c r="Y58" i="2"/>
  <c r="H100" i="1"/>
  <c r="W94" i="2"/>
  <c r="J60" i="1"/>
  <c r="Y74" i="2"/>
  <c r="Y9" i="2"/>
  <c r="Y41" i="2"/>
  <c r="M6" i="5"/>
  <c r="W102" i="1"/>
  <c r="G34" i="5"/>
  <c r="N28" i="5"/>
  <c r="F34" i="5"/>
  <c r="M28" i="5"/>
  <c r="AA62" i="2"/>
  <c r="AA60" i="2"/>
  <c r="AA45" i="2"/>
  <c r="X62" i="1"/>
  <c r="X54" i="1"/>
  <c r="W54" i="1"/>
  <c r="AA68" i="2"/>
  <c r="F87" i="1"/>
  <c r="U81" i="2"/>
  <c r="U48" i="2"/>
  <c r="U16" i="2"/>
  <c r="Y54" i="1"/>
  <c r="AA35" i="2"/>
  <c r="G87" i="1"/>
  <c r="V81" i="2"/>
  <c r="V48" i="2"/>
  <c r="V16" i="2"/>
  <c r="V54" i="1"/>
  <c r="AA3" i="2"/>
  <c r="X104" i="1"/>
  <c r="AA84" i="1"/>
  <c r="Y104" i="1"/>
  <c r="G5" i="5"/>
  <c r="K99" i="1"/>
  <c r="C5" i="5"/>
  <c r="C29" i="5" s="1"/>
  <c r="G99" i="1"/>
  <c r="E5" i="5"/>
  <c r="E7" i="5" s="1"/>
  <c r="I99" i="1"/>
  <c r="B5" i="5"/>
  <c r="F99" i="1"/>
  <c r="D5" i="5"/>
  <c r="H99" i="1"/>
  <c r="F5" i="5"/>
  <c r="J99" i="1"/>
  <c r="Z54" i="1"/>
  <c r="Y102" i="1"/>
  <c r="X102" i="1"/>
  <c r="L4" i="5"/>
  <c r="V18" i="1"/>
  <c r="AA15" i="1"/>
  <c r="AA36" i="1"/>
  <c r="J6" i="5"/>
  <c r="N6" i="5"/>
  <c r="K6" i="5"/>
  <c r="AA34" i="1"/>
  <c r="AA13" i="1"/>
  <c r="Z29" i="1"/>
  <c r="X30" i="1"/>
  <c r="Z31" i="1"/>
  <c r="X32" i="1"/>
  <c r="Z11" i="1"/>
  <c r="V31" i="1"/>
  <c r="X31" i="1"/>
  <c r="Z32" i="1"/>
  <c r="X11" i="1"/>
  <c r="Y29" i="1"/>
  <c r="Y31" i="1"/>
  <c r="W29" i="1"/>
  <c r="Y30" i="1"/>
  <c r="Y32" i="1"/>
  <c r="W11" i="1"/>
  <c r="V11" i="1"/>
  <c r="Y11" i="1"/>
  <c r="X29" i="1"/>
  <c r="Z30" i="1"/>
  <c r="W31" i="1"/>
  <c r="W30" i="1"/>
  <c r="V29" i="1"/>
  <c r="V30" i="1"/>
  <c r="AA62" i="1" l="1"/>
  <c r="C7" i="5"/>
  <c r="R7" i="5" s="1"/>
  <c r="Y97" i="1"/>
  <c r="Y60" i="1"/>
  <c r="O6" i="5"/>
  <c r="S97" i="1"/>
  <c r="S99" i="1"/>
  <c r="S60" i="1"/>
  <c r="N5" i="5"/>
  <c r="S98" i="1"/>
  <c r="S100" i="1"/>
  <c r="AA64" i="1"/>
  <c r="O4" i="5"/>
  <c r="J5" i="5"/>
  <c r="W98" i="1"/>
  <c r="V87" i="1"/>
  <c r="V60" i="1"/>
  <c r="V97" i="1"/>
  <c r="AA94" i="2"/>
  <c r="X98" i="1"/>
  <c r="X100" i="1"/>
  <c r="AA25" i="2"/>
  <c r="Z97" i="1"/>
  <c r="W60" i="1"/>
  <c r="AA24" i="2"/>
  <c r="X97" i="1"/>
  <c r="N36" i="5"/>
  <c r="D7" i="5"/>
  <c r="S7" i="5" s="1"/>
  <c r="D29" i="5"/>
  <c r="D31" i="5" s="1"/>
  <c r="S30" i="5" s="1"/>
  <c r="M5" i="5"/>
  <c r="E29" i="5"/>
  <c r="G7" i="5"/>
  <c r="V6" i="5" s="1"/>
  <c r="G29" i="5"/>
  <c r="J36" i="5"/>
  <c r="M69" i="7"/>
  <c r="M53" i="7"/>
  <c r="M32" i="7"/>
  <c r="X60" i="1"/>
  <c r="C34" i="5"/>
  <c r="K34" i="5" s="1"/>
  <c r="J28" i="5"/>
  <c r="C31" i="5"/>
  <c r="R28" i="5" s="1"/>
  <c r="AA56" i="2"/>
  <c r="AA9" i="2"/>
  <c r="AA26" i="2"/>
  <c r="L5" i="5"/>
  <c r="AA102" i="1"/>
  <c r="F7" i="5"/>
  <c r="F29" i="5"/>
  <c r="B7" i="5"/>
  <c r="B29" i="5"/>
  <c r="C35" i="5"/>
  <c r="L69" i="7"/>
  <c r="L53" i="7"/>
  <c r="L32" i="7"/>
  <c r="I69" i="7"/>
  <c r="I53" i="7"/>
  <c r="I32" i="7"/>
  <c r="J69" i="7"/>
  <c r="J53" i="7"/>
  <c r="J32" i="7"/>
  <c r="AA91" i="2"/>
  <c r="AA57" i="2"/>
  <c r="O30" i="5"/>
  <c r="AA41" i="2"/>
  <c r="AA58" i="2"/>
  <c r="AA54" i="1"/>
  <c r="W99" i="1"/>
  <c r="Z99" i="1"/>
  <c r="N34" i="5"/>
  <c r="B34" i="5"/>
  <c r="Y100" i="1"/>
  <c r="W97" i="1"/>
  <c r="K28" i="5"/>
  <c r="Z100" i="1"/>
  <c r="V98" i="1"/>
  <c r="K53" i="7"/>
  <c r="K69" i="7"/>
  <c r="K32" i="7"/>
  <c r="L28" i="5"/>
  <c r="O28" i="5" s="1"/>
  <c r="E34" i="5"/>
  <c r="L34" i="5" s="1"/>
  <c r="Z60" i="1"/>
  <c r="AA92" i="2"/>
  <c r="M36" i="5"/>
  <c r="D36" i="5"/>
  <c r="K36" i="5" s="1"/>
  <c r="K30" i="5"/>
  <c r="Y98" i="1"/>
  <c r="H69" i="7"/>
  <c r="H53" i="7"/>
  <c r="H32" i="7"/>
  <c r="AA74" i="2"/>
  <c r="AA93" i="2"/>
  <c r="Z98" i="1"/>
  <c r="AA104" i="1"/>
  <c r="K5" i="5"/>
  <c r="Y99" i="1"/>
  <c r="V99" i="1"/>
  <c r="X99" i="1"/>
  <c r="R6" i="5"/>
  <c r="T5" i="5"/>
  <c r="T7" i="5"/>
  <c r="T4" i="5"/>
  <c r="T6" i="5"/>
  <c r="AA31" i="1"/>
  <c r="AA32" i="1"/>
  <c r="AA30" i="1"/>
  <c r="AA29" i="1"/>
  <c r="AA11" i="1"/>
  <c r="G27" i="1"/>
  <c r="H27" i="1"/>
  <c r="I27" i="1"/>
  <c r="J27" i="1"/>
  <c r="K27" i="1"/>
  <c r="F27" i="1"/>
  <c r="G26" i="1"/>
  <c r="H26" i="1"/>
  <c r="I26" i="1"/>
  <c r="J26" i="1"/>
  <c r="K26" i="1"/>
  <c r="F26" i="1"/>
  <c r="G25" i="1"/>
  <c r="H25" i="1"/>
  <c r="I25" i="1"/>
  <c r="J25" i="1"/>
  <c r="K25" i="1"/>
  <c r="F25" i="1"/>
  <c r="R5" i="5" l="1"/>
  <c r="R4" i="5"/>
  <c r="J7" i="5"/>
  <c r="O5" i="5"/>
  <c r="V5" i="5"/>
  <c r="K7" i="5"/>
  <c r="S5" i="5"/>
  <c r="Z5" i="5" s="1"/>
  <c r="V7" i="5"/>
  <c r="S6" i="5"/>
  <c r="AA6" i="5" s="1"/>
  <c r="V4" i="5"/>
  <c r="S4" i="5"/>
  <c r="AA4" i="5" s="1"/>
  <c r="L7" i="5"/>
  <c r="N7" i="5"/>
  <c r="AA97" i="1"/>
  <c r="AA99" i="1"/>
  <c r="AA60" i="1"/>
  <c r="R29" i="5"/>
  <c r="AA100" i="1"/>
  <c r="I93" i="1"/>
  <c r="K6" i="7"/>
  <c r="X87" i="2"/>
  <c r="X52" i="2"/>
  <c r="X20" i="2"/>
  <c r="K94" i="1"/>
  <c r="M7" i="7"/>
  <c r="Z88" i="2"/>
  <c r="Z53" i="2"/>
  <c r="Z21" i="2"/>
  <c r="I95" i="1"/>
  <c r="X89" i="2"/>
  <c r="X22" i="2"/>
  <c r="X54" i="2"/>
  <c r="J94" i="1"/>
  <c r="L7" i="7"/>
  <c r="Y88" i="2"/>
  <c r="Y53" i="2"/>
  <c r="Y21" i="2"/>
  <c r="J93" i="1"/>
  <c r="L6" i="7"/>
  <c r="Y87" i="2"/>
  <c r="Y20" i="2"/>
  <c r="Y52" i="2"/>
  <c r="F94" i="1"/>
  <c r="H7" i="7"/>
  <c r="U88" i="2"/>
  <c r="U53" i="2"/>
  <c r="U21" i="2"/>
  <c r="H94" i="1"/>
  <c r="J7" i="7"/>
  <c r="W88" i="2"/>
  <c r="W21" i="2"/>
  <c r="W53" i="2"/>
  <c r="J95" i="1"/>
  <c r="Y89" i="2"/>
  <c r="Y22" i="2"/>
  <c r="Y54" i="2"/>
  <c r="U4" i="5"/>
  <c r="AB4" i="5" s="1"/>
  <c r="U5" i="5"/>
  <c r="U6" i="5"/>
  <c r="AC6" i="5" s="1"/>
  <c r="U7" i="5"/>
  <c r="R31" i="5"/>
  <c r="C37" i="5"/>
  <c r="R30" i="5"/>
  <c r="N29" i="5"/>
  <c r="G35" i="5"/>
  <c r="G31" i="5"/>
  <c r="V29" i="5" s="1"/>
  <c r="S29" i="5"/>
  <c r="D35" i="5"/>
  <c r="K35" i="5" s="1"/>
  <c r="K29" i="5"/>
  <c r="G94" i="1"/>
  <c r="I7" i="7"/>
  <c r="V88" i="2"/>
  <c r="V21" i="2"/>
  <c r="V53" i="2"/>
  <c r="B35" i="5"/>
  <c r="J35" i="5" s="1"/>
  <c r="Q7" i="5"/>
  <c r="Q5" i="5"/>
  <c r="Y5" i="5" s="1"/>
  <c r="Q6" i="5"/>
  <c r="Y6" i="5" s="1"/>
  <c r="Q4" i="5"/>
  <c r="Y4" i="5" s="1"/>
  <c r="E31" i="5"/>
  <c r="E35" i="5"/>
  <c r="L29" i="5"/>
  <c r="F93" i="1"/>
  <c r="H6" i="7"/>
  <c r="U87" i="2"/>
  <c r="U52" i="2"/>
  <c r="U20" i="2"/>
  <c r="H93" i="1"/>
  <c r="J6" i="7"/>
  <c r="W87" i="2"/>
  <c r="W52" i="2"/>
  <c r="W20" i="2"/>
  <c r="K93" i="1"/>
  <c r="M6" i="7"/>
  <c r="Z87" i="2"/>
  <c r="Z52" i="2"/>
  <c r="Z20" i="2"/>
  <c r="G93" i="1"/>
  <c r="I6" i="7"/>
  <c r="V87" i="2"/>
  <c r="V20" i="2"/>
  <c r="V52" i="2"/>
  <c r="I94" i="1"/>
  <c r="K7" i="7"/>
  <c r="X88" i="2"/>
  <c r="X53" i="2"/>
  <c r="X21" i="2"/>
  <c r="K95" i="1"/>
  <c r="Z89" i="2"/>
  <c r="Z54" i="2"/>
  <c r="Z22" i="2"/>
  <c r="AA98" i="1"/>
  <c r="D37" i="5"/>
  <c r="S31" i="5"/>
  <c r="K31" i="5"/>
  <c r="S28" i="5"/>
  <c r="Z28" i="5" s="1"/>
  <c r="B31" i="5"/>
  <c r="J31" i="5" s="1"/>
  <c r="M34" i="5"/>
  <c r="O34" i="5" s="1"/>
  <c r="J29" i="5"/>
  <c r="F35" i="5"/>
  <c r="M29" i="5"/>
  <c r="F31" i="5"/>
  <c r="L36" i="5"/>
  <c r="O36" i="5" s="1"/>
  <c r="J34" i="5"/>
  <c r="M7" i="5"/>
  <c r="Y27" i="1"/>
  <c r="W25" i="1"/>
  <c r="Y26" i="1"/>
  <c r="Y25" i="1"/>
  <c r="W26" i="1"/>
  <c r="Z25" i="1"/>
  <c r="X26" i="1"/>
  <c r="Z27" i="1"/>
  <c r="X25" i="1"/>
  <c r="Z26" i="1"/>
  <c r="V26" i="1"/>
  <c r="V25" i="1"/>
  <c r="G24" i="1"/>
  <c r="H24" i="1"/>
  <c r="I24" i="1"/>
  <c r="J24" i="1"/>
  <c r="K24" i="1"/>
  <c r="F24" i="1"/>
  <c r="G9" i="1"/>
  <c r="C26" i="8" s="1"/>
  <c r="C32" i="8" s="1"/>
  <c r="H9" i="1"/>
  <c r="D26" i="8" s="1"/>
  <c r="D32" i="8" s="1"/>
  <c r="I9" i="1"/>
  <c r="E26" i="8" s="1"/>
  <c r="E32" i="8" s="1"/>
  <c r="J9" i="1"/>
  <c r="F26" i="8" s="1"/>
  <c r="F32" i="8" s="1"/>
  <c r="K9" i="1"/>
  <c r="F9" i="1"/>
  <c r="B26" i="8" s="1"/>
  <c r="B32" i="8" s="1"/>
  <c r="G26" i="8" l="1"/>
  <c r="G32" i="8" s="1"/>
  <c r="L9" i="1"/>
  <c r="AC5" i="5"/>
  <c r="AA5" i="5"/>
  <c r="Z4" i="5"/>
  <c r="V94" i="1"/>
  <c r="AB5" i="5"/>
  <c r="S94" i="1"/>
  <c r="AA53" i="2"/>
  <c r="AA88" i="2"/>
  <c r="AC4" i="5"/>
  <c r="AD4" i="5" s="1"/>
  <c r="Y93" i="1"/>
  <c r="Z6" i="5"/>
  <c r="Z93" i="1"/>
  <c r="O7" i="5"/>
  <c r="X94" i="1"/>
  <c r="S95" i="1"/>
  <c r="Z94" i="1"/>
  <c r="S93" i="1"/>
  <c r="K37" i="5"/>
  <c r="V93" i="1"/>
  <c r="AB6" i="5"/>
  <c r="AD6" i="5" s="1"/>
  <c r="L35" i="5"/>
  <c r="Z29" i="5"/>
  <c r="Z95" i="1"/>
  <c r="AA21" i="2"/>
  <c r="W94" i="1"/>
  <c r="M35" i="5"/>
  <c r="W93" i="1"/>
  <c r="K71" i="7"/>
  <c r="K34" i="7"/>
  <c r="K55" i="7"/>
  <c r="H70" i="7"/>
  <c r="H33" i="7"/>
  <c r="H54" i="7"/>
  <c r="N35" i="5"/>
  <c r="H71" i="7"/>
  <c r="H55" i="7"/>
  <c r="H34" i="7"/>
  <c r="Y94" i="1"/>
  <c r="M71" i="7"/>
  <c r="M34" i="7"/>
  <c r="M55" i="7"/>
  <c r="AA87" i="2"/>
  <c r="J58" i="1"/>
  <c r="Y72" i="2"/>
  <c r="Y7" i="2"/>
  <c r="Y39" i="2"/>
  <c r="H92" i="1"/>
  <c r="W86" i="2"/>
  <c r="W51" i="2"/>
  <c r="W19" i="2"/>
  <c r="U31" i="5"/>
  <c r="M31" i="5"/>
  <c r="F37" i="5"/>
  <c r="U28" i="5"/>
  <c r="U30" i="5"/>
  <c r="I70" i="7"/>
  <c r="I54" i="7"/>
  <c r="I33" i="7"/>
  <c r="T31" i="5"/>
  <c r="E37" i="5"/>
  <c r="L37" i="5" s="1"/>
  <c r="L31" i="5"/>
  <c r="T30" i="5"/>
  <c r="AA30" i="5" s="1"/>
  <c r="T28" i="5"/>
  <c r="AA28" i="5" s="1"/>
  <c r="Q29" i="5"/>
  <c r="Y29" i="5" s="1"/>
  <c r="L70" i="7"/>
  <c r="L54" i="7"/>
  <c r="L33" i="7"/>
  <c r="AA54" i="2"/>
  <c r="K70" i="7"/>
  <c r="K33" i="7"/>
  <c r="K54" i="7"/>
  <c r="K58" i="1"/>
  <c r="Z72" i="2"/>
  <c r="Z39" i="2"/>
  <c r="Z7" i="2"/>
  <c r="I92" i="1"/>
  <c r="X86" i="2"/>
  <c r="X19" i="2"/>
  <c r="X51" i="2"/>
  <c r="G92" i="1"/>
  <c r="V86" i="2"/>
  <c r="V51" i="2"/>
  <c r="V19" i="2"/>
  <c r="X93" i="1"/>
  <c r="M70" i="7"/>
  <c r="M33" i="7"/>
  <c r="M54" i="7"/>
  <c r="O29" i="5"/>
  <c r="I71" i="7"/>
  <c r="I34" i="7"/>
  <c r="I55" i="7"/>
  <c r="AA22" i="2"/>
  <c r="AA20" i="2"/>
  <c r="G58" i="1"/>
  <c r="V72" i="2"/>
  <c r="V7" i="2"/>
  <c r="V39" i="2"/>
  <c r="F92" i="1"/>
  <c r="U86" i="2"/>
  <c r="U19" i="2"/>
  <c r="U51" i="2"/>
  <c r="I58" i="1"/>
  <c r="X72" i="2"/>
  <c r="X39" i="2"/>
  <c r="X7" i="2"/>
  <c r="K92" i="1"/>
  <c r="Z86" i="2"/>
  <c r="Z19" i="2"/>
  <c r="Z51" i="2"/>
  <c r="F58" i="1"/>
  <c r="U72" i="2"/>
  <c r="U39" i="2"/>
  <c r="U7" i="2"/>
  <c r="H58" i="1"/>
  <c r="W72" i="2"/>
  <c r="W7" i="2"/>
  <c r="W39" i="2"/>
  <c r="J92" i="1"/>
  <c r="Y86" i="2"/>
  <c r="Y51" i="2"/>
  <c r="Y19" i="2"/>
  <c r="U29" i="5"/>
  <c r="AC29" i="5" s="1"/>
  <c r="B37" i="5"/>
  <c r="J37" i="5" s="1"/>
  <c r="Q31" i="5"/>
  <c r="Q30" i="5"/>
  <c r="Y30" i="5" s="1"/>
  <c r="Q28" i="5"/>
  <c r="Y28" i="5" s="1"/>
  <c r="J70" i="7"/>
  <c r="J33" i="7"/>
  <c r="J54" i="7"/>
  <c r="T29" i="5"/>
  <c r="N31" i="5"/>
  <c r="V31" i="5"/>
  <c r="G37" i="5"/>
  <c r="V30" i="5"/>
  <c r="V28" i="5"/>
  <c r="Y95" i="1"/>
  <c r="J71" i="7"/>
  <c r="J55" i="7"/>
  <c r="J34" i="7"/>
  <c r="L71" i="7"/>
  <c r="L34" i="7"/>
  <c r="L55" i="7"/>
  <c r="AA89" i="2"/>
  <c r="AA52" i="2"/>
  <c r="Z30" i="5"/>
  <c r="AA27" i="1"/>
  <c r="AA25" i="1"/>
  <c r="Y9" i="1"/>
  <c r="W24" i="1"/>
  <c r="AA26" i="1"/>
  <c r="Z9" i="1"/>
  <c r="X24" i="1"/>
  <c r="W9" i="1"/>
  <c r="Y24" i="1"/>
  <c r="V9" i="1"/>
  <c r="X9" i="1"/>
  <c r="Z24" i="1"/>
  <c r="V24" i="1"/>
  <c r="G8" i="1"/>
  <c r="H8" i="1"/>
  <c r="I8" i="1"/>
  <c r="J8" i="1"/>
  <c r="K8" i="1"/>
  <c r="F8" i="1"/>
  <c r="W58" i="1" l="1"/>
  <c r="L8" i="1"/>
  <c r="AD5" i="5"/>
  <c r="W92" i="1"/>
  <c r="AA93" i="1"/>
  <c r="S92" i="1"/>
  <c r="S58" i="1"/>
  <c r="AA94" i="1"/>
  <c r="O35" i="5"/>
  <c r="N37" i="5"/>
  <c r="AA72" i="2"/>
  <c r="Y92" i="1"/>
  <c r="V58" i="1"/>
  <c r="X92" i="1"/>
  <c r="Y58" i="1"/>
  <c r="AA95" i="1"/>
  <c r="AA39" i="2"/>
  <c r="AA7" i="2"/>
  <c r="Z58" i="1"/>
  <c r="M37" i="5"/>
  <c r="Y71" i="2"/>
  <c r="Y38" i="2"/>
  <c r="Y6" i="2"/>
  <c r="AA51" i="2"/>
  <c r="O31" i="5"/>
  <c r="AA19" i="2"/>
  <c r="AA86" i="2"/>
  <c r="AC30" i="5"/>
  <c r="AB30" i="5"/>
  <c r="I57" i="1"/>
  <c r="X71" i="2"/>
  <c r="X6" i="2"/>
  <c r="X38" i="2"/>
  <c r="U71" i="2"/>
  <c r="U38" i="2"/>
  <c r="U6" i="2"/>
  <c r="H57" i="1"/>
  <c r="W71" i="2"/>
  <c r="W38" i="2"/>
  <c r="W6" i="2"/>
  <c r="K57" i="1"/>
  <c r="Z71" i="2"/>
  <c r="Z38" i="2"/>
  <c r="Z6" i="2"/>
  <c r="V71" i="2"/>
  <c r="V6" i="2"/>
  <c r="V38" i="2"/>
  <c r="AB29" i="5"/>
  <c r="AA29" i="5"/>
  <c r="Z92" i="1"/>
  <c r="X58" i="1"/>
  <c r="AA58" i="1" s="1"/>
  <c r="V92" i="1"/>
  <c r="AC28" i="5"/>
  <c r="AB28" i="5"/>
  <c r="G23" i="1"/>
  <c r="C24" i="8" s="1"/>
  <c r="C30" i="8" s="1"/>
  <c r="G57" i="1"/>
  <c r="J23" i="1"/>
  <c r="F24" i="8" s="1"/>
  <c r="F30" i="8" s="1"/>
  <c r="J57" i="1"/>
  <c r="Z8" i="1"/>
  <c r="AA9" i="1"/>
  <c r="AA24" i="1"/>
  <c r="V8" i="1"/>
  <c r="I23" i="1"/>
  <c r="E24" i="8" s="1"/>
  <c r="E30" i="8" s="1"/>
  <c r="X8" i="1"/>
  <c r="H23" i="1"/>
  <c r="D24" i="8" s="1"/>
  <c r="D30" i="8" s="1"/>
  <c r="W8" i="1"/>
  <c r="Y8" i="1"/>
  <c r="K23" i="1"/>
  <c r="G24" i="8" s="1"/>
  <c r="G30" i="8" s="1"/>
  <c r="F23" i="1"/>
  <c r="B24" i="8" s="1"/>
  <c r="B30" i="8" s="1"/>
  <c r="G22" i="1"/>
  <c r="H22" i="1"/>
  <c r="I22" i="1"/>
  <c r="J22" i="1"/>
  <c r="K22" i="1"/>
  <c r="F22" i="1"/>
  <c r="G7" i="1"/>
  <c r="C51" i="8" s="1"/>
  <c r="C56" i="8" s="1"/>
  <c r="H7" i="1"/>
  <c r="D51" i="8" s="1"/>
  <c r="D56" i="8" s="1"/>
  <c r="I7" i="1"/>
  <c r="E51" i="8" s="1"/>
  <c r="E56" i="8" s="1"/>
  <c r="J7" i="1"/>
  <c r="F51" i="8" s="1"/>
  <c r="F56" i="8" s="1"/>
  <c r="K7" i="1"/>
  <c r="F7" i="1"/>
  <c r="B51" i="8" s="1"/>
  <c r="B56" i="8" s="1"/>
  <c r="K21" i="1"/>
  <c r="G21" i="1"/>
  <c r="H21" i="1"/>
  <c r="I21" i="1"/>
  <c r="J21" i="1"/>
  <c r="F21" i="1"/>
  <c r="G51" i="8" l="1"/>
  <c r="G56" i="8" s="1"/>
  <c r="L7" i="1"/>
  <c r="AA92" i="1"/>
  <c r="S57" i="1"/>
  <c r="O37" i="5"/>
  <c r="AD30" i="5"/>
  <c r="AD28" i="5"/>
  <c r="AD29" i="5"/>
  <c r="Y57" i="1"/>
  <c r="W57" i="1"/>
  <c r="H8" i="7"/>
  <c r="H10" i="7" s="1"/>
  <c r="H68" i="7"/>
  <c r="H31" i="7"/>
  <c r="H52" i="7"/>
  <c r="AA71" i="2"/>
  <c r="G89" i="1"/>
  <c r="V83" i="2"/>
  <c r="H90" i="1"/>
  <c r="W84" i="2"/>
  <c r="G91" i="1"/>
  <c r="V85" i="2"/>
  <c r="V18" i="2"/>
  <c r="V50" i="2"/>
  <c r="J56" i="1"/>
  <c r="Y70" i="2"/>
  <c r="Y5" i="2"/>
  <c r="Y37" i="2"/>
  <c r="J89" i="1"/>
  <c r="Y83" i="2"/>
  <c r="I56" i="1"/>
  <c r="X70" i="2"/>
  <c r="X37" i="2"/>
  <c r="X5" i="2"/>
  <c r="G90" i="1"/>
  <c r="V84" i="2"/>
  <c r="I89" i="1"/>
  <c r="X83" i="2"/>
  <c r="F56" i="1"/>
  <c r="U70" i="2"/>
  <c r="U37" i="2"/>
  <c r="U5" i="2"/>
  <c r="H56" i="1"/>
  <c r="W70" i="2"/>
  <c r="W37" i="2"/>
  <c r="W5" i="2"/>
  <c r="J90" i="1"/>
  <c r="Y84" i="2"/>
  <c r="U85" i="2"/>
  <c r="U50" i="2"/>
  <c r="U18" i="2"/>
  <c r="H91" i="1"/>
  <c r="W85" i="2"/>
  <c r="W18" i="2"/>
  <c r="W50" i="2"/>
  <c r="J91" i="1"/>
  <c r="Y85" i="2"/>
  <c r="Y50" i="2"/>
  <c r="Y18" i="2"/>
  <c r="AA38" i="2"/>
  <c r="X57" i="1"/>
  <c r="F89" i="1"/>
  <c r="U83" i="2"/>
  <c r="F90" i="1"/>
  <c r="U84" i="2"/>
  <c r="I91" i="1"/>
  <c r="X85" i="2"/>
  <c r="X50" i="2"/>
  <c r="X18" i="2"/>
  <c r="K89" i="1"/>
  <c r="Z83" i="2"/>
  <c r="K90" i="1"/>
  <c r="Z84" i="2"/>
  <c r="I8" i="7"/>
  <c r="I10" i="7" s="1"/>
  <c r="I68" i="7"/>
  <c r="I52" i="7"/>
  <c r="I31" i="7"/>
  <c r="M8" i="7"/>
  <c r="M10" i="7" s="1"/>
  <c r="M68" i="7"/>
  <c r="M31" i="7"/>
  <c r="M52" i="7"/>
  <c r="K8" i="7"/>
  <c r="K68" i="7"/>
  <c r="K31" i="7"/>
  <c r="K52" i="7"/>
  <c r="H89" i="1"/>
  <c r="W83" i="2"/>
  <c r="K56" i="1"/>
  <c r="Z70" i="2"/>
  <c r="Z5" i="2"/>
  <c r="Z37" i="2"/>
  <c r="G56" i="1"/>
  <c r="V70" i="2"/>
  <c r="V37" i="2"/>
  <c r="V5" i="2"/>
  <c r="I90" i="1"/>
  <c r="X84" i="2"/>
  <c r="Z85" i="2"/>
  <c r="Z50" i="2"/>
  <c r="Z18" i="2"/>
  <c r="J8" i="7"/>
  <c r="J68" i="7"/>
  <c r="J31" i="7"/>
  <c r="J52" i="7"/>
  <c r="AA6" i="2"/>
  <c r="L8" i="7"/>
  <c r="L68" i="7"/>
  <c r="L31" i="7"/>
  <c r="L52" i="7"/>
  <c r="Z57" i="1"/>
  <c r="Z23" i="1"/>
  <c r="K91" i="1"/>
  <c r="V23" i="1"/>
  <c r="W23" i="1"/>
  <c r="W21" i="1"/>
  <c r="Z7" i="1"/>
  <c r="X22" i="1"/>
  <c r="AA8" i="1"/>
  <c r="Y7" i="1"/>
  <c r="W22" i="1"/>
  <c r="X23" i="1"/>
  <c r="X21" i="1"/>
  <c r="W7" i="1"/>
  <c r="Y22" i="1"/>
  <c r="V7" i="1"/>
  <c r="V21" i="1"/>
  <c r="Y21" i="1"/>
  <c r="Z21" i="1"/>
  <c r="X7" i="1"/>
  <c r="Z22" i="1"/>
  <c r="V22" i="1"/>
  <c r="Y23" i="1"/>
  <c r="K20" i="1"/>
  <c r="J20" i="1"/>
  <c r="G19" i="1"/>
  <c r="H19" i="1"/>
  <c r="I19" i="1"/>
  <c r="J19" i="1"/>
  <c r="K19" i="1"/>
  <c r="F19" i="1"/>
  <c r="G6" i="1"/>
  <c r="C52" i="8" s="1"/>
  <c r="C57" i="8" s="1"/>
  <c r="H6" i="1"/>
  <c r="D52" i="8" s="1"/>
  <c r="D57" i="8" s="1"/>
  <c r="I6" i="1"/>
  <c r="E52" i="8" s="1"/>
  <c r="E57" i="8" s="1"/>
  <c r="J6" i="1"/>
  <c r="F52" i="8" s="1"/>
  <c r="F57" i="8" s="1"/>
  <c r="K6" i="1"/>
  <c r="F6" i="1"/>
  <c r="B52" i="8" s="1"/>
  <c r="B57" i="8" s="1"/>
  <c r="G52" i="8" l="1"/>
  <c r="G57" i="8" s="1"/>
  <c r="L6" i="1"/>
  <c r="X56" i="1"/>
  <c r="W90" i="1"/>
  <c r="V56" i="1"/>
  <c r="X90" i="1"/>
  <c r="S90" i="1"/>
  <c r="S56" i="1"/>
  <c r="S89" i="1"/>
  <c r="S91" i="1"/>
  <c r="Z90" i="1"/>
  <c r="Y91" i="1"/>
  <c r="AA37" i="2"/>
  <c r="Z89" i="1"/>
  <c r="Y56" i="1"/>
  <c r="V89" i="1"/>
  <c r="AA57" i="1"/>
  <c r="AA18" i="2"/>
  <c r="AA50" i="2"/>
  <c r="W91" i="1"/>
  <c r="W89" i="1"/>
  <c r="AA83" i="2"/>
  <c r="J88" i="1"/>
  <c r="Y17" i="2"/>
  <c r="Y49" i="2"/>
  <c r="J12" i="7"/>
  <c r="J11" i="7"/>
  <c r="J13" i="7"/>
  <c r="I88" i="1"/>
  <c r="X17" i="2"/>
  <c r="X49" i="2"/>
  <c r="H55" i="1"/>
  <c r="W69" i="2"/>
  <c r="W82" i="2"/>
  <c r="W4" i="2"/>
  <c r="W36" i="2"/>
  <c r="K55" i="1"/>
  <c r="Z69" i="2"/>
  <c r="Z82" i="2"/>
  <c r="Z4" i="2"/>
  <c r="Z36" i="2"/>
  <c r="G55" i="1"/>
  <c r="V69" i="2"/>
  <c r="V82" i="2"/>
  <c r="V4" i="2"/>
  <c r="V36" i="2"/>
  <c r="X89" i="1"/>
  <c r="Y89" i="1"/>
  <c r="J55" i="1"/>
  <c r="Y69" i="2"/>
  <c r="Y82" i="2"/>
  <c r="Y36" i="2"/>
  <c r="Y4" i="2"/>
  <c r="F88" i="1"/>
  <c r="U49" i="2"/>
  <c r="U17" i="2"/>
  <c r="H88" i="1"/>
  <c r="W49" i="2"/>
  <c r="W17" i="2"/>
  <c r="Z91" i="1"/>
  <c r="L10" i="7"/>
  <c r="L11" i="7"/>
  <c r="L12" i="7"/>
  <c r="L13" i="7"/>
  <c r="J10" i="7"/>
  <c r="Z56" i="1"/>
  <c r="M12" i="7"/>
  <c r="M11" i="7"/>
  <c r="M13" i="7"/>
  <c r="AA85" i="2"/>
  <c r="AA70" i="2"/>
  <c r="F55" i="1"/>
  <c r="U69" i="2"/>
  <c r="U82" i="2"/>
  <c r="U36" i="2"/>
  <c r="U4" i="2"/>
  <c r="AA5" i="2"/>
  <c r="AA84" i="2"/>
  <c r="K13" i="7"/>
  <c r="K11" i="7"/>
  <c r="K12" i="7"/>
  <c r="I55" i="1"/>
  <c r="X69" i="2"/>
  <c r="X82" i="2"/>
  <c r="X4" i="2"/>
  <c r="X36" i="2"/>
  <c r="K88" i="1"/>
  <c r="Z88" i="1" s="1"/>
  <c r="Z49" i="2"/>
  <c r="Z17" i="2"/>
  <c r="G88" i="1"/>
  <c r="V88" i="1" s="1"/>
  <c r="V17" i="2"/>
  <c r="V49" i="2"/>
  <c r="K10" i="7"/>
  <c r="I12" i="7"/>
  <c r="I11" i="7"/>
  <c r="I13" i="7"/>
  <c r="X91" i="1"/>
  <c r="Y90" i="1"/>
  <c r="W56" i="1"/>
  <c r="V90" i="1"/>
  <c r="H12" i="7"/>
  <c r="H11" i="7"/>
  <c r="H13" i="7"/>
  <c r="AA21" i="1"/>
  <c r="Z6" i="1"/>
  <c r="X19" i="1"/>
  <c r="Z20" i="1"/>
  <c r="AA20" i="1" s="1"/>
  <c r="AA7" i="1"/>
  <c r="AA23" i="1"/>
  <c r="X6" i="1"/>
  <c r="AA22" i="1"/>
  <c r="Z19" i="1"/>
  <c r="V6" i="1"/>
  <c r="V19" i="1"/>
  <c r="Y6" i="1"/>
  <c r="W19" i="1"/>
  <c r="W6" i="1"/>
  <c r="Y19" i="1"/>
  <c r="J18" i="1"/>
  <c r="F22" i="8" s="1"/>
  <c r="F28" i="8" s="1"/>
  <c r="Y5" i="1"/>
  <c r="H18" i="1"/>
  <c r="D22" i="8" s="1"/>
  <c r="D28" i="8" s="1"/>
  <c r="W5" i="1"/>
  <c r="K18" i="1"/>
  <c r="G22" i="8" s="1"/>
  <c r="G28" i="8" s="1"/>
  <c r="Z5" i="1"/>
  <c r="I18" i="1"/>
  <c r="E22" i="8" s="1"/>
  <c r="E28" i="8" s="1"/>
  <c r="X5" i="1"/>
  <c r="G1" i="1"/>
  <c r="H1" i="1" s="1"/>
  <c r="I1" i="1" s="1"/>
  <c r="J1" i="1" s="1"/>
  <c r="K1" i="1" s="1"/>
  <c r="X55" i="1" l="1"/>
  <c r="V55" i="1"/>
  <c r="AA69" i="2"/>
  <c r="AA91" i="1"/>
  <c r="AA4" i="2"/>
  <c r="AA90" i="1"/>
  <c r="AA56" i="1"/>
  <c r="AA36" i="2"/>
  <c r="S88" i="1"/>
  <c r="S55" i="1"/>
  <c r="W55" i="1"/>
  <c r="Y88" i="1"/>
  <c r="AA89" i="1"/>
  <c r="AA49" i="2"/>
  <c r="AA82" i="2"/>
  <c r="AA17" i="2"/>
  <c r="W88" i="1"/>
  <c r="Y55" i="1"/>
  <c r="Z55" i="1"/>
  <c r="X88" i="1"/>
  <c r="AA88" i="1" s="1"/>
  <c r="I87" i="1"/>
  <c r="X81" i="2"/>
  <c r="X16" i="2"/>
  <c r="X48" i="2"/>
  <c r="H87" i="1"/>
  <c r="W87" i="1" s="1"/>
  <c r="W81" i="2"/>
  <c r="W48" i="2"/>
  <c r="W16" i="2"/>
  <c r="K87" i="1"/>
  <c r="Z81" i="2"/>
  <c r="Z16" i="2"/>
  <c r="Z48" i="2"/>
  <c r="J87" i="1"/>
  <c r="Y81" i="2"/>
  <c r="Y16" i="2"/>
  <c r="Y48" i="2"/>
  <c r="AA6" i="1"/>
  <c r="AA5" i="1"/>
  <c r="AA19" i="1"/>
  <c r="X18" i="1"/>
  <c r="Z18" i="1"/>
  <c r="Y18" i="1"/>
  <c r="W18" i="1"/>
  <c r="Y87" i="1" l="1"/>
  <c r="S87" i="1"/>
  <c r="AA55" i="1"/>
  <c r="AA48" i="2"/>
  <c r="AA16" i="2"/>
  <c r="AA81" i="2"/>
  <c r="Z87" i="1"/>
  <c r="X87" i="1"/>
  <c r="AA18" i="1"/>
  <c r="AA87" i="1" l="1"/>
  <c r="K12" i="1"/>
  <c r="L12" i="1" s="1"/>
  <c r="H12" i="1"/>
  <c r="J12" i="1"/>
  <c r="F12" i="1"/>
  <c r="G12" i="1"/>
  <c r="I12" i="1"/>
  <c r="W75" i="2" l="1"/>
  <c r="W10" i="2"/>
  <c r="W42" i="2"/>
  <c r="U75" i="2"/>
  <c r="U42" i="2"/>
  <c r="U10" i="2"/>
  <c r="J61" i="1"/>
  <c r="Y75" i="2"/>
  <c r="Y10" i="2"/>
  <c r="Y42" i="2"/>
  <c r="I61" i="1"/>
  <c r="X75" i="2"/>
  <c r="X10" i="2"/>
  <c r="X42" i="2"/>
  <c r="V75" i="2"/>
  <c r="V42" i="2"/>
  <c r="V10" i="2"/>
  <c r="K61" i="1"/>
  <c r="Z75" i="2"/>
  <c r="Z10" i="2"/>
  <c r="Z42" i="2"/>
  <c r="F61" i="1"/>
  <c r="H61" i="1"/>
  <c r="G61" i="1"/>
  <c r="H33" i="1"/>
  <c r="W12" i="1"/>
  <c r="J33" i="1"/>
  <c r="Y12" i="1"/>
  <c r="K33" i="1"/>
  <c r="Z12" i="1"/>
  <c r="F33" i="1"/>
  <c r="G33" i="1"/>
  <c r="V12" i="1"/>
  <c r="I33" i="1"/>
  <c r="X12" i="1"/>
  <c r="S61" i="1" l="1"/>
  <c r="V61" i="1"/>
  <c r="AA42" i="2"/>
  <c r="K101" i="1"/>
  <c r="Z95" i="2"/>
  <c r="Z27" i="2"/>
  <c r="Z59" i="2"/>
  <c r="W95" i="2"/>
  <c r="W27" i="2"/>
  <c r="W59" i="2"/>
  <c r="AA75" i="2"/>
  <c r="Y61" i="1"/>
  <c r="J101" i="1"/>
  <c r="Y95" i="2"/>
  <c r="Y27" i="2"/>
  <c r="Y59" i="2"/>
  <c r="Z61" i="1"/>
  <c r="V95" i="2"/>
  <c r="V59" i="2"/>
  <c r="V27" i="2"/>
  <c r="U95" i="2"/>
  <c r="U27" i="2"/>
  <c r="U59" i="2"/>
  <c r="I101" i="1"/>
  <c r="X95" i="2"/>
  <c r="X59" i="2"/>
  <c r="X27" i="2"/>
  <c r="AA10" i="2"/>
  <c r="F101" i="1"/>
  <c r="G101" i="1"/>
  <c r="H101" i="1"/>
  <c r="W61" i="1"/>
  <c r="X61" i="1"/>
  <c r="AA12" i="1"/>
  <c r="Y33" i="1"/>
  <c r="X33" i="1"/>
  <c r="W33" i="1"/>
  <c r="V33" i="1"/>
  <c r="Z33" i="1"/>
  <c r="S101" i="1" l="1"/>
  <c r="W101" i="1"/>
  <c r="AA27" i="2"/>
  <c r="AA95" i="2"/>
  <c r="Z101" i="1"/>
  <c r="AA61" i="1"/>
  <c r="AA59" i="2"/>
  <c r="Y101" i="1"/>
  <c r="V101" i="1"/>
  <c r="X101" i="1"/>
  <c r="AA33" i="1"/>
  <c r="I14" i="1"/>
  <c r="K69" i="6" s="1"/>
  <c r="K72" i="6" s="1"/>
  <c r="AA101" i="1" l="1"/>
  <c r="I63" i="1"/>
  <c r="X44" i="2"/>
  <c r="X12" i="2"/>
  <c r="X77" i="2"/>
  <c r="I35" i="1"/>
  <c r="E23" i="8" s="1"/>
  <c r="E29" i="8" s="1"/>
  <c r="J14" i="1"/>
  <c r="L69" i="6" s="1"/>
  <c r="K14" i="1"/>
  <c r="M69" i="6" l="1"/>
  <c r="M70" i="6" s="1"/>
  <c r="L14" i="1"/>
  <c r="L72" i="6"/>
  <c r="L73" i="6" s="1"/>
  <c r="L70" i="6"/>
  <c r="M72" i="6"/>
  <c r="N70" i="6"/>
  <c r="U69" i="6"/>
  <c r="K63" i="1"/>
  <c r="Z44" i="2"/>
  <c r="Z12" i="2"/>
  <c r="Z77" i="2"/>
  <c r="J63" i="1"/>
  <c r="Y63" i="1" s="1"/>
  <c r="Y44" i="2"/>
  <c r="Y12" i="2"/>
  <c r="AA12" i="2" s="1"/>
  <c r="Y77" i="2"/>
  <c r="AA77" i="2" s="1"/>
  <c r="I103" i="1"/>
  <c r="X61" i="2"/>
  <c r="X97" i="2"/>
  <c r="X29" i="2"/>
  <c r="K35" i="1"/>
  <c r="G23" i="8" s="1"/>
  <c r="G29" i="8" s="1"/>
  <c r="J35" i="1"/>
  <c r="F23" i="8" s="1"/>
  <c r="F29" i="8" s="1"/>
  <c r="Z14" i="1"/>
  <c r="Y14" i="1"/>
  <c r="M73" i="6" l="1"/>
  <c r="N73" i="6"/>
  <c r="S63" i="1"/>
  <c r="AA44" i="2"/>
  <c r="K103" i="1"/>
  <c r="Z61" i="2"/>
  <c r="Z97" i="2"/>
  <c r="Z29" i="2"/>
  <c r="J103" i="1"/>
  <c r="Y103" i="1" s="1"/>
  <c r="Y61" i="2"/>
  <c r="Y97" i="2"/>
  <c r="Y29" i="2"/>
  <c r="Z63" i="1"/>
  <c r="AA63" i="1" s="1"/>
  <c r="Y35" i="1"/>
  <c r="Z35" i="1"/>
  <c r="AA14" i="1"/>
  <c r="Z103" i="1" l="1"/>
  <c r="AA103" i="1" s="1"/>
  <c r="AA97" i="2"/>
  <c r="AA61" i="2"/>
  <c r="S103" i="1"/>
  <c r="AA29" i="2"/>
  <c r="AA35" i="1"/>
  <c r="F44" i="1" l="1"/>
  <c r="V44" i="1" l="1"/>
  <c r="F71" i="1"/>
  <c r="F57" i="1"/>
  <c r="V57" i="1" s="1"/>
  <c r="V71" i="1" l="1"/>
  <c r="F91" i="1"/>
  <c r="V91" i="1" s="1"/>
  <c r="L48" i="6" l="1"/>
  <c r="M48" i="6" l="1"/>
  <c r="G40" i="2" l="1"/>
  <c r="F40" i="2"/>
  <c r="H40" i="2"/>
  <c r="I40" i="2"/>
  <c r="J40" i="2"/>
  <c r="K40" i="2"/>
  <c r="O40" i="2" l="1"/>
  <c r="H55" i="2"/>
  <c r="H46" i="2"/>
  <c r="G55" i="2"/>
  <c r="G46" i="2"/>
  <c r="E40" i="2"/>
  <c r="H90" i="2"/>
  <c r="H73" i="2"/>
  <c r="D90" i="2"/>
  <c r="D99" i="2" s="1"/>
  <c r="D73" i="2"/>
  <c r="D79" i="2" s="1"/>
  <c r="D10" i="1"/>
  <c r="D28" i="1"/>
  <c r="B40" i="2"/>
  <c r="K73" i="2"/>
  <c r="K90" i="2"/>
  <c r="G73" i="2"/>
  <c r="G90" i="2"/>
  <c r="C73" i="2"/>
  <c r="C79" i="2" s="1"/>
  <c r="C90" i="2"/>
  <c r="C99" i="2" s="1"/>
  <c r="J28" i="1"/>
  <c r="J10" i="1"/>
  <c r="R40" i="2"/>
  <c r="K55" i="2"/>
  <c r="K46" i="2"/>
  <c r="J73" i="2"/>
  <c r="J90" i="2"/>
  <c r="F90" i="2"/>
  <c r="F99" i="2" s="1"/>
  <c r="F73" i="2"/>
  <c r="B90" i="2"/>
  <c r="B99" i="2" s="1"/>
  <c r="B73" i="2"/>
  <c r="B79" i="2" s="1"/>
  <c r="J55" i="2"/>
  <c r="Q40" i="2"/>
  <c r="J46" i="2"/>
  <c r="I55" i="2"/>
  <c r="P40" i="2"/>
  <c r="I46" i="2"/>
  <c r="N40" i="2"/>
  <c r="F55" i="2"/>
  <c r="F46" i="2"/>
  <c r="I90" i="2"/>
  <c r="I73" i="2"/>
  <c r="E90" i="2"/>
  <c r="E99" i="2" s="1"/>
  <c r="E73" i="2"/>
  <c r="E79" i="2" s="1"/>
  <c r="D46" i="1"/>
  <c r="L73" i="2" l="1"/>
  <c r="S40" i="2"/>
  <c r="I10" i="1"/>
  <c r="Y10" i="1" s="1"/>
  <c r="I28" i="1"/>
  <c r="X55" i="2" s="1"/>
  <c r="K28" i="1"/>
  <c r="Z55" i="2" s="1"/>
  <c r="K10" i="1"/>
  <c r="L10" i="1" s="1"/>
  <c r="P73" i="2"/>
  <c r="I79" i="2"/>
  <c r="P46" i="2"/>
  <c r="Q46" i="2"/>
  <c r="Q90" i="2"/>
  <c r="J99" i="2"/>
  <c r="R55" i="2"/>
  <c r="K63" i="2"/>
  <c r="R90" i="2"/>
  <c r="K99" i="2"/>
  <c r="D37" i="1"/>
  <c r="B46" i="1"/>
  <c r="P90" i="2"/>
  <c r="S90" i="2" s="1"/>
  <c r="I99" i="2"/>
  <c r="N55" i="2"/>
  <c r="F63" i="2"/>
  <c r="Q73" i="2"/>
  <c r="J79" i="2"/>
  <c r="Y73" i="2"/>
  <c r="R73" i="2"/>
  <c r="K79" i="2"/>
  <c r="L79" i="2" s="1"/>
  <c r="D59" i="1"/>
  <c r="D16" i="1"/>
  <c r="O73" i="2"/>
  <c r="H79" i="2"/>
  <c r="O46" i="2"/>
  <c r="E10" i="1"/>
  <c r="E28" i="1"/>
  <c r="E46" i="1"/>
  <c r="F10" i="1"/>
  <c r="F28" i="1"/>
  <c r="U55" i="2" s="1"/>
  <c r="G28" i="1"/>
  <c r="V55" i="2" s="1"/>
  <c r="G10" i="1"/>
  <c r="V73" i="2" s="1"/>
  <c r="P55" i="2"/>
  <c r="I63" i="2"/>
  <c r="Q55" i="2"/>
  <c r="J63" i="2"/>
  <c r="Y55" i="2"/>
  <c r="F79" i="2"/>
  <c r="Y8" i="2"/>
  <c r="F53" i="8"/>
  <c r="F58" i="8" s="1"/>
  <c r="J16" i="1"/>
  <c r="AG10" i="1" s="1"/>
  <c r="N90" i="2"/>
  <c r="G99" i="2"/>
  <c r="N99" i="2" s="1"/>
  <c r="B55" i="2"/>
  <c r="B63" i="2" s="1"/>
  <c r="B46" i="2"/>
  <c r="O90" i="2"/>
  <c r="H99" i="2"/>
  <c r="N46" i="2"/>
  <c r="O55" i="2"/>
  <c r="H63" i="2"/>
  <c r="D76" i="1"/>
  <c r="D85" i="1" s="1"/>
  <c r="D52" i="1"/>
  <c r="H10" i="1"/>
  <c r="H28" i="1"/>
  <c r="W55" i="2" s="1"/>
  <c r="Y40" i="2"/>
  <c r="R46" i="2"/>
  <c r="Y90" i="2"/>
  <c r="Y23" i="2"/>
  <c r="J37" i="1"/>
  <c r="AG28" i="1" s="1"/>
  <c r="N73" i="2"/>
  <c r="G79" i="2"/>
  <c r="E55" i="2"/>
  <c r="E63" i="2" s="1"/>
  <c r="E46" i="2"/>
  <c r="G63" i="2"/>
  <c r="F46" i="1"/>
  <c r="K46" i="1"/>
  <c r="I46" i="1"/>
  <c r="H46" i="1"/>
  <c r="Z73" i="2" l="1"/>
  <c r="Y28" i="1"/>
  <c r="Q79" i="2"/>
  <c r="N79" i="2"/>
  <c r="S55" i="2"/>
  <c r="X46" i="1"/>
  <c r="I76" i="1"/>
  <c r="I52" i="1"/>
  <c r="I59" i="1"/>
  <c r="G46" i="1"/>
  <c r="W46" i="1" s="1"/>
  <c r="Y99" i="2"/>
  <c r="AG34" i="1"/>
  <c r="AG19" i="1"/>
  <c r="AG32" i="1"/>
  <c r="AG21" i="1"/>
  <c r="AG18" i="1"/>
  <c r="AG30" i="1"/>
  <c r="AG27" i="1"/>
  <c r="Y31" i="2"/>
  <c r="AG33" i="1"/>
  <c r="AG25" i="1"/>
  <c r="AG37" i="1"/>
  <c r="AG22" i="1"/>
  <c r="AG24" i="1"/>
  <c r="AG31" i="1"/>
  <c r="AG35" i="1"/>
  <c r="AG36" i="1"/>
  <c r="AG20" i="1"/>
  <c r="AG26" i="1"/>
  <c r="AG29" i="1"/>
  <c r="AG23" i="1"/>
  <c r="W10" i="1"/>
  <c r="W8" i="2"/>
  <c r="D53" i="8"/>
  <c r="D58" i="8" s="1"/>
  <c r="H16" i="1"/>
  <c r="AE10" i="1" s="1"/>
  <c r="W40" i="2"/>
  <c r="Q63" i="2"/>
  <c r="Y63" i="2"/>
  <c r="U8" i="2"/>
  <c r="B53" i="8"/>
  <c r="B58" i="8" s="1"/>
  <c r="F16" i="1"/>
  <c r="AC10" i="1" s="1"/>
  <c r="U40" i="2"/>
  <c r="E59" i="1"/>
  <c r="E16" i="1"/>
  <c r="O79" i="2"/>
  <c r="Q99" i="2"/>
  <c r="P79" i="2"/>
  <c r="H76" i="1"/>
  <c r="H52" i="1"/>
  <c r="H59" i="1"/>
  <c r="K76" i="1"/>
  <c r="K52" i="1"/>
  <c r="AH46" i="1" s="1"/>
  <c r="K59" i="1"/>
  <c r="J46" i="1"/>
  <c r="Z46" i="1" s="1"/>
  <c r="C46" i="1"/>
  <c r="N63" i="2"/>
  <c r="Y79" i="2"/>
  <c r="AG8" i="1"/>
  <c r="AG7" i="1"/>
  <c r="Y14" i="2"/>
  <c r="AG15" i="1"/>
  <c r="AG6" i="1"/>
  <c r="AG5" i="1"/>
  <c r="AG9" i="1"/>
  <c r="AG13" i="1"/>
  <c r="AG14" i="1"/>
  <c r="AG11" i="1"/>
  <c r="AG16" i="1"/>
  <c r="AG12" i="1"/>
  <c r="U73" i="2"/>
  <c r="V10" i="1"/>
  <c r="C53" i="8"/>
  <c r="C58" i="8" s="1"/>
  <c r="V8" i="2"/>
  <c r="G16" i="1"/>
  <c r="V40" i="2"/>
  <c r="E76" i="1"/>
  <c r="E85" i="1" s="1"/>
  <c r="E52" i="1"/>
  <c r="R79" i="2"/>
  <c r="P99" i="2"/>
  <c r="D105" i="1"/>
  <c r="S46" i="2"/>
  <c r="S73" i="2"/>
  <c r="X90" i="2"/>
  <c r="X23" i="2"/>
  <c r="X28" i="1"/>
  <c r="I37" i="1"/>
  <c r="Y37" i="1" s="1"/>
  <c r="F76" i="1"/>
  <c r="F59" i="1"/>
  <c r="F52" i="1"/>
  <c r="AC46" i="1" s="1"/>
  <c r="O63" i="2"/>
  <c r="O99" i="2"/>
  <c r="AA55" i="2"/>
  <c r="V90" i="2"/>
  <c r="V28" i="1"/>
  <c r="V23" i="2"/>
  <c r="G37" i="1"/>
  <c r="AD28" i="1" s="1"/>
  <c r="D65" i="1"/>
  <c r="D96" i="1"/>
  <c r="R63" i="2"/>
  <c r="Y46" i="2"/>
  <c r="Z8" i="2"/>
  <c r="G53" i="8"/>
  <c r="G58" i="8" s="1"/>
  <c r="Z10" i="1"/>
  <c r="K16" i="1"/>
  <c r="Z40" i="2"/>
  <c r="X8" i="2"/>
  <c r="E53" i="8"/>
  <c r="E58" i="8" s="1"/>
  <c r="X10" i="1"/>
  <c r="I16" i="1"/>
  <c r="Y16" i="1" s="1"/>
  <c r="X40" i="2"/>
  <c r="W90" i="2"/>
  <c r="W23" i="2"/>
  <c r="W28" i="1"/>
  <c r="H37" i="1"/>
  <c r="W63" i="2" s="1"/>
  <c r="P63" i="2"/>
  <c r="U90" i="2"/>
  <c r="U23" i="2"/>
  <c r="F37" i="1"/>
  <c r="E37" i="1"/>
  <c r="W73" i="2"/>
  <c r="B76" i="1"/>
  <c r="B52" i="1"/>
  <c r="B65" i="1" s="1"/>
  <c r="B59" i="1"/>
  <c r="R99" i="2"/>
  <c r="X73" i="2"/>
  <c r="AA73" i="2" s="1"/>
  <c r="Z90" i="2"/>
  <c r="Z28" i="1"/>
  <c r="Z23" i="2"/>
  <c r="K37" i="1"/>
  <c r="Z63" i="2" s="1"/>
  <c r="AH10" i="1" l="1"/>
  <c r="AP10" i="1" s="1"/>
  <c r="L16" i="1"/>
  <c r="E96" i="1"/>
  <c r="AH28" i="1"/>
  <c r="AP28" i="1" s="1"/>
  <c r="AF10" i="1"/>
  <c r="AI10" i="1" s="1"/>
  <c r="E105" i="1"/>
  <c r="X63" i="2"/>
  <c r="AA63" i="2" s="1"/>
  <c r="S63" i="2"/>
  <c r="AF28" i="1"/>
  <c r="AO28" i="1" s="1"/>
  <c r="AA8" i="2"/>
  <c r="AE28" i="1"/>
  <c r="AM28" i="1" s="1"/>
  <c r="U99" i="2"/>
  <c r="U31" i="2"/>
  <c r="AC18" i="1"/>
  <c r="AC25" i="1"/>
  <c r="AC27" i="1"/>
  <c r="AC20" i="1"/>
  <c r="AC36" i="1"/>
  <c r="AC23" i="1"/>
  <c r="AC30" i="1"/>
  <c r="AC26" i="1"/>
  <c r="AC37" i="1"/>
  <c r="AC34" i="1"/>
  <c r="AC24" i="1"/>
  <c r="AC21" i="1"/>
  <c r="AC31" i="1"/>
  <c r="AC33" i="1"/>
  <c r="AC35" i="1"/>
  <c r="AC19" i="1"/>
  <c r="AC32" i="1"/>
  <c r="AC29" i="1"/>
  <c r="AC22" i="1"/>
  <c r="AN10" i="1"/>
  <c r="V79" i="2"/>
  <c r="AD9" i="1"/>
  <c r="AD12" i="1"/>
  <c r="V16" i="1"/>
  <c r="AD6" i="1"/>
  <c r="AD11" i="1"/>
  <c r="AD13" i="1"/>
  <c r="AD14" i="1"/>
  <c r="AD5" i="1"/>
  <c r="AD7" i="1"/>
  <c r="V14" i="2"/>
  <c r="AD15" i="1"/>
  <c r="AD16" i="1"/>
  <c r="AD8" i="1"/>
  <c r="V46" i="2"/>
  <c r="AE51" i="1"/>
  <c r="AE52" i="1"/>
  <c r="AE50" i="1"/>
  <c r="AE43" i="1"/>
  <c r="AE41" i="1"/>
  <c r="AE49" i="1"/>
  <c r="AE44" i="1"/>
  <c r="AE48" i="1"/>
  <c r="AE45" i="1"/>
  <c r="AE42" i="1"/>
  <c r="AE47" i="1"/>
  <c r="H65" i="1"/>
  <c r="V46" i="1"/>
  <c r="G76" i="1"/>
  <c r="W76" i="1" s="1"/>
  <c r="G52" i="1"/>
  <c r="W52" i="1" s="1"/>
  <c r="G59" i="1"/>
  <c r="V59" i="1" s="1"/>
  <c r="AF51" i="1"/>
  <c r="AF52" i="1"/>
  <c r="AF43" i="1"/>
  <c r="AF41" i="1"/>
  <c r="AF50" i="1"/>
  <c r="AF49" i="1"/>
  <c r="AF44" i="1"/>
  <c r="AF48" i="1"/>
  <c r="AF45" i="1"/>
  <c r="X52" i="1"/>
  <c r="AF47" i="1"/>
  <c r="AF42" i="1"/>
  <c r="I65" i="1"/>
  <c r="X79" i="2"/>
  <c r="AF15" i="1"/>
  <c r="AO15" i="1" s="1"/>
  <c r="X16" i="1"/>
  <c r="AF7" i="1"/>
  <c r="AF6" i="1"/>
  <c r="AF13" i="1"/>
  <c r="AF8" i="1"/>
  <c r="AO8" i="1" s="1"/>
  <c r="AF11" i="1"/>
  <c r="AO11" i="1" s="1"/>
  <c r="AF16" i="1"/>
  <c r="AF9" i="1"/>
  <c r="AF5" i="1"/>
  <c r="AO5" i="1" s="1"/>
  <c r="AF14" i="1"/>
  <c r="AF12" i="1"/>
  <c r="AO12" i="1" s="1"/>
  <c r="X14" i="2"/>
  <c r="X46" i="2"/>
  <c r="V99" i="2"/>
  <c r="AD36" i="1"/>
  <c r="AD31" i="1"/>
  <c r="AD19" i="1"/>
  <c r="AD26" i="1"/>
  <c r="AD25" i="1"/>
  <c r="AD37" i="1"/>
  <c r="AD32" i="1"/>
  <c r="AD20" i="1"/>
  <c r="AD29" i="1"/>
  <c r="AD30" i="1"/>
  <c r="AD35" i="1"/>
  <c r="V37" i="1"/>
  <c r="AD27" i="1"/>
  <c r="AD23" i="1"/>
  <c r="AD21" i="1"/>
  <c r="AD33" i="1"/>
  <c r="V31" i="2"/>
  <c r="AD34" i="1"/>
  <c r="AD22" i="1"/>
  <c r="AD18" i="1"/>
  <c r="AL18" i="1" s="1"/>
  <c r="AD24" i="1"/>
  <c r="F96" i="1"/>
  <c r="F85" i="1"/>
  <c r="AC76" i="1" s="1"/>
  <c r="AA23" i="2"/>
  <c r="C76" i="1"/>
  <c r="C52" i="1"/>
  <c r="C65" i="1" s="1"/>
  <c r="C59" i="1"/>
  <c r="K85" i="1"/>
  <c r="K96" i="1"/>
  <c r="H85" i="1"/>
  <c r="AE76" i="1" s="1"/>
  <c r="H96" i="1"/>
  <c r="W79" i="2"/>
  <c r="AE13" i="1"/>
  <c r="AE16" i="1"/>
  <c r="AE5" i="1"/>
  <c r="AE7" i="1"/>
  <c r="AE14" i="1"/>
  <c r="W14" i="2"/>
  <c r="AE11" i="1"/>
  <c r="AE12" i="1"/>
  <c r="W16" i="1"/>
  <c r="AE9" i="1"/>
  <c r="AE6" i="1"/>
  <c r="AE15" i="1"/>
  <c r="AE8" i="1"/>
  <c r="W46" i="2"/>
  <c r="X76" i="1"/>
  <c r="I85" i="1"/>
  <c r="AF76" i="1" s="1"/>
  <c r="I96" i="1"/>
  <c r="Z99" i="2"/>
  <c r="Z31" i="2"/>
  <c r="Z37" i="1"/>
  <c r="AH19" i="1"/>
  <c r="AP19" i="1" s="1"/>
  <c r="AH32" i="1"/>
  <c r="AP32" i="1" s="1"/>
  <c r="AH18" i="1"/>
  <c r="AP18" i="1" s="1"/>
  <c r="AH24" i="1"/>
  <c r="AP24" i="1" s="1"/>
  <c r="AH35" i="1"/>
  <c r="AP35" i="1" s="1"/>
  <c r="AH30" i="1"/>
  <c r="AP30" i="1" s="1"/>
  <c r="AH21" i="1"/>
  <c r="AP21" i="1" s="1"/>
  <c r="AH37" i="1"/>
  <c r="AH23" i="1"/>
  <c r="AP23" i="1" s="1"/>
  <c r="AH34" i="1"/>
  <c r="AP34" i="1" s="1"/>
  <c r="AH20" i="1"/>
  <c r="AP20" i="1" s="1"/>
  <c r="AQ20" i="1" s="1"/>
  <c r="AH27" i="1"/>
  <c r="AP27" i="1" s="1"/>
  <c r="AH33" i="1"/>
  <c r="AP33" i="1" s="1"/>
  <c r="AH25" i="1"/>
  <c r="AP25" i="1" s="1"/>
  <c r="AH36" i="1"/>
  <c r="AP36" i="1" s="1"/>
  <c r="AH31" i="1"/>
  <c r="AP31" i="1" s="1"/>
  <c r="AH22" i="1"/>
  <c r="AP22" i="1" s="1"/>
  <c r="AH29" i="1"/>
  <c r="AP29" i="1" s="1"/>
  <c r="AH26" i="1"/>
  <c r="AP26" i="1" s="1"/>
  <c r="B85" i="1"/>
  <c r="B105" i="1" s="1"/>
  <c r="B96" i="1"/>
  <c r="AE37" i="1"/>
  <c r="AE33" i="1"/>
  <c r="AE36" i="1"/>
  <c r="AE27" i="1"/>
  <c r="AE22" i="1"/>
  <c r="AE30" i="1"/>
  <c r="AE23" i="1"/>
  <c r="AE25" i="1"/>
  <c r="W31" i="2"/>
  <c r="AE34" i="1"/>
  <c r="AE29" i="1"/>
  <c r="AE21" i="1"/>
  <c r="AE20" i="1"/>
  <c r="AE31" i="1"/>
  <c r="AE26" i="1"/>
  <c r="AE19" i="1"/>
  <c r="W37" i="1"/>
  <c r="AE35" i="1"/>
  <c r="AE18" i="1"/>
  <c r="AE24" i="1"/>
  <c r="AE32" i="1"/>
  <c r="W99" i="2"/>
  <c r="AA90" i="2"/>
  <c r="S99" i="2"/>
  <c r="AO9" i="1"/>
  <c r="E65" i="1"/>
  <c r="U79" i="2"/>
  <c r="AC13" i="1"/>
  <c r="AC15" i="1"/>
  <c r="AC16" i="1"/>
  <c r="AC9" i="1"/>
  <c r="AC8" i="1"/>
  <c r="AC14" i="1"/>
  <c r="AC7" i="1"/>
  <c r="AC6" i="1"/>
  <c r="AC12" i="1"/>
  <c r="AC5" i="1"/>
  <c r="U14" i="2"/>
  <c r="AC11" i="1"/>
  <c r="U46" i="2"/>
  <c r="X59" i="1"/>
  <c r="U63" i="2"/>
  <c r="AC28" i="1"/>
  <c r="AL28" i="1" s="1"/>
  <c r="AA40" i="2"/>
  <c r="Z79" i="2"/>
  <c r="AH15" i="1"/>
  <c r="AP15" i="1" s="1"/>
  <c r="Z16" i="1"/>
  <c r="AH5" i="1"/>
  <c r="AP5" i="1" s="1"/>
  <c r="AH16" i="1"/>
  <c r="AH13" i="1"/>
  <c r="AP13" i="1" s="1"/>
  <c r="Z14" i="2"/>
  <c r="AH12" i="1"/>
  <c r="AP12" i="1" s="1"/>
  <c r="AH7" i="1"/>
  <c r="AP7" i="1" s="1"/>
  <c r="AH9" i="1"/>
  <c r="AP9" i="1" s="1"/>
  <c r="AH6" i="1"/>
  <c r="AP6" i="1" s="1"/>
  <c r="AH14" i="1"/>
  <c r="AP14" i="1" s="1"/>
  <c r="AH11" i="1"/>
  <c r="AP11" i="1" s="1"/>
  <c r="AH8" i="1"/>
  <c r="AP8" i="1" s="1"/>
  <c r="Z46" i="2"/>
  <c r="AA28" i="1"/>
  <c r="AC44" i="1"/>
  <c r="AC48" i="1"/>
  <c r="AC45" i="1"/>
  <c r="AC51" i="1"/>
  <c r="F65" i="1"/>
  <c r="AC52" i="1"/>
  <c r="AC42" i="1"/>
  <c r="AC41" i="1"/>
  <c r="AC50" i="1"/>
  <c r="AC47" i="1"/>
  <c r="AC49" i="1"/>
  <c r="AC43" i="1"/>
  <c r="X99" i="2"/>
  <c r="X31" i="2"/>
  <c r="X37" i="1"/>
  <c r="AF34" i="1"/>
  <c r="AF22" i="1"/>
  <c r="AF32" i="1"/>
  <c r="AO32" i="1" s="1"/>
  <c r="AF27" i="1"/>
  <c r="AF23" i="1"/>
  <c r="AF20" i="1"/>
  <c r="AF33" i="1"/>
  <c r="AF25" i="1"/>
  <c r="AF21" i="1"/>
  <c r="AF36" i="1"/>
  <c r="AF19" i="1"/>
  <c r="AO19" i="1" s="1"/>
  <c r="AF24" i="1"/>
  <c r="AO24" i="1" s="1"/>
  <c r="AF26" i="1"/>
  <c r="AO26" i="1" s="1"/>
  <c r="AF35" i="1"/>
  <c r="AF18" i="1"/>
  <c r="AO18" i="1" s="1"/>
  <c r="AF37" i="1"/>
  <c r="AF29" i="1"/>
  <c r="AF31" i="1"/>
  <c r="AO31" i="1" s="1"/>
  <c r="AF30" i="1"/>
  <c r="AO30" i="1" s="1"/>
  <c r="AD10" i="1"/>
  <c r="AL10" i="1" s="1"/>
  <c r="AA10" i="1"/>
  <c r="V63" i="2"/>
  <c r="J76" i="1"/>
  <c r="Y46" i="1"/>
  <c r="AA46" i="1" s="1"/>
  <c r="J52" i="1"/>
  <c r="Z52" i="1" s="1"/>
  <c r="J59" i="1"/>
  <c r="Y59" i="1" s="1"/>
  <c r="AH43" i="1"/>
  <c r="AH48" i="1"/>
  <c r="AH41" i="1"/>
  <c r="AH42" i="1"/>
  <c r="AH45" i="1"/>
  <c r="AH44" i="1"/>
  <c r="AH47" i="1"/>
  <c r="AH50" i="1"/>
  <c r="AH51" i="1"/>
  <c r="AH52" i="1"/>
  <c r="AH49" i="1"/>
  <c r="K65" i="1"/>
  <c r="AE46" i="1"/>
  <c r="S79" i="2"/>
  <c r="AF46" i="1"/>
  <c r="AI35" i="1" l="1"/>
  <c r="AM31" i="1"/>
  <c r="AM34" i="1"/>
  <c r="AM11" i="1"/>
  <c r="AL29" i="1"/>
  <c r="AL25" i="1"/>
  <c r="AO10" i="1"/>
  <c r="AQ10" i="1" s="1"/>
  <c r="AN28" i="1"/>
  <c r="AQ28" i="1" s="1"/>
  <c r="AM12" i="1"/>
  <c r="AL33" i="1"/>
  <c r="AM30" i="1"/>
  <c r="AM33" i="1"/>
  <c r="AM6" i="1"/>
  <c r="AM5" i="1"/>
  <c r="AM22" i="1"/>
  <c r="AL24" i="1"/>
  <c r="AM19" i="1"/>
  <c r="AM21" i="1"/>
  <c r="AL31" i="1"/>
  <c r="AM15" i="1"/>
  <c r="AL36" i="1"/>
  <c r="AA31" i="2"/>
  <c r="AA99" i="2"/>
  <c r="AM29" i="1"/>
  <c r="AM36" i="1"/>
  <c r="AM7" i="1"/>
  <c r="AL34" i="1"/>
  <c r="AL23" i="1"/>
  <c r="AL30" i="1"/>
  <c r="W59" i="1"/>
  <c r="AM9" i="1"/>
  <c r="AI27" i="1"/>
  <c r="AA37" i="1"/>
  <c r="AI28" i="1"/>
  <c r="AM25" i="1"/>
  <c r="AM8" i="1"/>
  <c r="AL22" i="1"/>
  <c r="AM24" i="1"/>
  <c r="AG46" i="1"/>
  <c r="AI46" i="1" s="1"/>
  <c r="AL26" i="1"/>
  <c r="AL21" i="1"/>
  <c r="AL19" i="1"/>
  <c r="AI20" i="1"/>
  <c r="AM18" i="1"/>
  <c r="AM26" i="1"/>
  <c r="AM23" i="1"/>
  <c r="AM13" i="1"/>
  <c r="AD46" i="1"/>
  <c r="AN36" i="1"/>
  <c r="AI36" i="1"/>
  <c r="AN22" i="1"/>
  <c r="AI22" i="1"/>
  <c r="AO36" i="1"/>
  <c r="AH73" i="1"/>
  <c r="AH71" i="1"/>
  <c r="AH74" i="1"/>
  <c r="AH75" i="1"/>
  <c r="AH81" i="1"/>
  <c r="AH79" i="1"/>
  <c r="AH83" i="1"/>
  <c r="AH77" i="1"/>
  <c r="AH78" i="1"/>
  <c r="AH85" i="1"/>
  <c r="AH82" i="1"/>
  <c r="AH84" i="1"/>
  <c r="AH80" i="1"/>
  <c r="AH70" i="1"/>
  <c r="AH68" i="1"/>
  <c r="AH67" i="1"/>
  <c r="AH72" i="1"/>
  <c r="AH69" i="1"/>
  <c r="K105" i="1"/>
  <c r="C85" i="1"/>
  <c r="C105" i="1" s="1"/>
  <c r="C96" i="1"/>
  <c r="AA14" i="2"/>
  <c r="AN9" i="1"/>
  <c r="AQ9" i="1" s="1"/>
  <c r="AI9" i="1"/>
  <c r="AN13" i="1"/>
  <c r="AI13" i="1"/>
  <c r="AN15" i="1"/>
  <c r="AI15" i="1"/>
  <c r="X65" i="1"/>
  <c r="V76" i="1"/>
  <c r="G85" i="1"/>
  <c r="AD76" i="1" s="1"/>
  <c r="G96" i="1"/>
  <c r="V96" i="1" s="1"/>
  <c r="AL13" i="1"/>
  <c r="AL12" i="1"/>
  <c r="J85" i="1"/>
  <c r="AG76" i="1" s="1"/>
  <c r="Y76" i="1"/>
  <c r="J96" i="1"/>
  <c r="Y96" i="1" s="1"/>
  <c r="AN29" i="1"/>
  <c r="AI29" i="1"/>
  <c r="AN26" i="1"/>
  <c r="AQ26" i="1" s="1"/>
  <c r="AI26" i="1"/>
  <c r="AN21" i="1"/>
  <c r="AI21" i="1"/>
  <c r="AN23" i="1"/>
  <c r="AI23" i="1"/>
  <c r="AN34" i="1"/>
  <c r="AI34" i="1"/>
  <c r="AO27" i="1"/>
  <c r="AQ27" i="1" s="1"/>
  <c r="X96" i="1"/>
  <c r="AO34" i="1"/>
  <c r="AO23" i="1"/>
  <c r="Z59" i="1"/>
  <c r="AA59" i="1" s="1"/>
  <c r="AN12" i="1"/>
  <c r="AQ12" i="1" s="1"/>
  <c r="AI12" i="1"/>
  <c r="AN6" i="1"/>
  <c r="AI6" i="1"/>
  <c r="AA79" i="2"/>
  <c r="AL8" i="1"/>
  <c r="AL7" i="1"/>
  <c r="AL11" i="1"/>
  <c r="AL9" i="1"/>
  <c r="AN31" i="1"/>
  <c r="AQ31" i="1" s="1"/>
  <c r="AI31" i="1"/>
  <c r="AN24" i="1"/>
  <c r="AQ24" i="1" s="1"/>
  <c r="AI24" i="1"/>
  <c r="AN25" i="1"/>
  <c r="AI25" i="1"/>
  <c r="S59" i="1"/>
  <c r="AO35" i="1"/>
  <c r="AQ35" i="1" s="1"/>
  <c r="AO21" i="1"/>
  <c r="AH76" i="1"/>
  <c r="AO6" i="1"/>
  <c r="AI14" i="1"/>
  <c r="AN11" i="1"/>
  <c r="AQ11" i="1" s="1"/>
  <c r="AI11" i="1"/>
  <c r="AN7" i="1"/>
  <c r="AI7" i="1"/>
  <c r="AO7" i="1"/>
  <c r="AL5" i="1"/>
  <c r="AL6" i="1"/>
  <c r="AO25" i="1"/>
  <c r="AG44" i="1"/>
  <c r="AI44" i="1" s="1"/>
  <c r="AG52" i="1"/>
  <c r="AG47" i="1"/>
  <c r="AI47" i="1" s="1"/>
  <c r="AG41" i="1"/>
  <c r="AI41" i="1" s="1"/>
  <c r="AG50" i="1"/>
  <c r="AI50" i="1" s="1"/>
  <c r="AG51" i="1"/>
  <c r="AI51" i="1" s="1"/>
  <c r="AG42" i="1"/>
  <c r="AI42" i="1" s="1"/>
  <c r="AG45" i="1"/>
  <c r="AI45" i="1" s="1"/>
  <c r="AG49" i="1"/>
  <c r="AI49" i="1" s="1"/>
  <c r="Y52" i="1"/>
  <c r="AA52" i="1" s="1"/>
  <c r="AG48" i="1"/>
  <c r="AI48" i="1" s="1"/>
  <c r="AG43" i="1"/>
  <c r="AI43" i="1" s="1"/>
  <c r="J65" i="1"/>
  <c r="Y65" i="1" s="1"/>
  <c r="AN30" i="1"/>
  <c r="AQ30" i="1" s="1"/>
  <c r="AI30" i="1"/>
  <c r="AN18" i="1"/>
  <c r="AQ18" i="1" s="1"/>
  <c r="AI18" i="1"/>
  <c r="AN19" i="1"/>
  <c r="AQ19" i="1" s="1"/>
  <c r="AI19" i="1"/>
  <c r="AN33" i="1"/>
  <c r="AI33" i="1"/>
  <c r="AN32" i="1"/>
  <c r="AQ32" i="1" s="1"/>
  <c r="AI32" i="1"/>
  <c r="AO29" i="1"/>
  <c r="AF67" i="1"/>
  <c r="AF74" i="1"/>
  <c r="AF71" i="1"/>
  <c r="AF79" i="1"/>
  <c r="AF80" i="1"/>
  <c r="AF68" i="1"/>
  <c r="AF73" i="1"/>
  <c r="AF81" i="1"/>
  <c r="AF84" i="1"/>
  <c r="AF72" i="1"/>
  <c r="AF77" i="1"/>
  <c r="AF82" i="1"/>
  <c r="AF78" i="1"/>
  <c r="AF83" i="1"/>
  <c r="AF69" i="1"/>
  <c r="AF85" i="1"/>
  <c r="AF70" i="1"/>
  <c r="AF75" i="1"/>
  <c r="X85" i="1"/>
  <c r="I105" i="1"/>
  <c r="AO22" i="1"/>
  <c r="AE74" i="1"/>
  <c r="AE84" i="1"/>
  <c r="AE81" i="1"/>
  <c r="AE77" i="1"/>
  <c r="AE82" i="1"/>
  <c r="AE68" i="1"/>
  <c r="AE71" i="1"/>
  <c r="AE85" i="1"/>
  <c r="AE70" i="1"/>
  <c r="AE67" i="1"/>
  <c r="AE75" i="1"/>
  <c r="AE72" i="1"/>
  <c r="AE73" i="1"/>
  <c r="AE83" i="1"/>
  <c r="AE78" i="1"/>
  <c r="AE79" i="1"/>
  <c r="AE80" i="1"/>
  <c r="AE69" i="1"/>
  <c r="H105" i="1"/>
  <c r="Z76" i="1"/>
  <c r="AO13" i="1"/>
  <c r="AC71" i="1"/>
  <c r="AC67" i="1"/>
  <c r="AC68" i="1"/>
  <c r="AC85" i="1"/>
  <c r="AC75" i="1"/>
  <c r="AC77" i="1"/>
  <c r="AC72" i="1"/>
  <c r="AC70" i="1"/>
  <c r="AC83" i="1"/>
  <c r="AC84" i="1"/>
  <c r="AC74" i="1"/>
  <c r="AC78" i="1"/>
  <c r="F105" i="1"/>
  <c r="AC73" i="1"/>
  <c r="AC82" i="1"/>
  <c r="AC79" i="1"/>
  <c r="AC69" i="1"/>
  <c r="AC80" i="1"/>
  <c r="AC81" i="1"/>
  <c r="AA46" i="2"/>
  <c r="AN5" i="1"/>
  <c r="AQ5" i="1" s="1"/>
  <c r="AI5" i="1"/>
  <c r="AN8" i="1"/>
  <c r="AQ8" i="1" s="1"/>
  <c r="AI8" i="1"/>
  <c r="AD42" i="1"/>
  <c r="AD50" i="1"/>
  <c r="AD51" i="1"/>
  <c r="AD44" i="1"/>
  <c r="AD52" i="1"/>
  <c r="AD41" i="1"/>
  <c r="AD47" i="1"/>
  <c r="AD45" i="1"/>
  <c r="AD48" i="1"/>
  <c r="AD49" i="1"/>
  <c r="AD43" i="1"/>
  <c r="G65" i="1"/>
  <c r="V65" i="1" s="1"/>
  <c r="V52" i="1"/>
  <c r="AO33" i="1"/>
  <c r="AO14" i="1"/>
  <c r="AQ14" i="1" s="1"/>
  <c r="AL15" i="1"/>
  <c r="AA16" i="1"/>
  <c r="AM10" i="1"/>
  <c r="AQ6" i="1" l="1"/>
  <c r="AQ13" i="1"/>
  <c r="Z65" i="1"/>
  <c r="AA65" i="1" s="1"/>
  <c r="W85" i="1"/>
  <c r="AQ21" i="1"/>
  <c r="AI76" i="1"/>
  <c r="AQ7" i="1"/>
  <c r="W96" i="1"/>
  <c r="AQ23" i="1"/>
  <c r="AA76" i="1"/>
  <c r="AQ22" i="1"/>
  <c r="AQ33" i="1"/>
  <c r="AQ25" i="1"/>
  <c r="Z96" i="1"/>
  <c r="AA96" i="1" s="1"/>
  <c r="S96" i="1"/>
  <c r="AQ34" i="1"/>
  <c r="X105" i="1"/>
  <c r="AQ29" i="1"/>
  <c r="AG71" i="1"/>
  <c r="AI71" i="1" s="1"/>
  <c r="AG79" i="1"/>
  <c r="AI79" i="1" s="1"/>
  <c r="AG67" i="1"/>
  <c r="AI67" i="1" s="1"/>
  <c r="AG72" i="1"/>
  <c r="AI72" i="1" s="1"/>
  <c r="AG73" i="1"/>
  <c r="AI73" i="1" s="1"/>
  <c r="AG81" i="1"/>
  <c r="AI81" i="1" s="1"/>
  <c r="AG70" i="1"/>
  <c r="AI70" i="1" s="1"/>
  <c r="AG84" i="1"/>
  <c r="AI84" i="1" s="1"/>
  <c r="AG80" i="1"/>
  <c r="AI80" i="1" s="1"/>
  <c r="AG69" i="1"/>
  <c r="AG85" i="1"/>
  <c r="Y85" i="1"/>
  <c r="AG75" i="1"/>
  <c r="AI75" i="1" s="1"/>
  <c r="AG78" i="1"/>
  <c r="AI78" i="1" s="1"/>
  <c r="AG82" i="1"/>
  <c r="AI82" i="1" s="1"/>
  <c r="AG77" i="1"/>
  <c r="AI77" i="1" s="1"/>
  <c r="AG68" i="1"/>
  <c r="AI68" i="1" s="1"/>
  <c r="AG83" i="1"/>
  <c r="AI83" i="1" s="1"/>
  <c r="AG74" i="1"/>
  <c r="AI74" i="1" s="1"/>
  <c r="J105" i="1"/>
  <c r="Y105" i="1" s="1"/>
  <c r="S65" i="1"/>
  <c r="AI69" i="1"/>
  <c r="Z85" i="1"/>
  <c r="W65" i="1"/>
  <c r="AD73" i="1"/>
  <c r="AD68" i="1"/>
  <c r="AD81" i="1"/>
  <c r="AD82" i="1"/>
  <c r="AD75" i="1"/>
  <c r="AD70" i="1"/>
  <c r="AD78" i="1"/>
  <c r="AD83" i="1"/>
  <c r="AD69" i="1"/>
  <c r="AD72" i="1"/>
  <c r="AD85" i="1"/>
  <c r="AD71" i="1"/>
  <c r="AD74" i="1"/>
  <c r="AD67" i="1"/>
  <c r="AD77" i="1"/>
  <c r="AD80" i="1"/>
  <c r="AD79" i="1"/>
  <c r="AD84" i="1"/>
  <c r="G105" i="1"/>
  <c r="V105" i="1" s="1"/>
  <c r="V85" i="1"/>
  <c r="AQ36" i="1"/>
  <c r="W105" i="1" l="1"/>
  <c r="AA85" i="1"/>
  <c r="Z105" i="1"/>
  <c r="AA105" i="1" s="1"/>
  <c r="S105" i="1"/>
  <c r="R5" i="6" l="1"/>
  <c r="O5" i="6"/>
  <c r="O6" i="6" s="1"/>
  <c r="R6" i="6" l="1"/>
  <c r="R8" i="6" s="1"/>
  <c r="N5" i="6"/>
  <c r="Q5" i="6"/>
  <c r="O9" i="6"/>
  <c r="O8" i="6"/>
  <c r="P5" i="6"/>
  <c r="P6" i="6" s="1"/>
  <c r="S5" i="6"/>
  <c r="S6" i="6" s="1"/>
  <c r="O48" i="6"/>
  <c r="Q48" i="6"/>
  <c r="P48" i="6"/>
  <c r="N48" i="6"/>
  <c r="S9" i="6" l="1"/>
  <c r="S8" i="6"/>
  <c r="N6" i="6"/>
  <c r="N8" i="6" s="1"/>
  <c r="P9" i="6"/>
  <c r="P8" i="6"/>
  <c r="Q6" i="6"/>
  <c r="Q8" i="6" s="1"/>
  <c r="R9" i="6"/>
  <c r="Q9" i="6" l="1"/>
  <c r="N9" i="6"/>
  <c r="R48" i="6" l="1"/>
  <c r="S4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tc={C0D79838-DFB4-3842-B640-E52D0F483ECE}</author>
  </authors>
  <commentList>
    <comment ref="J19" authorId="0" shapeId="0" xr:uid="{C0D79838-DFB4-3842-B640-E52D0F483ECE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Denny’s acquired Keke’s in 2022, therefore prior to 2022, company revenue = Denny’s revenue</t>
      </text>
    </comment>
  </commentList>
</comments>
</file>

<file path=xl/sharedStrings.xml><?xml version="1.0" encoding="utf-8"?>
<sst xmlns="http://schemas.openxmlformats.org/spreadsheetml/2006/main" count="589" uniqueCount="189">
  <si>
    <t>Profitability Measurements</t>
  </si>
  <si>
    <t>CMG</t>
  </si>
  <si>
    <t>DENN</t>
  </si>
  <si>
    <t>DRI</t>
  </si>
  <si>
    <t>MCD</t>
  </si>
  <si>
    <t>QSR</t>
  </si>
  <si>
    <t>SBUX</t>
  </si>
  <si>
    <t>YUM!</t>
  </si>
  <si>
    <t>Total</t>
  </si>
  <si>
    <t>Revenues</t>
  </si>
  <si>
    <t>Brand breakdown:</t>
  </si>
  <si>
    <t>Keke's - DENN</t>
  </si>
  <si>
    <t>Olive Garden - DRI</t>
  </si>
  <si>
    <t>LongHorn Steakhouse - DRI</t>
  </si>
  <si>
    <t>Chipotle - CMG</t>
  </si>
  <si>
    <t>Denny's - DENN</t>
  </si>
  <si>
    <t>McDonald's</t>
  </si>
  <si>
    <t>Tim Hortons - QSR</t>
  </si>
  <si>
    <t>Popeye's - QSR</t>
  </si>
  <si>
    <t>Firehouse Subs - QSR</t>
  </si>
  <si>
    <t>Burger King - QSR</t>
  </si>
  <si>
    <t>Starbucks</t>
  </si>
  <si>
    <t>KFC - YUM!</t>
  </si>
  <si>
    <t>Taco Bell - YUM!</t>
  </si>
  <si>
    <t>Pizza Hut - YUM!</t>
  </si>
  <si>
    <t>Habit Burger Grill - YUM!</t>
  </si>
  <si>
    <t>Growth Rates</t>
  </si>
  <si>
    <t>Market Share</t>
  </si>
  <si>
    <t>Company breakdown ($ Millions):</t>
  </si>
  <si>
    <t>Shak</t>
  </si>
  <si>
    <t>3-Year Average</t>
  </si>
  <si>
    <t>DPZ</t>
  </si>
  <si>
    <t>Market Share Growth Rates</t>
  </si>
  <si>
    <t>CAVA</t>
  </si>
  <si>
    <t>SHAK</t>
  </si>
  <si>
    <t>Cava</t>
  </si>
  <si>
    <t>PZZA</t>
  </si>
  <si>
    <t>Pizza Restaurant Comparisons:</t>
  </si>
  <si>
    <t>Papa John's</t>
  </si>
  <si>
    <t>Domino's</t>
  </si>
  <si>
    <t>Pizza Hut</t>
  </si>
  <si>
    <t>Revenues:</t>
  </si>
  <si>
    <t>Market Share Growth Rate</t>
  </si>
  <si>
    <t>3-Year Avg</t>
  </si>
  <si>
    <t>Operating income</t>
  </si>
  <si>
    <t>Overall</t>
  </si>
  <si>
    <t>Company operating margin</t>
  </si>
  <si>
    <t>Brand Operating margins:</t>
  </si>
  <si>
    <t>COGS</t>
  </si>
  <si>
    <t>Corporate Overhead Expenses:</t>
  </si>
  <si>
    <t>% of Total Revenues</t>
  </si>
  <si>
    <t>Adj Total Expenses (COGS + Operating expenses - A&amp;D - Equity Investment):</t>
  </si>
  <si>
    <t>COGS:</t>
  </si>
  <si>
    <t>Adj Operating Income (Revenue - Adj Total Expenses):</t>
  </si>
  <si>
    <t>Adj Operating Margin:</t>
  </si>
  <si>
    <t>Chipotle</t>
  </si>
  <si>
    <t>Overhead Expenses:</t>
  </si>
  <si>
    <t>Total Operating Expenses:</t>
  </si>
  <si>
    <t>% of Revenues:</t>
  </si>
  <si>
    <t>Growth Rate:</t>
  </si>
  <si>
    <t>Market Share:</t>
  </si>
  <si>
    <t>% of Total Operating Expenses:</t>
  </si>
  <si>
    <t>CAVA vs. CHIPOTLE ($ Millions)</t>
  </si>
  <si>
    <t>KFC</t>
  </si>
  <si>
    <t>Fast Food ($ Millions)</t>
  </si>
  <si>
    <t>BK</t>
  </si>
  <si>
    <t>Popeyes</t>
  </si>
  <si>
    <t>Long</t>
  </si>
  <si>
    <t xml:space="preserve">MCD </t>
  </si>
  <si>
    <t>Short</t>
  </si>
  <si>
    <t xml:space="preserve">SBUX </t>
  </si>
  <si>
    <t>Shares Outstanding:</t>
  </si>
  <si>
    <t>Share Price:</t>
  </si>
  <si>
    <t>Market Cap ($ Millions):</t>
  </si>
  <si>
    <t>Adjusted Operating Income:</t>
  </si>
  <si>
    <t>Adjusted Multiples:</t>
  </si>
  <si>
    <t>Sales/Stores:</t>
  </si>
  <si>
    <t>Store Count:</t>
  </si>
  <si>
    <t xml:space="preserve"> Stores Added</t>
  </si>
  <si>
    <t>Total Stores</t>
  </si>
  <si>
    <t>Operating Income/Store:</t>
  </si>
  <si>
    <t>CMG vs Mexican Restaurants ($ Billions)</t>
  </si>
  <si>
    <t>Total Mexican Restaurant Revenues U.S.</t>
  </si>
  <si>
    <t>CMG % Market Share</t>
  </si>
  <si>
    <t>CAVA vs Mediterranean Restaurants ($ Billions)</t>
  </si>
  <si>
    <t xml:space="preserve">CAVA </t>
  </si>
  <si>
    <t>Total Mediterranean Restaurant Revenues U.S.</t>
  </si>
  <si>
    <t>CAVA % Market Share</t>
  </si>
  <si>
    <t>Worst</t>
  </si>
  <si>
    <t>Avg</t>
  </si>
  <si>
    <t>Best</t>
  </si>
  <si>
    <t>2024 E</t>
  </si>
  <si>
    <t>2025 E</t>
  </si>
  <si>
    <t>2026 E</t>
  </si>
  <si>
    <t>2027 E</t>
  </si>
  <si>
    <t>2028 E</t>
  </si>
  <si>
    <t>2029 E</t>
  </si>
  <si>
    <t xml:space="preserve">       </t>
  </si>
  <si>
    <t xml:space="preserve">Company </t>
  </si>
  <si>
    <t>Ticker</t>
  </si>
  <si>
    <t>Market Cap ($ Billions)</t>
  </si>
  <si>
    <t>P/E (TTM)</t>
  </si>
  <si>
    <t xml:space="preserve">Share Price </t>
  </si>
  <si>
    <t>Debt</t>
  </si>
  <si>
    <t xml:space="preserve">Cash </t>
  </si>
  <si>
    <t>Cash/Debt Ratio</t>
  </si>
  <si>
    <t>Enterprise Value (USD)</t>
  </si>
  <si>
    <t>Size</t>
  </si>
  <si>
    <t>Revenue</t>
  </si>
  <si>
    <t>Revenue Share</t>
  </si>
  <si>
    <t>Revenue Share/Size</t>
  </si>
  <si>
    <t>Gross Profit</t>
  </si>
  <si>
    <t>Operating Income</t>
  </si>
  <si>
    <t>Adj. OI</t>
  </si>
  <si>
    <t>OFCF</t>
  </si>
  <si>
    <t>EV/OFCF</t>
  </si>
  <si>
    <t>EV/Revenue</t>
  </si>
  <si>
    <t>EV/OI</t>
  </si>
  <si>
    <t>EV/Adj. OI</t>
  </si>
  <si>
    <t>Operating Margin</t>
  </si>
  <si>
    <t>OFCF/Revenue</t>
  </si>
  <si>
    <t>Adj. OI/IC</t>
  </si>
  <si>
    <t>Non current Assets</t>
  </si>
  <si>
    <t>Net Working Capital ($ Billions)</t>
  </si>
  <si>
    <t>Invested Capital</t>
  </si>
  <si>
    <t>IC/EV</t>
  </si>
  <si>
    <t>D&amp;A ($ Billions)</t>
  </si>
  <si>
    <t>Capex ($ Billions)</t>
  </si>
  <si>
    <t>Change in Working Capital ($ Billions)</t>
  </si>
  <si>
    <t>P/E (Adj. Size)</t>
  </si>
  <si>
    <t>Operating Margin (Adj. Size)</t>
  </si>
  <si>
    <t>Adj. OI/IC (Adj. Size)</t>
  </si>
  <si>
    <t>EV/OI (Adj. Size)</t>
  </si>
  <si>
    <t>EV/OFCF (Adj. Size)</t>
  </si>
  <si>
    <t>Target Multiple</t>
  </si>
  <si>
    <t xml:space="preserve"> Est. EV</t>
  </si>
  <si>
    <t>Est. Market Cap</t>
  </si>
  <si>
    <t>Est. Share Price</t>
  </si>
  <si>
    <t>Potential Return</t>
  </si>
  <si>
    <t>Total Market Cap ($ Billions)</t>
  </si>
  <si>
    <t>Total Enterprise Value ($ Billions)</t>
  </si>
  <si>
    <t>Total Revenue  ($ Billions)</t>
  </si>
  <si>
    <t>Total Operating Income  ($ Billions)</t>
  </si>
  <si>
    <t xml:space="preserve">S&amp;P P/E </t>
  </si>
  <si>
    <t>Average P/E (TTM)</t>
  </si>
  <si>
    <t>Weighted P/E</t>
  </si>
  <si>
    <t>Avg EV/Revenue</t>
  </si>
  <si>
    <t>Avg EV/OI</t>
  </si>
  <si>
    <t>Weighted EV/OI</t>
  </si>
  <si>
    <t>Avg Adj. OI/IC</t>
  </si>
  <si>
    <t>Weighted Adj. OI/IC</t>
  </si>
  <si>
    <t>Weighted Operating Margin</t>
  </si>
  <si>
    <t>Chipotle Mexican Grill</t>
  </si>
  <si>
    <t>Denny's</t>
  </si>
  <si>
    <t>Darden Restaurants</t>
  </si>
  <si>
    <t>Restaurant Brands International</t>
  </si>
  <si>
    <t>Yum! Brands</t>
  </si>
  <si>
    <t>Shake Shack</t>
  </si>
  <si>
    <t>Domino's Pizza</t>
  </si>
  <si>
    <t>CAVA Group</t>
  </si>
  <si>
    <t>Shares Outstanding (Billions)</t>
  </si>
  <si>
    <t>Gross Margin</t>
  </si>
  <si>
    <t>OI/IC</t>
  </si>
  <si>
    <t>Avg OI/IC</t>
  </si>
  <si>
    <t>Weighted OI/IC</t>
  </si>
  <si>
    <t>Gross Margin (Adj. Size)</t>
  </si>
  <si>
    <t>Weighted Gross Margin</t>
  </si>
  <si>
    <t>Avg Operating Margin</t>
  </si>
  <si>
    <t>Avg Gross Margin</t>
  </si>
  <si>
    <t>Adj. Operating Margin</t>
  </si>
  <si>
    <t>Year</t>
  </si>
  <si>
    <t>Period</t>
  </si>
  <si>
    <t>Discounted Cash Flow</t>
  </si>
  <si>
    <t>Growth 1</t>
  </si>
  <si>
    <t>Growth 2</t>
  </si>
  <si>
    <t>Discount Rate</t>
  </si>
  <si>
    <t>rf</t>
  </si>
  <si>
    <t>mp</t>
  </si>
  <si>
    <t>company risk</t>
  </si>
  <si>
    <t>Free Cash Flow ($ millions)</t>
  </si>
  <si>
    <t>Cashflow Margin</t>
  </si>
  <si>
    <t>US 10 Yr yield</t>
  </si>
  <si>
    <t>Assuming average SPX return of 9%</t>
  </si>
  <si>
    <t>Risk comes from debt and decreasing purchasing power of the middle and lower class</t>
  </si>
  <si>
    <t>NPV</t>
  </si>
  <si>
    <t>Enterprise Value</t>
  </si>
  <si>
    <t>Enterprise Value 2023 (Billions)</t>
  </si>
  <si>
    <t>Potential Returns</t>
  </si>
  <si>
    <t>Market Cap (Billions)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</si>
</sst>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[$$-409]* #,##0_);_([$$-409]* \(#,##0\);_([$$-409]* &quot;-&quot;_);_(@_)"/>
    <numFmt numFmtId="165" formatCode="0.0%"/>
    <numFmt numFmtId="166" formatCode="_([$$-409]* #,##0_);_([$$-409]* \(#,##0\);_([$$-409]* &quot;-&quot;??_);_(@_)"/>
    <numFmt numFmtId="167" formatCode="_([$$-409]* #,##0.00_);_([$$-409]* \(#,##0.00\);_([$$-409]* &quot;-&quot;??_);_(@_)"/>
    <numFmt numFmtId="168" formatCode="0.0"/>
    <numFmt numFmtId="169" formatCode="0.0E+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right" wrapText="1"/>
    </xf>
    <xf numFmtId="164" fontId="0" fillId="2" borderId="0" xfId="0" applyNumberFormat="1" applyFill="1"/>
    <xf numFmtId="9" fontId="4" fillId="2" borderId="0" xfId="1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/>
    </xf>
    <xf numFmtId="165" fontId="4" fillId="2" borderId="0" xfId="1" applyNumberFormat="1" applyFont="1" applyFill="1"/>
    <xf numFmtId="165" fontId="3" fillId="2" borderId="0" xfId="0" applyNumberFormat="1" applyFont="1" applyFill="1"/>
    <xf numFmtId="9" fontId="3" fillId="2" borderId="0" xfId="1" applyFont="1" applyFill="1"/>
    <xf numFmtId="165" fontId="2" fillId="2" borderId="0" xfId="1" applyNumberFormat="1" applyFont="1" applyFill="1"/>
    <xf numFmtId="0" fontId="3" fillId="0" borderId="0" xfId="0" applyFont="1"/>
    <xf numFmtId="166" fontId="0" fillId="0" borderId="0" xfId="0" applyNumberFormat="1"/>
    <xf numFmtId="9" fontId="4" fillId="0" borderId="0" xfId="1" applyFont="1"/>
    <xf numFmtId="9" fontId="2" fillId="0" borderId="0" xfId="1" applyFont="1"/>
    <xf numFmtId="165" fontId="3" fillId="2" borderId="0" xfId="1" applyNumberFormat="1" applyFont="1" applyFill="1"/>
    <xf numFmtId="166" fontId="3" fillId="0" borderId="0" xfId="0" applyNumberFormat="1" applyFont="1"/>
    <xf numFmtId="165" fontId="2" fillId="2" borderId="0" xfId="1" applyNumberFormat="1" applyFont="1" applyFill="1" applyAlignment="1">
      <alignment horizontal="right" wrapText="1"/>
    </xf>
    <xf numFmtId="165" fontId="2" fillId="0" borderId="0" xfId="1" applyNumberFormat="1" applyFont="1"/>
    <xf numFmtId="166" fontId="0" fillId="2" borderId="0" xfId="0" applyNumberFormat="1" applyFill="1"/>
    <xf numFmtId="166" fontId="3" fillId="2" borderId="0" xfId="0" applyNumberFormat="1" applyFont="1" applyFill="1"/>
    <xf numFmtId="9" fontId="2" fillId="2" borderId="0" xfId="1" applyFont="1" applyFill="1"/>
    <xf numFmtId="9" fontId="0" fillId="2" borderId="0" xfId="0" applyNumberFormat="1" applyFill="1"/>
    <xf numFmtId="9" fontId="3" fillId="2" borderId="0" xfId="0" applyNumberFormat="1" applyFont="1" applyFill="1"/>
    <xf numFmtId="0" fontId="0" fillId="2" borderId="0" xfId="0" applyFill="1" applyAlignment="1">
      <alignment wrapText="1"/>
    </xf>
    <xf numFmtId="0" fontId="3" fillId="0" borderId="0" xfId="0" applyFont="1" applyAlignment="1">
      <alignment wrapText="1"/>
    </xf>
    <xf numFmtId="167" fontId="0" fillId="0" borderId="0" xfId="0" applyNumberFormat="1"/>
    <xf numFmtId="0" fontId="3" fillId="0" borderId="0" xfId="0" applyFont="1" applyAlignment="1">
      <alignment horizontal="left" wrapText="1"/>
    </xf>
    <xf numFmtId="0" fontId="6" fillId="2" borderId="0" xfId="2" applyFont="1" applyFill="1" applyAlignment="1">
      <alignment horizontal="left" wrapText="1"/>
    </xf>
    <xf numFmtId="166" fontId="6" fillId="2" borderId="0" xfId="2" applyNumberFormat="1" applyFont="1" applyFill="1"/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3" fillId="4" borderId="0" xfId="0" applyFont="1" applyFill="1" applyAlignment="1">
      <alignment horizontal="left" wrapText="1"/>
    </xf>
    <xf numFmtId="0" fontId="3" fillId="4" borderId="0" xfId="0" applyFont="1" applyFill="1" applyAlignment="1">
      <alignment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/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wrapText="1"/>
    </xf>
    <xf numFmtId="166" fontId="8" fillId="2" borderId="0" xfId="0" applyNumberFormat="1" applyFont="1" applyFill="1"/>
    <xf numFmtId="0" fontId="7" fillId="2" borderId="0" xfId="0" applyFont="1" applyFill="1" applyAlignment="1">
      <alignment horizontal="center" wrapText="1"/>
    </xf>
    <xf numFmtId="166" fontId="7" fillId="2" borderId="0" xfId="0" applyNumberFormat="1" applyFont="1" applyFill="1"/>
    <xf numFmtId="165" fontId="2" fillId="2" borderId="0" xfId="0" applyNumberFormat="1" applyFont="1" applyFill="1"/>
    <xf numFmtId="9" fontId="2" fillId="2" borderId="0" xfId="0" applyNumberFormat="1" applyFont="1" applyFill="1"/>
    <xf numFmtId="9" fontId="4" fillId="2" borderId="0" xfId="0" applyNumberFormat="1" applyFont="1" applyFill="1"/>
    <xf numFmtId="0" fontId="7" fillId="5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37" fontId="0" fillId="0" borderId="0" xfId="0" applyNumberFormat="1"/>
    <xf numFmtId="168" fontId="0" fillId="0" borderId="0" xfId="0" applyNumberFormat="1"/>
    <xf numFmtId="1" fontId="0" fillId="0" borderId="0" xfId="0" applyNumberFormat="1"/>
    <xf numFmtId="168" fontId="0" fillId="0" borderId="0" xfId="0" applyNumberFormat="1" applyAlignment="1">
      <alignment horizontal="right"/>
    </xf>
    <xf numFmtId="2" fontId="0" fillId="0" borderId="0" xfId="0" applyNumberFormat="1"/>
    <xf numFmtId="9" fontId="0" fillId="0" borderId="0" xfId="1" applyFont="1" applyAlignment="1">
      <alignment wrapText="1"/>
    </xf>
    <xf numFmtId="9" fontId="0" fillId="0" borderId="0" xfId="1" applyFont="1"/>
    <xf numFmtId="165" fontId="0" fillId="0" borderId="0" xfId="1" applyNumberFormat="1" applyFont="1"/>
    <xf numFmtId="10" fontId="0" fillId="0" borderId="0" xfId="0" applyNumberFormat="1"/>
    <xf numFmtId="169" fontId="0" fillId="0" borderId="0" xfId="0" applyNumberFormat="1" applyAlignment="1">
      <alignment wrapText="1"/>
    </xf>
    <xf numFmtId="9" fontId="0" fillId="0" borderId="0" xfId="0" applyNumberFormat="1"/>
    <xf numFmtId="10" fontId="4" fillId="0" borderId="0" xfId="0" applyNumberFormat="1" applyFont="1"/>
    <xf numFmtId="165" fontId="0" fillId="0" borderId="0" xfId="1" applyNumberFormat="1" applyFont="1" applyAlignment="1">
      <alignment wrapText="1"/>
    </xf>
    <xf numFmtId="167" fontId="0" fillId="0" borderId="0" xfId="0" applyNumberFormat="1" applyAlignment="1">
      <alignment wrapText="1"/>
    </xf>
    <xf numFmtId="9" fontId="4" fillId="0" borderId="0" xfId="1" applyFont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/>
    <xf numFmtId="2" fontId="0" fillId="6" borderId="0" xfId="0" applyNumberFormat="1" applyFill="1"/>
    <xf numFmtId="9" fontId="0" fillId="0" borderId="0" xfId="1" applyFont="1" applyFill="1"/>
    <xf numFmtId="2" fontId="0" fillId="0" borderId="0" xfId="1" applyNumberFormat="1" applyFont="1"/>
    <xf numFmtId="9" fontId="0" fillId="8" borderId="0" xfId="1" applyFont="1" applyFill="1"/>
    <xf numFmtId="165" fontId="0" fillId="6" borderId="0" xfId="1" applyNumberFormat="1" applyFont="1" applyFill="1"/>
    <xf numFmtId="165" fontId="0" fillId="6" borderId="0" xfId="0" applyNumberFormat="1" applyFill="1"/>
    <xf numFmtId="165" fontId="0" fillId="0" borderId="0" xfId="1" applyNumberFormat="1" applyFont="1" applyFill="1"/>
    <xf numFmtId="0" fontId="0" fillId="0" borderId="0" xfId="0" applyAlignment="1">
      <alignment horizontal="left" wrapText="1"/>
    </xf>
    <xf numFmtId="168" fontId="3" fillId="6" borderId="0" xfId="0" applyNumberFormat="1" applyFont="1" applyFill="1"/>
    <xf numFmtId="9" fontId="0" fillId="7" borderId="0" xfId="1" applyFont="1" applyFill="1" applyAlignment="1">
      <alignment horizontal="center"/>
    </xf>
    <xf numFmtId="9" fontId="0" fillId="2" borderId="0" xfId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/Retail%20-%20Restaurants/CMG.xlsx" TargetMode="External"/><Relationship Id="rId1" Type="http://schemas.openxmlformats.org/officeDocument/2006/relationships/externalLinkPath" Target="CMG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%20-%20Restaurants/CAVA.xlsx" TargetMode="External"/><Relationship Id="rId1" Type="http://schemas.openxmlformats.org/officeDocument/2006/relationships/externalLinkPath" Target="CAV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%20-%20Restaurants/PZZA.xlsx" TargetMode="External"/><Relationship Id="rId1" Type="http://schemas.openxmlformats.org/officeDocument/2006/relationships/externalLinkPath" Target="PZZ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/Retail%20-%20Restaurants/DENN.xlsx" TargetMode="External"/><Relationship Id="rId1" Type="http://schemas.openxmlformats.org/officeDocument/2006/relationships/externalLinkPath" Target="DEN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%20-%20Restaurants/DRI.xlsx" TargetMode="External"/><Relationship Id="rId1" Type="http://schemas.openxmlformats.org/officeDocument/2006/relationships/externalLinkPath" Target="DR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%20-%20Restaurants/MCD.xlsx" TargetMode="External"/><Relationship Id="rId1" Type="http://schemas.openxmlformats.org/officeDocument/2006/relationships/externalLinkPath" Target="MC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%20-%20Restaurants/QSR.xlsx" TargetMode="External"/><Relationship Id="rId1" Type="http://schemas.openxmlformats.org/officeDocument/2006/relationships/externalLinkPath" Target="QS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%20-%20Restaurants/SBUX.xlsx" TargetMode="External"/><Relationship Id="rId1" Type="http://schemas.openxmlformats.org/officeDocument/2006/relationships/externalLinkPath" Target="SBUX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%20-%20Restaurants/Yum!.xlsx" TargetMode="External"/><Relationship Id="rId1" Type="http://schemas.openxmlformats.org/officeDocument/2006/relationships/externalLinkPath" Target="Yum!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%20-%20Restaurants/SHAK.xlsx" TargetMode="External"/><Relationship Id="rId1" Type="http://schemas.openxmlformats.org/officeDocument/2006/relationships/externalLinkPath" Target="SHAK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/Retail%20-%20Restaurants/DPZ.xlsx" TargetMode="External"/><Relationship Id="rId1" Type="http://schemas.openxmlformats.org/officeDocument/2006/relationships/externalLinkPath" Target="DP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uation &amp; Forecasting"/>
      <sheetName val="Statement of Income"/>
      <sheetName val="Balance Sheet"/>
      <sheetName val="Statement of Cash Flows "/>
    </sheetNames>
    <sheetDataSet>
      <sheetData sheetId="0">
        <row r="32">
          <cell r="U32">
            <v>11276830.588320002</v>
          </cell>
        </row>
      </sheetData>
      <sheetData sheetId="1">
        <row r="7">
          <cell r="I7">
            <v>183</v>
          </cell>
          <cell r="J7">
            <v>185</v>
          </cell>
          <cell r="K7">
            <v>192</v>
          </cell>
          <cell r="L7">
            <v>229</v>
          </cell>
          <cell r="M7">
            <v>243</v>
          </cell>
          <cell r="N7">
            <v>183</v>
          </cell>
          <cell r="O7">
            <v>137</v>
          </cell>
          <cell r="P7">
            <v>140</v>
          </cell>
          <cell r="Q7">
            <v>160</v>
          </cell>
          <cell r="R7">
            <v>215</v>
          </cell>
          <cell r="S7">
            <v>235</v>
          </cell>
          <cell r="T7">
            <v>210</v>
          </cell>
        </row>
        <row r="10">
          <cell r="I10">
            <v>1410</v>
          </cell>
          <cell r="J10">
            <v>1595</v>
          </cell>
          <cell r="K10">
            <v>1783</v>
          </cell>
          <cell r="L10">
            <v>2010</v>
          </cell>
          <cell r="M10">
            <v>2250</v>
          </cell>
          <cell r="N10">
            <v>2423</v>
          </cell>
          <cell r="O10">
            <v>2497</v>
          </cell>
          <cell r="P10">
            <v>2622</v>
          </cell>
          <cell r="Q10">
            <v>2768</v>
          </cell>
          <cell r="R10">
            <v>2966</v>
          </cell>
          <cell r="S10">
            <v>3187</v>
          </cell>
          <cell r="T10">
            <v>3437</v>
          </cell>
        </row>
        <row r="32">
          <cell r="I32">
            <v>2731224</v>
          </cell>
          <cell r="J32">
            <v>3214591</v>
          </cell>
          <cell r="K32">
            <v>4108269</v>
          </cell>
          <cell r="L32">
            <v>4501223</v>
          </cell>
          <cell r="M32">
            <v>3904384</v>
          </cell>
          <cell r="N32">
            <v>4476400</v>
          </cell>
          <cell r="O32">
            <v>4865000</v>
          </cell>
          <cell r="P32">
            <v>5586369</v>
          </cell>
          <cell r="Q32">
            <v>5984634</v>
          </cell>
          <cell r="R32">
            <v>7547061</v>
          </cell>
          <cell r="S32">
            <v>8634652</v>
          </cell>
          <cell r="T32">
            <v>9871649</v>
          </cell>
        </row>
        <row r="35">
          <cell r="H35">
            <v>738720</v>
          </cell>
          <cell r="I35">
            <v>891003</v>
          </cell>
          <cell r="J35">
            <v>1073514</v>
          </cell>
          <cell r="K35">
            <v>1420994</v>
          </cell>
          <cell r="L35">
            <v>1503835</v>
          </cell>
          <cell r="M35">
            <v>1365580</v>
          </cell>
          <cell r="N35">
            <v>1535428</v>
          </cell>
          <cell r="O35">
            <v>1600760</v>
          </cell>
          <cell r="P35">
            <v>1847916</v>
          </cell>
          <cell r="Q35">
            <v>1932766</v>
          </cell>
          <cell r="R35">
            <v>2308631</v>
          </cell>
          <cell r="S35">
            <v>2602245</v>
          </cell>
          <cell r="T35">
            <v>2912564</v>
          </cell>
        </row>
        <row r="36">
          <cell r="H36">
            <v>543119</v>
          </cell>
          <cell r="I36">
            <v>641836</v>
          </cell>
          <cell r="J36">
            <v>739800</v>
          </cell>
          <cell r="K36">
            <v>904407</v>
          </cell>
          <cell r="L36">
            <v>1045726</v>
          </cell>
          <cell r="M36">
            <v>1105001</v>
          </cell>
          <cell r="N36">
            <v>1205992</v>
          </cell>
          <cell r="O36">
            <v>1326079</v>
          </cell>
          <cell r="P36">
            <v>1472060</v>
          </cell>
          <cell r="Q36">
            <v>1593013</v>
          </cell>
          <cell r="R36">
            <v>1917761</v>
          </cell>
          <cell r="S36">
            <v>2197958</v>
          </cell>
          <cell r="T36">
            <v>2440982</v>
          </cell>
        </row>
        <row r="37">
          <cell r="H37">
            <v>147274</v>
          </cell>
          <cell r="I37">
            <v>171435</v>
          </cell>
          <cell r="J37">
            <v>199107</v>
          </cell>
          <cell r="K37">
            <v>230868</v>
          </cell>
          <cell r="L37">
            <v>262412</v>
          </cell>
          <cell r="M37">
            <v>293636</v>
          </cell>
          <cell r="N37">
            <v>327132</v>
          </cell>
          <cell r="O37">
            <v>347123</v>
          </cell>
          <cell r="P37">
            <v>363072</v>
          </cell>
          <cell r="Q37">
            <v>387762</v>
          </cell>
          <cell r="R37">
            <v>416606</v>
          </cell>
          <cell r="S37">
            <v>460425</v>
          </cell>
          <cell r="T37">
            <v>503264</v>
          </cell>
        </row>
        <row r="38">
          <cell r="H38">
            <v>251208</v>
          </cell>
          <cell r="I38">
            <v>286610</v>
          </cell>
          <cell r="J38">
            <v>347401</v>
          </cell>
          <cell r="K38">
            <v>434244</v>
          </cell>
          <cell r="L38">
            <v>514963</v>
          </cell>
          <cell r="M38">
            <v>641953</v>
          </cell>
          <cell r="N38">
            <v>651644</v>
          </cell>
          <cell r="O38">
            <v>680031</v>
          </cell>
          <cell r="P38">
            <v>760831</v>
          </cell>
          <cell r="Q38">
            <v>1030012</v>
          </cell>
          <cell r="R38">
            <v>1197054</v>
          </cell>
          <cell r="S38">
            <v>1311905</v>
          </cell>
          <cell r="T38">
            <v>1428747</v>
          </cell>
        </row>
        <row r="39">
          <cell r="H39">
            <v>149426</v>
          </cell>
          <cell r="I39">
            <v>183409</v>
          </cell>
          <cell r="J39">
            <v>203733</v>
          </cell>
          <cell r="K39">
            <v>273897</v>
          </cell>
          <cell r="L39">
            <v>250214</v>
          </cell>
          <cell r="M39">
            <v>276240</v>
          </cell>
          <cell r="N39">
            <v>296388</v>
          </cell>
          <cell r="O39">
            <v>375460</v>
          </cell>
          <cell r="P39">
            <v>451552</v>
          </cell>
          <cell r="Q39">
            <v>466291</v>
          </cell>
        </row>
        <row r="40">
          <cell r="H40">
            <v>74938</v>
          </cell>
          <cell r="I40">
            <v>84130</v>
          </cell>
          <cell r="J40">
            <v>96054</v>
          </cell>
          <cell r="K40">
            <v>110474</v>
          </cell>
          <cell r="L40">
            <v>130368</v>
          </cell>
          <cell r="M40">
            <v>146368</v>
          </cell>
          <cell r="N40">
            <v>163348</v>
          </cell>
          <cell r="O40">
            <v>201979</v>
          </cell>
          <cell r="P40">
            <v>212778</v>
          </cell>
          <cell r="Q40">
            <v>238534</v>
          </cell>
          <cell r="R40">
            <v>254657</v>
          </cell>
          <cell r="S40">
            <v>286826</v>
          </cell>
          <cell r="T40">
            <v>319394</v>
          </cell>
        </row>
        <row r="41">
          <cell r="H41">
            <v>8495</v>
          </cell>
          <cell r="I41">
            <v>11909</v>
          </cell>
          <cell r="J41">
            <v>15511</v>
          </cell>
          <cell r="K41">
            <v>15609</v>
          </cell>
          <cell r="L41">
            <v>16922</v>
          </cell>
          <cell r="M41">
            <v>17162</v>
          </cell>
          <cell r="N41">
            <v>12341</v>
          </cell>
          <cell r="O41">
            <v>8546</v>
          </cell>
          <cell r="P41">
            <v>11108</v>
          </cell>
          <cell r="Q41">
            <v>15515</v>
          </cell>
        </row>
        <row r="42">
          <cell r="H42">
            <v>5806</v>
          </cell>
          <cell r="I42">
            <v>5027</v>
          </cell>
          <cell r="J42">
            <v>6751</v>
          </cell>
          <cell r="K42">
            <v>6976</v>
          </cell>
          <cell r="L42">
            <v>13194</v>
          </cell>
          <cell r="M42">
            <v>23877</v>
          </cell>
          <cell r="N42">
            <v>13345</v>
          </cell>
          <cell r="O42">
            <v>66639</v>
          </cell>
          <cell r="P42">
            <v>23094</v>
          </cell>
          <cell r="Q42">
            <v>30577</v>
          </cell>
          <cell r="R42">
            <v>19291</v>
          </cell>
          <cell r="S42">
            <v>21139</v>
          </cell>
          <cell r="T42">
            <v>38370</v>
          </cell>
        </row>
        <row r="43">
          <cell r="I43">
            <v>2275359</v>
          </cell>
          <cell r="J43">
            <v>2681871</v>
          </cell>
          <cell r="K43">
            <v>3397469</v>
          </cell>
          <cell r="L43">
            <v>3737634</v>
          </cell>
          <cell r="M43">
            <v>3869817</v>
          </cell>
          <cell r="N43">
            <v>4205618</v>
          </cell>
          <cell r="O43">
            <v>4606617</v>
          </cell>
          <cell r="P43">
            <v>5142411</v>
          </cell>
          <cell r="Q43">
            <v>5694470</v>
          </cell>
          <cell r="R43">
            <v>6742118</v>
          </cell>
          <cell r="S43">
            <v>7474249</v>
          </cell>
          <cell r="T43">
            <v>8313836</v>
          </cell>
        </row>
        <row r="44">
          <cell r="I44">
            <v>455865</v>
          </cell>
          <cell r="J44">
            <v>532720</v>
          </cell>
          <cell r="K44">
            <v>710800</v>
          </cell>
          <cell r="L44">
            <v>763589</v>
          </cell>
          <cell r="M44">
            <v>34567</v>
          </cell>
          <cell r="N44">
            <v>270782</v>
          </cell>
          <cell r="O44">
            <v>258383</v>
          </cell>
          <cell r="P44">
            <v>443958</v>
          </cell>
          <cell r="Q44">
            <v>290164</v>
          </cell>
          <cell r="R44">
            <v>804943</v>
          </cell>
          <cell r="S44">
            <v>1160403</v>
          </cell>
          <cell r="T44">
            <v>1557813</v>
          </cell>
        </row>
        <row r="51">
          <cell r="O51">
            <v>27962</v>
          </cell>
          <cell r="P51">
            <v>28295</v>
          </cell>
          <cell r="Q51">
            <v>28416</v>
          </cell>
          <cell r="R51">
            <v>28511</v>
          </cell>
          <cell r="S51">
            <v>28062</v>
          </cell>
          <cell r="T51">
            <v>27710</v>
          </cell>
        </row>
        <row r="59">
          <cell r="I59">
            <v>1937.0382978723405</v>
          </cell>
          <cell r="J59">
            <v>2015.4175548589342</v>
          </cell>
          <cell r="K59">
            <v>2304.1329220415032</v>
          </cell>
          <cell r="L59">
            <v>2239.4144278606964</v>
          </cell>
          <cell r="M59">
            <v>1735.2817777777777</v>
          </cell>
          <cell r="N59">
            <v>1847.4618241848948</v>
          </cell>
          <cell r="O59">
            <v>1948.3380056067281</v>
          </cell>
          <cell r="P59">
            <v>2130.5755148741418</v>
          </cell>
          <cell r="Q59">
            <v>2162.0787572254335</v>
          </cell>
          <cell r="R59">
            <v>2544.5249494268373</v>
          </cell>
          <cell r="S59">
            <v>2709.3354251647315</v>
          </cell>
          <cell r="T59">
            <v>2872.1702065755021</v>
          </cell>
        </row>
      </sheetData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uation"/>
      <sheetName val="Statement of Operations"/>
      <sheetName val="Statement of Cashflow"/>
      <sheetName val="Balance Sheet"/>
      <sheetName val="CAVA"/>
      <sheetName val="Zoes Kitchen"/>
      <sheetName val="Other Results"/>
    </sheetNames>
    <sheetDataSet>
      <sheetData sheetId="0">
        <row r="9">
          <cell r="E9">
            <v>908313.00000000012</v>
          </cell>
          <cell r="F9">
            <v>1193412.0600000005</v>
          </cell>
          <cell r="G9">
            <v>1553081.7636000006</v>
          </cell>
          <cell r="H9">
            <v>2028142.0677600012</v>
          </cell>
          <cell r="I9">
            <v>2532642.4071153016</v>
          </cell>
          <cell r="J9">
            <v>3123592.3021088727</v>
          </cell>
        </row>
        <row r="43">
          <cell r="C43">
            <v>290</v>
          </cell>
          <cell r="D43">
            <v>309</v>
          </cell>
          <cell r="E43">
            <v>372</v>
          </cell>
          <cell r="F43">
            <v>435</v>
          </cell>
          <cell r="G43">
            <v>498</v>
          </cell>
          <cell r="H43">
            <v>561</v>
          </cell>
          <cell r="I43">
            <v>624</v>
          </cell>
          <cell r="J43">
            <v>687</v>
          </cell>
        </row>
        <row r="44">
          <cell r="C44">
            <v>1546.8758620689655</v>
          </cell>
          <cell r="D44">
            <v>2320.5825242718447</v>
          </cell>
          <cell r="E44">
            <v>2441.7016129032263</v>
          </cell>
          <cell r="F44">
            <v>2743.476000000001</v>
          </cell>
          <cell r="G44">
            <v>3118.6380795180735</v>
          </cell>
          <cell r="H44">
            <v>3615.2265022459915</v>
          </cell>
          <cell r="I44">
            <v>4058.7218062745219</v>
          </cell>
          <cell r="J44">
            <v>4546.7136857479954</v>
          </cell>
        </row>
      </sheetData>
      <sheetData sheetId="1">
        <row r="9">
          <cell r="B9">
            <v>500072</v>
          </cell>
          <cell r="C9">
            <v>564119</v>
          </cell>
          <cell r="D9">
            <v>728700</v>
          </cell>
        </row>
        <row r="14">
          <cell r="B14">
            <v>417919</v>
          </cell>
          <cell r="C14">
            <v>466135</v>
          </cell>
          <cell r="D14">
            <v>548354</v>
          </cell>
        </row>
        <row r="21">
          <cell r="B21">
            <v>64792</v>
          </cell>
          <cell r="C21">
            <v>70037</v>
          </cell>
          <cell r="D21">
            <v>101491</v>
          </cell>
        </row>
        <row r="22">
          <cell r="B22">
            <v>44538</v>
          </cell>
          <cell r="C22">
            <v>42724</v>
          </cell>
          <cell r="D22">
            <v>47433</v>
          </cell>
        </row>
        <row r="23">
          <cell r="B23">
            <v>6839</v>
          </cell>
          <cell r="C23">
            <v>5923</v>
          </cell>
          <cell r="D23">
            <v>6080</v>
          </cell>
        </row>
        <row r="24">
          <cell r="B24">
            <v>8194</v>
          </cell>
          <cell r="C24">
            <v>19313</v>
          </cell>
          <cell r="D24">
            <v>15718</v>
          </cell>
        </row>
        <row r="25">
          <cell r="B25">
            <v>10542</v>
          </cell>
          <cell r="C25">
            <v>19753</v>
          </cell>
          <cell r="D25">
            <v>4899</v>
          </cell>
        </row>
        <row r="26">
          <cell r="B26">
            <v>552824</v>
          </cell>
          <cell r="C26">
            <v>623885</v>
          </cell>
          <cell r="D26">
            <v>723975</v>
          </cell>
        </row>
        <row r="27">
          <cell r="B27">
            <v>-52752</v>
          </cell>
          <cell r="C27">
            <v>-59766</v>
          </cell>
          <cell r="D27">
            <v>4725</v>
          </cell>
        </row>
        <row r="35">
          <cell r="B35">
            <v>732</v>
          </cell>
          <cell r="C35">
            <v>1328</v>
          </cell>
          <cell r="D35">
            <v>63448</v>
          </cell>
        </row>
        <row r="37">
          <cell r="B37">
            <v>133</v>
          </cell>
          <cell r="C37">
            <v>290</v>
          </cell>
          <cell r="D37">
            <v>309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ement of Operations"/>
      <sheetName val="Supplemental"/>
    </sheetNames>
    <sheetDataSet>
      <sheetData sheetId="0">
        <row r="9">
          <cell r="B9">
            <v>1598049</v>
          </cell>
          <cell r="C9">
            <v>1637375</v>
          </cell>
          <cell r="D9">
            <v>1713620</v>
          </cell>
          <cell r="E9">
            <v>1783359</v>
          </cell>
          <cell r="F9">
            <v>1662871</v>
          </cell>
          <cell r="G9">
            <v>1619248</v>
          </cell>
          <cell r="H9">
            <v>1813234</v>
          </cell>
          <cell r="I9">
            <v>2068421</v>
          </cell>
          <cell r="J9">
            <v>2102103</v>
          </cell>
          <cell r="K9">
            <v>2135713</v>
          </cell>
        </row>
        <row r="11">
          <cell r="B11">
            <v>572058</v>
          </cell>
          <cell r="C11">
            <v>604206</v>
          </cell>
          <cell r="D11">
            <v>651536</v>
          </cell>
          <cell r="E11">
            <v>664640</v>
          </cell>
          <cell r="F11">
            <v>577658</v>
          </cell>
          <cell r="G11">
            <v>526237</v>
          </cell>
          <cell r="H11">
            <v>563799</v>
          </cell>
          <cell r="I11">
            <v>621871</v>
          </cell>
          <cell r="J11">
            <v>585307</v>
          </cell>
          <cell r="K11">
            <v>587889</v>
          </cell>
        </row>
        <row r="12">
          <cell r="B12">
            <v>655989</v>
          </cell>
          <cell r="C12">
            <v>629423</v>
          </cell>
          <cell r="D12">
            <v>579834</v>
          </cell>
          <cell r="E12">
            <v>631537</v>
          </cell>
          <cell r="F12">
            <v>575103</v>
          </cell>
          <cell r="G12">
            <v>569180</v>
          </cell>
          <cell r="H12">
            <v>630937</v>
          </cell>
          <cell r="I12">
            <v>703622</v>
          </cell>
          <cell r="J12">
            <v>811446</v>
          </cell>
          <cell r="K12">
            <v>787554</v>
          </cell>
        </row>
        <row r="13">
          <cell r="B13">
            <v>63718</v>
          </cell>
          <cell r="C13">
            <v>63506</v>
          </cell>
          <cell r="D13">
            <v>62574</v>
          </cell>
          <cell r="E13">
            <v>70622</v>
          </cell>
          <cell r="F13">
            <v>67775</v>
          </cell>
          <cell r="G13">
            <v>57702</v>
          </cell>
          <cell r="H13">
            <v>73994</v>
          </cell>
          <cell r="I13">
            <v>87286</v>
          </cell>
          <cell r="J13">
            <v>76001</v>
          </cell>
          <cell r="K13">
            <v>103198</v>
          </cell>
        </row>
        <row r="14">
          <cell r="B14"/>
          <cell r="C14"/>
          <cell r="D14">
            <v>66253</v>
          </cell>
          <cell r="E14">
            <v>69335</v>
          </cell>
          <cell r="F14">
            <v>170556</v>
          </cell>
          <cell r="G14">
            <v>175592</v>
          </cell>
          <cell r="H14">
            <v>200304</v>
          </cell>
          <cell r="I14">
            <v>226320</v>
          </cell>
          <cell r="J14">
            <v>238810</v>
          </cell>
          <cell r="K14">
            <v>235483</v>
          </cell>
        </row>
        <row r="15">
          <cell r="B15">
            <v>147810</v>
          </cell>
          <cell r="C15">
            <v>163626</v>
          </cell>
          <cell r="D15">
            <v>158135</v>
          </cell>
          <cell r="E15">
            <v>150866</v>
          </cell>
          <cell r="F15">
            <v>193534</v>
          </cell>
          <cell r="G15">
            <v>223460</v>
          </cell>
          <cell r="H15">
            <v>204242</v>
          </cell>
          <cell r="I15">
            <v>212265</v>
          </cell>
          <cell r="J15">
            <v>217412</v>
          </cell>
          <cell r="K15">
            <v>210357</v>
          </cell>
        </row>
        <row r="19">
          <cell r="A19" t="str">
            <v>Operating income</v>
          </cell>
          <cell r="B19">
            <v>117530</v>
          </cell>
          <cell r="C19">
            <v>136307</v>
          </cell>
          <cell r="D19">
            <v>164523</v>
          </cell>
          <cell r="E19">
            <v>151017</v>
          </cell>
          <cell r="F19">
            <v>31553</v>
          </cell>
          <cell r="G19">
            <v>24535</v>
          </cell>
          <cell r="H19">
            <v>90253</v>
          </cell>
          <cell r="I19">
            <v>168241</v>
          </cell>
          <cell r="J19">
            <v>109030</v>
          </cell>
        </row>
        <row r="27">
          <cell r="F27">
            <v>32299</v>
          </cell>
          <cell r="G27">
            <v>31632</v>
          </cell>
          <cell r="H27">
            <v>32717</v>
          </cell>
          <cell r="I27">
            <v>35337</v>
          </cell>
          <cell r="J27">
            <v>35717</v>
          </cell>
          <cell r="K27">
            <v>33159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ement of Operations"/>
      <sheetName val="Statistical Data"/>
      <sheetName val="Unit Activity"/>
    </sheetNames>
    <sheetDataSet>
      <sheetData sheetId="0">
        <row r="8">
          <cell r="D8">
            <v>472295</v>
          </cell>
          <cell r="E8">
            <v>491293</v>
          </cell>
          <cell r="F8">
            <v>506948</v>
          </cell>
          <cell r="G8">
            <v>529169</v>
          </cell>
          <cell r="H8">
            <v>630179</v>
          </cell>
          <cell r="I8">
            <v>541389</v>
          </cell>
          <cell r="J8">
            <v>288605</v>
          </cell>
          <cell r="K8">
            <v>398174</v>
          </cell>
          <cell r="L8">
            <v>456429</v>
          </cell>
          <cell r="M8">
            <v>463922</v>
          </cell>
        </row>
        <row r="10">
          <cell r="D10">
            <v>86825</v>
          </cell>
          <cell r="E10">
            <v>89660</v>
          </cell>
          <cell r="F10">
            <v>90487</v>
          </cell>
          <cell r="G10">
            <v>97825</v>
          </cell>
          <cell r="H10">
            <v>100532</v>
          </cell>
          <cell r="I10">
            <v>74720</v>
          </cell>
          <cell r="J10">
            <v>29816</v>
          </cell>
          <cell r="K10">
            <v>42982</v>
          </cell>
          <cell r="L10">
            <v>53617</v>
          </cell>
          <cell r="M10">
            <v>55789</v>
          </cell>
        </row>
        <row r="11">
          <cell r="D11">
            <v>133280</v>
          </cell>
          <cell r="E11">
            <v>136626</v>
          </cell>
          <cell r="F11">
            <v>142823</v>
          </cell>
          <cell r="G11">
            <v>153037</v>
          </cell>
          <cell r="H11">
            <v>164314</v>
          </cell>
          <cell r="I11">
            <v>118806</v>
          </cell>
          <cell r="J11">
            <v>51684</v>
          </cell>
          <cell r="K11">
            <v>65337</v>
          </cell>
          <cell r="L11">
            <v>76412</v>
          </cell>
          <cell r="M11">
            <v>80666</v>
          </cell>
        </row>
        <row r="12">
          <cell r="D12">
            <v>20845</v>
          </cell>
          <cell r="E12">
            <v>20443</v>
          </cell>
          <cell r="F12">
            <v>19557</v>
          </cell>
          <cell r="G12">
            <v>20802</v>
          </cell>
          <cell r="H12">
            <v>23228</v>
          </cell>
          <cell r="I12">
            <v>18613</v>
          </cell>
          <cell r="J12">
            <v>11241</v>
          </cell>
          <cell r="K12">
            <v>11662</v>
          </cell>
          <cell r="L12">
            <v>15154</v>
          </cell>
          <cell r="M12">
            <v>17080</v>
          </cell>
        </row>
        <row r="13">
          <cell r="D13">
            <v>47858</v>
          </cell>
          <cell r="E13">
            <v>47628</v>
          </cell>
          <cell r="F13">
            <v>49229</v>
          </cell>
          <cell r="G13">
            <v>53049</v>
          </cell>
          <cell r="H13">
            <v>60708</v>
          </cell>
          <cell r="I13">
            <v>46257</v>
          </cell>
          <cell r="J13">
            <v>21828</v>
          </cell>
          <cell r="K13">
            <v>26951</v>
          </cell>
          <cell r="L13">
            <v>34275</v>
          </cell>
          <cell r="M13">
            <v>34064</v>
          </cell>
        </row>
        <row r="14">
          <cell r="A14" t="str">
            <v>Total costs of company restaurant sales, excluding A&amp;D</v>
          </cell>
          <cell r="B14">
            <v>302206</v>
          </cell>
          <cell r="C14">
            <v>283556</v>
          </cell>
          <cell r="D14">
            <v>288808</v>
          </cell>
          <cell r="E14">
            <v>294357</v>
          </cell>
          <cell r="F14">
            <v>302096</v>
          </cell>
          <cell r="G14">
            <v>324713</v>
          </cell>
        </row>
        <row r="15">
          <cell r="A15" t="str">
            <v>Costs of franchise and license revenue</v>
          </cell>
          <cell r="B15">
            <v>46675</v>
          </cell>
          <cell r="C15">
            <v>46109</v>
          </cell>
          <cell r="D15">
            <v>44761</v>
          </cell>
          <cell r="E15">
            <v>43345</v>
          </cell>
          <cell r="F15">
            <v>40805</v>
          </cell>
          <cell r="G15">
            <v>39294</v>
          </cell>
        </row>
        <row r="16">
          <cell r="A16" t="str">
            <v xml:space="preserve">G&amp;A </v>
          </cell>
          <cell r="B16">
            <v>60307</v>
          </cell>
          <cell r="C16">
            <v>56835</v>
          </cell>
          <cell r="D16">
            <v>58907</v>
          </cell>
          <cell r="E16">
            <v>66602</v>
          </cell>
          <cell r="F16">
            <v>67960</v>
          </cell>
          <cell r="G16">
            <v>66415</v>
          </cell>
        </row>
        <row r="21">
          <cell r="D21">
            <v>57331</v>
          </cell>
          <cell r="E21">
            <v>63151</v>
          </cell>
          <cell r="F21">
            <v>46999</v>
          </cell>
          <cell r="G21">
            <v>70698</v>
          </cell>
          <cell r="H21">
            <v>73614</v>
          </cell>
          <cell r="I21">
            <v>164983</v>
          </cell>
          <cell r="J21">
            <v>6679</v>
          </cell>
          <cell r="K21">
            <v>104075</v>
          </cell>
          <cell r="L21">
            <v>60614</v>
          </cell>
          <cell r="M21">
            <v>52823</v>
          </cell>
        </row>
        <row r="29">
          <cell r="H29">
            <v>65562</v>
          </cell>
          <cell r="I29">
            <v>61833</v>
          </cell>
          <cell r="J29">
            <v>60812</v>
          </cell>
          <cell r="K29">
            <v>65573</v>
          </cell>
          <cell r="L29">
            <v>60879</v>
          </cell>
          <cell r="M29">
            <v>56196</v>
          </cell>
        </row>
      </sheetData>
      <sheetData sheetId="1">
        <row r="12">
          <cell r="I12">
            <v>772</v>
          </cell>
          <cell r="J12">
            <v>1796</v>
          </cell>
        </row>
        <row r="13">
          <cell r="I13">
            <v>802</v>
          </cell>
          <cell r="J13">
            <v>1828</v>
          </cell>
        </row>
        <row r="14">
          <cell r="I14">
            <v>4</v>
          </cell>
          <cell r="J14">
            <v>8</v>
          </cell>
        </row>
        <row r="15">
          <cell r="I15">
            <v>20</v>
          </cell>
          <cell r="J15">
            <v>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 of Operations"/>
      <sheetName val="Supplemental"/>
      <sheetName val="Olive Garden"/>
      <sheetName val="LongHorn Steakhouse"/>
      <sheetName val="Fine Dining"/>
      <sheetName val="Other Business"/>
      <sheetName val="Corporate"/>
      <sheetName val="Unit Count"/>
    </sheetNames>
    <sheetDataSet>
      <sheetData sheetId="0">
        <row r="5">
          <cell r="B5">
            <v>6764</v>
          </cell>
          <cell r="C5">
            <v>6933.5</v>
          </cell>
          <cell r="D5">
            <v>7170.2</v>
          </cell>
          <cell r="E5">
            <v>8080.1</v>
          </cell>
          <cell r="F5">
            <v>8510.4</v>
          </cell>
          <cell r="G5">
            <v>7806.9</v>
          </cell>
          <cell r="H5">
            <v>7196.1</v>
          </cell>
          <cell r="I5">
            <v>9630</v>
          </cell>
          <cell r="J5">
            <v>10487.8</v>
          </cell>
        </row>
        <row r="7">
          <cell r="A7" t="str">
            <v>Food &amp; beverage</v>
          </cell>
          <cell r="B7">
            <v>2085.1</v>
          </cell>
          <cell r="C7">
            <v>2039.7</v>
          </cell>
          <cell r="D7">
            <v>2070.3000000000002</v>
          </cell>
          <cell r="E7">
            <v>2303.1</v>
          </cell>
          <cell r="F7">
            <v>2412.5</v>
          </cell>
          <cell r="G7">
            <v>2240.8000000000002</v>
          </cell>
          <cell r="H7">
            <v>2072.1</v>
          </cell>
          <cell r="I7">
            <v>2943.6</v>
          </cell>
          <cell r="J7">
            <v>3355.9</v>
          </cell>
        </row>
        <row r="8">
          <cell r="A8" t="str">
            <v>Restaurant labor</v>
          </cell>
          <cell r="B8">
            <v>2135.6</v>
          </cell>
          <cell r="C8">
            <v>2189.1999999999998</v>
          </cell>
          <cell r="D8">
            <v>2265.3000000000002</v>
          </cell>
          <cell r="E8">
            <v>2614.5</v>
          </cell>
          <cell r="F8">
            <v>2771.1</v>
          </cell>
          <cell r="G8">
            <v>2682.6</v>
          </cell>
          <cell r="H8">
            <v>2286.3000000000002</v>
          </cell>
          <cell r="I8">
            <v>3108.8</v>
          </cell>
          <cell r="J8">
            <v>3346.3</v>
          </cell>
        </row>
        <row r="9">
          <cell r="A9" t="str">
            <v>Restaurant expenses</v>
          </cell>
          <cell r="B9">
            <v>1120.8</v>
          </cell>
          <cell r="C9">
            <v>1163.5</v>
          </cell>
          <cell r="D9">
            <v>1265.2</v>
          </cell>
          <cell r="E9">
            <v>1417.1</v>
          </cell>
          <cell r="F9">
            <v>1477.8</v>
          </cell>
          <cell r="G9">
            <v>1475.1</v>
          </cell>
          <cell r="H9">
            <v>1344.2</v>
          </cell>
          <cell r="I9">
            <v>1582.6</v>
          </cell>
          <cell r="J9">
            <v>1702.2</v>
          </cell>
        </row>
        <row r="10">
          <cell r="A10" t="str">
            <v>Marketing expenses</v>
          </cell>
          <cell r="B10">
            <v>243.3</v>
          </cell>
          <cell r="C10">
            <v>238</v>
          </cell>
          <cell r="D10">
            <v>239.7</v>
          </cell>
          <cell r="E10">
            <v>252.3</v>
          </cell>
          <cell r="F10">
            <v>255.3</v>
          </cell>
          <cell r="G10">
            <v>238</v>
          </cell>
          <cell r="H10">
            <v>91.1</v>
          </cell>
          <cell r="I10">
            <v>93.2</v>
          </cell>
          <cell r="J10">
            <v>118.3</v>
          </cell>
        </row>
        <row r="11">
          <cell r="A11" t="str">
            <v>G&amp;A</v>
          </cell>
          <cell r="B11">
            <v>430.2</v>
          </cell>
          <cell r="C11">
            <v>384.9</v>
          </cell>
          <cell r="D11">
            <v>387.7</v>
          </cell>
          <cell r="E11">
            <v>409.8</v>
          </cell>
          <cell r="F11">
            <v>405.5</v>
          </cell>
          <cell r="G11">
            <v>376.4</v>
          </cell>
          <cell r="H11">
            <v>396.2</v>
          </cell>
          <cell r="I11">
            <v>373.2</v>
          </cell>
          <cell r="J11">
            <v>386.1</v>
          </cell>
        </row>
        <row r="12">
          <cell r="A12" t="str">
            <v>A&amp;D</v>
          </cell>
          <cell r="B12">
            <v>319.3</v>
          </cell>
          <cell r="C12">
            <v>290.2</v>
          </cell>
          <cell r="D12">
            <v>272.89999999999998</v>
          </cell>
          <cell r="E12">
            <v>313.10000000000002</v>
          </cell>
          <cell r="F12">
            <v>336.7</v>
          </cell>
          <cell r="G12">
            <v>355.9</v>
          </cell>
          <cell r="H12">
            <v>350.9</v>
          </cell>
          <cell r="I12">
            <v>368.4</v>
          </cell>
          <cell r="J12">
            <v>387.8</v>
          </cell>
        </row>
        <row r="16">
          <cell r="B16">
            <v>367.59999999999945</v>
          </cell>
          <cell r="C16">
            <v>622.20000000000073</v>
          </cell>
          <cell r="D16">
            <v>677.5</v>
          </cell>
          <cell r="E16">
            <v>766.79999999999927</v>
          </cell>
          <cell r="F16">
            <v>832.49999999999909</v>
          </cell>
          <cell r="G16">
            <v>47.900000000000546</v>
          </cell>
          <cell r="H16">
            <v>648.70000000000073</v>
          </cell>
          <cell r="I16">
            <v>1162.2000000000007</v>
          </cell>
          <cell r="J16">
            <v>1201.7999999999993</v>
          </cell>
        </row>
        <row r="26">
          <cell r="E26">
            <v>126</v>
          </cell>
          <cell r="F26">
            <v>125.4</v>
          </cell>
          <cell r="G26">
            <v>122.7</v>
          </cell>
          <cell r="H26">
            <v>131.80000000000001</v>
          </cell>
          <cell r="I26">
            <v>129</v>
          </cell>
          <cell r="J26">
            <v>122.9</v>
          </cell>
        </row>
      </sheetData>
      <sheetData sheetId="1"/>
      <sheetData sheetId="2">
        <row r="3">
          <cell r="B3">
            <v>4082.5</v>
          </cell>
          <cell r="C3">
            <v>4287.3</v>
          </cell>
          <cell r="D3">
            <v>4013.8</v>
          </cell>
          <cell r="E3">
            <v>3593.4</v>
          </cell>
          <cell r="F3">
            <v>4503.8999999999996</v>
          </cell>
          <cell r="G3">
            <v>4877.8</v>
          </cell>
        </row>
        <row r="4">
          <cell r="B4">
            <v>3266.9</v>
          </cell>
          <cell r="C4">
            <v>3408.3</v>
          </cell>
          <cell r="D4">
            <v>3281</v>
          </cell>
          <cell r="E4">
            <v>2760.5</v>
          </cell>
          <cell r="F4">
            <v>3510.2</v>
          </cell>
          <cell r="G4">
            <v>3852</v>
          </cell>
        </row>
        <row r="5">
          <cell r="B5">
            <v>815.59999999999991</v>
          </cell>
          <cell r="C5">
            <v>879</v>
          </cell>
          <cell r="D5">
            <v>732.80000000000018</v>
          </cell>
          <cell r="E5">
            <v>832.90000000000009</v>
          </cell>
          <cell r="F5">
            <v>993.69999999999982</v>
          </cell>
          <cell r="G5">
            <v>1025.8000000000002</v>
          </cell>
        </row>
      </sheetData>
      <sheetData sheetId="3">
        <row r="3">
          <cell r="B3">
            <v>1703.2</v>
          </cell>
          <cell r="C3">
            <v>1810.6</v>
          </cell>
          <cell r="D3">
            <v>1701.1</v>
          </cell>
          <cell r="E3">
            <v>1810.4</v>
          </cell>
          <cell r="F3">
            <v>2374.3000000000002</v>
          </cell>
          <cell r="G3">
            <v>2612.3000000000002</v>
          </cell>
        </row>
        <row r="4">
          <cell r="B4">
            <v>1396</v>
          </cell>
          <cell r="C4">
            <v>1481.8</v>
          </cell>
          <cell r="D4">
            <v>1439.2</v>
          </cell>
          <cell r="E4">
            <v>1486.9</v>
          </cell>
          <cell r="F4">
            <v>1955.9</v>
          </cell>
          <cell r="G4">
            <v>2181.4</v>
          </cell>
        </row>
        <row r="5">
          <cell r="B5">
            <v>307.20000000000005</v>
          </cell>
          <cell r="C5">
            <v>328.79999999999995</v>
          </cell>
          <cell r="D5">
            <v>261.89999999999986</v>
          </cell>
          <cell r="E5">
            <v>323.5</v>
          </cell>
          <cell r="F5">
            <v>418.40000000000009</v>
          </cell>
          <cell r="G5">
            <v>430.90000000000009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ce Sheet"/>
      <sheetName val="Statement of Operations"/>
      <sheetName val="Statement of Cashflow"/>
      <sheetName val="Supplemental"/>
    </sheetNames>
    <sheetDataSet>
      <sheetData sheetId="0"/>
      <sheetData sheetId="1">
        <row r="17">
          <cell r="B17">
            <v>7666</v>
          </cell>
          <cell r="C17">
            <v>7843</v>
          </cell>
          <cell r="D17">
            <v>7656</v>
          </cell>
          <cell r="E17">
            <v>8711</v>
          </cell>
          <cell r="F17">
            <v>9421</v>
          </cell>
          <cell r="G17">
            <v>10384</v>
          </cell>
        </row>
        <row r="25">
          <cell r="B25">
            <v>21258</v>
          </cell>
          <cell r="C25">
            <v>21365</v>
          </cell>
          <cell r="D25">
            <v>19208</v>
          </cell>
          <cell r="E25">
            <v>23223</v>
          </cell>
          <cell r="F25">
            <v>23183</v>
          </cell>
          <cell r="G25">
            <v>25494</v>
          </cell>
        </row>
        <row r="27">
          <cell r="B27">
            <v>8266</v>
          </cell>
          <cell r="C27">
            <v>7761</v>
          </cell>
          <cell r="D27">
            <v>6981</v>
          </cell>
          <cell r="E27">
            <v>8047</v>
          </cell>
          <cell r="F27">
            <v>7381</v>
          </cell>
          <cell r="G27">
            <v>8224</v>
          </cell>
        </row>
        <row r="28">
          <cell r="B28">
            <v>1973</v>
          </cell>
          <cell r="C28">
            <v>2201</v>
          </cell>
          <cell r="D28">
            <v>2208</v>
          </cell>
          <cell r="E28">
            <v>2335</v>
          </cell>
          <cell r="F28">
            <v>2350</v>
          </cell>
          <cell r="G28">
            <v>2475</v>
          </cell>
        </row>
        <row r="29">
          <cell r="B29">
            <v>186</v>
          </cell>
          <cell r="C29">
            <v>224</v>
          </cell>
          <cell r="D29">
            <v>267</v>
          </cell>
          <cell r="E29">
            <v>260</v>
          </cell>
          <cell r="F29">
            <v>245</v>
          </cell>
          <cell r="G29">
            <v>232</v>
          </cell>
        </row>
        <row r="30">
          <cell r="B30">
            <v>2200</v>
          </cell>
          <cell r="C30">
            <v>2229</v>
          </cell>
          <cell r="D30">
            <v>2546</v>
          </cell>
          <cell r="E30">
            <v>2708</v>
          </cell>
          <cell r="F30">
            <v>2862</v>
          </cell>
          <cell r="G30">
            <v>2817</v>
          </cell>
        </row>
        <row r="32">
          <cell r="B32">
            <v>1985</v>
          </cell>
          <cell r="C32">
            <v>1967</v>
          </cell>
          <cell r="D32">
            <v>2245</v>
          </cell>
          <cell r="E32">
            <v>2378</v>
          </cell>
          <cell r="F32">
            <v>2492</v>
          </cell>
          <cell r="G32">
            <v>2435</v>
          </cell>
        </row>
        <row r="35">
          <cell r="B35">
            <v>8823</v>
          </cell>
          <cell r="C35">
            <v>9070</v>
          </cell>
          <cell r="D35">
            <v>7324</v>
          </cell>
          <cell r="E35">
            <v>10356</v>
          </cell>
          <cell r="F35">
            <v>9371</v>
          </cell>
          <cell r="G35">
            <v>11647</v>
          </cell>
        </row>
        <row r="43">
          <cell r="B43">
            <v>785.6</v>
          </cell>
          <cell r="C43">
            <v>764.9</v>
          </cell>
          <cell r="D43">
            <v>750.1</v>
          </cell>
          <cell r="E43">
            <v>751.8</v>
          </cell>
          <cell r="F43">
            <v>741.3</v>
          </cell>
          <cell r="G43">
            <v>732.3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TH"/>
      <sheetName val="BK"/>
      <sheetName val="PLK"/>
      <sheetName val="FHS"/>
      <sheetName val="INTL"/>
      <sheetName val="Statement of Operations"/>
    </sheetNames>
    <sheetDataSet>
      <sheetData sheetId="0"/>
      <sheetData sheetId="1">
        <row r="9">
          <cell r="B9">
            <v>3292</v>
          </cell>
          <cell r="C9">
            <v>3344</v>
          </cell>
          <cell r="D9">
            <v>2810</v>
          </cell>
          <cell r="E9">
            <v>3331</v>
          </cell>
          <cell r="F9">
            <v>3802</v>
          </cell>
          <cell r="G9">
            <v>3972</v>
          </cell>
        </row>
        <row r="10">
          <cell r="A10" t="str">
            <v>COGS</v>
          </cell>
          <cell r="B10">
            <v>1688</v>
          </cell>
          <cell r="C10">
            <v>1677</v>
          </cell>
          <cell r="D10">
            <v>1484</v>
          </cell>
          <cell r="E10">
            <v>1765</v>
          </cell>
          <cell r="F10">
            <v>2131</v>
          </cell>
          <cell r="G10">
            <v>2231</v>
          </cell>
        </row>
        <row r="11">
          <cell r="A11" t="str">
            <v>Franchise and property expenses</v>
          </cell>
          <cell r="B11">
            <v>279</v>
          </cell>
          <cell r="C11">
            <v>358</v>
          </cell>
          <cell r="D11">
            <v>341</v>
          </cell>
          <cell r="E11">
            <v>336</v>
          </cell>
          <cell r="F11">
            <v>332</v>
          </cell>
          <cell r="G11">
            <v>325</v>
          </cell>
        </row>
        <row r="12">
          <cell r="A12" t="str">
            <v>Advertising expenses and other services</v>
          </cell>
          <cell r="E12">
            <v>277</v>
          </cell>
          <cell r="F12">
            <v>282</v>
          </cell>
          <cell r="G12">
            <v>309</v>
          </cell>
        </row>
        <row r="13">
          <cell r="A13" t="str">
            <v xml:space="preserve">Segment G&amp;A </v>
          </cell>
          <cell r="B13">
            <v>314</v>
          </cell>
          <cell r="C13">
            <v>309</v>
          </cell>
          <cell r="D13">
            <v>284</v>
          </cell>
          <cell r="E13">
            <v>133</v>
          </cell>
          <cell r="F13">
            <v>151</v>
          </cell>
          <cell r="G13">
            <v>168</v>
          </cell>
        </row>
        <row r="18">
          <cell r="B18">
            <v>1113</v>
          </cell>
          <cell r="C18">
            <v>1106</v>
          </cell>
          <cell r="D18">
            <v>814</v>
          </cell>
          <cell r="E18">
            <v>845</v>
          </cell>
          <cell r="F18">
            <v>926</v>
          </cell>
          <cell r="G18">
            <v>959</v>
          </cell>
        </row>
      </sheetData>
      <sheetData sheetId="2">
        <row r="9">
          <cell r="B9">
            <v>1651</v>
          </cell>
          <cell r="C9">
            <v>1777</v>
          </cell>
          <cell r="D9">
            <v>1602</v>
          </cell>
          <cell r="E9">
            <v>1156</v>
          </cell>
          <cell r="F9">
            <v>1196</v>
          </cell>
          <cell r="G9">
            <v>1298</v>
          </cell>
        </row>
        <row r="10">
          <cell r="A10" t="str">
            <v>COGS</v>
          </cell>
          <cell r="B10">
            <v>67</v>
          </cell>
          <cell r="C10">
            <v>71</v>
          </cell>
          <cell r="D10">
            <v>65</v>
          </cell>
          <cell r="E10">
            <v>66</v>
          </cell>
          <cell r="F10">
            <v>74</v>
          </cell>
          <cell r="G10">
            <v>90</v>
          </cell>
        </row>
        <row r="11">
          <cell r="A11" t="str">
            <v>Franchise and property expenses</v>
          </cell>
          <cell r="B11">
            <v>131</v>
          </cell>
          <cell r="C11">
            <v>168</v>
          </cell>
          <cell r="D11">
            <v>176</v>
          </cell>
          <cell r="E11">
            <v>137</v>
          </cell>
          <cell r="F11">
            <v>144</v>
          </cell>
          <cell r="G11">
            <v>144</v>
          </cell>
        </row>
        <row r="12">
          <cell r="A12" t="str">
            <v>Advertising expenses and other services</v>
          </cell>
          <cell r="E12">
            <v>433</v>
          </cell>
          <cell r="F12">
            <v>467</v>
          </cell>
          <cell r="G12">
            <v>543</v>
          </cell>
        </row>
        <row r="13">
          <cell r="A13" t="str">
            <v>Segment G&amp;A (a)</v>
          </cell>
          <cell r="B13">
            <v>577</v>
          </cell>
          <cell r="C13">
            <v>600</v>
          </cell>
          <cell r="D13">
            <v>588</v>
          </cell>
          <cell r="E13">
            <v>110</v>
          </cell>
          <cell r="F13">
            <v>126</v>
          </cell>
          <cell r="G13">
            <v>145</v>
          </cell>
        </row>
        <row r="17">
          <cell r="B17">
            <v>924</v>
          </cell>
          <cell r="C17">
            <v>987</v>
          </cell>
          <cell r="D17">
            <v>822</v>
          </cell>
          <cell r="E17">
            <v>421</v>
          </cell>
          <cell r="F17">
            <v>396</v>
          </cell>
          <cell r="G17">
            <v>387</v>
          </cell>
        </row>
      </sheetData>
      <sheetData sheetId="3">
        <row r="9">
          <cell r="B9">
            <v>414</v>
          </cell>
          <cell r="C9">
            <v>482</v>
          </cell>
          <cell r="D9">
            <v>556</v>
          </cell>
          <cell r="E9">
            <v>559</v>
          </cell>
          <cell r="F9">
            <v>618</v>
          </cell>
          <cell r="G9">
            <v>692</v>
          </cell>
        </row>
        <row r="10">
          <cell r="A10" t="str">
            <v>COGS</v>
          </cell>
          <cell r="B10">
            <v>63</v>
          </cell>
          <cell r="C10">
            <v>65</v>
          </cell>
          <cell r="D10">
            <v>61</v>
          </cell>
          <cell r="E10">
            <v>58</v>
          </cell>
          <cell r="F10">
            <v>72</v>
          </cell>
          <cell r="G10">
            <v>80</v>
          </cell>
        </row>
        <row r="11">
          <cell r="A11" t="str">
            <v>Franchise and property expenses</v>
          </cell>
          <cell r="B11">
            <v>12</v>
          </cell>
          <cell r="C11">
            <v>14</v>
          </cell>
          <cell r="D11">
            <v>11</v>
          </cell>
          <cell r="E11">
            <v>8</v>
          </cell>
          <cell r="F11">
            <v>11</v>
          </cell>
          <cell r="G11">
            <v>12</v>
          </cell>
        </row>
        <row r="12">
          <cell r="A12" t="str">
            <v>Advertising expenses and other services</v>
          </cell>
          <cell r="B12"/>
          <cell r="C12"/>
          <cell r="D12"/>
          <cell r="E12">
            <v>233</v>
          </cell>
          <cell r="F12">
            <v>261</v>
          </cell>
          <cell r="G12">
            <v>295</v>
          </cell>
        </row>
        <row r="13">
          <cell r="A13" t="str">
            <v>Segment G&amp;A (a)</v>
          </cell>
          <cell r="B13">
            <v>193</v>
          </cell>
          <cell r="C13">
            <v>225</v>
          </cell>
          <cell r="D13">
            <v>273</v>
          </cell>
          <cell r="E13">
            <v>64</v>
          </cell>
          <cell r="F13">
            <v>72</v>
          </cell>
          <cell r="G13">
            <v>86</v>
          </cell>
        </row>
        <row r="17">
          <cell r="B17">
            <v>146</v>
          </cell>
          <cell r="C17">
            <v>178</v>
          </cell>
          <cell r="D17">
            <v>211</v>
          </cell>
          <cell r="E17">
            <v>198</v>
          </cell>
          <cell r="F17">
            <v>204</v>
          </cell>
          <cell r="G17">
            <v>221</v>
          </cell>
        </row>
      </sheetData>
      <sheetData sheetId="4"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138</v>
          </cell>
          <cell r="G9">
            <v>186</v>
          </cell>
        </row>
        <row r="10">
          <cell r="A10" t="str">
            <v>COGS</v>
          </cell>
          <cell r="B10"/>
          <cell r="C10"/>
          <cell r="D10"/>
          <cell r="E10">
            <v>1</v>
          </cell>
          <cell r="F10">
            <v>35</v>
          </cell>
          <cell r="G10">
            <v>34</v>
          </cell>
        </row>
        <row r="11">
          <cell r="A11" t="str">
            <v>Franchise and property expenses</v>
          </cell>
          <cell r="B11"/>
          <cell r="C11"/>
          <cell r="D11"/>
          <cell r="E11">
            <v>1</v>
          </cell>
          <cell r="F11">
            <v>7</v>
          </cell>
          <cell r="G11">
            <v>9</v>
          </cell>
        </row>
        <row r="12">
          <cell r="A12" t="str">
            <v>Advertising expenses and other services</v>
          </cell>
          <cell r="B12"/>
          <cell r="C12"/>
          <cell r="D12"/>
          <cell r="E12"/>
          <cell r="F12">
            <v>12</v>
          </cell>
          <cell r="G12">
            <v>49</v>
          </cell>
        </row>
        <row r="13">
          <cell r="A13" t="str">
            <v>Segment G&amp;A (a)</v>
          </cell>
          <cell r="B13"/>
          <cell r="C13"/>
          <cell r="D13"/>
          <cell r="E13">
            <v>1</v>
          </cell>
          <cell r="F13">
            <v>52</v>
          </cell>
          <cell r="G13">
            <v>58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2</v>
          </cell>
          <cell r="F16">
            <v>33</v>
          </cell>
          <cell r="G16">
            <v>37</v>
          </cell>
        </row>
      </sheetData>
      <sheetData sheetId="5"/>
      <sheetData sheetId="6">
        <row r="9">
          <cell r="B9">
            <v>5357</v>
          </cell>
          <cell r="C9">
            <v>5603</v>
          </cell>
          <cell r="D9">
            <v>4968</v>
          </cell>
          <cell r="E9">
            <v>5739</v>
          </cell>
          <cell r="F9">
            <v>6505</v>
          </cell>
          <cell r="G9">
            <v>7022</v>
          </cell>
        </row>
        <row r="11">
          <cell r="A11" t="str">
            <v>Cost of sales</v>
          </cell>
          <cell r="B11">
            <v>1818</v>
          </cell>
          <cell r="C11">
            <v>1813</v>
          </cell>
          <cell r="D11">
            <v>1610</v>
          </cell>
          <cell r="E11">
            <v>1890</v>
          </cell>
          <cell r="F11">
            <v>2312</v>
          </cell>
          <cell r="G11">
            <v>2435</v>
          </cell>
        </row>
        <row r="12">
          <cell r="A12" t="str">
            <v xml:space="preserve">Franchise &amp; property expenses </v>
          </cell>
          <cell r="B12">
            <v>422</v>
          </cell>
          <cell r="C12">
            <v>540</v>
          </cell>
          <cell r="D12">
            <v>528</v>
          </cell>
          <cell r="E12">
            <v>489</v>
          </cell>
          <cell r="F12">
            <v>518</v>
          </cell>
          <cell r="G12">
            <v>512</v>
          </cell>
        </row>
        <row r="13">
          <cell r="A13" t="str">
            <v>Advertising expenses and other services</v>
          </cell>
          <cell r="B13"/>
          <cell r="C13"/>
          <cell r="D13"/>
          <cell r="E13">
            <v>986</v>
          </cell>
          <cell r="F13">
            <v>1077</v>
          </cell>
          <cell r="G13">
            <v>1273</v>
          </cell>
        </row>
        <row r="14">
          <cell r="A14" t="str">
            <v>G&amp;A expenses</v>
          </cell>
          <cell r="B14">
            <v>1214</v>
          </cell>
          <cell r="C14">
            <v>1264</v>
          </cell>
          <cell r="D14">
            <v>1264</v>
          </cell>
          <cell r="E14">
            <v>484</v>
          </cell>
          <cell r="F14">
            <v>631</v>
          </cell>
          <cell r="G14">
            <v>704</v>
          </cell>
        </row>
        <row r="16">
          <cell r="B16">
            <v>8</v>
          </cell>
          <cell r="C16">
            <v>-10</v>
          </cell>
          <cell r="D16">
            <v>105</v>
          </cell>
          <cell r="E16">
            <v>7</v>
          </cell>
          <cell r="F16">
            <v>25</v>
          </cell>
          <cell r="G16">
            <v>55</v>
          </cell>
        </row>
        <row r="18">
          <cell r="B18">
            <v>1917</v>
          </cell>
          <cell r="C18">
            <v>2007</v>
          </cell>
          <cell r="D18">
            <v>1422</v>
          </cell>
          <cell r="E18">
            <v>1879</v>
          </cell>
          <cell r="F18">
            <v>1898</v>
          </cell>
          <cell r="G18">
            <v>2051</v>
          </cell>
        </row>
        <row r="26">
          <cell r="B26">
            <v>473</v>
          </cell>
          <cell r="C26">
            <v>469</v>
          </cell>
          <cell r="D26">
            <v>468</v>
          </cell>
          <cell r="E26">
            <v>464</v>
          </cell>
          <cell r="F26">
            <v>455</v>
          </cell>
          <cell r="G26">
            <v>456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000000"/>
      <sheetName val="SBUX"/>
    </sheetNames>
    <sheetDataSet>
      <sheetData sheetId="0"/>
      <sheetData sheetId="1">
        <row r="21">
          <cell r="J21">
            <v>21366</v>
          </cell>
          <cell r="K21">
            <v>23043</v>
          </cell>
          <cell r="L21">
            <v>25085</v>
          </cell>
          <cell r="M21">
            <v>27339</v>
          </cell>
          <cell r="N21">
            <v>29324</v>
          </cell>
          <cell r="O21">
            <v>31256</v>
          </cell>
          <cell r="P21">
            <v>32660</v>
          </cell>
          <cell r="Q21">
            <v>33833</v>
          </cell>
          <cell r="R21">
            <v>35711</v>
          </cell>
          <cell r="S21">
            <v>38038</v>
          </cell>
        </row>
        <row r="31">
          <cell r="J31">
            <v>6858.8</v>
          </cell>
          <cell r="K31">
            <v>7787.5</v>
          </cell>
          <cell r="L31">
            <v>8511.1</v>
          </cell>
          <cell r="M31">
            <v>9038.2999999999993</v>
          </cell>
          <cell r="N31">
            <v>7930.7</v>
          </cell>
          <cell r="O31">
            <v>8526.9</v>
          </cell>
          <cell r="P31">
            <v>7694.9</v>
          </cell>
          <cell r="Q31">
            <v>8737.7999999999993</v>
          </cell>
          <cell r="R31">
            <v>10317.4</v>
          </cell>
          <cell r="S31">
            <v>11409.1</v>
          </cell>
        </row>
        <row r="32">
          <cell r="J32">
            <v>4638.2</v>
          </cell>
          <cell r="K32">
            <v>5411.1</v>
          </cell>
          <cell r="L32">
            <v>6064.3</v>
          </cell>
          <cell r="M32">
            <v>6493.3</v>
          </cell>
          <cell r="N32">
            <v>9472.2000000000007</v>
          </cell>
          <cell r="O32">
            <v>10493.6</v>
          </cell>
          <cell r="P32">
            <v>10764</v>
          </cell>
          <cell r="Q32">
            <v>11930.9</v>
          </cell>
          <cell r="R32">
            <v>13561.8</v>
          </cell>
          <cell r="S32">
            <v>14720.3</v>
          </cell>
        </row>
        <row r="33">
          <cell r="J33">
            <v>11497</v>
          </cell>
          <cell r="K33">
            <v>13198.6</v>
          </cell>
          <cell r="L33">
            <v>14575.400000000001</v>
          </cell>
          <cell r="M33">
            <v>15531.599999999999</v>
          </cell>
          <cell r="N33">
            <v>17402.900000000001</v>
          </cell>
          <cell r="O33">
            <v>19020.5</v>
          </cell>
          <cell r="P33">
            <v>18458.900000000001</v>
          </cell>
          <cell r="Q33">
            <v>20668.699999999997</v>
          </cell>
          <cell r="R33">
            <v>23879.199999999997</v>
          </cell>
          <cell r="S33">
            <v>26129.4</v>
          </cell>
        </row>
        <row r="36">
          <cell r="J36">
            <v>0.2843046693820997</v>
          </cell>
          <cell r="K36">
            <v>0.2986201911653053</v>
          </cell>
          <cell r="L36">
            <v>0.30949032514759972</v>
          </cell>
          <cell r="M36">
            <v>0.31122776590300555</v>
          </cell>
          <cell r="N36">
            <v>0.30614731531268641</v>
          </cell>
          <cell r="O36">
            <v>0.29489580167024049</v>
          </cell>
          <cell r="P36">
            <v>0.26452791583202379</v>
          </cell>
          <cell r="Q36">
            <v>0.26212007742421717</v>
          </cell>
          <cell r="R36">
            <v>0.25447892677936729</v>
          </cell>
          <cell r="S36">
            <v>0.27401018142511241</v>
          </cell>
        </row>
        <row r="38">
          <cell r="J38">
            <v>709.6</v>
          </cell>
          <cell r="K38">
            <v>893.9</v>
          </cell>
          <cell r="L38">
            <v>980.8</v>
          </cell>
          <cell r="M38">
            <v>1011.4</v>
          </cell>
          <cell r="N38">
            <v>1247</v>
          </cell>
          <cell r="O38">
            <v>1377.3</v>
          </cell>
          <cell r="P38">
            <v>1431.3</v>
          </cell>
          <cell r="Q38">
            <v>1441.7</v>
          </cell>
          <cell r="R38">
            <v>1447.9</v>
          </cell>
          <cell r="S38">
            <v>1362.6</v>
          </cell>
        </row>
        <row r="40">
          <cell r="J40">
            <v>2138</v>
          </cell>
          <cell r="K40">
            <v>2613</v>
          </cell>
          <cell r="L40">
            <v>2886.7999999999997</v>
          </cell>
          <cell r="M40">
            <v>3112</v>
          </cell>
          <cell r="N40">
            <v>3734.5</v>
          </cell>
          <cell r="O40">
            <v>3708.2</v>
          </cell>
          <cell r="P40">
            <v>3819.8999999999996</v>
          </cell>
          <cell r="Q40">
            <v>3904.2</v>
          </cell>
          <cell r="R40">
            <v>3987.4</v>
          </cell>
          <cell r="S40">
            <v>4365.1000000000004</v>
          </cell>
        </row>
        <row r="49">
          <cell r="N49">
            <v>3053.475399999998</v>
          </cell>
          <cell r="O49">
            <v>3094.0175000000008</v>
          </cell>
          <cell r="P49">
            <v>928.10000000000196</v>
          </cell>
          <cell r="Q49">
            <v>3522.6688000000026</v>
          </cell>
          <cell r="R49">
            <v>3283.0000000000045</v>
          </cell>
          <cell r="S49">
            <v>4054.1999999999953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pplemental"/>
      <sheetName val="KFC"/>
      <sheetName val="Taco Bell"/>
      <sheetName val="Pizza Hut"/>
      <sheetName val="Habit Burger Grill "/>
      <sheetName val="Statement of Income"/>
    </sheetNames>
    <sheetDataSet>
      <sheetData sheetId="0"/>
      <sheetData sheetId="1">
        <row r="9">
          <cell r="B9">
            <v>2644</v>
          </cell>
          <cell r="C9">
            <v>2491</v>
          </cell>
          <cell r="D9">
            <v>2272</v>
          </cell>
          <cell r="E9">
            <v>2793</v>
          </cell>
          <cell r="F9">
            <v>2834</v>
          </cell>
          <cell r="G9">
            <v>2830</v>
          </cell>
        </row>
        <row r="11">
          <cell r="A11" t="str">
            <v>Company restaurant expense</v>
          </cell>
          <cell r="B11">
            <v>775</v>
          </cell>
          <cell r="C11">
            <v>484</v>
          </cell>
          <cell r="D11">
            <v>439</v>
          </cell>
          <cell r="E11">
            <v>490</v>
          </cell>
          <cell r="F11">
            <v>426</v>
          </cell>
          <cell r="G11">
            <v>417</v>
          </cell>
        </row>
        <row r="12">
          <cell r="A12" t="str">
            <v>G&amp;A expenses</v>
          </cell>
          <cell r="B12">
            <v>350</v>
          </cell>
          <cell r="C12">
            <v>346</v>
          </cell>
          <cell r="D12">
            <v>346</v>
          </cell>
          <cell r="E12">
            <v>377</v>
          </cell>
          <cell r="F12">
            <v>390</v>
          </cell>
          <cell r="G12">
            <v>383</v>
          </cell>
        </row>
        <row r="13">
          <cell r="A13" t="str">
            <v>Franchise &amp; property expenses</v>
          </cell>
          <cell r="B13">
            <v>107</v>
          </cell>
          <cell r="C13">
            <v>89</v>
          </cell>
          <cell r="D13">
            <v>91</v>
          </cell>
          <cell r="E13">
            <v>74</v>
          </cell>
          <cell r="F13">
            <v>69</v>
          </cell>
          <cell r="G13">
            <v>72</v>
          </cell>
        </row>
        <row r="14">
          <cell r="A14" t="str">
            <v>Franchise advertising and other services expenses</v>
          </cell>
          <cell r="B14">
            <v>452</v>
          </cell>
          <cell r="C14">
            <v>520</v>
          </cell>
          <cell r="D14">
            <v>465</v>
          </cell>
          <cell r="E14">
            <v>627</v>
          </cell>
          <cell r="F14">
            <v>684</v>
          </cell>
          <cell r="G14">
            <v>648</v>
          </cell>
        </row>
        <row r="15">
          <cell r="B15">
            <v>960</v>
          </cell>
          <cell r="C15">
            <v>1052</v>
          </cell>
          <cell r="D15">
            <v>931</v>
          </cell>
          <cell r="E15">
            <v>1225</v>
          </cell>
          <cell r="F15">
            <v>1265</v>
          </cell>
          <cell r="G15">
            <v>1310</v>
          </cell>
        </row>
      </sheetData>
      <sheetData sheetId="2">
        <row r="9">
          <cell r="B9">
            <v>2056</v>
          </cell>
          <cell r="C9">
            <v>2079</v>
          </cell>
          <cell r="D9">
            <v>2031</v>
          </cell>
          <cell r="E9">
            <v>2238</v>
          </cell>
          <cell r="F9">
            <v>2437</v>
          </cell>
          <cell r="G9">
            <v>2641</v>
          </cell>
        </row>
        <row r="11">
          <cell r="A11" t="str">
            <v>Company restaurant expense</v>
          </cell>
          <cell r="B11">
            <v>793</v>
          </cell>
          <cell r="C11">
            <v>700</v>
          </cell>
          <cell r="D11">
            <v>657</v>
          </cell>
          <cell r="E11">
            <v>719</v>
          </cell>
          <cell r="F11">
            <v>766</v>
          </cell>
          <cell r="G11">
            <v>817</v>
          </cell>
        </row>
        <row r="12">
          <cell r="A12" t="str">
            <v>G&amp;A expenses</v>
          </cell>
          <cell r="B12">
            <v>177</v>
          </cell>
          <cell r="C12">
            <v>181</v>
          </cell>
          <cell r="D12">
            <v>158</v>
          </cell>
          <cell r="E12">
            <v>174</v>
          </cell>
          <cell r="F12">
            <v>191</v>
          </cell>
          <cell r="G12">
            <v>204</v>
          </cell>
        </row>
        <row r="13">
          <cell r="A13" t="str">
            <v>Franchise &amp; property expenses</v>
          </cell>
          <cell r="B13">
            <v>28</v>
          </cell>
          <cell r="C13">
            <v>38</v>
          </cell>
          <cell r="D13">
            <v>33</v>
          </cell>
          <cell r="E13">
            <v>33</v>
          </cell>
          <cell r="F13">
            <v>33</v>
          </cell>
          <cell r="G13">
            <v>32</v>
          </cell>
        </row>
        <row r="14">
          <cell r="A14" t="str">
            <v>Franchise advertising and other services expenses</v>
          </cell>
          <cell r="B14">
            <v>428</v>
          </cell>
          <cell r="C14">
            <v>481</v>
          </cell>
          <cell r="D14">
            <v>484</v>
          </cell>
          <cell r="E14">
            <v>553</v>
          </cell>
          <cell r="F14">
            <v>599</v>
          </cell>
          <cell r="G14">
            <v>644</v>
          </cell>
        </row>
        <row r="15">
          <cell r="B15">
            <v>630</v>
          </cell>
          <cell r="C15">
            <v>679</v>
          </cell>
          <cell r="D15">
            <v>699</v>
          </cell>
          <cell r="E15">
            <v>759</v>
          </cell>
          <cell r="F15">
            <v>848</v>
          </cell>
          <cell r="G15">
            <v>944</v>
          </cell>
        </row>
      </sheetData>
      <sheetData sheetId="3">
        <row r="9">
          <cell r="B9">
            <v>988</v>
          </cell>
          <cell r="C9">
            <v>1027</v>
          </cell>
          <cell r="D9">
            <v>1002</v>
          </cell>
          <cell r="E9">
            <v>1028</v>
          </cell>
          <cell r="F9">
            <v>1004</v>
          </cell>
          <cell r="G9">
            <v>1019</v>
          </cell>
        </row>
        <row r="11">
          <cell r="A11" t="str">
            <v>Company restaurant expense</v>
          </cell>
          <cell r="B11">
            <v>69</v>
          </cell>
          <cell r="C11">
            <v>51</v>
          </cell>
          <cell r="D11">
            <v>73</v>
          </cell>
          <cell r="E11">
            <v>46</v>
          </cell>
          <cell r="F11">
            <v>21</v>
          </cell>
          <cell r="G11">
            <v>14</v>
          </cell>
        </row>
        <row r="12">
          <cell r="A12" t="str">
            <v>G&amp;A expenses</v>
          </cell>
          <cell r="B12">
            <v>197</v>
          </cell>
          <cell r="C12">
            <v>202</v>
          </cell>
          <cell r="D12">
            <v>215</v>
          </cell>
          <cell r="E12">
            <v>201</v>
          </cell>
          <cell r="F12">
            <v>211</v>
          </cell>
          <cell r="G12">
            <v>221</v>
          </cell>
        </row>
        <row r="13">
          <cell r="A13" t="str">
            <v>Franchise &amp; property expenses</v>
          </cell>
          <cell r="B13">
            <v>45</v>
          </cell>
          <cell r="C13">
            <v>39</v>
          </cell>
          <cell r="D13">
            <v>17</v>
          </cell>
          <cell r="E13">
            <v>11</v>
          </cell>
          <cell r="F13">
            <v>13</v>
          </cell>
          <cell r="G13">
            <v>15</v>
          </cell>
        </row>
        <row r="14">
          <cell r="A14" t="str">
            <v>Franchise advertising and other services expenses</v>
          </cell>
          <cell r="B14">
            <v>328</v>
          </cell>
          <cell r="C14">
            <v>367</v>
          </cell>
          <cell r="D14">
            <v>365</v>
          </cell>
          <cell r="E14">
            <v>395</v>
          </cell>
          <cell r="F14">
            <v>382</v>
          </cell>
          <cell r="G14">
            <v>389</v>
          </cell>
        </row>
        <row r="15">
          <cell r="B15">
            <v>349</v>
          </cell>
          <cell r="C15">
            <v>368</v>
          </cell>
          <cell r="D15">
            <v>332</v>
          </cell>
          <cell r="E15">
            <v>375</v>
          </cell>
          <cell r="F15">
            <v>377</v>
          </cell>
          <cell r="G15">
            <v>380</v>
          </cell>
        </row>
      </sheetData>
      <sheetData sheetId="4">
        <row r="6">
          <cell r="D6">
            <v>347</v>
          </cell>
          <cell r="E6">
            <v>525</v>
          </cell>
          <cell r="F6">
            <v>567</v>
          </cell>
          <cell r="G6">
            <v>586</v>
          </cell>
        </row>
        <row r="7">
          <cell r="D7">
            <v>369</v>
          </cell>
          <cell r="E7">
            <v>523</v>
          </cell>
          <cell r="F7">
            <v>591</v>
          </cell>
          <cell r="G7">
            <v>600</v>
          </cell>
        </row>
        <row r="8">
          <cell r="D8">
            <v>-22</v>
          </cell>
          <cell r="E8">
            <v>2</v>
          </cell>
          <cell r="F8">
            <v>-24</v>
          </cell>
          <cell r="G8">
            <v>-14</v>
          </cell>
        </row>
      </sheetData>
      <sheetData sheetId="5">
        <row r="8">
          <cell r="B8">
            <v>5688</v>
          </cell>
          <cell r="C8">
            <v>5597</v>
          </cell>
          <cell r="D8">
            <v>5652</v>
          </cell>
          <cell r="E8">
            <v>6584</v>
          </cell>
          <cell r="F8">
            <v>6842</v>
          </cell>
          <cell r="G8">
            <v>7076</v>
          </cell>
        </row>
        <row r="10">
          <cell r="A10" t="str">
            <v>Company restaurant expenses</v>
          </cell>
          <cell r="B10">
            <v>1634</v>
          </cell>
          <cell r="C10">
            <v>1235</v>
          </cell>
          <cell r="D10">
            <v>1506</v>
          </cell>
          <cell r="E10">
            <v>1725</v>
          </cell>
          <cell r="F10">
            <v>1745</v>
          </cell>
          <cell r="G10">
            <v>1774</v>
          </cell>
        </row>
        <row r="11">
          <cell r="A11" t="str">
            <v>G&amp;A expenses</v>
          </cell>
          <cell r="B11">
            <v>895</v>
          </cell>
          <cell r="C11">
            <v>917</v>
          </cell>
          <cell r="D11">
            <v>1064</v>
          </cell>
          <cell r="E11">
            <v>1060</v>
          </cell>
          <cell r="F11">
            <v>1140</v>
          </cell>
          <cell r="G11">
            <v>1193</v>
          </cell>
        </row>
        <row r="12">
          <cell r="A12" t="str">
            <v>Franchise &amp; property expenses</v>
          </cell>
          <cell r="B12">
            <v>188</v>
          </cell>
          <cell r="C12">
            <v>180</v>
          </cell>
          <cell r="D12">
            <v>145</v>
          </cell>
          <cell r="E12">
            <v>117</v>
          </cell>
          <cell r="F12">
            <v>123</v>
          </cell>
          <cell r="G12">
            <v>123</v>
          </cell>
        </row>
        <row r="13">
          <cell r="A13" t="str">
            <v>Franchise advertising &amp; other services expense</v>
          </cell>
          <cell r="B13">
            <v>1208</v>
          </cell>
          <cell r="C13">
            <v>1368</v>
          </cell>
          <cell r="D13">
            <v>1314</v>
          </cell>
          <cell r="E13">
            <v>1576</v>
          </cell>
          <cell r="F13">
            <v>1667</v>
          </cell>
          <cell r="G13">
            <v>1683</v>
          </cell>
        </row>
        <row r="15">
          <cell r="B15">
            <v>7</v>
          </cell>
          <cell r="C15">
            <v>4</v>
          </cell>
          <cell r="D15">
            <v>154</v>
          </cell>
          <cell r="E15">
            <v>2</v>
          </cell>
          <cell r="F15">
            <v>7</v>
          </cell>
          <cell r="G15">
            <v>14</v>
          </cell>
        </row>
        <row r="17">
          <cell r="B17">
            <v>2296</v>
          </cell>
          <cell r="C17">
            <v>1930</v>
          </cell>
          <cell r="D17">
            <v>1503</v>
          </cell>
          <cell r="E17">
            <v>2139</v>
          </cell>
          <cell r="F17">
            <v>2187</v>
          </cell>
          <cell r="G17">
            <v>2318</v>
          </cell>
        </row>
        <row r="26">
          <cell r="B26">
            <v>329</v>
          </cell>
          <cell r="C26">
            <v>313</v>
          </cell>
          <cell r="D26">
            <v>307</v>
          </cell>
          <cell r="E26">
            <v>302</v>
          </cell>
          <cell r="F26">
            <v>290</v>
          </cell>
          <cell r="G26">
            <v>285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ement of Income"/>
      <sheetName val="Supplemental "/>
    </sheetNames>
    <sheetDataSet>
      <sheetData sheetId="0">
        <row r="7">
          <cell r="C7">
            <v>190592</v>
          </cell>
          <cell r="D7">
            <v>268475</v>
          </cell>
          <cell r="E7">
            <v>358810</v>
          </cell>
          <cell r="F7">
            <v>459310</v>
          </cell>
          <cell r="G7">
            <v>594519</v>
          </cell>
          <cell r="H7">
            <v>522867</v>
          </cell>
          <cell r="I7">
            <v>739893</v>
          </cell>
          <cell r="J7">
            <v>900486</v>
          </cell>
          <cell r="K7">
            <v>1087533</v>
          </cell>
        </row>
        <row r="9">
          <cell r="C9">
            <v>54079</v>
          </cell>
          <cell r="D9">
            <v>73752</v>
          </cell>
          <cell r="E9">
            <v>98337</v>
          </cell>
          <cell r="F9">
            <v>126096</v>
          </cell>
          <cell r="G9">
            <v>168176</v>
          </cell>
          <cell r="H9">
            <v>153335</v>
          </cell>
          <cell r="I9">
            <v>218262</v>
          </cell>
          <cell r="J9">
            <v>261584</v>
          </cell>
          <cell r="K9">
            <v>305041</v>
          </cell>
        </row>
        <row r="10">
          <cell r="C10">
            <v>44752</v>
          </cell>
          <cell r="D10">
            <v>65540</v>
          </cell>
          <cell r="E10">
            <v>91740</v>
          </cell>
          <cell r="F10">
            <v>122094</v>
          </cell>
          <cell r="G10">
            <v>160811</v>
          </cell>
          <cell r="H10">
            <v>156814</v>
          </cell>
          <cell r="I10">
            <v>215114</v>
          </cell>
          <cell r="J10">
            <v>257358</v>
          </cell>
          <cell r="K10">
            <v>304254</v>
          </cell>
        </row>
        <row r="11">
          <cell r="C11">
            <v>16307</v>
          </cell>
          <cell r="D11">
            <v>24946</v>
          </cell>
          <cell r="E11">
            <v>35805</v>
          </cell>
          <cell r="F11">
            <v>51783</v>
          </cell>
          <cell r="G11">
            <v>69169</v>
          </cell>
          <cell r="H11">
            <v>73220</v>
          </cell>
          <cell r="I11">
            <v>102032</v>
          </cell>
          <cell r="J11">
            <v>129650</v>
          </cell>
          <cell r="K11">
            <v>149449</v>
          </cell>
        </row>
        <row r="12">
          <cell r="C12">
            <v>15207</v>
          </cell>
          <cell r="D12">
            <v>21820</v>
          </cell>
          <cell r="E12">
            <v>28197</v>
          </cell>
          <cell r="F12">
            <v>32710</v>
          </cell>
          <cell r="G12">
            <v>48451</v>
          </cell>
          <cell r="H12">
            <v>51592</v>
          </cell>
          <cell r="I12">
            <v>59228</v>
          </cell>
          <cell r="J12">
            <v>68508</v>
          </cell>
          <cell r="K12">
            <v>79846</v>
          </cell>
        </row>
        <row r="13">
          <cell r="C13">
            <v>37825</v>
          </cell>
          <cell r="D13">
            <v>30556</v>
          </cell>
          <cell r="E13">
            <v>39003</v>
          </cell>
          <cell r="F13">
            <v>52720</v>
          </cell>
          <cell r="G13">
            <v>65649</v>
          </cell>
          <cell r="H13">
            <v>64250</v>
          </cell>
          <cell r="I13">
            <v>87196</v>
          </cell>
          <cell r="J13">
            <v>120009</v>
          </cell>
          <cell r="K13">
            <v>129542</v>
          </cell>
        </row>
        <row r="15">
          <cell r="C15">
            <v>5430</v>
          </cell>
          <cell r="D15">
            <v>9520</v>
          </cell>
          <cell r="E15">
            <v>9603</v>
          </cell>
          <cell r="F15">
            <v>12279</v>
          </cell>
          <cell r="G15">
            <v>14834</v>
          </cell>
          <cell r="H15">
            <v>8580</v>
          </cell>
          <cell r="I15">
            <v>13291</v>
          </cell>
          <cell r="J15">
            <v>15050</v>
          </cell>
          <cell r="K15">
            <v>19231</v>
          </cell>
        </row>
        <row r="18">
          <cell r="B18">
            <v>0</v>
          </cell>
          <cell r="C18">
            <v>6753</v>
          </cell>
          <cell r="D18">
            <v>27805</v>
          </cell>
          <cell r="E18">
            <v>33813</v>
          </cell>
          <cell r="F18">
            <v>31711</v>
          </cell>
          <cell r="G18">
            <v>25685</v>
          </cell>
          <cell r="H18">
            <v>-43876</v>
          </cell>
          <cell r="I18">
            <v>-15853</v>
          </cell>
          <cell r="J18">
            <v>-26894</v>
          </cell>
          <cell r="K18">
            <v>5921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ement of Income"/>
      <sheetName val="Balance Sheet"/>
      <sheetName val="Statement of Cashflow"/>
      <sheetName val="Supplemental"/>
    </sheetNames>
    <sheetDataSet>
      <sheetData sheetId="0">
        <row r="11">
          <cell r="B11">
            <v>3432.7999999999997</v>
          </cell>
          <cell r="C11">
            <v>3618.8</v>
          </cell>
          <cell r="D11">
            <v>4117.5</v>
          </cell>
          <cell r="E11">
            <v>4357.3999999999996</v>
          </cell>
          <cell r="F11">
            <v>4537.0999999999995</v>
          </cell>
          <cell r="G11">
            <v>4479.4000000000005</v>
          </cell>
        </row>
        <row r="15">
          <cell r="B15">
            <v>2130.1999999999998</v>
          </cell>
          <cell r="C15">
            <v>2216.2999999999997</v>
          </cell>
          <cell r="D15">
            <v>2522.9</v>
          </cell>
          <cell r="E15">
            <v>2669.1</v>
          </cell>
          <cell r="F15">
            <v>2888.5</v>
          </cell>
          <cell r="G15">
            <v>2752</v>
          </cell>
        </row>
        <row r="17">
          <cell r="B17">
            <v>372.5</v>
          </cell>
          <cell r="C17">
            <v>382.3</v>
          </cell>
          <cell r="D17">
            <v>406.6</v>
          </cell>
          <cell r="E17">
            <v>428.3</v>
          </cell>
          <cell r="F17">
            <v>416.5</v>
          </cell>
          <cell r="G17">
            <v>434.6</v>
          </cell>
        </row>
        <row r="18">
          <cell r="B18">
            <v>358.5</v>
          </cell>
          <cell r="C18">
            <v>390.8</v>
          </cell>
          <cell r="D18">
            <v>462.2</v>
          </cell>
          <cell r="E18">
            <v>479.5</v>
          </cell>
          <cell r="F18">
            <v>485.3</v>
          </cell>
          <cell r="G18">
            <v>473.2</v>
          </cell>
        </row>
        <row r="19">
          <cell r="D19"/>
          <cell r="E19"/>
          <cell r="F19">
            <v>-21.2</v>
          </cell>
          <cell r="G19">
            <v>0.1</v>
          </cell>
        </row>
        <row r="20">
          <cell r="B20">
            <v>571.59999999999991</v>
          </cell>
          <cell r="C20">
            <v>629.40000000000043</v>
          </cell>
          <cell r="D20">
            <v>725.8</v>
          </cell>
          <cell r="E20">
            <v>780.49999999999977</v>
          </cell>
          <cell r="F20">
            <v>767.99999999999955</v>
          </cell>
          <cell r="G20">
            <v>819.50000000000057</v>
          </cell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ong, Nam" id="{4384FFD8-8FAA-CF47-B492-1372BC077C7C}" userId="S::namkong@bu.edu::a7f4be3c-5d4f-4af1-8677-ac0199dbe73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9" dT="2024-06-27T12:38:30.41" personId="{4384FFD8-8FAA-CF47-B492-1372BC077C7C}" id="{C0D79838-DFB4-3842-B640-E52D0F483ECE}">
    <text>Denny’s acquired Keke’s in 2022, therefore prior to 2022, company revenue = Denny’s revenue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C912-E95A-4F42-BF11-54894E6C71AB}">
  <dimension ref="A1:BY37"/>
  <sheetViews>
    <sheetView workbookViewId="0">
      <pane xSplit="5" ySplit="1" topLeftCell="X2" activePane="bottomRight" state="frozen"/>
      <selection pane="topRight" activeCell="E1" sqref="E1"/>
      <selection pane="bottomLeft" activeCell="A2" sqref="A2"/>
      <selection pane="bottomRight" activeCell="K13" sqref="K13"/>
    </sheetView>
  </sheetViews>
  <sheetFormatPr baseColWidth="10" defaultRowHeight="16" x14ac:dyDescent="0.2"/>
  <cols>
    <col min="1" max="1" width="20.6640625" bestFit="1" customWidth="1"/>
    <col min="2" max="2" width="7.1640625" bestFit="1" customWidth="1"/>
    <col min="3" max="3" width="12.83203125" bestFit="1" customWidth="1"/>
    <col min="4" max="4" width="12.83203125" customWidth="1"/>
    <col min="5" max="5" width="7.1640625" bestFit="1" customWidth="1"/>
    <col min="6" max="6" width="10.33203125" bestFit="1" customWidth="1"/>
    <col min="7" max="7" width="11.1640625" bestFit="1" customWidth="1"/>
    <col min="8" max="8" width="8" bestFit="1" customWidth="1"/>
    <col min="9" max="9" width="7" bestFit="1" customWidth="1"/>
    <col min="10" max="10" width="9.83203125" bestFit="1" customWidth="1"/>
    <col min="11" max="11" width="9.5" bestFit="1" customWidth="1"/>
    <col min="12" max="12" width="4.6640625" bestFit="1" customWidth="1"/>
    <col min="13" max="13" width="8" customWidth="1"/>
    <col min="14" max="14" width="8.33203125" bestFit="1" customWidth="1"/>
    <col min="15" max="15" width="10" customWidth="1"/>
    <col min="16" max="16" width="8" bestFit="1" customWidth="1"/>
    <col min="17" max="17" width="9.33203125" bestFit="1" customWidth="1"/>
    <col min="18" max="18" width="8" bestFit="1" customWidth="1"/>
    <col min="19" max="19" width="7" bestFit="1" customWidth="1"/>
    <col min="20" max="20" width="8.5" bestFit="1" customWidth="1"/>
    <col min="21" max="21" width="11.33203125" bestFit="1" customWidth="1"/>
    <col min="22" max="22" width="7.33203125" bestFit="1" customWidth="1"/>
    <col min="23" max="23" width="7.33203125" customWidth="1"/>
    <col min="24" max="24" width="7" bestFit="1" customWidth="1"/>
    <col min="25" max="25" width="9.33203125" bestFit="1" customWidth="1"/>
    <col min="26" max="26" width="9.6640625" customWidth="1"/>
    <col min="27" max="27" width="13.1640625" customWidth="1"/>
    <col min="28" max="28" width="5.33203125" bestFit="1" customWidth="1"/>
    <col min="29" max="29" width="9" bestFit="1" customWidth="1"/>
    <col min="31" max="31" width="9" bestFit="1" customWidth="1"/>
    <col min="32" max="32" width="8.1640625" bestFit="1" customWidth="1"/>
    <col min="33" max="33" width="5.6640625" bestFit="1" customWidth="1"/>
    <col min="34" max="34" width="7.83203125" bestFit="1" customWidth="1"/>
    <col min="35" max="35" width="8.33203125" bestFit="1" customWidth="1"/>
    <col min="36" max="36" width="9.1640625" bestFit="1" customWidth="1"/>
    <col min="37" max="38" width="8.5" customWidth="1"/>
    <col min="39" max="39" width="15.5" customWidth="1"/>
    <col min="40" max="40" width="6.1640625" customWidth="1"/>
    <col min="41" max="41" width="18" bestFit="1" customWidth="1"/>
    <col min="42" max="42" width="9.5" bestFit="1" customWidth="1"/>
    <col min="43" max="43" width="8.5" bestFit="1" customWidth="1"/>
    <col min="44" max="44" width="8.33203125" customWidth="1"/>
    <col min="45" max="45" width="4.6640625" bestFit="1" customWidth="1"/>
    <col min="46" max="46" width="7.1640625" bestFit="1" customWidth="1"/>
    <col min="47" max="47" width="9.33203125" bestFit="1" customWidth="1"/>
    <col min="48" max="48" width="8.5" bestFit="1" customWidth="1"/>
  </cols>
  <sheetData>
    <row r="1" spans="1:77" ht="68" x14ac:dyDescent="0.2">
      <c r="A1" s="30" t="s">
        <v>98</v>
      </c>
      <c r="B1" s="30" t="s">
        <v>99</v>
      </c>
      <c r="C1" s="30" t="s">
        <v>100</v>
      </c>
      <c r="D1" s="30" t="s">
        <v>118</v>
      </c>
      <c r="E1" s="30" t="s">
        <v>101</v>
      </c>
      <c r="F1" s="30" t="s">
        <v>102</v>
      </c>
      <c r="G1" s="30" t="s">
        <v>160</v>
      </c>
      <c r="H1" s="30" t="s">
        <v>103</v>
      </c>
      <c r="I1" s="30" t="s">
        <v>104</v>
      </c>
      <c r="J1" s="30" t="s">
        <v>105</v>
      </c>
      <c r="K1" s="30" t="s">
        <v>106</v>
      </c>
      <c r="L1" s="30" t="s">
        <v>107</v>
      </c>
      <c r="M1" s="30" t="s">
        <v>108</v>
      </c>
      <c r="N1" s="30" t="s">
        <v>109</v>
      </c>
      <c r="O1" s="30" t="s">
        <v>110</v>
      </c>
      <c r="P1" s="30" t="s">
        <v>111</v>
      </c>
      <c r="Q1" s="30" t="s">
        <v>112</v>
      </c>
      <c r="R1" s="30" t="s">
        <v>113</v>
      </c>
      <c r="S1" s="30" t="s">
        <v>114</v>
      </c>
      <c r="T1" s="30" t="s">
        <v>115</v>
      </c>
      <c r="U1" s="30" t="s">
        <v>116</v>
      </c>
      <c r="V1" s="30" t="s">
        <v>117</v>
      </c>
      <c r="W1" s="30" t="s">
        <v>118</v>
      </c>
      <c r="X1" s="30" t="s">
        <v>161</v>
      </c>
      <c r="Y1" s="30" t="s">
        <v>119</v>
      </c>
      <c r="Z1" s="30" t="s">
        <v>169</v>
      </c>
      <c r="AA1" s="30" t="s">
        <v>120</v>
      </c>
      <c r="AB1" s="30" t="s">
        <v>162</v>
      </c>
      <c r="AC1" s="30" t="s">
        <v>121</v>
      </c>
      <c r="AD1" s="30" t="s">
        <v>122</v>
      </c>
      <c r="AE1" s="30" t="s">
        <v>123</v>
      </c>
      <c r="AF1" s="30" t="s">
        <v>124</v>
      </c>
      <c r="AG1" s="30" t="s">
        <v>125</v>
      </c>
      <c r="AH1" s="30" t="s">
        <v>126</v>
      </c>
      <c r="AI1" s="30" t="s">
        <v>127</v>
      </c>
      <c r="AJ1" s="30" t="s">
        <v>128</v>
      </c>
      <c r="AK1" s="30" t="s">
        <v>129</v>
      </c>
      <c r="AL1" s="30" t="s">
        <v>165</v>
      </c>
      <c r="AM1" s="30" t="s">
        <v>130</v>
      </c>
      <c r="AN1" s="30" t="s">
        <v>162</v>
      </c>
      <c r="AO1" s="30" t="s">
        <v>131</v>
      </c>
      <c r="AP1" s="30" t="s">
        <v>132</v>
      </c>
      <c r="AQ1" s="30" t="s">
        <v>133</v>
      </c>
      <c r="AR1" s="30" t="s">
        <v>134</v>
      </c>
      <c r="AS1" s="30" t="s">
        <v>135</v>
      </c>
      <c r="AT1" s="30" t="s">
        <v>136</v>
      </c>
      <c r="AU1" s="30" t="s">
        <v>137</v>
      </c>
      <c r="AV1" s="30" t="s">
        <v>138</v>
      </c>
    </row>
    <row r="2" spans="1:77" ht="17" x14ac:dyDescent="0.2">
      <c r="A2" s="79" t="s">
        <v>16</v>
      </c>
      <c r="B2" s="36" t="s">
        <v>4</v>
      </c>
      <c r="C2" s="31">
        <v>216.95</v>
      </c>
      <c r="D2" s="59">
        <f t="shared" ref="D2:D12" si="0">M2/R2</f>
        <v>2.2444505102624834</v>
      </c>
      <c r="E2">
        <v>25.18</v>
      </c>
      <c r="F2" s="31">
        <f t="shared" ref="F2:F12" si="1">C2/G2</f>
        <v>302.43678032732038</v>
      </c>
      <c r="G2" s="59">
        <v>0.71733999999999998</v>
      </c>
      <c r="H2" s="31">
        <f>38.52</f>
        <v>38.520000000000003</v>
      </c>
      <c r="I2" s="31">
        <f>0.792+2.88</f>
        <v>3.6719999999999997</v>
      </c>
      <c r="J2" s="74">
        <f t="shared" ref="J2:J12" si="2">I2/H2</f>
        <v>9.5327102803738309E-2</v>
      </c>
      <c r="K2" s="59">
        <f t="shared" ref="K2:K12" si="3">H2-I2+C2</f>
        <v>251.798</v>
      </c>
      <c r="L2" s="75">
        <f t="shared" ref="L2:L12" si="4">C2/B$16</f>
        <v>0.41853541426942031</v>
      </c>
      <c r="M2" s="31">
        <v>25.49</v>
      </c>
      <c r="N2" s="75">
        <f t="shared" ref="N2:N12" si="5">M2/B$18</f>
        <v>0.24107981056366518</v>
      </c>
      <c r="O2" s="65">
        <f t="shared" ref="O2:O12" si="6">N2/L2</f>
        <v>0.57600815210460754</v>
      </c>
      <c r="P2" s="31">
        <v>14.56</v>
      </c>
      <c r="Q2" s="31">
        <v>11.75</v>
      </c>
      <c r="R2" s="31">
        <f>Q2+SUM(AH2:AJ2)</f>
        <v>11.3569</v>
      </c>
      <c r="S2" s="31">
        <v>9.61</v>
      </c>
      <c r="T2" s="59">
        <f t="shared" ref="T2:T12" si="7">K2/S2</f>
        <v>26.201664932362124</v>
      </c>
      <c r="U2" s="59">
        <f t="shared" ref="U2:U12" si="8">K2/M2</f>
        <v>9.8783052177324446</v>
      </c>
      <c r="V2" s="80">
        <f t="shared" ref="V2:V12" si="9">K2/Q2</f>
        <v>21.429617021276595</v>
      </c>
      <c r="W2" s="80">
        <f t="shared" ref="W2:W12" si="10">K2/R2</f>
        <v>22.171367186468139</v>
      </c>
      <c r="X2" s="81">
        <f t="shared" ref="X2:X12" si="11">P2/M2</f>
        <v>0.57120439387995303</v>
      </c>
      <c r="Y2" s="81">
        <f t="shared" ref="Y2:Y12" si="12">Q2/M2</f>
        <v>0.46096508434680272</v>
      </c>
      <c r="Z2" s="81">
        <f>R2/M2</f>
        <v>0.44554335033346409</v>
      </c>
      <c r="AA2" s="61">
        <f t="shared" ref="AA2:AA12" si="13">S2/M2</f>
        <v>0.37701059238917223</v>
      </c>
      <c r="AB2" s="61">
        <f t="shared" ref="AB2:AB12" si="14">Q2/AF2</f>
        <v>0.21667773106144428</v>
      </c>
      <c r="AC2" s="61">
        <f t="shared" ref="AC2:AC12" si="15">R2/AF2</f>
        <v>0.20942870841631628</v>
      </c>
      <c r="AD2" s="31">
        <f>54.72</f>
        <v>54.72</v>
      </c>
      <c r="AE2" s="31">
        <f>4.21-0.792-3.91</f>
        <v>-0.49199999999999999</v>
      </c>
      <c r="AF2" s="31">
        <f t="shared" ref="AF2:AF12" si="16">SUM(AD2:AE2)</f>
        <v>54.228000000000002</v>
      </c>
      <c r="AG2" s="61">
        <f t="shared" ref="AG2:AG12" si="17">AF2/K2</f>
        <v>0.21536310852349899</v>
      </c>
      <c r="AH2" s="31">
        <v>1.98</v>
      </c>
      <c r="AI2" s="31">
        <f>-2.36+0.0949</f>
        <v>-2.2650999999999999</v>
      </c>
      <c r="AJ2" s="31">
        <v>-0.108</v>
      </c>
      <c r="AK2" s="59">
        <f t="shared" ref="AK2:AK12" si="18">E2*L2</f>
        <v>10.538721731304003</v>
      </c>
      <c r="AL2" s="61">
        <f>X2*L2</f>
        <v>0.23906926762505928</v>
      </c>
      <c r="AM2" s="63">
        <f t="shared" ref="AM2:AM12" si="19">Y2*L2</f>
        <v>0.19293021254082734</v>
      </c>
      <c r="AN2" s="63">
        <f>AB2*L2</f>
        <v>9.0687303932759616E-2</v>
      </c>
      <c r="AO2" s="63">
        <f t="shared" ref="AO2:AO12" si="20">AC2*L2</f>
        <v>8.7653331236932572E-2</v>
      </c>
      <c r="AP2" s="59">
        <f t="shared" ref="AP2:AP12" si="21">V2*L2</f>
        <v>8.9690536376350209</v>
      </c>
      <c r="AQ2" s="59">
        <f t="shared" ref="AQ2:AQ12" si="22">T2*L2</f>
        <v>10.966324687014724</v>
      </c>
    </row>
    <row r="3" spans="1:77" ht="17" x14ac:dyDescent="0.2">
      <c r="A3" s="79" t="s">
        <v>21</v>
      </c>
      <c r="B3" s="36" t="s">
        <v>6</v>
      </c>
      <c r="C3" s="31">
        <v>108.57</v>
      </c>
      <c r="D3" s="59">
        <f t="shared" si="0"/>
        <v>6.4399498836584925</v>
      </c>
      <c r="E3">
        <v>25.89</v>
      </c>
      <c r="F3" s="31">
        <f t="shared" si="1"/>
        <v>96.079646017699119</v>
      </c>
      <c r="G3" s="59">
        <v>1.1299999999999999</v>
      </c>
      <c r="H3" s="31">
        <f>0.0231+15.55</f>
        <v>15.5731</v>
      </c>
      <c r="I3" s="31">
        <f>3.39+0.7309</f>
        <v>4.1208999999999998</v>
      </c>
      <c r="J3" s="74">
        <f t="shared" si="2"/>
        <v>0.26461655033358805</v>
      </c>
      <c r="K3" s="59">
        <f t="shared" si="3"/>
        <v>120.0222</v>
      </c>
      <c r="L3" s="75">
        <f t="shared" si="4"/>
        <v>0.20945097915294289</v>
      </c>
      <c r="M3" s="31">
        <v>35.979999999999997</v>
      </c>
      <c r="N3" s="75">
        <f t="shared" si="5"/>
        <v>0.34029233362419276</v>
      </c>
      <c r="O3" s="65">
        <f t="shared" si="6"/>
        <v>1.6246872418567611</v>
      </c>
      <c r="P3" s="31">
        <v>9.85</v>
      </c>
      <c r="Q3" s="31">
        <v>5.5</v>
      </c>
      <c r="R3" s="31">
        <f t="shared" ref="R3:R12" si="23">Q3+SUM(AH3:AJ3)</f>
        <v>5.5869999999999997</v>
      </c>
      <c r="S3" s="31">
        <v>6.01</v>
      </c>
      <c r="T3" s="59">
        <f t="shared" si="7"/>
        <v>19.970415973377705</v>
      </c>
      <c r="U3" s="59">
        <f t="shared" si="8"/>
        <v>3.3358032240133411</v>
      </c>
      <c r="V3" s="80">
        <f t="shared" si="9"/>
        <v>21.822218181818183</v>
      </c>
      <c r="W3" s="80">
        <f t="shared" si="10"/>
        <v>21.482405584392339</v>
      </c>
      <c r="X3" s="81">
        <f t="shared" si="11"/>
        <v>0.27376320177876601</v>
      </c>
      <c r="Y3" s="81">
        <f t="shared" si="12"/>
        <v>0.15286270150083381</v>
      </c>
      <c r="Z3" s="81">
        <f t="shared" ref="Z3:Z12" si="24">R3/M3</f>
        <v>0.15528071150639244</v>
      </c>
      <c r="AA3" s="61">
        <f t="shared" si="13"/>
        <v>0.16703724291272931</v>
      </c>
      <c r="AB3" s="61">
        <f t="shared" si="14"/>
        <v>0.2884111169375983</v>
      </c>
      <c r="AC3" s="61">
        <f t="shared" si="15"/>
        <v>0.29297325642370214</v>
      </c>
      <c r="AD3" s="31">
        <v>23.3</v>
      </c>
      <c r="AE3" s="31">
        <f>6.81-3.39-7.65</f>
        <v>-4.2300000000000004</v>
      </c>
      <c r="AF3" s="31">
        <f t="shared" si="16"/>
        <v>19.07</v>
      </c>
      <c r="AG3" s="61">
        <f t="shared" si="17"/>
        <v>0.15888727252125023</v>
      </c>
      <c r="AH3" s="31">
        <v>1.45</v>
      </c>
      <c r="AI3" s="31">
        <v>-0.23300000000000001</v>
      </c>
      <c r="AJ3" s="31">
        <f>-1.13</f>
        <v>-1.1299999999999999</v>
      </c>
      <c r="AK3" s="59">
        <f t="shared" si="18"/>
        <v>5.4226858502696915</v>
      </c>
      <c r="AL3" s="61">
        <f t="shared" ref="AL3:AL12" si="25">X3*L3</f>
        <v>5.7339970668607215E-2</v>
      </c>
      <c r="AM3" s="63">
        <f t="shared" si="19"/>
        <v>3.2017242505313674E-2</v>
      </c>
      <c r="AN3" s="63">
        <f t="shared" ref="AN3:AN12" si="26">AB3*L3</f>
        <v>6.0407990841173875E-2</v>
      </c>
      <c r="AO3" s="63">
        <f t="shared" si="20"/>
        <v>6.1363535423570627E-2</v>
      </c>
      <c r="AP3" s="59">
        <f t="shared" si="21"/>
        <v>4.5706849654709716</v>
      </c>
      <c r="AQ3" s="59">
        <f t="shared" si="22"/>
        <v>4.1828231797155313</v>
      </c>
    </row>
    <row r="4" spans="1:77" ht="17" x14ac:dyDescent="0.2">
      <c r="A4" s="79" t="s">
        <v>152</v>
      </c>
      <c r="B4" s="36" t="s">
        <v>1</v>
      </c>
      <c r="C4" s="31">
        <v>78</v>
      </c>
      <c r="D4" s="59">
        <f t="shared" si="0"/>
        <v>6.6510330327901999</v>
      </c>
      <c r="E4">
        <v>51.27</v>
      </c>
      <c r="F4" s="31">
        <f t="shared" si="1"/>
        <v>56.934306569343065</v>
      </c>
      <c r="G4" s="59">
        <v>1.37</v>
      </c>
      <c r="H4" s="31"/>
      <c r="I4" s="31">
        <f>1.49+0.97264</f>
        <v>2.4626399999999999</v>
      </c>
      <c r="J4" s="74" t="e">
        <f t="shared" si="2"/>
        <v>#DIV/0!</v>
      </c>
      <c r="K4" s="59">
        <f t="shared" si="3"/>
        <v>75.537360000000007</v>
      </c>
      <c r="L4" s="75">
        <f t="shared" si="4"/>
        <v>0.15047597286478354</v>
      </c>
      <c r="M4" s="31">
        <v>9.8699999999999992</v>
      </c>
      <c r="N4" s="75">
        <f t="shared" si="5"/>
        <v>9.334867517706455E-2</v>
      </c>
      <c r="O4" s="65">
        <f t="shared" si="6"/>
        <v>0.62035601697652354</v>
      </c>
      <c r="P4" s="31">
        <v>2.59</v>
      </c>
      <c r="Q4" s="31">
        <v>1.63</v>
      </c>
      <c r="R4" s="31">
        <f t="shared" si="23"/>
        <v>1.4839799999999999</v>
      </c>
      <c r="S4" s="31">
        <v>1.78</v>
      </c>
      <c r="T4" s="59">
        <f t="shared" si="7"/>
        <v>42.4367191011236</v>
      </c>
      <c r="U4" s="59">
        <f t="shared" si="8"/>
        <v>7.6532279635258371</v>
      </c>
      <c r="V4" s="80">
        <f t="shared" si="9"/>
        <v>46.341938650306759</v>
      </c>
      <c r="W4" s="80">
        <f t="shared" si="10"/>
        <v>50.901871992884011</v>
      </c>
      <c r="X4" s="81">
        <f t="shared" si="11"/>
        <v>0.26241134751773049</v>
      </c>
      <c r="Y4" s="81">
        <f t="shared" si="12"/>
        <v>0.1651469098277609</v>
      </c>
      <c r="Z4" s="81">
        <f t="shared" si="24"/>
        <v>0.15035258358662615</v>
      </c>
      <c r="AA4" s="61">
        <f t="shared" si="13"/>
        <v>0.18034447821681865</v>
      </c>
      <c r="AB4" s="61">
        <f t="shared" si="14"/>
        <v>0.25508607198748046</v>
      </c>
      <c r="AC4" s="61">
        <f t="shared" si="15"/>
        <v>0.23223474178403755</v>
      </c>
      <c r="AD4" s="31">
        <v>7.13</v>
      </c>
      <c r="AE4" s="31">
        <f>1.79-1.49-1.04</f>
        <v>-0.74</v>
      </c>
      <c r="AF4" s="31">
        <f t="shared" si="16"/>
        <v>6.39</v>
      </c>
      <c r="AG4" s="61">
        <f t="shared" si="17"/>
        <v>8.459390161371802E-2</v>
      </c>
      <c r="AH4" s="31">
        <v>0.31939000000000001</v>
      </c>
      <c r="AI4" s="31">
        <v>-0.56072999999999995</v>
      </c>
      <c r="AJ4" s="31">
        <v>9.5320000000000002E-2</v>
      </c>
      <c r="AK4" s="59">
        <f t="shared" si="18"/>
        <v>7.7149031287774523</v>
      </c>
      <c r="AL4" s="61">
        <f t="shared" si="25"/>
        <v>3.9486602808489292E-2</v>
      </c>
      <c r="AM4" s="63">
        <f t="shared" si="19"/>
        <v>2.4850641921945003E-2</v>
      </c>
      <c r="AN4" s="63">
        <f t="shared" si="26"/>
        <v>3.8384324846572331E-2</v>
      </c>
      <c r="AO4" s="63">
        <f t="shared" si="20"/>
        <v>3.4945748702954846E-2</v>
      </c>
      <c r="AP4" s="59">
        <f t="shared" si="21"/>
        <v>6.9733483028450234</v>
      </c>
      <c r="AQ4" s="59">
        <f t="shared" si="22"/>
        <v>6.3857065919311164</v>
      </c>
    </row>
    <row r="5" spans="1:77" ht="17" x14ac:dyDescent="0.2">
      <c r="A5" s="79" t="s">
        <v>156</v>
      </c>
      <c r="B5" s="36" t="s">
        <v>7</v>
      </c>
      <c r="C5" s="31">
        <v>38.21</v>
      </c>
      <c r="D5" s="59">
        <f t="shared" si="0"/>
        <v>3.3924293243890751</v>
      </c>
      <c r="E5">
        <v>25.13</v>
      </c>
      <c r="F5" s="31">
        <f t="shared" si="1"/>
        <v>135.89643276309707</v>
      </c>
      <c r="G5" s="59">
        <v>0.28116999999999998</v>
      </c>
      <c r="H5" s="31">
        <f>0.024+11.14</f>
        <v>11.164</v>
      </c>
      <c r="I5" s="31">
        <f>0.52+0.183</f>
        <v>0.70300000000000007</v>
      </c>
      <c r="J5" s="74">
        <f t="shared" si="2"/>
        <v>6.2970261554998214E-2</v>
      </c>
      <c r="K5" s="59">
        <f t="shared" si="3"/>
        <v>48.670999999999999</v>
      </c>
      <c r="L5" s="75">
        <f t="shared" si="4"/>
        <v>7.3713934912351009E-2</v>
      </c>
      <c r="M5" s="31">
        <v>7.08</v>
      </c>
      <c r="N5" s="75">
        <f t="shared" si="5"/>
        <v>6.6961359701480955E-2</v>
      </c>
      <c r="O5" s="65">
        <f t="shared" si="6"/>
        <v>0.9083948615835099</v>
      </c>
      <c r="P5" s="31">
        <v>3.5</v>
      </c>
      <c r="Q5" s="31">
        <v>2.31</v>
      </c>
      <c r="R5" s="31">
        <f t="shared" si="23"/>
        <v>2.0870000000000002</v>
      </c>
      <c r="S5" s="31">
        <v>1.6</v>
      </c>
      <c r="T5" s="59">
        <f t="shared" si="7"/>
        <v>30.419374999999999</v>
      </c>
      <c r="U5" s="59">
        <f t="shared" si="8"/>
        <v>6.8744350282485875</v>
      </c>
      <c r="V5" s="80">
        <f t="shared" si="9"/>
        <v>21.06969696969697</v>
      </c>
      <c r="W5" s="80">
        <f t="shared" si="10"/>
        <v>23.321034978437947</v>
      </c>
      <c r="X5" s="81">
        <f t="shared" si="11"/>
        <v>0.4943502824858757</v>
      </c>
      <c r="Y5" s="81">
        <f t="shared" si="12"/>
        <v>0.32627118644067798</v>
      </c>
      <c r="Z5" s="81">
        <f t="shared" si="24"/>
        <v>0.29477401129943503</v>
      </c>
      <c r="AA5" s="61">
        <f t="shared" si="13"/>
        <v>0.22598870056497175</v>
      </c>
      <c r="AB5" s="61">
        <f>Q5/AF5</f>
        <v>0.48734177215189872</v>
      </c>
      <c r="AC5" s="61">
        <f t="shared" si="15"/>
        <v>0.44029535864978903</v>
      </c>
      <c r="AD5" s="31">
        <v>4.76</v>
      </c>
      <c r="AE5" s="31">
        <f>1.64-0.52-1.14</f>
        <v>-2.0000000000000018E-2</v>
      </c>
      <c r="AF5" s="31">
        <f t="shared" si="16"/>
        <v>4.74</v>
      </c>
      <c r="AG5" s="61">
        <f t="shared" si="17"/>
        <v>9.7388588687308666E-2</v>
      </c>
      <c r="AH5" s="31">
        <v>0.153</v>
      </c>
      <c r="AI5" s="31">
        <v>-0.28499999999999998</v>
      </c>
      <c r="AJ5" s="31">
        <v>-9.0999999999999998E-2</v>
      </c>
      <c r="AK5" s="59">
        <f t="shared" si="18"/>
        <v>1.8524311843473809</v>
      </c>
      <c r="AL5" s="61">
        <f t="shared" si="25"/>
        <v>3.6440504547066176E-2</v>
      </c>
      <c r="AM5" s="63">
        <f t="shared" si="19"/>
        <v>2.4050733001063678E-2</v>
      </c>
      <c r="AN5" s="63">
        <f t="shared" si="26"/>
        <v>3.5923879672474859E-2</v>
      </c>
      <c r="AO5" s="63">
        <f t="shared" si="20"/>
        <v>3.2455903409720793E-2</v>
      </c>
      <c r="AP5" s="59">
        <f t="shared" si="21"/>
        <v>1.5531302710472017</v>
      </c>
      <c r="AQ5" s="59">
        <f t="shared" si="22"/>
        <v>2.2423318288243972</v>
      </c>
    </row>
    <row r="6" spans="1:77" ht="34" x14ac:dyDescent="0.2">
      <c r="A6" s="79" t="s">
        <v>155</v>
      </c>
      <c r="B6" s="36" t="s">
        <v>5</v>
      </c>
      <c r="C6" s="31">
        <v>22.64</v>
      </c>
      <c r="D6" s="59">
        <f t="shared" si="0"/>
        <v>3.556231003039513</v>
      </c>
      <c r="E6">
        <v>18.02</v>
      </c>
      <c r="F6" s="31">
        <f t="shared" si="1"/>
        <v>71.412800050468419</v>
      </c>
      <c r="G6" s="59">
        <v>0.31702999999999998</v>
      </c>
      <c r="H6" s="31">
        <f>0.617+13.09</f>
        <v>13.707000000000001</v>
      </c>
      <c r="I6" s="31">
        <f>0.942</f>
        <v>0.94199999999999995</v>
      </c>
      <c r="J6" s="74">
        <f t="shared" si="2"/>
        <v>6.872400963011599E-2</v>
      </c>
      <c r="K6" s="59">
        <f t="shared" si="3"/>
        <v>35.405000000000001</v>
      </c>
      <c r="L6" s="75">
        <f t="shared" si="4"/>
        <v>4.3676615713573064E-2</v>
      </c>
      <c r="M6" s="31">
        <v>7.02</v>
      </c>
      <c r="N6" s="75">
        <f t="shared" si="5"/>
        <v>6.6393890551468396E-2</v>
      </c>
      <c r="O6" s="65">
        <f t="shared" si="6"/>
        <v>1.5201244296690242</v>
      </c>
      <c r="P6" s="31">
        <v>2.8</v>
      </c>
      <c r="Q6" s="31">
        <v>2.14</v>
      </c>
      <c r="R6" s="31">
        <f t="shared" si="23"/>
        <v>1.9740000000000002</v>
      </c>
      <c r="S6" s="31">
        <v>1.32</v>
      </c>
      <c r="T6" s="59">
        <f t="shared" si="7"/>
        <v>26.821969696969695</v>
      </c>
      <c r="U6" s="59">
        <f t="shared" si="8"/>
        <v>5.0434472934472936</v>
      </c>
      <c r="V6" s="80">
        <f t="shared" si="9"/>
        <v>16.544392523364486</v>
      </c>
      <c r="W6" s="80">
        <f t="shared" si="10"/>
        <v>17.935663627152987</v>
      </c>
      <c r="X6" s="81">
        <f t="shared" si="11"/>
        <v>0.39886039886039887</v>
      </c>
      <c r="Y6" s="81">
        <f t="shared" si="12"/>
        <v>0.30484330484330485</v>
      </c>
      <c r="Z6" s="81">
        <f t="shared" si="24"/>
        <v>0.28119658119658125</v>
      </c>
      <c r="AA6" s="61">
        <f t="shared" si="13"/>
        <v>0.18803418803418806</v>
      </c>
      <c r="AB6" s="61">
        <f t="shared" si="14"/>
        <v>0.13589027178054355</v>
      </c>
      <c r="AC6" s="61">
        <f t="shared" si="15"/>
        <v>0.12534925069850139</v>
      </c>
      <c r="AD6" s="31">
        <v>17.28</v>
      </c>
      <c r="AE6" s="31">
        <f>-2.62+2.03-0.942</f>
        <v>-1.5320000000000003</v>
      </c>
      <c r="AF6" s="31">
        <f t="shared" si="16"/>
        <v>15.748000000000001</v>
      </c>
      <c r="AG6" s="61">
        <f t="shared" si="17"/>
        <v>0.44479593277785623</v>
      </c>
      <c r="AH6" s="31">
        <v>0.191</v>
      </c>
      <c r="AI6" s="31">
        <v>-0.12</v>
      </c>
      <c r="AJ6" s="31">
        <v>-0.23699999999999999</v>
      </c>
      <c r="AK6" s="59">
        <f t="shared" si="18"/>
        <v>0.7870526151585866</v>
      </c>
      <c r="AL6" s="61">
        <f t="shared" si="25"/>
        <v>1.7420872364388117E-2</v>
      </c>
      <c r="AM6" s="63">
        <f t="shared" si="19"/>
        <v>1.3314523878496633E-2</v>
      </c>
      <c r="AN6" s="63">
        <f t="shared" si="26"/>
        <v>5.9352271797718029E-3</v>
      </c>
      <c r="AO6" s="63">
        <f t="shared" si="20"/>
        <v>5.4748310527427749E-3</v>
      </c>
      <c r="AP6" s="59">
        <f t="shared" si="21"/>
        <v>0.72260307445750205</v>
      </c>
      <c r="AQ6" s="59">
        <f t="shared" si="22"/>
        <v>1.1714928631356472</v>
      </c>
    </row>
    <row r="7" spans="1:77" ht="17" x14ac:dyDescent="0.2">
      <c r="A7" s="79" t="s">
        <v>154</v>
      </c>
      <c r="B7" s="36" t="s">
        <v>3</v>
      </c>
      <c r="C7" s="31">
        <v>18.809999999999999</v>
      </c>
      <c r="D7" s="59">
        <f t="shared" si="0"/>
        <v>9.0110759493670898</v>
      </c>
      <c r="E7">
        <v>17.46</v>
      </c>
      <c r="F7" s="31">
        <f t="shared" si="1"/>
        <v>155.62174236783318</v>
      </c>
      <c r="G7" s="59">
        <v>0.12087000000000001</v>
      </c>
      <c r="H7" s="31">
        <f>0.0868+1.42</f>
        <v>1.5067999999999999</v>
      </c>
      <c r="I7" s="31">
        <f>0.1948</f>
        <v>0.1948</v>
      </c>
      <c r="J7" s="74">
        <f t="shared" si="2"/>
        <v>0.12928059463764269</v>
      </c>
      <c r="K7" s="59">
        <f t="shared" si="3"/>
        <v>20.122</v>
      </c>
      <c r="L7" s="75">
        <f t="shared" si="4"/>
        <v>3.6287859610084329E-2</v>
      </c>
      <c r="M7" s="31">
        <v>11.39</v>
      </c>
      <c r="N7" s="75">
        <f t="shared" si="5"/>
        <v>0.10772456031071584</v>
      </c>
      <c r="O7" s="65">
        <f t="shared" si="6"/>
        <v>2.9686115816205203</v>
      </c>
      <c r="P7" s="31">
        <v>2.41</v>
      </c>
      <c r="Q7" s="31">
        <v>1.33</v>
      </c>
      <c r="R7" s="31">
        <f t="shared" si="23"/>
        <v>1.264</v>
      </c>
      <c r="S7" s="31">
        <v>1.61</v>
      </c>
      <c r="T7" s="59">
        <f t="shared" si="7"/>
        <v>12.498136645962733</v>
      </c>
      <c r="U7" s="59">
        <f t="shared" si="8"/>
        <v>1.7666374012291484</v>
      </c>
      <c r="V7" s="80">
        <f t="shared" si="9"/>
        <v>15.129323308270676</v>
      </c>
      <c r="W7" s="80">
        <f t="shared" si="10"/>
        <v>15.919303797468354</v>
      </c>
      <c r="X7" s="81">
        <f t="shared" si="11"/>
        <v>0.21158911325724319</v>
      </c>
      <c r="Y7" s="81">
        <f t="shared" si="12"/>
        <v>0.11676909569798069</v>
      </c>
      <c r="Z7" s="81">
        <f t="shared" si="24"/>
        <v>0.11097453906935908</v>
      </c>
      <c r="AA7" s="61">
        <f t="shared" si="13"/>
        <v>0.14135206321334504</v>
      </c>
      <c r="AB7" s="61">
        <f t="shared" si="14"/>
        <v>0.14880286417543073</v>
      </c>
      <c r="AC7" s="61">
        <f t="shared" si="15"/>
        <v>0.14141866189304095</v>
      </c>
      <c r="AD7" s="31">
        <v>10.5</v>
      </c>
      <c r="AE7" s="31">
        <f>0.8228-0.1948-2.19</f>
        <v>-1.5619999999999998</v>
      </c>
      <c r="AF7" s="31">
        <f t="shared" si="16"/>
        <v>8.9380000000000006</v>
      </c>
      <c r="AG7" s="61">
        <f t="shared" si="17"/>
        <v>0.44419043832621014</v>
      </c>
      <c r="AH7" s="31">
        <v>0.45989999999999998</v>
      </c>
      <c r="AI7" s="31">
        <v>-0.59789999999999999</v>
      </c>
      <c r="AJ7" s="31">
        <v>7.1999999999999995E-2</v>
      </c>
      <c r="AK7" s="59">
        <f t="shared" si="18"/>
        <v>0.63358602879207238</v>
      </c>
      <c r="AL7" s="61">
        <f t="shared" si="25"/>
        <v>7.6781160369010738E-3</v>
      </c>
      <c r="AM7" s="63">
        <f t="shared" si="19"/>
        <v>4.2373005514848251E-3</v>
      </c>
      <c r="AN7" s="63">
        <f t="shared" si="26"/>
        <v>5.3997374447764769E-3</v>
      </c>
      <c r="AO7" s="63">
        <f t="shared" si="20"/>
        <v>5.1317805490206526E-3</v>
      </c>
      <c r="AP7" s="59">
        <f t="shared" si="21"/>
        <v>0.54901076020610284</v>
      </c>
      <c r="AQ7" s="59">
        <f t="shared" si="22"/>
        <v>0.45353062799634586</v>
      </c>
    </row>
    <row r="8" spans="1:77" ht="17" x14ac:dyDescent="0.2">
      <c r="A8" s="79" t="s">
        <v>158</v>
      </c>
      <c r="B8" s="36" t="s">
        <v>31</v>
      </c>
      <c r="C8" s="31">
        <v>14.36</v>
      </c>
      <c r="D8" s="59">
        <f t="shared" si="0"/>
        <v>5.7386603814672021</v>
      </c>
      <c r="E8">
        <v>26.77</v>
      </c>
      <c r="F8" s="31">
        <f t="shared" si="1"/>
        <v>410.63768944809834</v>
      </c>
      <c r="G8" s="59">
        <v>3.4970000000000001E-2</v>
      </c>
      <c r="H8" s="31">
        <f>0.00494+4.97</f>
        <v>4.9749400000000001</v>
      </c>
      <c r="I8" s="31">
        <f>0.2837+0.29687+0.13625</f>
        <v>0.71682000000000001</v>
      </c>
      <c r="J8" s="74">
        <f t="shared" si="2"/>
        <v>0.1440861598330834</v>
      </c>
      <c r="K8" s="59">
        <f t="shared" si="3"/>
        <v>18.618119999999998</v>
      </c>
      <c r="L8" s="75">
        <f t="shared" si="4"/>
        <v>2.7703012440234504E-2</v>
      </c>
      <c r="M8" s="31">
        <v>4.4800000000000004</v>
      </c>
      <c r="N8" s="75">
        <f t="shared" si="5"/>
        <v>4.2371029867603771E-2</v>
      </c>
      <c r="O8" s="65">
        <f t="shared" si="6"/>
        <v>1.529473733552029</v>
      </c>
      <c r="P8" s="31">
        <v>1.73</v>
      </c>
      <c r="Q8" s="31">
        <v>0.81967000000000001</v>
      </c>
      <c r="R8" s="31">
        <f t="shared" si="23"/>
        <v>0.78066999999999998</v>
      </c>
      <c r="S8" s="31">
        <v>0.59086000000000005</v>
      </c>
      <c r="T8" s="59">
        <f t="shared" si="7"/>
        <v>31.510205463223091</v>
      </c>
      <c r="U8" s="59">
        <f t="shared" si="8"/>
        <v>4.1558303571428565</v>
      </c>
      <c r="V8" s="80">
        <f t="shared" si="9"/>
        <v>22.714165456830184</v>
      </c>
      <c r="W8" s="80">
        <f t="shared" si="10"/>
        <v>23.848899022634402</v>
      </c>
      <c r="X8" s="81">
        <f t="shared" si="11"/>
        <v>0.38616071428571425</v>
      </c>
      <c r="Y8" s="81">
        <f t="shared" si="12"/>
        <v>0.18296205357142856</v>
      </c>
      <c r="Z8" s="81">
        <f t="shared" si="24"/>
        <v>0.17425669642857142</v>
      </c>
      <c r="AA8" s="61">
        <f t="shared" si="13"/>
        <v>0.13188839285714285</v>
      </c>
      <c r="AB8" s="61">
        <f t="shared" si="14"/>
        <v>0.77001916428678807</v>
      </c>
      <c r="AC8" s="61">
        <f t="shared" si="15"/>
        <v>0.73338155719224418</v>
      </c>
      <c r="AD8" s="31">
        <v>0.86990999999999996</v>
      </c>
      <c r="AE8" s="31">
        <f>0.9861-0.2837-0.50783</f>
        <v>0.19456999999999991</v>
      </c>
      <c r="AF8" s="31">
        <f>SUM(AD8:AE8)</f>
        <v>1.0644799999999999</v>
      </c>
      <c r="AG8" s="61">
        <f t="shared" si="17"/>
        <v>5.7174408586903515E-2</v>
      </c>
      <c r="AH8" s="31">
        <v>8.0640000000000003E-2</v>
      </c>
      <c r="AI8" s="31">
        <v>-0.10539999999999999</v>
      </c>
      <c r="AJ8" s="31">
        <v>-1.4239999999999999E-2</v>
      </c>
      <c r="AK8" s="59">
        <f t="shared" si="18"/>
        <v>0.7416096430250777</v>
      </c>
      <c r="AL8" s="61">
        <f t="shared" si="25"/>
        <v>1.0697815071786984E-2</v>
      </c>
      <c r="AM8" s="63">
        <f t="shared" si="19"/>
        <v>5.0686000461801373E-3</v>
      </c>
      <c r="AN8" s="63">
        <f t="shared" si="26"/>
        <v>2.1331850487455867E-2</v>
      </c>
      <c r="AO8" s="63">
        <f t="shared" si="20"/>
        <v>2.0316878402335294E-2</v>
      </c>
      <c r="AP8" s="59">
        <f t="shared" si="21"/>
        <v>0.62925080822011148</v>
      </c>
      <c r="AQ8" s="59">
        <f t="shared" si="22"/>
        <v>0.87292761394201457</v>
      </c>
    </row>
    <row r="9" spans="1:77" ht="17" x14ac:dyDescent="0.2">
      <c r="A9" s="79" t="s">
        <v>159</v>
      </c>
      <c r="B9" s="36" t="s">
        <v>33</v>
      </c>
      <c r="C9" s="31">
        <v>14.58</v>
      </c>
      <c r="D9" s="59">
        <f t="shared" si="0"/>
        <v>-19.262490087232358</v>
      </c>
      <c r="E9">
        <v>384.46</v>
      </c>
      <c r="F9" s="31">
        <f t="shared" si="1"/>
        <v>127.86108918705604</v>
      </c>
      <c r="G9" s="59">
        <v>0.11403000000000001</v>
      </c>
      <c r="H9" s="31"/>
      <c r="I9" s="31">
        <f>0.39212</f>
        <v>0.39212000000000002</v>
      </c>
      <c r="J9" s="74" t="e">
        <f t="shared" si="2"/>
        <v>#DIV/0!</v>
      </c>
      <c r="K9" s="59">
        <f t="shared" si="3"/>
        <v>14.18788</v>
      </c>
      <c r="L9" s="75">
        <f t="shared" si="4"/>
        <v>2.8127431850878768E-2</v>
      </c>
      <c r="M9" s="31">
        <v>0.72870000000000001</v>
      </c>
      <c r="N9" s="75">
        <f t="shared" si="5"/>
        <v>6.8919128269024259E-3</v>
      </c>
      <c r="O9" s="65">
        <f t="shared" si="6"/>
        <v>0.24502460315043323</v>
      </c>
      <c r="P9" s="31">
        <v>0.18035000000000001</v>
      </c>
      <c r="Q9" s="31">
        <v>3.1419999999999997E-2</v>
      </c>
      <c r="R9" s="31">
        <f t="shared" si="23"/>
        <v>-3.7829999999999996E-2</v>
      </c>
      <c r="S9" s="31">
        <v>9.7100000000000006E-2</v>
      </c>
      <c r="T9" s="59">
        <f t="shared" si="7"/>
        <v>146.11616889804324</v>
      </c>
      <c r="U9" s="59">
        <f t="shared" si="8"/>
        <v>19.470124879923151</v>
      </c>
      <c r="V9" s="80">
        <f t="shared" si="9"/>
        <v>451.55569700827505</v>
      </c>
      <c r="W9" s="80">
        <f t="shared" si="10"/>
        <v>-375.04308749669576</v>
      </c>
      <c r="X9" s="81">
        <f t="shared" si="11"/>
        <v>0.24749554000274462</v>
      </c>
      <c r="Y9" s="81">
        <f t="shared" si="12"/>
        <v>4.3117881158226977E-2</v>
      </c>
      <c r="Z9" s="81">
        <f t="shared" si="24"/>
        <v>-5.1914368052696579E-2</v>
      </c>
      <c r="AA9" s="61">
        <f t="shared" si="13"/>
        <v>0.13325099492246467</v>
      </c>
      <c r="AB9" s="61">
        <f t="shared" si="14"/>
        <v>5.5644104416817199E-2</v>
      </c>
      <c r="AC9" s="61">
        <f t="shared" si="15"/>
        <v>-6.6996068430559982E-2</v>
      </c>
      <c r="AD9" s="31">
        <v>0.65307999999999999</v>
      </c>
      <c r="AE9" s="31">
        <f>0.35201-0.32912-0.11131</f>
        <v>-8.842000000000004E-2</v>
      </c>
      <c r="AF9" s="31">
        <f t="shared" si="16"/>
        <v>0.56465999999999994</v>
      </c>
      <c r="AG9" s="61">
        <f t="shared" si="17"/>
        <v>3.979875781300659E-2</v>
      </c>
      <c r="AH9" s="31">
        <v>4.743E-2</v>
      </c>
      <c r="AI9" s="31">
        <v>-0.13880999999999999</v>
      </c>
      <c r="AJ9" s="31">
        <v>2.213E-2</v>
      </c>
      <c r="AK9" s="59">
        <f t="shared" si="18"/>
        <v>10.813872449388851</v>
      </c>
      <c r="AL9" s="61">
        <f t="shared" si="25"/>
        <v>6.9614139348236391E-3</v>
      </c>
      <c r="AM9" s="63">
        <f t="shared" si="19"/>
        <v>1.2127952638323191E-3</v>
      </c>
      <c r="AN9" s="63">
        <f t="shared" si="26"/>
        <v>1.565125754887208E-3</v>
      </c>
      <c r="AO9" s="63">
        <f t="shared" si="20"/>
        <v>-1.8844273490573864E-3</v>
      </c>
      <c r="AP9" s="59">
        <f t="shared" si="21"/>
        <v>12.701102094476319</v>
      </c>
      <c r="AQ9" s="59">
        <f t="shared" si="22"/>
        <v>4.1098725829912031</v>
      </c>
    </row>
    <row r="10" spans="1:77" ht="17" x14ac:dyDescent="0.2">
      <c r="A10" s="79" t="s">
        <v>157</v>
      </c>
      <c r="B10" s="36" t="s">
        <v>34</v>
      </c>
      <c r="C10" s="31">
        <v>4.32</v>
      </c>
      <c r="D10" s="59">
        <f t="shared" si="0"/>
        <v>-13.143615097069821</v>
      </c>
      <c r="E10">
        <v>165.08</v>
      </c>
      <c r="F10" s="31">
        <f t="shared" si="1"/>
        <v>108.05402701350675</v>
      </c>
      <c r="G10" s="59">
        <v>3.9980000000000002E-2</v>
      </c>
      <c r="H10" s="31">
        <v>0.24615999999999999</v>
      </c>
      <c r="I10" s="31">
        <f>0.30441</f>
        <v>0.30441000000000001</v>
      </c>
      <c r="J10" s="74">
        <f t="shared" si="2"/>
        <v>1.2366347091322718</v>
      </c>
      <c r="K10" s="59">
        <f t="shared" si="3"/>
        <v>4.2617500000000001</v>
      </c>
      <c r="L10" s="75">
        <f t="shared" si="4"/>
        <v>8.3340538817418576E-3</v>
      </c>
      <c r="M10" s="31">
        <v>1.0900000000000001</v>
      </c>
      <c r="N10" s="75">
        <f t="shared" si="5"/>
        <v>1.0309022891894667E-2</v>
      </c>
      <c r="O10" s="65">
        <f t="shared" si="6"/>
        <v>1.2369757909148569</v>
      </c>
      <c r="P10" s="31">
        <v>0.47824</v>
      </c>
      <c r="Q10" s="31">
        <v>2.8160000000000001E-2</v>
      </c>
      <c r="R10" s="31">
        <f t="shared" si="23"/>
        <v>-8.292999999999999E-2</v>
      </c>
      <c r="S10" s="31">
        <v>0.13214000000000001</v>
      </c>
      <c r="T10" s="59">
        <f t="shared" si="7"/>
        <v>32.251778416830632</v>
      </c>
      <c r="U10" s="59">
        <f t="shared" si="8"/>
        <v>3.9098623853211008</v>
      </c>
      <c r="V10" s="80">
        <f t="shared" si="9"/>
        <v>151.34055397727272</v>
      </c>
      <c r="W10" s="80">
        <f t="shared" si="10"/>
        <v>-51.389726275171839</v>
      </c>
      <c r="X10" s="81">
        <f t="shared" si="11"/>
        <v>0.43875229357798162</v>
      </c>
      <c r="Y10" s="81">
        <f t="shared" si="12"/>
        <v>2.5834862385321102E-2</v>
      </c>
      <c r="Z10" s="81">
        <f t="shared" si="24"/>
        <v>-7.6082568807339435E-2</v>
      </c>
      <c r="AA10" s="61">
        <f t="shared" si="13"/>
        <v>0.12122935779816514</v>
      </c>
      <c r="AB10" s="61">
        <f t="shared" si="14"/>
        <v>2.3600797867882464E-2</v>
      </c>
      <c r="AC10" s="61">
        <f t="shared" si="15"/>
        <v>-6.9503344005095613E-2</v>
      </c>
      <c r="AD10" s="31">
        <v>1.32</v>
      </c>
      <c r="AE10" s="31">
        <f>0.34568-0.30441-0.16809</f>
        <v>-0.12682000000000002</v>
      </c>
      <c r="AF10" s="31">
        <f t="shared" si="16"/>
        <v>1.1931800000000001</v>
      </c>
      <c r="AG10" s="61">
        <f t="shared" si="17"/>
        <v>0.27997418900686338</v>
      </c>
      <c r="AH10" s="31">
        <v>9.3039999999999998E-2</v>
      </c>
      <c r="AI10" s="31">
        <v>-0.14616999999999999</v>
      </c>
      <c r="AJ10" s="31">
        <v>-5.7959999999999998E-2</v>
      </c>
      <c r="AK10" s="59">
        <f t="shared" si="18"/>
        <v>1.3757856147979459</v>
      </c>
      <c r="AL10" s="61">
        <f t="shared" si="25"/>
        <v>3.6565852554167207E-3</v>
      </c>
      <c r="AM10" s="63">
        <f t="shared" si="19"/>
        <v>2.1530913514665204E-4</v>
      </c>
      <c r="AN10" s="63">
        <f t="shared" si="26"/>
        <v>1.9669032108303081E-4</v>
      </c>
      <c r="AO10" s="63">
        <f t="shared" si="20"/>
        <v>-5.7924461389970681E-4</v>
      </c>
      <c r="AP10" s="59">
        <f t="shared" si="21"/>
        <v>1.2612803313392529</v>
      </c>
      <c r="AQ10" s="59">
        <f t="shared" si="22"/>
        <v>0.26878805910786557</v>
      </c>
    </row>
    <row r="11" spans="1:77" ht="17" x14ac:dyDescent="0.2">
      <c r="A11" s="79" t="s">
        <v>38</v>
      </c>
      <c r="B11" s="36" t="s">
        <v>36</v>
      </c>
      <c r="C11" s="31">
        <v>1.6</v>
      </c>
      <c r="D11" s="59">
        <f t="shared" si="0"/>
        <v>12.168770612987606</v>
      </c>
      <c r="E11">
        <v>21.98</v>
      </c>
      <c r="F11" s="31">
        <f t="shared" si="1"/>
        <v>49.034630707937488</v>
      </c>
      <c r="G11" s="59">
        <v>3.2629999999999999E-2</v>
      </c>
      <c r="H11" s="31">
        <f>0.0238+0.75886</f>
        <v>0.78266000000000002</v>
      </c>
      <c r="I11" s="31">
        <f>0.02431</f>
        <v>2.4309999999999998E-2</v>
      </c>
      <c r="J11" s="74">
        <f t="shared" si="2"/>
        <v>3.1060741573607949E-2</v>
      </c>
      <c r="K11" s="59">
        <f t="shared" si="3"/>
        <v>2.3583500000000002</v>
      </c>
      <c r="L11" s="75">
        <f t="shared" si="4"/>
        <v>3.0866866228673544E-3</v>
      </c>
      <c r="M11" s="31">
        <v>2.14</v>
      </c>
      <c r="N11" s="75">
        <f t="shared" si="5"/>
        <v>2.0239733017114302E-2</v>
      </c>
      <c r="O11" s="65">
        <f t="shared" si="6"/>
        <v>6.5571065320238935</v>
      </c>
      <c r="P11" s="31">
        <v>0.42159000000000002</v>
      </c>
      <c r="Q11" s="31">
        <v>0.15615999999999999</v>
      </c>
      <c r="R11" s="31">
        <f t="shared" si="23"/>
        <v>0.17585999999999999</v>
      </c>
      <c r="S11" s="31">
        <v>0.19306000000000001</v>
      </c>
      <c r="T11" s="59">
        <f t="shared" si="7"/>
        <v>12.21563244587175</v>
      </c>
      <c r="U11" s="59">
        <f t="shared" si="8"/>
        <v>1.1020327102803738</v>
      </c>
      <c r="V11" s="80">
        <f t="shared" si="9"/>
        <v>15.102138831967215</v>
      </c>
      <c r="W11" s="80">
        <f t="shared" si="10"/>
        <v>13.410383259410898</v>
      </c>
      <c r="X11" s="81">
        <f t="shared" si="11"/>
        <v>0.19700467289719625</v>
      </c>
      <c r="Y11" s="81">
        <f t="shared" si="12"/>
        <v>7.2971962616822428E-2</v>
      </c>
      <c r="Z11" s="81">
        <f t="shared" si="24"/>
        <v>8.2177570093457927E-2</v>
      </c>
      <c r="AA11" s="61">
        <f t="shared" si="13"/>
        <v>9.0214953271028034E-2</v>
      </c>
      <c r="AB11" s="61">
        <f t="shared" si="14"/>
        <v>0.28977546854704028</v>
      </c>
      <c r="AC11" s="61">
        <f t="shared" si="15"/>
        <v>0.32633141584709596</v>
      </c>
      <c r="AD11" s="68">
        <v>0.61268999999999996</v>
      </c>
      <c r="AE11" s="31">
        <f>0.22574-0.02431-0.27522</f>
        <v>-7.3790000000000022E-2</v>
      </c>
      <c r="AF11" s="31">
        <f t="shared" si="16"/>
        <v>0.53889999999999993</v>
      </c>
      <c r="AG11" s="61">
        <f t="shared" si="17"/>
        <v>0.22850721903025417</v>
      </c>
      <c r="AH11" s="31">
        <v>6.4089999999999994E-2</v>
      </c>
      <c r="AI11" s="31">
        <v>-7.3160000000000003E-2</v>
      </c>
      <c r="AJ11" s="31">
        <v>2.877E-2</v>
      </c>
      <c r="AK11" s="59">
        <f t="shared" si="18"/>
        <v>6.7845371970624457E-2</v>
      </c>
      <c r="AL11" s="61">
        <f t="shared" si="25"/>
        <v>6.0809168847413453E-4</v>
      </c>
      <c r="AM11" s="63">
        <f t="shared" si="19"/>
        <v>2.2524158085372245E-4</v>
      </c>
      <c r="AN11" s="63">
        <f t="shared" si="26"/>
        <v>8.9444606239926904E-4</v>
      </c>
      <c r="AO11" s="63">
        <f t="shared" si="20"/>
        <v>1.0072828159165949E-3</v>
      </c>
      <c r="AP11" s="59">
        <f t="shared" si="21"/>
        <v>4.6615569909318817E-2</v>
      </c>
      <c r="AQ11" s="59">
        <f t="shared" si="22"/>
        <v>3.7705829260536748E-2</v>
      </c>
    </row>
    <row r="12" spans="1:77" ht="17" x14ac:dyDescent="0.2">
      <c r="A12" s="79" t="s">
        <v>153</v>
      </c>
      <c r="B12" s="36" t="s">
        <v>2</v>
      </c>
      <c r="C12" s="31">
        <v>0.31518000000000002</v>
      </c>
      <c r="D12" s="59">
        <f t="shared" si="0"/>
        <v>4.3536036036036032</v>
      </c>
      <c r="E12">
        <v>17.829999999999998</v>
      </c>
      <c r="F12" s="31">
        <f t="shared" si="1"/>
        <v>6.1354876386996304</v>
      </c>
      <c r="G12" s="59">
        <v>5.1369999999999999E-2</v>
      </c>
      <c r="H12" s="31">
        <f>0.2575</f>
        <v>0.25750000000000001</v>
      </c>
      <c r="I12" s="31">
        <f>0.00396</f>
        <v>3.96E-3</v>
      </c>
      <c r="J12" s="74">
        <f t="shared" si="2"/>
        <v>1.5378640776699029E-2</v>
      </c>
      <c r="K12" s="59">
        <f t="shared" si="3"/>
        <v>0.56872</v>
      </c>
      <c r="L12" s="75">
        <f t="shared" si="4"/>
        <v>6.0803868112208298E-4</v>
      </c>
      <c r="M12" s="31">
        <v>0.46392</v>
      </c>
      <c r="N12" s="75">
        <f t="shared" si="5"/>
        <v>4.3876714678970398E-3</v>
      </c>
      <c r="O12" s="65">
        <f t="shared" si="6"/>
        <v>7.2161058237281388</v>
      </c>
      <c r="P12" s="31">
        <v>0.15387000000000001</v>
      </c>
      <c r="Q12" s="31">
        <v>9.2160000000000006E-2</v>
      </c>
      <c r="R12" s="31">
        <f t="shared" si="23"/>
        <v>0.10656</v>
      </c>
      <c r="S12" s="31">
        <v>7.213E-2</v>
      </c>
      <c r="T12" s="59">
        <f t="shared" si="7"/>
        <v>7.8846527103840289</v>
      </c>
      <c r="U12" s="59">
        <f t="shared" si="8"/>
        <v>1.2259010174167959</v>
      </c>
      <c r="V12" s="80">
        <f t="shared" si="9"/>
        <v>6.1710069444444438</v>
      </c>
      <c r="W12" s="80">
        <f t="shared" si="10"/>
        <v>5.3370870870870872</v>
      </c>
      <c r="X12" s="81">
        <f t="shared" si="11"/>
        <v>0.3316735644076565</v>
      </c>
      <c r="Y12" s="81">
        <f t="shared" si="12"/>
        <v>0.19865494050698398</v>
      </c>
      <c r="Z12" s="81">
        <f t="shared" si="24"/>
        <v>0.22969477496120022</v>
      </c>
      <c r="AA12" s="61">
        <f t="shared" si="13"/>
        <v>0.1554793929987929</v>
      </c>
      <c r="AB12" s="61">
        <f t="shared" si="14"/>
        <v>0.25649160891709111</v>
      </c>
      <c r="AC12" s="61">
        <f t="shared" si="15"/>
        <v>0.29656842281038659</v>
      </c>
      <c r="AD12" s="31">
        <v>0.42473</v>
      </c>
      <c r="AE12" s="31">
        <f>0.04405-0.00617-0.1033</f>
        <v>-6.5420000000000006E-2</v>
      </c>
      <c r="AF12" s="31">
        <f t="shared" si="16"/>
        <v>0.35931000000000002</v>
      </c>
      <c r="AG12" s="61">
        <f t="shared" si="17"/>
        <v>0.63178717119144745</v>
      </c>
      <c r="AH12" s="31">
        <v>1.439E-2</v>
      </c>
      <c r="AI12" s="31">
        <v>-9.9799999999999993E-3</v>
      </c>
      <c r="AJ12" s="31">
        <v>9.9900000000000006E-3</v>
      </c>
      <c r="AK12" s="59">
        <f t="shared" si="18"/>
        <v>1.0841329684406738E-2</v>
      </c>
      <c r="AL12" s="61">
        <f t="shared" si="25"/>
        <v>2.016703566654917E-4</v>
      </c>
      <c r="AM12" s="63">
        <f t="shared" si="19"/>
        <v>1.207898880242524E-4</v>
      </c>
      <c r="AN12" s="63">
        <f t="shared" si="26"/>
        <v>1.5595681960482916E-4</v>
      </c>
      <c r="AO12" s="63">
        <f t="shared" si="20"/>
        <v>1.8032507266808374E-4</v>
      </c>
      <c r="AP12" s="59">
        <f t="shared" si="21"/>
        <v>3.7522109236952147E-3</v>
      </c>
      <c r="AQ12" s="59">
        <f t="shared" si="22"/>
        <v>4.7941738351275623E-3</v>
      </c>
    </row>
    <row r="13" spans="1:77" x14ac:dyDescent="0.2">
      <c r="A13" s="36"/>
      <c r="F13" s="56"/>
      <c r="AD13" s="1"/>
    </row>
    <row r="14" spans="1:77" x14ac:dyDescent="0.2">
      <c r="A14" s="36"/>
      <c r="F14" s="56"/>
      <c r="AD14" s="1"/>
    </row>
    <row r="15" spans="1:77" x14ac:dyDescent="0.2">
      <c r="A15" s="1"/>
      <c r="F15" s="56"/>
      <c r="AD15" s="1"/>
    </row>
    <row r="16" spans="1:77" ht="34" x14ac:dyDescent="0.2">
      <c r="A16" s="30" t="s">
        <v>139</v>
      </c>
      <c r="B16" s="17">
        <f>SUM(C2:C12)</f>
        <v>518.35518000000013</v>
      </c>
      <c r="C16" s="17"/>
      <c r="D16" s="17"/>
      <c r="E16" s="17"/>
      <c r="AE16" s="1"/>
      <c r="AW16" s="17"/>
      <c r="AX16" s="17"/>
      <c r="BY16" s="1"/>
    </row>
    <row r="17" spans="1:77" ht="34" x14ac:dyDescent="0.2">
      <c r="A17" s="30" t="s">
        <v>140</v>
      </c>
      <c r="B17" s="17">
        <f>SUM(K2:K12)</f>
        <v>591.5503799999999</v>
      </c>
      <c r="C17" s="17"/>
      <c r="D17" s="17"/>
      <c r="E17" s="17"/>
      <c r="AE17" s="1"/>
      <c r="AW17" s="17"/>
      <c r="AX17" s="17"/>
      <c r="BY17" s="1"/>
    </row>
    <row r="18" spans="1:77" ht="34" x14ac:dyDescent="0.2">
      <c r="A18" s="30" t="s">
        <v>141</v>
      </c>
      <c r="B18" s="17">
        <f>SUM(M2:M12)</f>
        <v>105.73262000000001</v>
      </c>
      <c r="C18" s="17"/>
      <c r="D18" s="17"/>
      <c r="E18" s="17"/>
      <c r="AE18" s="1"/>
      <c r="AW18" s="17"/>
      <c r="AX18" s="17"/>
      <c r="BY18" s="1"/>
    </row>
    <row r="19" spans="1:77" ht="34" x14ac:dyDescent="0.2">
      <c r="A19" s="30" t="s">
        <v>142</v>
      </c>
      <c r="B19" s="17">
        <f>SUM(Q2:Q12)</f>
        <v>25.787569999999995</v>
      </c>
      <c r="C19" s="17"/>
      <c r="D19" s="17"/>
      <c r="E19" s="17"/>
      <c r="AE19" s="1"/>
      <c r="AW19" s="17"/>
      <c r="AX19" s="17"/>
      <c r="BY19" s="1"/>
    </row>
    <row r="20" spans="1:77" x14ac:dyDescent="0.2">
      <c r="A20" s="30"/>
      <c r="B20" s="17"/>
      <c r="C20" s="17"/>
      <c r="D20" s="17"/>
      <c r="E20" s="17"/>
      <c r="G20" s="56"/>
      <c r="AE20" s="1"/>
      <c r="AW20" s="17"/>
      <c r="AX20" s="17"/>
      <c r="AZ20" s="56"/>
      <c r="BY20" s="1"/>
    </row>
    <row r="21" spans="1:77" ht="17" x14ac:dyDescent="0.2">
      <c r="A21" s="70" t="s">
        <v>143</v>
      </c>
      <c r="B21" s="71">
        <v>26.26</v>
      </c>
      <c r="G21" s="56"/>
      <c r="AE21" s="1"/>
      <c r="AZ21" s="56"/>
      <c r="BY21" s="1"/>
    </row>
    <row r="22" spans="1:77" ht="17" x14ac:dyDescent="0.2">
      <c r="A22" s="70" t="s">
        <v>145</v>
      </c>
      <c r="B22" s="72">
        <f>SUM(AK2:AK12)</f>
        <v>39.959334947516098</v>
      </c>
      <c r="C22" s="59"/>
      <c r="D22" s="59"/>
      <c r="E22" s="59"/>
      <c r="G22" s="56"/>
      <c r="AE22" s="1"/>
      <c r="AW22" s="59"/>
      <c r="AX22" s="59"/>
      <c r="AZ22" s="56"/>
      <c r="BY22" s="1"/>
    </row>
    <row r="23" spans="1:77" ht="17" x14ac:dyDescent="0.2">
      <c r="A23" s="70" t="s">
        <v>148</v>
      </c>
      <c r="B23" s="72">
        <f>SUM(AP2:AP12)</f>
        <v>37.979832026530516</v>
      </c>
      <c r="C23" s="59"/>
      <c r="D23" s="59"/>
      <c r="E23" s="59"/>
      <c r="G23" s="56"/>
      <c r="AE23" s="1"/>
      <c r="AW23" s="59"/>
      <c r="AX23" s="59"/>
      <c r="AZ23" s="56"/>
      <c r="BY23" s="1"/>
    </row>
    <row r="24" spans="1:77" ht="17" x14ac:dyDescent="0.2">
      <c r="A24" s="70" t="s">
        <v>164</v>
      </c>
      <c r="B24" s="77">
        <f>SUM(AN2:AN12)</f>
        <v>0.26088253336295919</v>
      </c>
      <c r="G24" s="56"/>
      <c r="AZ24" s="56"/>
    </row>
    <row r="25" spans="1:77" ht="17" x14ac:dyDescent="0.2">
      <c r="A25" s="70" t="s">
        <v>150</v>
      </c>
      <c r="B25" s="76">
        <f>SUM(AO2:AO12)</f>
        <v>0.2460659447029051</v>
      </c>
      <c r="C25" s="73"/>
      <c r="D25" s="73"/>
      <c r="AW25" s="73"/>
    </row>
    <row r="26" spans="1:77" ht="34" x14ac:dyDescent="0.2">
      <c r="A26" s="70" t="s">
        <v>166</v>
      </c>
      <c r="B26" s="76">
        <f>SUM(AL2:AL12)</f>
        <v>0.41956091035767812</v>
      </c>
      <c r="C26" s="73"/>
      <c r="D26" s="73"/>
      <c r="AW26" s="73"/>
    </row>
    <row r="27" spans="1:77" ht="34" x14ac:dyDescent="0.2">
      <c r="A27" s="70" t="s">
        <v>151</v>
      </c>
      <c r="B27" s="76">
        <f>SUM(AM2:AM12)</f>
        <v>0.29824339031316832</v>
      </c>
    </row>
    <row r="28" spans="1:77" x14ac:dyDescent="0.2">
      <c r="A28" s="30"/>
      <c r="B28" s="78"/>
    </row>
    <row r="29" spans="1:77" ht="17" x14ac:dyDescent="0.2">
      <c r="A29" s="30" t="s">
        <v>144</v>
      </c>
      <c r="B29" s="59">
        <f>AVERAGE(E2:E12)</f>
        <v>70.824545454545472</v>
      </c>
    </row>
    <row r="30" spans="1:77" ht="17" x14ac:dyDescent="0.2">
      <c r="A30" s="30" t="s">
        <v>146</v>
      </c>
      <c r="B30" s="59">
        <f>AVERAGE(U2:U12)</f>
        <v>5.8559643162073574</v>
      </c>
      <c r="C30" s="59"/>
      <c r="D30" s="59"/>
      <c r="E30" s="59"/>
      <c r="G30" s="56"/>
      <c r="AE30" s="1"/>
      <c r="AW30" s="59"/>
      <c r="AX30" s="59"/>
      <c r="AZ30" s="56"/>
      <c r="BY30" s="1"/>
    </row>
    <row r="31" spans="1:77" ht="17" x14ac:dyDescent="0.2">
      <c r="A31" s="30" t="s">
        <v>147</v>
      </c>
      <c r="B31" s="59">
        <f>AVERAGE(V2:V12)</f>
        <v>71.747340806683937</v>
      </c>
      <c r="C31" s="59"/>
      <c r="D31" s="59"/>
      <c r="E31" s="59"/>
      <c r="G31" s="56"/>
      <c r="AE31" s="1"/>
      <c r="AW31" s="59"/>
      <c r="AX31" s="59"/>
      <c r="AZ31" s="56"/>
      <c r="BY31" s="1"/>
    </row>
    <row r="32" spans="1:77" ht="17" x14ac:dyDescent="0.2">
      <c r="A32" s="30" t="s">
        <v>163</v>
      </c>
      <c r="B32" s="62">
        <f>AVERAGE(AB6:AB12)</f>
        <v>0.24003203999879905</v>
      </c>
      <c r="C32" s="59"/>
      <c r="D32" s="59"/>
      <c r="E32" s="59"/>
      <c r="G32" s="56"/>
      <c r="AE32" s="1"/>
      <c r="AW32" s="59"/>
      <c r="AX32" s="59"/>
      <c r="AZ32" s="56"/>
      <c r="BY32" s="1"/>
    </row>
    <row r="33" spans="1:77" ht="17" x14ac:dyDescent="0.2">
      <c r="A33" s="30" t="s">
        <v>149</v>
      </c>
      <c r="B33" s="62">
        <f>AVERAGE(AC2:AC12)</f>
        <v>0.24195290557085986</v>
      </c>
      <c r="C33" s="73"/>
      <c r="D33" s="73"/>
      <c r="E33" s="73"/>
      <c r="G33" s="56"/>
      <c r="AE33" s="1"/>
      <c r="AW33" s="73"/>
      <c r="AX33" s="73"/>
      <c r="AZ33" s="56"/>
      <c r="BY33" s="1"/>
    </row>
    <row r="34" spans="1:77" ht="17" x14ac:dyDescent="0.2">
      <c r="A34" s="30" t="s">
        <v>168</v>
      </c>
      <c r="B34" s="62">
        <f>AVERAGE(X2:X12)</f>
        <v>0.34666050208647819</v>
      </c>
      <c r="C34" s="73"/>
      <c r="D34" s="73"/>
      <c r="E34" s="73"/>
      <c r="G34" s="56"/>
      <c r="AE34" s="1"/>
      <c r="AW34" s="73"/>
      <c r="AX34" s="73"/>
      <c r="AZ34" s="56"/>
      <c r="BY34" s="1"/>
    </row>
    <row r="35" spans="1:77" ht="17" x14ac:dyDescent="0.2">
      <c r="A35" s="30" t="s">
        <v>167</v>
      </c>
      <c r="B35" s="62">
        <f>AVERAGE(Y2:Y12)</f>
        <v>0.18639999844510396</v>
      </c>
      <c r="C35" s="73"/>
      <c r="D35" s="73"/>
      <c r="E35" s="73"/>
      <c r="G35" s="56"/>
      <c r="AE35" s="1"/>
      <c r="AW35" s="73"/>
      <c r="AX35" s="73"/>
      <c r="AZ35" s="56"/>
      <c r="BY35" s="1"/>
    </row>
    <row r="36" spans="1:77" x14ac:dyDescent="0.2">
      <c r="C36" s="73"/>
      <c r="D36" s="73"/>
      <c r="F36" s="56"/>
      <c r="AD36" s="1"/>
    </row>
    <row r="37" spans="1:77" x14ac:dyDescent="0.2">
      <c r="A37" s="30"/>
      <c r="B37" s="59"/>
      <c r="C37" s="59"/>
      <c r="D37" s="59"/>
      <c r="F37" s="56"/>
      <c r="AD37" s="1"/>
    </row>
  </sheetData>
  <sortState xmlns:xlrd2="http://schemas.microsoft.com/office/spreadsheetml/2017/richdata2" ref="A2:AV37">
    <sortCondition descending="1" ref="C1:C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FB06-058D-D74F-A755-1E6B5C39DBC4}">
  <dimension ref="A1:M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1" sqref="L11"/>
    </sheetView>
  </sheetViews>
  <sheetFormatPr baseColWidth="10" defaultRowHeight="16" x14ac:dyDescent="0.2"/>
  <cols>
    <col min="1" max="1" width="17" customWidth="1"/>
  </cols>
  <sheetData>
    <row r="1" spans="1:13" ht="34" x14ac:dyDescent="0.2">
      <c r="A1" s="40" t="s">
        <v>64</v>
      </c>
      <c r="B1" s="41">
        <v>2012</v>
      </c>
      <c r="C1" s="41">
        <v>2013</v>
      </c>
      <c r="D1" s="41">
        <v>2014</v>
      </c>
      <c r="E1" s="41">
        <v>2015</v>
      </c>
      <c r="F1" s="41">
        <v>2016</v>
      </c>
      <c r="G1" s="41">
        <v>2017</v>
      </c>
      <c r="H1" s="41">
        <v>2018</v>
      </c>
      <c r="I1" s="41">
        <v>2019</v>
      </c>
      <c r="J1" s="41">
        <v>2020</v>
      </c>
      <c r="K1" s="41">
        <v>2021</v>
      </c>
      <c r="L1" s="41">
        <v>2022</v>
      </c>
      <c r="M1" s="41">
        <v>2023</v>
      </c>
    </row>
    <row r="2" spans="1:13" x14ac:dyDescent="0.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ht="17" x14ac:dyDescent="0.2">
      <c r="A3" s="51" t="s">
        <v>41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3" ht="17" x14ac:dyDescent="0.2">
      <c r="A4" s="44" t="s">
        <v>4</v>
      </c>
      <c r="B4" s="45"/>
      <c r="C4" s="45"/>
      <c r="D4" s="45"/>
      <c r="E4" s="45"/>
      <c r="F4" s="45"/>
      <c r="G4" s="45"/>
      <c r="H4" s="45">
        <f>'[4]Statement of Operations'!B$17</f>
        <v>7666</v>
      </c>
      <c r="I4" s="45">
        <f>'[4]Statement of Operations'!C$17</f>
        <v>7843</v>
      </c>
      <c r="J4" s="45">
        <f>'[4]Statement of Operations'!D$17</f>
        <v>7656</v>
      </c>
      <c r="K4" s="45">
        <f>'[4]Statement of Operations'!E$17</f>
        <v>8711</v>
      </c>
      <c r="L4" s="45">
        <f>'[4]Statement of Operations'!F$17</f>
        <v>9421</v>
      </c>
      <c r="M4" s="45">
        <f>'[4]Statement of Operations'!G$17</f>
        <v>10384</v>
      </c>
    </row>
    <row r="5" spans="1:13" ht="17" x14ac:dyDescent="0.2">
      <c r="A5" s="44" t="s">
        <v>63</v>
      </c>
      <c r="B5" s="45"/>
      <c r="C5" s="45"/>
      <c r="D5" s="45"/>
      <c r="E5" s="45"/>
      <c r="F5" s="45"/>
      <c r="G5" s="45"/>
      <c r="H5" s="45">
        <f>Profitability!F29</f>
        <v>2644</v>
      </c>
      <c r="I5" s="45">
        <f>Profitability!G29</f>
        <v>2491</v>
      </c>
      <c r="J5" s="45">
        <f>Profitability!H29</f>
        <v>2272</v>
      </c>
      <c r="K5" s="45">
        <f>Profitability!I29</f>
        <v>2793</v>
      </c>
      <c r="L5" s="45">
        <f>Profitability!J29</f>
        <v>2834</v>
      </c>
      <c r="M5" s="45">
        <f>Profitability!K29</f>
        <v>2830</v>
      </c>
    </row>
    <row r="6" spans="1:13" ht="17" x14ac:dyDescent="0.2">
      <c r="A6" s="44" t="s">
        <v>65</v>
      </c>
      <c r="B6" s="45"/>
      <c r="C6" s="45"/>
      <c r="D6" s="45"/>
      <c r="E6" s="45"/>
      <c r="F6" s="45"/>
      <c r="G6" s="45"/>
      <c r="H6" s="45">
        <f>Profitability!F25</f>
        <v>1651</v>
      </c>
      <c r="I6" s="45">
        <f>Profitability!G25</f>
        <v>1777</v>
      </c>
      <c r="J6" s="45">
        <f>Profitability!H25</f>
        <v>1602</v>
      </c>
      <c r="K6" s="45">
        <f>Profitability!I25</f>
        <v>1156</v>
      </c>
      <c r="L6" s="45">
        <f>Profitability!J25</f>
        <v>1196</v>
      </c>
      <c r="M6" s="45">
        <f>Profitability!K25</f>
        <v>1298</v>
      </c>
    </row>
    <row r="7" spans="1:13" ht="17" x14ac:dyDescent="0.2">
      <c r="A7" s="44" t="s">
        <v>66</v>
      </c>
      <c r="B7" s="45"/>
      <c r="C7" s="45"/>
      <c r="D7" s="45"/>
      <c r="E7" s="45"/>
      <c r="F7" s="45"/>
      <c r="G7" s="45"/>
      <c r="H7" s="45">
        <f>Profitability!F26</f>
        <v>414</v>
      </c>
      <c r="I7" s="45">
        <f>Profitability!G26</f>
        <v>482</v>
      </c>
      <c r="J7" s="45">
        <f>Profitability!H26</f>
        <v>556</v>
      </c>
      <c r="K7" s="45">
        <f>Profitability!I26</f>
        <v>559</v>
      </c>
      <c r="L7" s="45">
        <f>Profitability!J26</f>
        <v>618</v>
      </c>
      <c r="M7" s="45">
        <f>Profitability!K26</f>
        <v>692</v>
      </c>
    </row>
    <row r="8" spans="1:13" ht="17" x14ac:dyDescent="0.2">
      <c r="A8" s="46" t="s">
        <v>8</v>
      </c>
      <c r="B8" s="47">
        <f t="shared" ref="B8:L8" si="0">SUM(B4:B7)</f>
        <v>0</v>
      </c>
      <c r="C8" s="47">
        <f t="shared" si="0"/>
        <v>0</v>
      </c>
      <c r="D8" s="47">
        <f t="shared" si="0"/>
        <v>0</v>
      </c>
      <c r="E8" s="47">
        <f t="shared" si="0"/>
        <v>0</v>
      </c>
      <c r="F8" s="47">
        <f t="shared" si="0"/>
        <v>0</v>
      </c>
      <c r="G8" s="47">
        <f t="shared" si="0"/>
        <v>0</v>
      </c>
      <c r="H8" s="47">
        <f t="shared" si="0"/>
        <v>12375</v>
      </c>
      <c r="I8" s="47">
        <f t="shared" si="0"/>
        <v>12593</v>
      </c>
      <c r="J8" s="47">
        <f t="shared" si="0"/>
        <v>12086</v>
      </c>
      <c r="K8" s="47">
        <f t="shared" si="0"/>
        <v>13219</v>
      </c>
      <c r="L8" s="47">
        <f t="shared" si="0"/>
        <v>14069</v>
      </c>
      <c r="M8" s="47">
        <f>SUM(M4:M7)</f>
        <v>15204</v>
      </c>
    </row>
    <row r="9" spans="1:13" ht="17" x14ac:dyDescent="0.2">
      <c r="A9" s="46" t="s">
        <v>60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</row>
    <row r="10" spans="1:13" ht="17" x14ac:dyDescent="0.2">
      <c r="A10" s="44" t="s">
        <v>4</v>
      </c>
      <c r="B10" s="48" t="e">
        <f t="shared" ref="B10:L10" si="1">B4/B$8</f>
        <v>#DIV/0!</v>
      </c>
      <c r="C10" s="48" t="e">
        <f t="shared" si="1"/>
        <v>#DIV/0!</v>
      </c>
      <c r="D10" s="48" t="e">
        <f t="shared" si="1"/>
        <v>#DIV/0!</v>
      </c>
      <c r="E10" s="48" t="e">
        <f t="shared" si="1"/>
        <v>#DIV/0!</v>
      </c>
      <c r="F10" s="48" t="e">
        <f t="shared" si="1"/>
        <v>#DIV/0!</v>
      </c>
      <c r="G10" s="48" t="e">
        <f t="shared" si="1"/>
        <v>#DIV/0!</v>
      </c>
      <c r="H10" s="48">
        <f t="shared" si="1"/>
        <v>0.61947474747474751</v>
      </c>
      <c r="I10" s="48">
        <f t="shared" si="1"/>
        <v>0.62280632097196853</v>
      </c>
      <c r="J10" s="48">
        <f t="shared" si="1"/>
        <v>0.63346020188648022</v>
      </c>
      <c r="K10" s="48">
        <f t="shared" si="1"/>
        <v>0.65897571677131406</v>
      </c>
      <c r="L10" s="48">
        <f t="shared" si="1"/>
        <v>0.66962826071504722</v>
      </c>
      <c r="M10" s="48">
        <f>M4/M$8</f>
        <v>0.68297816364114705</v>
      </c>
    </row>
    <row r="11" spans="1:13" ht="17" x14ac:dyDescent="0.2">
      <c r="A11" s="44" t="s">
        <v>63</v>
      </c>
      <c r="B11" s="48" t="e">
        <f t="shared" ref="B11:L11" si="2">B5/B$8</f>
        <v>#DIV/0!</v>
      </c>
      <c r="C11" s="48" t="e">
        <f t="shared" si="2"/>
        <v>#DIV/0!</v>
      </c>
      <c r="D11" s="48" t="e">
        <f t="shared" si="2"/>
        <v>#DIV/0!</v>
      </c>
      <c r="E11" s="48" t="e">
        <f t="shared" si="2"/>
        <v>#DIV/0!</v>
      </c>
      <c r="F11" s="48" t="e">
        <f t="shared" si="2"/>
        <v>#DIV/0!</v>
      </c>
      <c r="G11" s="48" t="e">
        <f t="shared" si="2"/>
        <v>#DIV/0!</v>
      </c>
      <c r="H11" s="48">
        <f t="shared" si="2"/>
        <v>0.21365656565656566</v>
      </c>
      <c r="I11" s="48">
        <f t="shared" si="2"/>
        <v>0.19780830620185819</v>
      </c>
      <c r="J11" s="48">
        <f t="shared" si="2"/>
        <v>0.18798609961939433</v>
      </c>
      <c r="K11" s="48">
        <f t="shared" si="2"/>
        <v>0.21128678417429458</v>
      </c>
      <c r="L11" s="48">
        <f t="shared" si="2"/>
        <v>0.20143578079465491</v>
      </c>
      <c r="M11" s="48">
        <f>M5/M$8</f>
        <v>0.18613522757169165</v>
      </c>
    </row>
    <row r="12" spans="1:13" ht="17" x14ac:dyDescent="0.2">
      <c r="A12" s="44" t="s">
        <v>65</v>
      </c>
      <c r="B12" s="48" t="e">
        <f t="shared" ref="B12:M12" si="3">B6/B$8</f>
        <v>#DIV/0!</v>
      </c>
      <c r="C12" s="48" t="e">
        <f t="shared" si="3"/>
        <v>#DIV/0!</v>
      </c>
      <c r="D12" s="48" t="e">
        <f t="shared" si="3"/>
        <v>#DIV/0!</v>
      </c>
      <c r="E12" s="48" t="e">
        <f t="shared" si="3"/>
        <v>#DIV/0!</v>
      </c>
      <c r="F12" s="48" t="e">
        <f t="shared" si="3"/>
        <v>#DIV/0!</v>
      </c>
      <c r="G12" s="48" t="e">
        <f t="shared" si="3"/>
        <v>#DIV/0!</v>
      </c>
      <c r="H12" s="48">
        <f t="shared" si="3"/>
        <v>0.1334141414141414</v>
      </c>
      <c r="I12" s="48">
        <f t="shared" si="3"/>
        <v>0.14111014055427618</v>
      </c>
      <c r="J12" s="48">
        <f t="shared" si="3"/>
        <v>0.13255005791825253</v>
      </c>
      <c r="K12" s="48">
        <f t="shared" si="3"/>
        <v>8.7449882744534385E-2</v>
      </c>
      <c r="L12" s="48">
        <f t="shared" si="3"/>
        <v>8.5009595564716753E-2</v>
      </c>
      <c r="M12" s="48">
        <f t="shared" si="3"/>
        <v>8.5372270455143381E-2</v>
      </c>
    </row>
    <row r="13" spans="1:13" ht="17" x14ac:dyDescent="0.2">
      <c r="A13" s="44" t="s">
        <v>66</v>
      </c>
      <c r="B13" s="48" t="e">
        <f t="shared" ref="B13:M13" si="4">B7/B$8</f>
        <v>#DIV/0!</v>
      </c>
      <c r="C13" s="48" t="e">
        <f t="shared" si="4"/>
        <v>#DIV/0!</v>
      </c>
      <c r="D13" s="48" t="e">
        <f t="shared" si="4"/>
        <v>#DIV/0!</v>
      </c>
      <c r="E13" s="48" t="e">
        <f t="shared" si="4"/>
        <v>#DIV/0!</v>
      </c>
      <c r="F13" s="48" t="e">
        <f t="shared" si="4"/>
        <v>#DIV/0!</v>
      </c>
      <c r="G13" s="48" t="e">
        <f t="shared" si="4"/>
        <v>#DIV/0!</v>
      </c>
      <c r="H13" s="48">
        <f t="shared" si="4"/>
        <v>3.3454545454545452E-2</v>
      </c>
      <c r="I13" s="48">
        <f t="shared" si="4"/>
        <v>3.8275232271897087E-2</v>
      </c>
      <c r="J13" s="48">
        <f t="shared" si="4"/>
        <v>4.600364057587291E-2</v>
      </c>
      <c r="K13" s="48">
        <f t="shared" si="4"/>
        <v>4.2287616309857022E-2</v>
      </c>
      <c r="L13" s="48">
        <f t="shared" si="4"/>
        <v>4.3926362925581067E-2</v>
      </c>
      <c r="M13" s="48">
        <f t="shared" si="4"/>
        <v>4.5514338332017887E-2</v>
      </c>
    </row>
    <row r="14" spans="1:13" ht="17" x14ac:dyDescent="0.2">
      <c r="A14" s="52" t="s">
        <v>52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</row>
    <row r="15" spans="1:13" ht="17" x14ac:dyDescent="0.2">
      <c r="A15" s="44" t="s">
        <v>4</v>
      </c>
      <c r="B15" s="45"/>
      <c r="C15" s="45"/>
      <c r="D15" s="45"/>
      <c r="E15" s="45"/>
      <c r="F15" s="45"/>
      <c r="G15" s="45"/>
      <c r="H15" s="45">
        <f>Cost!F18</f>
        <v>10425</v>
      </c>
      <c r="I15" s="45">
        <f>Cost!G18</f>
        <v>10186</v>
      </c>
      <c r="J15" s="45">
        <f>Cost!H18</f>
        <v>9456</v>
      </c>
      <c r="K15" s="45">
        <f>Cost!I18</f>
        <v>10642</v>
      </c>
      <c r="L15" s="45">
        <f>Cost!J18</f>
        <v>9976</v>
      </c>
      <c r="M15" s="45">
        <f>Cost!K18</f>
        <v>10931</v>
      </c>
    </row>
    <row r="16" spans="1:13" ht="17" x14ac:dyDescent="0.2">
      <c r="A16" s="44" t="s">
        <v>63</v>
      </c>
      <c r="B16" s="45"/>
      <c r="C16" s="45"/>
      <c r="D16" s="45"/>
      <c r="E16" s="45"/>
      <c r="F16" s="45"/>
      <c r="G16" s="45"/>
      <c r="H16" s="45">
        <f>Cost!F24</f>
        <v>1334</v>
      </c>
      <c r="I16" s="45">
        <f>Cost!G24</f>
        <v>1093</v>
      </c>
      <c r="J16" s="45">
        <f>Cost!H24</f>
        <v>995</v>
      </c>
      <c r="K16" s="45">
        <f>Cost!I24</f>
        <v>1191</v>
      </c>
      <c r="L16" s="45">
        <f>Cost!J24</f>
        <v>1179</v>
      </c>
      <c r="M16" s="45">
        <f>Cost!K24</f>
        <v>1137</v>
      </c>
    </row>
    <row r="17" spans="1:13" ht="17" x14ac:dyDescent="0.2">
      <c r="A17" s="44" t="s">
        <v>65</v>
      </c>
      <c r="B17" s="45"/>
      <c r="C17" s="45"/>
      <c r="D17" s="45"/>
      <c r="E17" s="45"/>
      <c r="F17" s="45"/>
      <c r="G17" s="45"/>
      <c r="H17" s="45">
        <f>Cost!F20</f>
        <v>67</v>
      </c>
      <c r="I17" s="45">
        <f>Cost!G20</f>
        <v>71</v>
      </c>
      <c r="J17" s="45">
        <f>Cost!H20</f>
        <v>65</v>
      </c>
      <c r="K17" s="45">
        <f>Cost!I20</f>
        <v>66</v>
      </c>
      <c r="L17" s="45">
        <f>Cost!J20</f>
        <v>74</v>
      </c>
      <c r="M17" s="45">
        <f>Cost!K20</f>
        <v>90</v>
      </c>
    </row>
    <row r="18" spans="1:13" ht="17" x14ac:dyDescent="0.2">
      <c r="A18" s="44" t="s">
        <v>66</v>
      </c>
      <c r="B18" s="45"/>
      <c r="C18" s="45"/>
      <c r="D18" s="45"/>
      <c r="E18" s="45"/>
      <c r="F18" s="45"/>
      <c r="G18" s="45"/>
      <c r="H18" s="45">
        <f>Cost!F21</f>
        <v>63</v>
      </c>
      <c r="I18" s="45">
        <f>Cost!G21</f>
        <v>65</v>
      </c>
      <c r="J18" s="45">
        <f>Cost!H21</f>
        <v>61</v>
      </c>
      <c r="K18" s="45">
        <f>Cost!I21</f>
        <v>58</v>
      </c>
      <c r="L18" s="45">
        <f>Cost!J21</f>
        <v>72</v>
      </c>
      <c r="M18" s="45">
        <f>Cost!K21</f>
        <v>80</v>
      </c>
    </row>
    <row r="19" spans="1:13" ht="17" x14ac:dyDescent="0.2">
      <c r="A19" s="46" t="s">
        <v>8</v>
      </c>
      <c r="B19" s="47">
        <f t="shared" ref="B19" si="5">SUM(B15:B18)</f>
        <v>0</v>
      </c>
      <c r="C19" s="47">
        <f t="shared" ref="C19" si="6">SUM(C15:C18)</f>
        <v>0</v>
      </c>
      <c r="D19" s="47">
        <f t="shared" ref="D19" si="7">SUM(D15:D18)</f>
        <v>0</v>
      </c>
      <c r="E19" s="47">
        <f t="shared" ref="E19" si="8">SUM(E15:E18)</f>
        <v>0</v>
      </c>
      <c r="F19" s="47">
        <f t="shared" ref="F19" si="9">SUM(F15:F18)</f>
        <v>0</v>
      </c>
      <c r="G19" s="47">
        <f t="shared" ref="G19" si="10">SUM(G15:G18)</f>
        <v>0</v>
      </c>
      <c r="H19" s="47">
        <f t="shared" ref="H19" si="11">SUM(H15:H18)</f>
        <v>11889</v>
      </c>
      <c r="I19" s="47">
        <f t="shared" ref="I19" si="12">SUM(I15:I18)</f>
        <v>11415</v>
      </c>
      <c r="J19" s="47">
        <f t="shared" ref="J19" si="13">SUM(J15:J18)</f>
        <v>10577</v>
      </c>
      <c r="K19" s="47">
        <f t="shared" ref="K19" si="14">SUM(K15:K18)</f>
        <v>11957</v>
      </c>
      <c r="L19" s="47">
        <f t="shared" ref="L19" si="15">SUM(L15:L18)</f>
        <v>11301</v>
      </c>
      <c r="M19" s="47">
        <f>SUM(M15:M18)</f>
        <v>12238</v>
      </c>
    </row>
    <row r="20" spans="1:13" ht="17" x14ac:dyDescent="0.2">
      <c r="A20" s="46" t="s">
        <v>59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ht="17" x14ac:dyDescent="0.2">
      <c r="A21" s="44" t="s">
        <v>4</v>
      </c>
      <c r="B21" s="49"/>
      <c r="C21" s="50" t="e">
        <f t="shared" ref="C21:M21" si="16">C15/B15-1</f>
        <v>#DIV/0!</v>
      </c>
      <c r="D21" s="50" t="e">
        <f t="shared" si="16"/>
        <v>#DIV/0!</v>
      </c>
      <c r="E21" s="50" t="e">
        <f t="shared" si="16"/>
        <v>#DIV/0!</v>
      </c>
      <c r="F21" s="50" t="e">
        <f t="shared" si="16"/>
        <v>#DIV/0!</v>
      </c>
      <c r="G21" s="50" t="e">
        <f t="shared" si="16"/>
        <v>#DIV/0!</v>
      </c>
      <c r="H21" s="50" t="e">
        <f t="shared" si="16"/>
        <v>#DIV/0!</v>
      </c>
      <c r="I21" s="50">
        <f t="shared" si="16"/>
        <v>-2.2925659472422089E-2</v>
      </c>
      <c r="J21" s="50">
        <f t="shared" si="16"/>
        <v>-7.1666993913214183E-2</v>
      </c>
      <c r="K21" s="50">
        <f t="shared" si="16"/>
        <v>0.12542301184433158</v>
      </c>
      <c r="L21" s="50">
        <f t="shared" si="16"/>
        <v>-6.2582221386957348E-2</v>
      </c>
      <c r="M21" s="50">
        <f t="shared" si="16"/>
        <v>9.5729751403368146E-2</v>
      </c>
    </row>
    <row r="22" spans="1:13" ht="17" x14ac:dyDescent="0.2">
      <c r="A22" s="44" t="s">
        <v>63</v>
      </c>
      <c r="B22" s="49"/>
      <c r="C22" s="50" t="e">
        <f>C16/B16-1</f>
        <v>#DIV/0!</v>
      </c>
      <c r="D22" s="50" t="e">
        <f t="shared" ref="D22:M22" si="17">D16/C16-1</f>
        <v>#DIV/0!</v>
      </c>
      <c r="E22" s="50" t="e">
        <f t="shared" si="17"/>
        <v>#DIV/0!</v>
      </c>
      <c r="F22" s="50" t="e">
        <f t="shared" si="17"/>
        <v>#DIV/0!</v>
      </c>
      <c r="G22" s="50" t="e">
        <f t="shared" si="17"/>
        <v>#DIV/0!</v>
      </c>
      <c r="H22" s="50" t="e">
        <f t="shared" si="17"/>
        <v>#DIV/0!</v>
      </c>
      <c r="I22" s="50">
        <f t="shared" si="17"/>
        <v>-0.18065967016491757</v>
      </c>
      <c r="J22" s="50">
        <f t="shared" si="17"/>
        <v>-8.9661482159194894E-2</v>
      </c>
      <c r="K22" s="50">
        <f t="shared" si="17"/>
        <v>0.19698492462311568</v>
      </c>
      <c r="L22" s="50">
        <f t="shared" si="17"/>
        <v>-1.0075566750629705E-2</v>
      </c>
      <c r="M22" s="50">
        <f t="shared" si="17"/>
        <v>-3.5623409669211181E-2</v>
      </c>
    </row>
    <row r="23" spans="1:13" ht="17" x14ac:dyDescent="0.2">
      <c r="A23" s="44" t="s">
        <v>65</v>
      </c>
      <c r="B23" s="49"/>
      <c r="C23" s="50" t="e">
        <f t="shared" ref="C23:M23" si="18">C17/B17-1</f>
        <v>#DIV/0!</v>
      </c>
      <c r="D23" s="50" t="e">
        <f t="shared" si="18"/>
        <v>#DIV/0!</v>
      </c>
      <c r="E23" s="50" t="e">
        <f t="shared" si="18"/>
        <v>#DIV/0!</v>
      </c>
      <c r="F23" s="50" t="e">
        <f t="shared" si="18"/>
        <v>#DIV/0!</v>
      </c>
      <c r="G23" s="50" t="e">
        <f t="shared" si="18"/>
        <v>#DIV/0!</v>
      </c>
      <c r="H23" s="50" t="e">
        <f t="shared" si="18"/>
        <v>#DIV/0!</v>
      </c>
      <c r="I23" s="50">
        <f t="shared" si="18"/>
        <v>5.9701492537313383E-2</v>
      </c>
      <c r="J23" s="50">
        <f t="shared" si="18"/>
        <v>-8.4507042253521125E-2</v>
      </c>
      <c r="K23" s="50">
        <f t="shared" si="18"/>
        <v>1.538461538461533E-2</v>
      </c>
      <c r="L23" s="50">
        <f t="shared" si="18"/>
        <v>0.1212121212121211</v>
      </c>
      <c r="M23" s="50">
        <f t="shared" si="18"/>
        <v>0.21621621621621623</v>
      </c>
    </row>
    <row r="24" spans="1:13" ht="17" x14ac:dyDescent="0.2">
      <c r="A24" s="44" t="s">
        <v>66</v>
      </c>
      <c r="B24" s="49"/>
      <c r="C24" s="50" t="e">
        <f t="shared" ref="C24:M24" si="19">C18/B18-1</f>
        <v>#DIV/0!</v>
      </c>
      <c r="D24" s="50" t="e">
        <f t="shared" si="19"/>
        <v>#DIV/0!</v>
      </c>
      <c r="E24" s="50" t="e">
        <f t="shared" si="19"/>
        <v>#DIV/0!</v>
      </c>
      <c r="F24" s="50" t="e">
        <f t="shared" si="19"/>
        <v>#DIV/0!</v>
      </c>
      <c r="G24" s="50" t="e">
        <f t="shared" si="19"/>
        <v>#DIV/0!</v>
      </c>
      <c r="H24" s="50" t="e">
        <f t="shared" si="19"/>
        <v>#DIV/0!</v>
      </c>
      <c r="I24" s="50">
        <f t="shared" si="19"/>
        <v>3.1746031746031855E-2</v>
      </c>
      <c r="J24" s="50">
        <f t="shared" si="19"/>
        <v>-6.1538461538461542E-2</v>
      </c>
      <c r="K24" s="50">
        <f t="shared" si="19"/>
        <v>-4.9180327868852514E-2</v>
      </c>
      <c r="L24" s="50">
        <f t="shared" si="19"/>
        <v>0.24137931034482762</v>
      </c>
      <c r="M24" s="50">
        <f t="shared" si="19"/>
        <v>0.11111111111111116</v>
      </c>
    </row>
    <row r="25" spans="1:13" ht="51" x14ac:dyDescent="0.2">
      <c r="A25" s="46" t="s">
        <v>61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1:13" ht="17" x14ac:dyDescent="0.2">
      <c r="A26" s="44" t="s">
        <v>4</v>
      </c>
      <c r="B26" s="49" t="e">
        <f t="shared" ref="B26:M26" si="20">B15/B57</f>
        <v>#DIV/0!</v>
      </c>
      <c r="C26" s="49" t="e">
        <f t="shared" si="20"/>
        <v>#DIV/0!</v>
      </c>
      <c r="D26" s="49" t="e">
        <f t="shared" si="20"/>
        <v>#DIV/0!</v>
      </c>
      <c r="E26" s="49" t="e">
        <f t="shared" si="20"/>
        <v>#DIV/0!</v>
      </c>
      <c r="F26" s="49" t="e">
        <f t="shared" si="20"/>
        <v>#DIV/0!</v>
      </c>
      <c r="G26" s="49" t="e">
        <f t="shared" si="20"/>
        <v>#DIV/0!</v>
      </c>
      <c r="H26" s="49">
        <f t="shared" si="20"/>
        <v>0.71355236139630385</v>
      </c>
      <c r="I26" s="49">
        <f t="shared" si="20"/>
        <v>0.70824641913502995</v>
      </c>
      <c r="J26" s="49">
        <f t="shared" si="20"/>
        <v>0.66371867761634029</v>
      </c>
      <c r="K26" s="49">
        <f t="shared" si="20"/>
        <v>0.67662767039674465</v>
      </c>
      <c r="L26" s="49">
        <f t="shared" si="20"/>
        <v>0.65075016307893019</v>
      </c>
      <c r="M26" s="49">
        <f t="shared" si="20"/>
        <v>0.6754619044676512</v>
      </c>
    </row>
    <row r="27" spans="1:13" ht="17" x14ac:dyDescent="0.2">
      <c r="A27" s="44" t="s">
        <v>63</v>
      </c>
      <c r="B27" s="49" t="e">
        <f t="shared" ref="B27:M27" si="21">B16/B58</f>
        <v>#DIV/0!</v>
      </c>
      <c r="C27" s="49" t="e">
        <f t="shared" si="21"/>
        <v>#DIV/0!</v>
      </c>
      <c r="D27" s="49" t="e">
        <f t="shared" si="21"/>
        <v>#DIV/0!</v>
      </c>
      <c r="E27" s="49" t="e">
        <f t="shared" si="21"/>
        <v>#DIV/0!</v>
      </c>
      <c r="F27" s="49" t="e">
        <f t="shared" si="21"/>
        <v>#DIV/0!</v>
      </c>
      <c r="G27" s="49" t="e">
        <f t="shared" si="21"/>
        <v>#DIV/0!</v>
      </c>
      <c r="H27" s="49">
        <f t="shared" si="21"/>
        <v>0.79216152019002373</v>
      </c>
      <c r="I27" s="49">
        <f t="shared" si="21"/>
        <v>0.75955524669909658</v>
      </c>
      <c r="J27" s="49">
        <f t="shared" si="21"/>
        <v>0.74198359433258765</v>
      </c>
      <c r="K27" s="49">
        <f t="shared" si="21"/>
        <v>0.75956632653061229</v>
      </c>
      <c r="L27" s="49">
        <f t="shared" si="21"/>
        <v>0.75143403441682599</v>
      </c>
      <c r="M27" s="49">
        <f t="shared" si="21"/>
        <v>0.74802631578947365</v>
      </c>
    </row>
    <row r="28" spans="1:13" ht="17" x14ac:dyDescent="0.2">
      <c r="A28" s="44" t="s">
        <v>65</v>
      </c>
      <c r="B28" s="49" t="e">
        <f t="shared" ref="B28:M28" si="22">B17/B59</f>
        <v>#DIV/0!</v>
      </c>
      <c r="C28" s="49" t="e">
        <f t="shared" si="22"/>
        <v>#DIV/0!</v>
      </c>
      <c r="D28" s="49" t="e">
        <f t="shared" si="22"/>
        <v>#DIV/0!</v>
      </c>
      <c r="E28" s="49" t="e">
        <f t="shared" si="22"/>
        <v>#DIV/0!</v>
      </c>
      <c r="F28" s="49" t="e">
        <f t="shared" si="22"/>
        <v>#DIV/0!</v>
      </c>
      <c r="G28" s="49" t="e">
        <f t="shared" si="22"/>
        <v>#DIV/0!</v>
      </c>
      <c r="H28" s="49">
        <f t="shared" si="22"/>
        <v>8.6451612903225811E-2</v>
      </c>
      <c r="I28" s="49">
        <f t="shared" si="22"/>
        <v>8.4624553039332542E-2</v>
      </c>
      <c r="J28" s="49">
        <f t="shared" si="22"/>
        <v>7.840772014475271E-2</v>
      </c>
      <c r="K28" s="49">
        <f t="shared" si="22"/>
        <v>8.8471849865951746E-2</v>
      </c>
      <c r="L28" s="49">
        <f t="shared" si="22"/>
        <v>9.1245376078914919E-2</v>
      </c>
      <c r="M28" s="49">
        <f t="shared" si="22"/>
        <v>9.7613882863340565E-2</v>
      </c>
    </row>
    <row r="29" spans="1:13" ht="17" x14ac:dyDescent="0.2">
      <c r="A29" s="44" t="s">
        <v>66</v>
      </c>
      <c r="B29" s="49" t="e">
        <f t="shared" ref="B29:L29" si="23">B18/B60</f>
        <v>#DIV/0!</v>
      </c>
      <c r="C29" s="49" t="e">
        <f t="shared" si="23"/>
        <v>#DIV/0!</v>
      </c>
      <c r="D29" s="49" t="e">
        <f t="shared" si="23"/>
        <v>#DIV/0!</v>
      </c>
      <c r="E29" s="49" t="e">
        <f t="shared" si="23"/>
        <v>#DIV/0!</v>
      </c>
      <c r="F29" s="49" t="e">
        <f t="shared" si="23"/>
        <v>#DIV/0!</v>
      </c>
      <c r="G29" s="49" t="e">
        <f t="shared" si="23"/>
        <v>#DIV/0!</v>
      </c>
      <c r="H29" s="49">
        <f t="shared" si="23"/>
        <v>0.23507462686567165</v>
      </c>
      <c r="I29" s="49">
        <f t="shared" si="23"/>
        <v>0.21381578947368421</v>
      </c>
      <c r="J29" s="49">
        <f t="shared" si="23"/>
        <v>0.17681159420289855</v>
      </c>
      <c r="K29" s="49">
        <f t="shared" si="23"/>
        <v>0.15977961432506887</v>
      </c>
      <c r="L29" s="49">
        <f t="shared" si="23"/>
        <v>0.17307692307692307</v>
      </c>
      <c r="M29" s="49">
        <f>M18/M60</f>
        <v>0.16913319238900634</v>
      </c>
    </row>
    <row r="30" spans="1:13" ht="17" x14ac:dyDescent="0.2">
      <c r="A30" s="46" t="s">
        <v>58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 ht="17" x14ac:dyDescent="0.2">
      <c r="A31" s="44" t="s">
        <v>4</v>
      </c>
      <c r="B31" s="49" t="e">
        <f>B15/B4</f>
        <v>#DIV/0!</v>
      </c>
      <c r="C31" s="49" t="e">
        <f t="shared" ref="C31:M31" si="24">C15/C4</f>
        <v>#DIV/0!</v>
      </c>
      <c r="D31" s="49" t="e">
        <f t="shared" si="24"/>
        <v>#DIV/0!</v>
      </c>
      <c r="E31" s="49" t="e">
        <f t="shared" si="24"/>
        <v>#DIV/0!</v>
      </c>
      <c r="F31" s="49" t="e">
        <f t="shared" si="24"/>
        <v>#DIV/0!</v>
      </c>
      <c r="G31" s="49" t="e">
        <f t="shared" si="24"/>
        <v>#DIV/0!</v>
      </c>
      <c r="H31" s="49">
        <f t="shared" si="24"/>
        <v>1.3599008609444299</v>
      </c>
      <c r="I31" s="49">
        <f t="shared" si="24"/>
        <v>1.2987377279102383</v>
      </c>
      <c r="J31" s="49">
        <f t="shared" si="24"/>
        <v>1.2351097178683386</v>
      </c>
      <c r="K31" s="49">
        <f t="shared" si="24"/>
        <v>1.2216737458385949</v>
      </c>
      <c r="L31" s="49">
        <f t="shared" si="24"/>
        <v>1.0589109436365567</v>
      </c>
      <c r="M31" s="49">
        <f t="shared" si="24"/>
        <v>1.0526771956856702</v>
      </c>
    </row>
    <row r="32" spans="1:13" ht="17" x14ac:dyDescent="0.2">
      <c r="A32" s="44" t="s">
        <v>63</v>
      </c>
      <c r="B32" s="49" t="e">
        <f>B16/B5</f>
        <v>#DIV/0!</v>
      </c>
      <c r="C32" s="49" t="e">
        <f t="shared" ref="C32:M32" si="25">C16/C5</f>
        <v>#DIV/0!</v>
      </c>
      <c r="D32" s="49" t="e">
        <f t="shared" si="25"/>
        <v>#DIV/0!</v>
      </c>
      <c r="E32" s="49" t="e">
        <f t="shared" si="25"/>
        <v>#DIV/0!</v>
      </c>
      <c r="F32" s="49" t="e">
        <f t="shared" si="25"/>
        <v>#DIV/0!</v>
      </c>
      <c r="G32" s="49" t="e">
        <f t="shared" si="25"/>
        <v>#DIV/0!</v>
      </c>
      <c r="H32" s="49">
        <f t="shared" si="25"/>
        <v>0.5045385779122542</v>
      </c>
      <c r="I32" s="49">
        <f t="shared" si="25"/>
        <v>0.4387796065837013</v>
      </c>
      <c r="J32" s="49">
        <f t="shared" si="25"/>
        <v>0.43794014084507044</v>
      </c>
      <c r="K32" s="49">
        <f t="shared" si="25"/>
        <v>0.42642320085929108</v>
      </c>
      <c r="L32" s="49">
        <f t="shared" si="25"/>
        <v>0.4160197600564573</v>
      </c>
      <c r="M32" s="49">
        <f t="shared" si="25"/>
        <v>0.4017667844522968</v>
      </c>
    </row>
    <row r="33" spans="1:13" ht="17" x14ac:dyDescent="0.2">
      <c r="A33" s="44" t="s">
        <v>65</v>
      </c>
      <c r="B33" s="49" t="e">
        <f t="shared" ref="B33:M33" si="26">B17/B6</f>
        <v>#DIV/0!</v>
      </c>
      <c r="C33" s="49" t="e">
        <f t="shared" si="26"/>
        <v>#DIV/0!</v>
      </c>
      <c r="D33" s="49" t="e">
        <f t="shared" si="26"/>
        <v>#DIV/0!</v>
      </c>
      <c r="E33" s="49" t="e">
        <f t="shared" si="26"/>
        <v>#DIV/0!</v>
      </c>
      <c r="F33" s="49" t="e">
        <f t="shared" si="26"/>
        <v>#DIV/0!</v>
      </c>
      <c r="G33" s="49" t="e">
        <f t="shared" si="26"/>
        <v>#DIV/0!</v>
      </c>
      <c r="H33" s="49">
        <f t="shared" si="26"/>
        <v>4.0581465778316173E-2</v>
      </c>
      <c r="I33" s="49">
        <f t="shared" si="26"/>
        <v>3.9954980303882948E-2</v>
      </c>
      <c r="J33" s="49">
        <f t="shared" si="26"/>
        <v>4.0574282147315857E-2</v>
      </c>
      <c r="K33" s="49">
        <f t="shared" si="26"/>
        <v>5.7093425605536333E-2</v>
      </c>
      <c r="L33" s="49">
        <f t="shared" si="26"/>
        <v>6.1872909698996656E-2</v>
      </c>
      <c r="M33" s="49">
        <f t="shared" si="26"/>
        <v>6.9337442218798145E-2</v>
      </c>
    </row>
    <row r="34" spans="1:13" ht="17" x14ac:dyDescent="0.2">
      <c r="A34" s="44" t="s">
        <v>66</v>
      </c>
      <c r="B34" s="49" t="e">
        <f t="shared" ref="B34:M34" si="27">B18/B7</f>
        <v>#DIV/0!</v>
      </c>
      <c r="C34" s="49" t="e">
        <f t="shared" si="27"/>
        <v>#DIV/0!</v>
      </c>
      <c r="D34" s="49" t="e">
        <f t="shared" si="27"/>
        <v>#DIV/0!</v>
      </c>
      <c r="E34" s="49" t="e">
        <f t="shared" si="27"/>
        <v>#DIV/0!</v>
      </c>
      <c r="F34" s="49" t="e">
        <f t="shared" si="27"/>
        <v>#DIV/0!</v>
      </c>
      <c r="G34" s="49" t="e">
        <f t="shared" si="27"/>
        <v>#DIV/0!</v>
      </c>
      <c r="H34" s="49">
        <f t="shared" si="27"/>
        <v>0.15217391304347827</v>
      </c>
      <c r="I34" s="49">
        <f t="shared" si="27"/>
        <v>0.13485477178423236</v>
      </c>
      <c r="J34" s="49">
        <f t="shared" si="27"/>
        <v>0.10971223021582734</v>
      </c>
      <c r="K34" s="49">
        <f t="shared" si="27"/>
        <v>0.1037567084078712</v>
      </c>
      <c r="L34" s="49">
        <f t="shared" si="27"/>
        <v>0.11650485436893204</v>
      </c>
      <c r="M34" s="49">
        <f t="shared" si="27"/>
        <v>0.11560693641618497</v>
      </c>
    </row>
    <row r="35" spans="1:13" ht="34" x14ac:dyDescent="0.2">
      <c r="A35" s="52" t="s">
        <v>56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ht="17" x14ac:dyDescent="0.2">
      <c r="A36" s="44" t="s">
        <v>4</v>
      </c>
      <c r="B36" s="45"/>
      <c r="C36" s="45"/>
      <c r="D36" s="45"/>
      <c r="E36" s="45"/>
      <c r="F36" s="45"/>
      <c r="G36" s="45"/>
      <c r="H36" s="45">
        <f>Cost!F50</f>
        <v>4185</v>
      </c>
      <c r="I36" s="45">
        <f>Cost!G50</f>
        <v>4196</v>
      </c>
      <c r="J36" s="45">
        <f>Cost!H50</f>
        <v>4791</v>
      </c>
      <c r="K36" s="45">
        <f>Cost!I50</f>
        <v>5086</v>
      </c>
      <c r="L36" s="45">
        <f>Cost!J50</f>
        <v>5354</v>
      </c>
      <c r="M36" s="45">
        <f>Cost!K50</f>
        <v>5252</v>
      </c>
    </row>
    <row r="37" spans="1:13" ht="17" x14ac:dyDescent="0.2">
      <c r="A37" s="44" t="s">
        <v>63</v>
      </c>
      <c r="B37" s="45"/>
      <c r="C37" s="45"/>
      <c r="D37" s="45"/>
      <c r="E37" s="45"/>
      <c r="F37" s="45"/>
      <c r="G37" s="45"/>
      <c r="H37" s="45">
        <f>Cost!F56</f>
        <v>350</v>
      </c>
      <c r="I37" s="45">
        <f>Cost!G56</f>
        <v>346</v>
      </c>
      <c r="J37" s="45">
        <f>Cost!H56</f>
        <v>346</v>
      </c>
      <c r="K37" s="45">
        <f>Cost!I56</f>
        <v>377</v>
      </c>
      <c r="L37" s="45">
        <f>Cost!J56</f>
        <v>390</v>
      </c>
      <c r="M37" s="45">
        <f>Cost!K56</f>
        <v>383</v>
      </c>
    </row>
    <row r="38" spans="1:13" ht="17" x14ac:dyDescent="0.2">
      <c r="A38" s="44" t="s">
        <v>65</v>
      </c>
      <c r="B38" s="45"/>
      <c r="C38" s="45"/>
      <c r="D38" s="45"/>
      <c r="E38" s="45"/>
      <c r="F38" s="45"/>
      <c r="G38" s="45"/>
      <c r="H38" s="45">
        <f>Cost!F52</f>
        <v>708</v>
      </c>
      <c r="I38" s="45">
        <f>Cost!G52</f>
        <v>768</v>
      </c>
      <c r="J38" s="45">
        <f>Cost!H52</f>
        <v>764</v>
      </c>
      <c r="K38" s="45">
        <f>Cost!I52</f>
        <v>680</v>
      </c>
      <c r="L38" s="45">
        <f>Cost!J52</f>
        <v>737</v>
      </c>
      <c r="M38" s="45">
        <f>Cost!K52</f>
        <v>832</v>
      </c>
    </row>
    <row r="39" spans="1:13" ht="17" x14ac:dyDescent="0.2">
      <c r="A39" s="44" t="s">
        <v>66</v>
      </c>
      <c r="B39" s="45"/>
      <c r="C39" s="45"/>
      <c r="D39" s="45"/>
      <c r="E39" s="45"/>
      <c r="F39" s="45"/>
      <c r="G39" s="45"/>
      <c r="H39" s="45">
        <f>Cost!F53</f>
        <v>205</v>
      </c>
      <c r="I39" s="45">
        <f>Cost!G53</f>
        <v>239</v>
      </c>
      <c r="J39" s="45">
        <f>Cost!H53</f>
        <v>284</v>
      </c>
      <c r="K39" s="45">
        <f>Cost!I53</f>
        <v>305</v>
      </c>
      <c r="L39" s="45">
        <f>Cost!J53</f>
        <v>344</v>
      </c>
      <c r="M39" s="45">
        <f>Cost!K53</f>
        <v>393</v>
      </c>
    </row>
    <row r="40" spans="1:13" ht="17" x14ac:dyDescent="0.2">
      <c r="A40" s="46" t="s">
        <v>8</v>
      </c>
      <c r="B40" s="47">
        <f t="shared" ref="B40" si="28">SUM(B36:B39)</f>
        <v>0</v>
      </c>
      <c r="C40" s="47">
        <f t="shared" ref="C40" si="29">SUM(C36:C39)</f>
        <v>0</v>
      </c>
      <c r="D40" s="47">
        <f t="shared" ref="D40" si="30">SUM(D36:D39)</f>
        <v>0</v>
      </c>
      <c r="E40" s="47">
        <f t="shared" ref="E40" si="31">SUM(E36:E39)</f>
        <v>0</v>
      </c>
      <c r="F40" s="47">
        <f t="shared" ref="F40" si="32">SUM(F36:F39)</f>
        <v>0</v>
      </c>
      <c r="G40" s="47">
        <f t="shared" ref="G40" si="33">SUM(G36:G39)</f>
        <v>0</v>
      </c>
      <c r="H40" s="47">
        <f t="shared" ref="H40" si="34">SUM(H36:H39)</f>
        <v>5448</v>
      </c>
      <c r="I40" s="47">
        <f t="shared" ref="I40" si="35">SUM(I36:I39)</f>
        <v>5549</v>
      </c>
      <c r="J40" s="47">
        <f t="shared" ref="J40" si="36">SUM(J36:J39)</f>
        <v>6185</v>
      </c>
      <c r="K40" s="47">
        <f t="shared" ref="K40" si="37">SUM(K36:K39)</f>
        <v>6448</v>
      </c>
      <c r="L40" s="47">
        <f t="shared" ref="L40" si="38">SUM(L36:L39)</f>
        <v>6825</v>
      </c>
      <c r="M40" s="47">
        <f>SUM(M36:M39)</f>
        <v>6860</v>
      </c>
    </row>
    <row r="41" spans="1:13" ht="17" x14ac:dyDescent="0.2">
      <c r="A41" s="46" t="s">
        <v>59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</row>
    <row r="42" spans="1:13" ht="17" x14ac:dyDescent="0.2">
      <c r="A42" s="44" t="s">
        <v>4</v>
      </c>
      <c r="B42" s="49"/>
      <c r="C42" s="50" t="e">
        <f>C36/B36-1</f>
        <v>#DIV/0!</v>
      </c>
      <c r="D42" s="50" t="e">
        <f t="shared" ref="D42:M42" si="39">D36/C36-1</f>
        <v>#DIV/0!</v>
      </c>
      <c r="E42" s="50" t="e">
        <f t="shared" si="39"/>
        <v>#DIV/0!</v>
      </c>
      <c r="F42" s="50" t="e">
        <f t="shared" si="39"/>
        <v>#DIV/0!</v>
      </c>
      <c r="G42" s="50" t="e">
        <f t="shared" si="39"/>
        <v>#DIV/0!</v>
      </c>
      <c r="H42" s="50" t="e">
        <f t="shared" si="39"/>
        <v>#DIV/0!</v>
      </c>
      <c r="I42" s="50">
        <f t="shared" si="39"/>
        <v>2.6284348864993312E-3</v>
      </c>
      <c r="J42" s="50">
        <f t="shared" si="39"/>
        <v>0.14180171591992363</v>
      </c>
      <c r="K42" s="50">
        <f t="shared" si="39"/>
        <v>6.1573784178668323E-2</v>
      </c>
      <c r="L42" s="50">
        <f t="shared" si="39"/>
        <v>5.269366889500593E-2</v>
      </c>
      <c r="M42" s="50">
        <f t="shared" si="39"/>
        <v>-1.9051176690324967E-2</v>
      </c>
    </row>
    <row r="43" spans="1:13" ht="17" x14ac:dyDescent="0.2">
      <c r="A43" s="44" t="s">
        <v>63</v>
      </c>
      <c r="B43" s="49"/>
      <c r="C43" s="50" t="e">
        <f>C37/B37-1</f>
        <v>#DIV/0!</v>
      </c>
      <c r="D43" s="50" t="e">
        <f t="shared" ref="D43:M43" si="40">D37/C37-1</f>
        <v>#DIV/0!</v>
      </c>
      <c r="E43" s="50" t="e">
        <f t="shared" si="40"/>
        <v>#DIV/0!</v>
      </c>
      <c r="F43" s="50" t="e">
        <f t="shared" si="40"/>
        <v>#DIV/0!</v>
      </c>
      <c r="G43" s="50" t="e">
        <f t="shared" si="40"/>
        <v>#DIV/0!</v>
      </c>
      <c r="H43" s="50" t="e">
        <f t="shared" si="40"/>
        <v>#DIV/0!</v>
      </c>
      <c r="I43" s="50">
        <f t="shared" si="40"/>
        <v>-1.1428571428571455E-2</v>
      </c>
      <c r="J43" s="50">
        <f t="shared" si="40"/>
        <v>0</v>
      </c>
      <c r="K43" s="50">
        <f t="shared" si="40"/>
        <v>8.9595375722543391E-2</v>
      </c>
      <c r="L43" s="50">
        <f t="shared" si="40"/>
        <v>3.4482758620689724E-2</v>
      </c>
      <c r="M43" s="50">
        <f t="shared" si="40"/>
        <v>-1.7948717948717996E-2</v>
      </c>
    </row>
    <row r="44" spans="1:13" ht="17" x14ac:dyDescent="0.2">
      <c r="A44" s="44" t="s">
        <v>65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</row>
    <row r="45" spans="1:13" ht="17" x14ac:dyDescent="0.2">
      <c r="A45" s="44" t="s">
        <v>66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</row>
    <row r="46" spans="1:13" ht="51" x14ac:dyDescent="0.2">
      <c r="A46" s="46" t="s">
        <v>61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</row>
    <row r="47" spans="1:13" ht="17" x14ac:dyDescent="0.2">
      <c r="A47" s="44" t="s">
        <v>4</v>
      </c>
      <c r="B47" s="49" t="e">
        <f>B36/B57</f>
        <v>#DIV/0!</v>
      </c>
      <c r="C47" s="49" t="e">
        <f t="shared" ref="C47:M47" si="41">C36/C57</f>
        <v>#DIV/0!</v>
      </c>
      <c r="D47" s="49" t="e">
        <f t="shared" si="41"/>
        <v>#DIV/0!</v>
      </c>
      <c r="E47" s="49" t="e">
        <f t="shared" si="41"/>
        <v>#DIV/0!</v>
      </c>
      <c r="F47" s="49" t="e">
        <f t="shared" si="41"/>
        <v>#DIV/0!</v>
      </c>
      <c r="G47" s="49" t="e">
        <f t="shared" si="41"/>
        <v>#DIV/0!</v>
      </c>
      <c r="H47" s="49">
        <f t="shared" si="41"/>
        <v>0.2864476386036961</v>
      </c>
      <c r="I47" s="49">
        <f t="shared" si="41"/>
        <v>0.29175358086497011</v>
      </c>
      <c r="J47" s="49">
        <f t="shared" si="41"/>
        <v>0.33628132238365971</v>
      </c>
      <c r="K47" s="49">
        <f t="shared" si="41"/>
        <v>0.32337232960325535</v>
      </c>
      <c r="L47" s="49">
        <f t="shared" si="41"/>
        <v>0.34924983692106981</v>
      </c>
      <c r="M47" s="49">
        <f t="shared" si="41"/>
        <v>0.32453809553234875</v>
      </c>
    </row>
    <row r="48" spans="1:13" ht="17" x14ac:dyDescent="0.2">
      <c r="A48" s="44" t="s">
        <v>63</v>
      </c>
      <c r="B48" s="49" t="e">
        <f>B37/B58</f>
        <v>#DIV/0!</v>
      </c>
      <c r="C48" s="49" t="e">
        <f t="shared" ref="C48:M48" si="42">C37/C58</f>
        <v>#DIV/0!</v>
      </c>
      <c r="D48" s="49" t="e">
        <f t="shared" si="42"/>
        <v>#DIV/0!</v>
      </c>
      <c r="E48" s="49" t="e">
        <f t="shared" si="42"/>
        <v>#DIV/0!</v>
      </c>
      <c r="F48" s="49" t="e">
        <f t="shared" si="42"/>
        <v>#DIV/0!</v>
      </c>
      <c r="G48" s="49" t="e">
        <f t="shared" si="42"/>
        <v>#DIV/0!</v>
      </c>
      <c r="H48" s="49">
        <f t="shared" si="42"/>
        <v>0.20783847980997625</v>
      </c>
      <c r="I48" s="49">
        <f t="shared" si="42"/>
        <v>0.2404447533009034</v>
      </c>
      <c r="J48" s="49">
        <f t="shared" si="42"/>
        <v>0.25801640566741235</v>
      </c>
      <c r="K48" s="49">
        <f t="shared" si="42"/>
        <v>0.24043367346938777</v>
      </c>
      <c r="L48" s="49">
        <f t="shared" si="42"/>
        <v>0.24856596558317401</v>
      </c>
      <c r="M48" s="49">
        <f t="shared" si="42"/>
        <v>0.25197368421052629</v>
      </c>
    </row>
    <row r="49" spans="1:13" ht="17" x14ac:dyDescent="0.2">
      <c r="A49" s="44" t="s">
        <v>65</v>
      </c>
      <c r="B49" s="49" t="e">
        <f t="shared" ref="B49:M49" si="43">B38/B59</f>
        <v>#DIV/0!</v>
      </c>
      <c r="C49" s="49" t="e">
        <f t="shared" si="43"/>
        <v>#DIV/0!</v>
      </c>
      <c r="D49" s="49" t="e">
        <f t="shared" si="43"/>
        <v>#DIV/0!</v>
      </c>
      <c r="E49" s="49" t="e">
        <f t="shared" si="43"/>
        <v>#DIV/0!</v>
      </c>
      <c r="F49" s="49" t="e">
        <f t="shared" si="43"/>
        <v>#DIV/0!</v>
      </c>
      <c r="G49" s="49" t="e">
        <f t="shared" si="43"/>
        <v>#DIV/0!</v>
      </c>
      <c r="H49" s="49">
        <f t="shared" si="43"/>
        <v>0.91354838709677422</v>
      </c>
      <c r="I49" s="49">
        <f t="shared" si="43"/>
        <v>0.91537544696066742</v>
      </c>
      <c r="J49" s="49">
        <f t="shared" si="43"/>
        <v>0.92159227985524728</v>
      </c>
      <c r="K49" s="49">
        <f t="shared" si="43"/>
        <v>0.91152815013404831</v>
      </c>
      <c r="L49" s="49">
        <f t="shared" si="43"/>
        <v>0.90875462392108508</v>
      </c>
      <c r="M49" s="49">
        <f t="shared" si="43"/>
        <v>0.90238611713665939</v>
      </c>
    </row>
    <row r="50" spans="1:13" ht="17" x14ac:dyDescent="0.2">
      <c r="A50" s="44" t="s">
        <v>66</v>
      </c>
      <c r="B50" s="49" t="e">
        <f t="shared" ref="B50:M50" si="44">B39/B60</f>
        <v>#DIV/0!</v>
      </c>
      <c r="C50" s="49" t="e">
        <f t="shared" si="44"/>
        <v>#DIV/0!</v>
      </c>
      <c r="D50" s="49" t="e">
        <f t="shared" si="44"/>
        <v>#DIV/0!</v>
      </c>
      <c r="E50" s="49" t="e">
        <f t="shared" si="44"/>
        <v>#DIV/0!</v>
      </c>
      <c r="F50" s="49" t="e">
        <f t="shared" si="44"/>
        <v>#DIV/0!</v>
      </c>
      <c r="G50" s="49" t="e">
        <f t="shared" si="44"/>
        <v>#DIV/0!</v>
      </c>
      <c r="H50" s="49">
        <f t="shared" si="44"/>
        <v>0.7649253731343284</v>
      </c>
      <c r="I50" s="49">
        <f t="shared" si="44"/>
        <v>0.78618421052631582</v>
      </c>
      <c r="J50" s="49">
        <f t="shared" si="44"/>
        <v>0.8231884057971014</v>
      </c>
      <c r="K50" s="49">
        <f t="shared" si="44"/>
        <v>0.84022038567493118</v>
      </c>
      <c r="L50" s="49">
        <f t="shared" si="44"/>
        <v>0.82692307692307687</v>
      </c>
      <c r="M50" s="49">
        <f t="shared" si="44"/>
        <v>0.83086680761099363</v>
      </c>
    </row>
    <row r="51" spans="1:13" ht="17" x14ac:dyDescent="0.2">
      <c r="A51" s="46" t="s">
        <v>58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</row>
    <row r="52" spans="1:13" ht="17" x14ac:dyDescent="0.2">
      <c r="A52" s="44" t="s">
        <v>4</v>
      </c>
      <c r="B52" s="49" t="e">
        <f t="shared" ref="B52:M52" si="45">B36/B4</f>
        <v>#DIV/0!</v>
      </c>
      <c r="C52" s="49" t="e">
        <f t="shared" si="45"/>
        <v>#DIV/0!</v>
      </c>
      <c r="D52" s="49" t="e">
        <f t="shared" si="45"/>
        <v>#DIV/0!</v>
      </c>
      <c r="E52" s="49" t="e">
        <f t="shared" si="45"/>
        <v>#DIV/0!</v>
      </c>
      <c r="F52" s="49" t="e">
        <f t="shared" si="45"/>
        <v>#DIV/0!</v>
      </c>
      <c r="G52" s="49" t="e">
        <f t="shared" si="45"/>
        <v>#DIV/0!</v>
      </c>
      <c r="H52" s="49">
        <f t="shared" si="45"/>
        <v>0.54591703626402299</v>
      </c>
      <c r="I52" s="49">
        <f t="shared" si="45"/>
        <v>0.5349993624888435</v>
      </c>
      <c r="J52" s="49">
        <f t="shared" si="45"/>
        <v>0.6257836990595611</v>
      </c>
      <c r="K52" s="49">
        <f t="shared" si="45"/>
        <v>0.58385948800367349</v>
      </c>
      <c r="L52" s="49">
        <f t="shared" si="45"/>
        <v>0.56830485086508864</v>
      </c>
      <c r="M52" s="49">
        <f t="shared" si="45"/>
        <v>0.50577812018489987</v>
      </c>
    </row>
    <row r="53" spans="1:13" ht="17" x14ac:dyDescent="0.2">
      <c r="A53" s="44" t="s">
        <v>63</v>
      </c>
      <c r="B53" s="49" t="e">
        <f t="shared" ref="B53:M53" si="46">B37/B5</f>
        <v>#DIV/0!</v>
      </c>
      <c r="C53" s="49" t="e">
        <f t="shared" si="46"/>
        <v>#DIV/0!</v>
      </c>
      <c r="D53" s="49" t="e">
        <f t="shared" si="46"/>
        <v>#DIV/0!</v>
      </c>
      <c r="E53" s="49" t="e">
        <f t="shared" si="46"/>
        <v>#DIV/0!</v>
      </c>
      <c r="F53" s="49" t="e">
        <f t="shared" si="46"/>
        <v>#DIV/0!</v>
      </c>
      <c r="G53" s="49" t="e">
        <f t="shared" si="46"/>
        <v>#DIV/0!</v>
      </c>
      <c r="H53" s="49">
        <f t="shared" si="46"/>
        <v>0.132375189107413</v>
      </c>
      <c r="I53" s="49">
        <f t="shared" si="46"/>
        <v>0.13890004014452026</v>
      </c>
      <c r="J53" s="49">
        <f t="shared" si="46"/>
        <v>0.15228873239436619</v>
      </c>
      <c r="K53" s="49">
        <f t="shared" si="46"/>
        <v>0.13498030791263874</v>
      </c>
      <c r="L53" s="49">
        <f t="shared" si="46"/>
        <v>0.13761467889908258</v>
      </c>
      <c r="M53" s="49">
        <f t="shared" si="46"/>
        <v>0.1353356890459364</v>
      </c>
    </row>
    <row r="54" spans="1:13" ht="17" x14ac:dyDescent="0.2">
      <c r="A54" s="44" t="s">
        <v>65</v>
      </c>
      <c r="B54" s="49" t="e">
        <f t="shared" ref="B54:M54" si="47">B38/B6</f>
        <v>#DIV/0!</v>
      </c>
      <c r="C54" s="49" t="e">
        <f t="shared" si="47"/>
        <v>#DIV/0!</v>
      </c>
      <c r="D54" s="49" t="e">
        <f t="shared" si="47"/>
        <v>#DIV/0!</v>
      </c>
      <c r="E54" s="49" t="e">
        <f t="shared" si="47"/>
        <v>#DIV/0!</v>
      </c>
      <c r="F54" s="49" t="e">
        <f t="shared" si="47"/>
        <v>#DIV/0!</v>
      </c>
      <c r="G54" s="49" t="e">
        <f t="shared" si="47"/>
        <v>#DIV/0!</v>
      </c>
      <c r="H54" s="49">
        <f t="shared" si="47"/>
        <v>0.42883101150817687</v>
      </c>
      <c r="I54" s="49">
        <f t="shared" si="47"/>
        <v>0.43218908272369161</v>
      </c>
      <c r="J54" s="49">
        <f t="shared" si="47"/>
        <v>0.47690387016229713</v>
      </c>
      <c r="K54" s="49">
        <f t="shared" si="47"/>
        <v>0.58823529411764708</v>
      </c>
      <c r="L54" s="49">
        <f t="shared" si="47"/>
        <v>0.61622073578595316</v>
      </c>
      <c r="M54" s="49">
        <f t="shared" si="47"/>
        <v>0.64098613251155623</v>
      </c>
    </row>
    <row r="55" spans="1:13" ht="17" x14ac:dyDescent="0.2">
      <c r="A55" s="44" t="s">
        <v>66</v>
      </c>
      <c r="B55" s="49" t="e">
        <f t="shared" ref="B55:M55" si="48">B39/B7</f>
        <v>#DIV/0!</v>
      </c>
      <c r="C55" s="49" t="e">
        <f t="shared" si="48"/>
        <v>#DIV/0!</v>
      </c>
      <c r="D55" s="49" t="e">
        <f t="shared" si="48"/>
        <v>#DIV/0!</v>
      </c>
      <c r="E55" s="49" t="e">
        <f t="shared" si="48"/>
        <v>#DIV/0!</v>
      </c>
      <c r="F55" s="49" t="e">
        <f t="shared" si="48"/>
        <v>#DIV/0!</v>
      </c>
      <c r="G55" s="49" t="e">
        <f t="shared" si="48"/>
        <v>#DIV/0!</v>
      </c>
      <c r="H55" s="49">
        <f t="shared" si="48"/>
        <v>0.49516908212560384</v>
      </c>
      <c r="I55" s="49">
        <f t="shared" si="48"/>
        <v>0.49585062240663902</v>
      </c>
      <c r="J55" s="49">
        <f t="shared" si="48"/>
        <v>0.51079136690647486</v>
      </c>
      <c r="K55" s="49">
        <f t="shared" si="48"/>
        <v>0.54561717352415029</v>
      </c>
      <c r="L55" s="49">
        <f t="shared" si="48"/>
        <v>0.55663430420711979</v>
      </c>
      <c r="M55" s="49">
        <f t="shared" si="48"/>
        <v>0.56791907514450868</v>
      </c>
    </row>
    <row r="56" spans="1:13" ht="34" x14ac:dyDescent="0.2">
      <c r="A56" s="51" t="s">
        <v>57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</row>
    <row r="57" spans="1:13" ht="17" x14ac:dyDescent="0.2">
      <c r="A57" s="44" t="s">
        <v>4</v>
      </c>
      <c r="B57" s="45"/>
      <c r="C57" s="45"/>
      <c r="D57" s="45"/>
      <c r="E57" s="45"/>
      <c r="F57" s="45"/>
      <c r="G57" s="45"/>
      <c r="H57" s="45">
        <f>Cost!F85</f>
        <v>14610</v>
      </c>
      <c r="I57" s="45">
        <f>Cost!G85</f>
        <v>14382</v>
      </c>
      <c r="J57" s="45">
        <f>Cost!H85</f>
        <v>14247</v>
      </c>
      <c r="K57" s="45">
        <f>Cost!I85</f>
        <v>15728</v>
      </c>
      <c r="L57" s="45">
        <f>Cost!J85</f>
        <v>15330</v>
      </c>
      <c r="M57" s="45">
        <f>Cost!K85</f>
        <v>16183</v>
      </c>
    </row>
    <row r="58" spans="1:13" ht="17" x14ac:dyDescent="0.2">
      <c r="A58" s="44" t="s">
        <v>63</v>
      </c>
      <c r="B58" s="45"/>
      <c r="C58" s="45"/>
      <c r="D58" s="45"/>
      <c r="E58" s="45"/>
      <c r="F58" s="45"/>
      <c r="G58" s="45"/>
      <c r="H58" s="45">
        <f>Cost!F91</f>
        <v>1684</v>
      </c>
      <c r="I58" s="45">
        <f>Cost!G91</f>
        <v>1439</v>
      </c>
      <c r="J58" s="45">
        <f>Cost!H91</f>
        <v>1341</v>
      </c>
      <c r="K58" s="45">
        <f>Cost!I91</f>
        <v>1568</v>
      </c>
      <c r="L58" s="45">
        <f>Cost!J91</f>
        <v>1569</v>
      </c>
      <c r="M58" s="45">
        <f>Cost!K91</f>
        <v>1520</v>
      </c>
    </row>
    <row r="59" spans="1:13" ht="17" x14ac:dyDescent="0.2">
      <c r="A59" s="44" t="s">
        <v>65</v>
      </c>
      <c r="B59" s="45"/>
      <c r="C59" s="45"/>
      <c r="D59" s="45"/>
      <c r="E59" s="45"/>
      <c r="F59" s="45"/>
      <c r="G59" s="45"/>
      <c r="H59" s="45">
        <f>Cost!F87</f>
        <v>775</v>
      </c>
      <c r="I59" s="45">
        <f>Cost!G87</f>
        <v>839</v>
      </c>
      <c r="J59" s="45">
        <f>Cost!H87</f>
        <v>829</v>
      </c>
      <c r="K59" s="45">
        <f>Cost!I87</f>
        <v>746</v>
      </c>
      <c r="L59" s="45">
        <f>Cost!J87</f>
        <v>811</v>
      </c>
      <c r="M59" s="45">
        <f>Cost!K87</f>
        <v>922</v>
      </c>
    </row>
    <row r="60" spans="1:13" ht="17" x14ac:dyDescent="0.2">
      <c r="A60" s="44" t="s">
        <v>66</v>
      </c>
      <c r="B60" s="45"/>
      <c r="C60" s="45"/>
      <c r="D60" s="45"/>
      <c r="E60" s="45"/>
      <c r="F60" s="45"/>
      <c r="G60" s="45"/>
      <c r="H60" s="45">
        <f>Cost!F88</f>
        <v>268</v>
      </c>
      <c r="I60" s="45">
        <f>Cost!G88</f>
        <v>304</v>
      </c>
      <c r="J60" s="45">
        <f>Cost!H88</f>
        <v>345</v>
      </c>
      <c r="K60" s="45">
        <f>Cost!I88</f>
        <v>363</v>
      </c>
      <c r="L60" s="45">
        <f>Cost!J88</f>
        <v>416</v>
      </c>
      <c r="M60" s="45">
        <f>Cost!K88</f>
        <v>473</v>
      </c>
    </row>
    <row r="61" spans="1:13" ht="17" x14ac:dyDescent="0.2">
      <c r="A61" s="46" t="s">
        <v>8</v>
      </c>
      <c r="B61" s="47">
        <f>SUM(B57:B60)</f>
        <v>0</v>
      </c>
      <c r="C61" s="47">
        <f t="shared" ref="C61" si="49">SUM(C57:C60)</f>
        <v>0</v>
      </c>
      <c r="D61" s="47">
        <f t="shared" ref="D61" si="50">SUM(D57:D60)</f>
        <v>0</v>
      </c>
      <c r="E61" s="47">
        <f t="shared" ref="E61" si="51">SUM(E57:E60)</f>
        <v>0</v>
      </c>
      <c r="F61" s="47">
        <f t="shared" ref="F61" si="52">SUM(F57:F60)</f>
        <v>0</v>
      </c>
      <c r="G61" s="47">
        <f t="shared" ref="G61" si="53">SUM(G57:G60)</f>
        <v>0</v>
      </c>
      <c r="H61" s="47">
        <f t="shared" ref="H61" si="54">SUM(H57:H60)</f>
        <v>17337</v>
      </c>
      <c r="I61" s="47">
        <f t="shared" ref="I61" si="55">SUM(I57:I60)</f>
        <v>16964</v>
      </c>
      <c r="J61" s="47">
        <f t="shared" ref="J61" si="56">SUM(J57:J60)</f>
        <v>16762</v>
      </c>
      <c r="K61" s="47">
        <f t="shared" ref="K61" si="57">SUM(K57:K60)</f>
        <v>18405</v>
      </c>
      <c r="L61" s="47">
        <f t="shared" ref="L61" si="58">SUM(L57:L60)</f>
        <v>18126</v>
      </c>
      <c r="M61" s="47">
        <f>SUM(M57:M60)</f>
        <v>19098</v>
      </c>
    </row>
    <row r="62" spans="1:13" ht="17" x14ac:dyDescent="0.2">
      <c r="A62" s="46" t="s">
        <v>59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</row>
    <row r="63" spans="1:13" ht="17" x14ac:dyDescent="0.2">
      <c r="A63" s="44" t="s">
        <v>4</v>
      </c>
      <c r="B63" s="49"/>
      <c r="C63" s="50" t="e">
        <f>C57/B57-1</f>
        <v>#DIV/0!</v>
      </c>
      <c r="D63" s="50" t="e">
        <f t="shared" ref="D63:M63" si="59">D57/C57-1</f>
        <v>#DIV/0!</v>
      </c>
      <c r="E63" s="50" t="e">
        <f t="shared" si="59"/>
        <v>#DIV/0!</v>
      </c>
      <c r="F63" s="50" t="e">
        <f t="shared" si="59"/>
        <v>#DIV/0!</v>
      </c>
      <c r="G63" s="50" t="e">
        <f t="shared" si="59"/>
        <v>#DIV/0!</v>
      </c>
      <c r="H63" s="50" t="e">
        <f t="shared" si="59"/>
        <v>#DIV/0!</v>
      </c>
      <c r="I63" s="50">
        <f t="shared" si="59"/>
        <v>-1.5605749486652942E-2</v>
      </c>
      <c r="J63" s="50">
        <f t="shared" si="59"/>
        <v>-9.386733416770987E-3</v>
      </c>
      <c r="K63" s="50">
        <f t="shared" si="59"/>
        <v>0.10395170913174701</v>
      </c>
      <c r="L63" s="50">
        <f t="shared" si="59"/>
        <v>-2.530518819938965E-2</v>
      </c>
      <c r="M63" s="50">
        <f t="shared" si="59"/>
        <v>5.564253098499683E-2</v>
      </c>
    </row>
    <row r="64" spans="1:13" ht="17" x14ac:dyDescent="0.2">
      <c r="A64" s="44" t="s">
        <v>63</v>
      </c>
      <c r="B64" s="49"/>
      <c r="C64" s="50" t="e">
        <f>C58/B58-1</f>
        <v>#DIV/0!</v>
      </c>
      <c r="D64" s="50" t="e">
        <f t="shared" ref="D64:M64" si="60">D58/C58-1</f>
        <v>#DIV/0!</v>
      </c>
      <c r="E64" s="50" t="e">
        <f t="shared" si="60"/>
        <v>#DIV/0!</v>
      </c>
      <c r="F64" s="50" t="e">
        <f t="shared" si="60"/>
        <v>#DIV/0!</v>
      </c>
      <c r="G64" s="50" t="e">
        <f t="shared" si="60"/>
        <v>#DIV/0!</v>
      </c>
      <c r="H64" s="50" t="e">
        <f t="shared" si="60"/>
        <v>#DIV/0!</v>
      </c>
      <c r="I64" s="50">
        <f t="shared" si="60"/>
        <v>-0.14548693586698336</v>
      </c>
      <c r="J64" s="50">
        <f t="shared" si="60"/>
        <v>-6.810284920083387E-2</v>
      </c>
      <c r="K64" s="50">
        <f t="shared" si="60"/>
        <v>0.16927665920954515</v>
      </c>
      <c r="L64" s="50">
        <f t="shared" si="60"/>
        <v>6.3775510204089336E-4</v>
      </c>
      <c r="M64" s="50">
        <f t="shared" si="60"/>
        <v>-3.1230082855321806E-2</v>
      </c>
    </row>
    <row r="65" spans="1:13" ht="17" x14ac:dyDescent="0.2">
      <c r="A65" s="44" t="s">
        <v>65</v>
      </c>
      <c r="B65" s="45"/>
      <c r="C65" s="50" t="e">
        <f t="shared" ref="C65:M65" si="61">C59/B59-1</f>
        <v>#DIV/0!</v>
      </c>
      <c r="D65" s="50" t="e">
        <f t="shared" si="61"/>
        <v>#DIV/0!</v>
      </c>
      <c r="E65" s="50" t="e">
        <f t="shared" si="61"/>
        <v>#DIV/0!</v>
      </c>
      <c r="F65" s="50" t="e">
        <f t="shared" si="61"/>
        <v>#DIV/0!</v>
      </c>
      <c r="G65" s="50" t="e">
        <f t="shared" si="61"/>
        <v>#DIV/0!</v>
      </c>
      <c r="H65" s="50" t="e">
        <f t="shared" si="61"/>
        <v>#DIV/0!</v>
      </c>
      <c r="I65" s="50">
        <f t="shared" si="61"/>
        <v>8.2580645161290267E-2</v>
      </c>
      <c r="J65" s="50">
        <f t="shared" si="61"/>
        <v>-1.1918951132300348E-2</v>
      </c>
      <c r="K65" s="50">
        <f t="shared" si="61"/>
        <v>-0.10012062726176119</v>
      </c>
      <c r="L65" s="50">
        <f t="shared" si="61"/>
        <v>8.7131367292225148E-2</v>
      </c>
      <c r="M65" s="50">
        <f t="shared" si="61"/>
        <v>0.13686806411837238</v>
      </c>
    </row>
    <row r="66" spans="1:13" ht="17" x14ac:dyDescent="0.2">
      <c r="A66" s="44" t="s">
        <v>66</v>
      </c>
      <c r="B66" s="45"/>
      <c r="C66" s="50" t="e">
        <f t="shared" ref="C66:M66" si="62">C60/B60-1</f>
        <v>#DIV/0!</v>
      </c>
      <c r="D66" s="50" t="e">
        <f t="shared" si="62"/>
        <v>#DIV/0!</v>
      </c>
      <c r="E66" s="50" t="e">
        <f t="shared" si="62"/>
        <v>#DIV/0!</v>
      </c>
      <c r="F66" s="50" t="e">
        <f t="shared" si="62"/>
        <v>#DIV/0!</v>
      </c>
      <c r="G66" s="50" t="e">
        <f t="shared" si="62"/>
        <v>#DIV/0!</v>
      </c>
      <c r="H66" s="50" t="e">
        <f t="shared" si="62"/>
        <v>#DIV/0!</v>
      </c>
      <c r="I66" s="50">
        <f t="shared" si="62"/>
        <v>0.13432835820895517</v>
      </c>
      <c r="J66" s="50">
        <f t="shared" si="62"/>
        <v>0.13486842105263164</v>
      </c>
      <c r="K66" s="50">
        <f t="shared" si="62"/>
        <v>5.2173913043478182E-2</v>
      </c>
      <c r="L66" s="50">
        <f t="shared" si="62"/>
        <v>0.14600550964187331</v>
      </c>
      <c r="M66" s="50">
        <f t="shared" si="62"/>
        <v>0.13701923076923084</v>
      </c>
    </row>
    <row r="67" spans="1:13" ht="17" x14ac:dyDescent="0.2">
      <c r="A67" s="46" t="s">
        <v>58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 ht="17" x14ac:dyDescent="0.2">
      <c r="A68" s="44" t="s">
        <v>4</v>
      </c>
      <c r="B68" s="49" t="e">
        <f t="shared" ref="B68:M68" si="63">B57/B4</f>
        <v>#DIV/0!</v>
      </c>
      <c r="C68" s="49" t="e">
        <f t="shared" si="63"/>
        <v>#DIV/0!</v>
      </c>
      <c r="D68" s="49" t="e">
        <f t="shared" si="63"/>
        <v>#DIV/0!</v>
      </c>
      <c r="E68" s="49" t="e">
        <f t="shared" si="63"/>
        <v>#DIV/0!</v>
      </c>
      <c r="F68" s="49" t="e">
        <f t="shared" si="63"/>
        <v>#DIV/0!</v>
      </c>
      <c r="G68" s="49" t="e">
        <f t="shared" si="63"/>
        <v>#DIV/0!</v>
      </c>
      <c r="H68" s="49">
        <f t="shared" si="63"/>
        <v>1.905817897208453</v>
      </c>
      <c r="I68" s="49">
        <f t="shared" si="63"/>
        <v>1.8337370903990819</v>
      </c>
      <c r="J68" s="49">
        <f t="shared" si="63"/>
        <v>1.8608934169278997</v>
      </c>
      <c r="K68" s="49">
        <f t="shared" si="63"/>
        <v>1.8055332338422685</v>
      </c>
      <c r="L68" s="49">
        <f t="shared" si="63"/>
        <v>1.6272157945016452</v>
      </c>
      <c r="M68" s="49">
        <f t="shared" si="63"/>
        <v>1.5584553158705701</v>
      </c>
    </row>
    <row r="69" spans="1:13" ht="17" x14ac:dyDescent="0.2">
      <c r="A69" s="44" t="s">
        <v>63</v>
      </c>
      <c r="B69" s="49" t="e">
        <f t="shared" ref="B69:M69" si="64">B58/B5</f>
        <v>#DIV/0!</v>
      </c>
      <c r="C69" s="49" t="e">
        <f t="shared" si="64"/>
        <v>#DIV/0!</v>
      </c>
      <c r="D69" s="49" t="e">
        <f t="shared" si="64"/>
        <v>#DIV/0!</v>
      </c>
      <c r="E69" s="49" t="e">
        <f t="shared" si="64"/>
        <v>#DIV/0!</v>
      </c>
      <c r="F69" s="49" t="e">
        <f t="shared" si="64"/>
        <v>#DIV/0!</v>
      </c>
      <c r="G69" s="49" t="e">
        <f t="shared" si="64"/>
        <v>#DIV/0!</v>
      </c>
      <c r="H69" s="49">
        <f t="shared" si="64"/>
        <v>0.63691376701966718</v>
      </c>
      <c r="I69" s="49">
        <f t="shared" si="64"/>
        <v>0.57767964672822159</v>
      </c>
      <c r="J69" s="49">
        <f t="shared" si="64"/>
        <v>0.59022887323943662</v>
      </c>
      <c r="K69" s="49">
        <f t="shared" si="64"/>
        <v>0.56140350877192979</v>
      </c>
      <c r="L69" s="49">
        <f t="shared" si="64"/>
        <v>0.55363443895553988</v>
      </c>
      <c r="M69" s="49">
        <f t="shared" si="64"/>
        <v>0.53710247349823326</v>
      </c>
    </row>
    <row r="70" spans="1:13" ht="17" x14ac:dyDescent="0.2">
      <c r="A70" s="44" t="s">
        <v>65</v>
      </c>
      <c r="B70" s="49" t="e">
        <f t="shared" ref="B70:M70" si="65">B59/B6</f>
        <v>#DIV/0!</v>
      </c>
      <c r="C70" s="49" t="e">
        <f t="shared" si="65"/>
        <v>#DIV/0!</v>
      </c>
      <c r="D70" s="49" t="e">
        <f t="shared" si="65"/>
        <v>#DIV/0!</v>
      </c>
      <c r="E70" s="49" t="e">
        <f t="shared" si="65"/>
        <v>#DIV/0!</v>
      </c>
      <c r="F70" s="49" t="e">
        <f t="shared" si="65"/>
        <v>#DIV/0!</v>
      </c>
      <c r="G70" s="49" t="e">
        <f t="shared" si="65"/>
        <v>#DIV/0!</v>
      </c>
      <c r="H70" s="49">
        <f t="shared" si="65"/>
        <v>0.46941247728649305</v>
      </c>
      <c r="I70" s="49">
        <f t="shared" si="65"/>
        <v>0.47214406302757456</v>
      </c>
      <c r="J70" s="49">
        <f t="shared" si="65"/>
        <v>0.51747815230961303</v>
      </c>
      <c r="K70" s="49">
        <f t="shared" si="65"/>
        <v>0.6453287197231834</v>
      </c>
      <c r="L70" s="49">
        <f t="shared" si="65"/>
        <v>0.67809364548494988</v>
      </c>
      <c r="M70" s="49">
        <f t="shared" si="65"/>
        <v>0.71032357473035435</v>
      </c>
    </row>
    <row r="71" spans="1:13" ht="17" x14ac:dyDescent="0.2">
      <c r="A71" s="44" t="s">
        <v>66</v>
      </c>
      <c r="B71" s="49" t="e">
        <f t="shared" ref="B71:M71" si="66">B60/B7</f>
        <v>#DIV/0!</v>
      </c>
      <c r="C71" s="49" t="e">
        <f t="shared" si="66"/>
        <v>#DIV/0!</v>
      </c>
      <c r="D71" s="49" t="e">
        <f t="shared" si="66"/>
        <v>#DIV/0!</v>
      </c>
      <c r="E71" s="49" t="e">
        <f t="shared" si="66"/>
        <v>#DIV/0!</v>
      </c>
      <c r="F71" s="49" t="e">
        <f t="shared" si="66"/>
        <v>#DIV/0!</v>
      </c>
      <c r="G71" s="49" t="e">
        <f t="shared" si="66"/>
        <v>#DIV/0!</v>
      </c>
      <c r="H71" s="49">
        <f t="shared" si="66"/>
        <v>0.64734299516908211</v>
      </c>
      <c r="I71" s="49">
        <f t="shared" si="66"/>
        <v>0.63070539419087135</v>
      </c>
      <c r="J71" s="49">
        <f t="shared" si="66"/>
        <v>0.62050359712230219</v>
      </c>
      <c r="K71" s="49">
        <f t="shared" si="66"/>
        <v>0.6493738819320215</v>
      </c>
      <c r="L71" s="49">
        <f t="shared" si="66"/>
        <v>0.67313915857605178</v>
      </c>
      <c r="M71" s="49">
        <f t="shared" si="66"/>
        <v>0.68352601156069359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EFEF-B8C4-FF48-94B3-5E512A966CA8}">
  <dimension ref="A1:AD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B1048576"/>
    </sheetView>
  </sheetViews>
  <sheetFormatPr baseColWidth="10" defaultRowHeight="16" x14ac:dyDescent="0.2"/>
  <cols>
    <col min="1" max="1" width="33.5" style="1" bestFit="1" customWidth="1"/>
    <col min="2" max="7" width="8.83203125" bestFit="1" customWidth="1"/>
    <col min="9" max="10" width="6" bestFit="1" customWidth="1"/>
    <col min="11" max="11" width="6.1640625" bestFit="1" customWidth="1"/>
    <col min="12" max="14" width="6" bestFit="1" customWidth="1"/>
    <col min="15" max="15" width="10.33203125" bestFit="1" customWidth="1"/>
    <col min="17" max="22" width="6.1640625" bestFit="1" customWidth="1"/>
    <col min="24" max="29" width="6" bestFit="1" customWidth="1"/>
    <col min="30" max="30" width="10.33203125" bestFit="1" customWidth="1"/>
  </cols>
  <sheetData>
    <row r="1" spans="1:30" ht="17" x14ac:dyDescent="0.2">
      <c r="A1" s="2" t="s">
        <v>37</v>
      </c>
      <c r="B1" s="3">
        <v>2018</v>
      </c>
      <c r="C1" s="3">
        <f>B1+1</f>
        <v>2019</v>
      </c>
      <c r="D1" s="3">
        <f t="shared" ref="D1:G1" si="0">C1+1</f>
        <v>2020</v>
      </c>
      <c r="E1" s="3">
        <f t="shared" si="0"/>
        <v>2021</v>
      </c>
      <c r="F1" s="3">
        <f t="shared" si="0"/>
        <v>2022</v>
      </c>
      <c r="G1" s="3">
        <f t="shared" si="0"/>
        <v>2023</v>
      </c>
      <c r="H1" s="4"/>
      <c r="I1" s="3">
        <v>2018</v>
      </c>
      <c r="J1" s="3">
        <f>I1+1</f>
        <v>2019</v>
      </c>
      <c r="K1" s="3">
        <f t="shared" ref="K1:N1" si="1">J1+1</f>
        <v>2020</v>
      </c>
      <c r="L1" s="3">
        <f t="shared" si="1"/>
        <v>2021</v>
      </c>
      <c r="M1" s="3">
        <f t="shared" si="1"/>
        <v>2022</v>
      </c>
      <c r="N1" s="3">
        <f t="shared" si="1"/>
        <v>2023</v>
      </c>
      <c r="O1" s="3" t="s">
        <v>43</v>
      </c>
      <c r="P1" s="4"/>
      <c r="Q1" s="3">
        <v>2018</v>
      </c>
      <c r="R1" s="3">
        <f>Q1+1</f>
        <v>2019</v>
      </c>
      <c r="S1" s="3">
        <f t="shared" ref="S1:V1" si="2">R1+1</f>
        <v>2020</v>
      </c>
      <c r="T1" s="3">
        <f t="shared" si="2"/>
        <v>2021</v>
      </c>
      <c r="U1" s="3">
        <f t="shared" si="2"/>
        <v>2022</v>
      </c>
      <c r="V1" s="3">
        <f t="shared" si="2"/>
        <v>2023</v>
      </c>
      <c r="W1" s="4"/>
      <c r="X1" s="3">
        <v>2018</v>
      </c>
      <c r="Y1" s="3">
        <f>X1+1</f>
        <v>2019</v>
      </c>
      <c r="Z1" s="3">
        <f t="shared" ref="Z1:AC1" si="3">Y1+1</f>
        <v>2020</v>
      </c>
      <c r="AA1" s="3">
        <f t="shared" si="3"/>
        <v>2021</v>
      </c>
      <c r="AB1" s="3">
        <f t="shared" si="3"/>
        <v>2022</v>
      </c>
      <c r="AC1" s="3">
        <f t="shared" si="3"/>
        <v>2023</v>
      </c>
      <c r="AD1" s="3" t="s">
        <v>43</v>
      </c>
    </row>
    <row r="2" spans="1:30" x14ac:dyDescent="0.2">
      <c r="A2" s="29"/>
      <c r="B2" s="4"/>
      <c r="C2" s="4"/>
      <c r="D2" s="4"/>
      <c r="E2" s="4"/>
      <c r="F2" s="4"/>
      <c r="G2" s="4"/>
      <c r="H2" s="4"/>
      <c r="I2" s="83" t="s">
        <v>26</v>
      </c>
      <c r="J2" s="83"/>
      <c r="K2" s="83"/>
      <c r="L2" s="83"/>
      <c r="M2" s="83"/>
      <c r="N2" s="83"/>
      <c r="O2" s="11"/>
      <c r="P2" s="3"/>
      <c r="Q2" s="83" t="s">
        <v>27</v>
      </c>
      <c r="R2" s="83"/>
      <c r="S2" s="83"/>
      <c r="T2" s="83"/>
      <c r="U2" s="83"/>
      <c r="V2" s="83"/>
      <c r="W2" s="4"/>
      <c r="X2" s="83" t="s">
        <v>42</v>
      </c>
      <c r="Y2" s="83"/>
      <c r="Z2" s="83"/>
      <c r="AA2" s="83"/>
      <c r="AB2" s="83"/>
      <c r="AC2" s="83"/>
      <c r="AD2" s="4"/>
    </row>
    <row r="3" spans="1:30" ht="17" x14ac:dyDescent="0.2">
      <c r="A3" s="2" t="s">
        <v>41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7" x14ac:dyDescent="0.2">
      <c r="A4" s="35" t="s">
        <v>39</v>
      </c>
      <c r="B4" s="24">
        <f>Profitability!F34</f>
        <v>3432.7999999999997</v>
      </c>
      <c r="C4" s="24">
        <f>Profitability!G34</f>
        <v>3618.8</v>
      </c>
      <c r="D4" s="24">
        <f>Profitability!H34</f>
        <v>4117.5</v>
      </c>
      <c r="E4" s="24">
        <f>Profitability!I34</f>
        <v>4357.3999999999996</v>
      </c>
      <c r="F4" s="24">
        <f>Profitability!J34</f>
        <v>4537.0999999999995</v>
      </c>
      <c r="G4" s="24">
        <f>Profitability!K34</f>
        <v>4479.4000000000005</v>
      </c>
      <c r="H4" s="4"/>
      <c r="I4" s="4"/>
      <c r="J4" s="8">
        <f>C4/B4-1</f>
        <v>5.4183174085294938E-2</v>
      </c>
      <c r="K4" s="8">
        <f t="shared" ref="K4:N7" si="4">D4/C4-1</f>
        <v>0.13780811318669173</v>
      </c>
      <c r="L4" s="8">
        <f t="shared" si="4"/>
        <v>5.8263509411050407E-2</v>
      </c>
      <c r="M4" s="8">
        <f t="shared" si="4"/>
        <v>4.1240189103593838E-2</v>
      </c>
      <c r="N4" s="8">
        <f t="shared" si="4"/>
        <v>-1.2717374534394033E-2</v>
      </c>
      <c r="O4" s="28">
        <f>AVERAGE(L4:N4)</f>
        <v>2.8928774660083405E-2</v>
      </c>
      <c r="P4" s="4"/>
      <c r="Q4" s="26">
        <f>B4/B$7</f>
        <v>0.56426456986250573</v>
      </c>
      <c r="R4" s="26">
        <f t="shared" ref="R4:V4" si="5">C4/C$7</f>
        <v>0.57761728242145949</v>
      </c>
      <c r="S4" s="26">
        <f t="shared" si="5"/>
        <v>0.59392153225552857</v>
      </c>
      <c r="T4" s="26">
        <f t="shared" si="5"/>
        <v>0.58458608007892865</v>
      </c>
      <c r="U4" s="26">
        <f t="shared" si="5"/>
        <v>0.59361238998885668</v>
      </c>
      <c r="V4" s="26">
        <f t="shared" si="5"/>
        <v>0.5867610290809161</v>
      </c>
      <c r="W4" s="4"/>
      <c r="X4" s="4"/>
      <c r="Y4" s="8">
        <f>R4/Q4-1</f>
        <v>2.3663921628479079E-2</v>
      </c>
      <c r="Z4" s="8">
        <f t="shared" ref="Z4:AC6" si="6">S4/R4-1</f>
        <v>2.8226734777947016E-2</v>
      </c>
      <c r="AA4" s="8">
        <f t="shared" si="6"/>
        <v>-1.5718325855516246E-2</v>
      </c>
      <c r="AB4" s="8">
        <f t="shared" si="6"/>
        <v>1.5440514609429856E-2</v>
      </c>
      <c r="AC4" s="8">
        <f t="shared" si="6"/>
        <v>-1.1541809139241854E-2</v>
      </c>
      <c r="AD4" s="28">
        <f>AVERAGE(AA4:AC4)</f>
        <v>-3.9398734617760818E-3</v>
      </c>
    </row>
    <row r="5" spans="1:30" ht="17" x14ac:dyDescent="0.2">
      <c r="A5" s="35" t="s">
        <v>40</v>
      </c>
      <c r="B5" s="24">
        <f>Profitability!F31</f>
        <v>988</v>
      </c>
      <c r="C5" s="24">
        <f>Profitability!G31</f>
        <v>1027</v>
      </c>
      <c r="D5" s="24">
        <f>Profitability!H31</f>
        <v>1002</v>
      </c>
      <c r="E5" s="24">
        <f>Profitability!I31</f>
        <v>1028</v>
      </c>
      <c r="F5" s="24">
        <f>Profitability!J31</f>
        <v>1004</v>
      </c>
      <c r="G5" s="24">
        <f>Profitability!K31</f>
        <v>1019</v>
      </c>
      <c r="H5" s="4"/>
      <c r="I5" s="4"/>
      <c r="J5" s="8">
        <f t="shared" ref="J5:J7" si="7">C5/B5-1</f>
        <v>3.9473684210526327E-2</v>
      </c>
      <c r="K5" s="8">
        <f t="shared" si="4"/>
        <v>-2.4342745861733239E-2</v>
      </c>
      <c r="L5" s="8">
        <f t="shared" si="4"/>
        <v>2.5948103792415189E-2</v>
      </c>
      <c r="M5" s="8">
        <f t="shared" si="4"/>
        <v>-2.3346303501945553E-2</v>
      </c>
      <c r="N5" s="8">
        <f t="shared" si="4"/>
        <v>1.4940239043824688E-2</v>
      </c>
      <c r="O5" s="28">
        <f t="shared" ref="O5:O7" si="8">AVERAGE(L5:N5)</f>
        <v>5.8473464447647743E-3</v>
      </c>
      <c r="P5" s="4"/>
      <c r="Q5" s="26">
        <f t="shared" ref="Q5:Q6" si="9">B5/B$7</f>
        <v>0.16240194448384868</v>
      </c>
      <c r="R5" s="26">
        <f t="shared" ref="R5:V6" si="10">C5/C$7</f>
        <v>0.16392532028485654</v>
      </c>
      <c r="S5" s="26">
        <f t="shared" si="10"/>
        <v>0.14453172442502482</v>
      </c>
      <c r="T5" s="26">
        <f t="shared" si="10"/>
        <v>0.13791584208958063</v>
      </c>
      <c r="U5" s="26">
        <f t="shared" si="10"/>
        <v>0.131358541700384</v>
      </c>
      <c r="V5" s="26">
        <f t="shared" si="10"/>
        <v>0.13347981618820678</v>
      </c>
      <c r="W5" s="4"/>
      <c r="X5" s="4"/>
      <c r="Y5" s="8">
        <f t="shared" ref="Y5:Y6" si="11">R5/Q5-1</f>
        <v>9.3802805492846364E-3</v>
      </c>
      <c r="Z5" s="8">
        <f t="shared" si="6"/>
        <v>-0.1183075062847585</v>
      </c>
      <c r="AA5" s="8">
        <f t="shared" si="6"/>
        <v>-4.5774603200532282E-2</v>
      </c>
      <c r="AB5" s="8">
        <f t="shared" si="6"/>
        <v>-4.7545664731811321E-2</v>
      </c>
      <c r="AC5" s="8">
        <f t="shared" si="6"/>
        <v>1.6148736582819234E-2</v>
      </c>
      <c r="AD5" s="28">
        <f t="shared" ref="AD5:AD6" si="12">AVERAGE(AA5:AC5)</f>
        <v>-2.5723843783174789E-2</v>
      </c>
    </row>
    <row r="6" spans="1:30" ht="17" x14ac:dyDescent="0.2">
      <c r="A6" s="35" t="s">
        <v>38</v>
      </c>
      <c r="B6" s="24">
        <f>Profitability!F36</f>
        <v>1662.8710000000001</v>
      </c>
      <c r="C6" s="24">
        <f>Profitability!G36</f>
        <v>1619.248</v>
      </c>
      <c r="D6" s="24">
        <f>Profitability!H36</f>
        <v>1813.2339999999999</v>
      </c>
      <c r="E6" s="24">
        <f>Profitability!I36</f>
        <v>2068.4209999999998</v>
      </c>
      <c r="F6" s="24">
        <f>Profitability!J36</f>
        <v>2102.1030000000001</v>
      </c>
      <c r="G6" s="24">
        <f>Profitability!K36</f>
        <v>2135.7130000000002</v>
      </c>
      <c r="H6" s="4"/>
      <c r="I6" s="4"/>
      <c r="J6" s="8">
        <f t="shared" si="7"/>
        <v>-2.6233544273729037E-2</v>
      </c>
      <c r="K6" s="8">
        <f t="shared" si="4"/>
        <v>0.11980005533432792</v>
      </c>
      <c r="L6" s="8">
        <f t="shared" si="4"/>
        <v>0.14073583442622395</v>
      </c>
      <c r="M6" s="8">
        <f t="shared" si="4"/>
        <v>1.6283918989412838E-2</v>
      </c>
      <c r="N6" s="8">
        <f t="shared" si="4"/>
        <v>1.5988750313376654E-2</v>
      </c>
      <c r="O6" s="28">
        <f t="shared" si="8"/>
        <v>5.7669501243004483E-2</v>
      </c>
      <c r="P6" s="4"/>
      <c r="Q6" s="26">
        <f t="shared" si="9"/>
        <v>0.27333348565364568</v>
      </c>
      <c r="R6" s="26">
        <f t="shared" si="10"/>
        <v>0.25845739729368394</v>
      </c>
      <c r="S6" s="26">
        <f t="shared" si="10"/>
        <v>0.26154674331944655</v>
      </c>
      <c r="T6" s="26">
        <f t="shared" si="10"/>
        <v>0.27749807783149072</v>
      </c>
      <c r="U6" s="26">
        <f t="shared" si="10"/>
        <v>0.27502906831075929</v>
      </c>
      <c r="V6" s="26">
        <f t="shared" si="10"/>
        <v>0.27975915473087704</v>
      </c>
      <c r="W6" s="4"/>
      <c r="X6" s="4"/>
      <c r="Y6" s="8">
        <f t="shared" si="11"/>
        <v>-5.4424683182842659E-2</v>
      </c>
      <c r="Z6" s="8">
        <f t="shared" si="6"/>
        <v>1.1953018401141824E-2</v>
      </c>
      <c r="AA6" s="8">
        <f t="shared" si="6"/>
        <v>6.0988465425324101E-2</v>
      </c>
      <c r="AB6" s="8">
        <f t="shared" si="6"/>
        <v>-8.8973932361099406E-3</v>
      </c>
      <c r="AC6" s="8">
        <f t="shared" si="6"/>
        <v>1.7198496323207468E-2</v>
      </c>
      <c r="AD6" s="28">
        <f t="shared" si="12"/>
        <v>2.3096522837473876E-2</v>
      </c>
    </row>
    <row r="7" spans="1:30" ht="17" x14ac:dyDescent="0.2">
      <c r="A7" s="33" t="s">
        <v>8</v>
      </c>
      <c r="B7" s="34">
        <f t="shared" ref="B7:F7" si="13">SUM(B4:B6)</f>
        <v>6083.6709999999994</v>
      </c>
      <c r="C7" s="34">
        <f t="shared" si="13"/>
        <v>6265.0480000000007</v>
      </c>
      <c r="D7" s="34">
        <f t="shared" si="13"/>
        <v>6932.7340000000004</v>
      </c>
      <c r="E7" s="34">
        <f t="shared" si="13"/>
        <v>7453.8209999999999</v>
      </c>
      <c r="F7" s="34">
        <f t="shared" si="13"/>
        <v>7643.2029999999995</v>
      </c>
      <c r="G7" s="34">
        <f>SUM(G4:G6)</f>
        <v>7634.1130000000012</v>
      </c>
      <c r="H7" s="4"/>
      <c r="I7" s="4"/>
      <c r="J7" s="8">
        <f t="shared" si="7"/>
        <v>2.9813742393367537E-2</v>
      </c>
      <c r="K7" s="8">
        <f t="shared" si="4"/>
        <v>0.10657316591987787</v>
      </c>
      <c r="L7" s="8">
        <f t="shared" si="4"/>
        <v>7.5163276133196399E-2</v>
      </c>
      <c r="M7" s="8">
        <f t="shared" si="4"/>
        <v>2.5407371601759543E-2</v>
      </c>
      <c r="N7" s="8">
        <f t="shared" si="4"/>
        <v>-1.1892919761516962E-3</v>
      </c>
      <c r="O7" s="28">
        <f t="shared" si="8"/>
        <v>3.312711858626808E-2</v>
      </c>
      <c r="P7" s="4"/>
      <c r="Q7" s="26">
        <f>B7/B$7</f>
        <v>1</v>
      </c>
      <c r="R7" s="26">
        <f t="shared" ref="R7" si="14">C7/C$7</f>
        <v>1</v>
      </c>
      <c r="S7" s="26">
        <f t="shared" ref="S7" si="15">D7/D$7</f>
        <v>1</v>
      </c>
      <c r="T7" s="26">
        <f t="shared" ref="T7" si="16">E7/E$7</f>
        <v>1</v>
      </c>
      <c r="U7" s="26">
        <f t="shared" ref="U7" si="17">F7/F$7</f>
        <v>1</v>
      </c>
      <c r="V7" s="26">
        <f t="shared" ref="V7" si="18">G7/G$7</f>
        <v>1</v>
      </c>
      <c r="W7" s="4"/>
      <c r="X7" s="4"/>
      <c r="Y7" s="4"/>
      <c r="Z7" s="4"/>
      <c r="AA7" s="4"/>
      <c r="AB7" s="4"/>
      <c r="AC7" s="4"/>
      <c r="AD7" s="4"/>
    </row>
    <row r="8" spans="1:30" x14ac:dyDescent="0.2">
      <c r="A8" s="29"/>
      <c r="B8" s="24"/>
      <c r="C8" s="24"/>
      <c r="D8" s="24"/>
      <c r="E8" s="24"/>
      <c r="F8" s="24"/>
      <c r="G8" s="2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7" x14ac:dyDescent="0.2">
      <c r="A9" s="2" t="s">
        <v>52</v>
      </c>
      <c r="B9" s="24"/>
      <c r="C9" s="24"/>
      <c r="D9" s="24"/>
      <c r="E9" s="24"/>
      <c r="F9" s="24"/>
      <c r="G9" s="2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7" x14ac:dyDescent="0.2">
      <c r="A10" s="35" t="s">
        <v>39</v>
      </c>
      <c r="B10" s="24">
        <f>Cost!F11</f>
        <v>2130.1999999999998</v>
      </c>
      <c r="C10" s="24">
        <f>Cost!G11</f>
        <v>2216.2999999999997</v>
      </c>
      <c r="D10" s="24">
        <f>Cost!H11</f>
        <v>2522.9</v>
      </c>
      <c r="E10" s="24">
        <f>Cost!I11</f>
        <v>2669.1</v>
      </c>
      <c r="F10" s="24">
        <f>Cost!J11</f>
        <v>2888.5</v>
      </c>
      <c r="G10" s="24">
        <f>Cost!K11</f>
        <v>2752</v>
      </c>
      <c r="H10" s="4"/>
      <c r="I10" s="4"/>
      <c r="J10" s="8">
        <f>C10/B10-1</f>
        <v>4.0418740024410704E-2</v>
      </c>
      <c r="K10" s="8">
        <f t="shared" ref="K10:K13" si="19">D10/C10-1</f>
        <v>0.13833867256237897</v>
      </c>
      <c r="L10" s="8">
        <f t="shared" ref="L10:L13" si="20">E10/D10-1</f>
        <v>5.7949185461175556E-2</v>
      </c>
      <c r="M10" s="8">
        <f t="shared" ref="M10:M13" si="21">F10/E10-1</f>
        <v>8.2199992506837516E-2</v>
      </c>
      <c r="N10" s="8">
        <f t="shared" ref="N10:N13" si="22">G10/F10-1</f>
        <v>-4.7256361433269833E-2</v>
      </c>
      <c r="O10" s="28">
        <f>AVERAGE(L10:N10)</f>
        <v>3.0964272178247747E-2</v>
      </c>
      <c r="P10" s="4"/>
      <c r="Q10" s="26">
        <f>B10/B$13</f>
        <v>0.53748247668857096</v>
      </c>
      <c r="R10" s="26">
        <f t="shared" ref="R10:V13" si="23">C10/C$13</f>
        <v>0.55379657877002342</v>
      </c>
      <c r="S10" s="26">
        <f t="shared" si="23"/>
        <v>0.56733470746361425</v>
      </c>
      <c r="T10" s="26">
        <f t="shared" si="23"/>
        <v>0.56071185259271727</v>
      </c>
      <c r="U10" s="26">
        <f t="shared" si="23"/>
        <v>0.57584990941104419</v>
      </c>
      <c r="V10" s="26">
        <f t="shared" si="23"/>
        <v>0.56345825781655012</v>
      </c>
      <c r="W10" s="4"/>
      <c r="X10" s="4"/>
      <c r="Y10" s="8">
        <f>R10/Q10-1</f>
        <v>3.035280737330015E-2</v>
      </c>
      <c r="Z10" s="8">
        <f t="shared" ref="Z10:Z12" si="24">S10/R10-1</f>
        <v>2.4446031652378242E-2</v>
      </c>
      <c r="AA10" s="8">
        <f t="shared" ref="AA10:AA12" si="25">T10/S10-1</f>
        <v>-1.1673628959712024E-2</v>
      </c>
      <c r="AB10" s="8">
        <f t="shared" ref="AB10:AB12" si="26">U10/T10-1</f>
        <v>2.6997925491192953E-2</v>
      </c>
      <c r="AC10" s="8">
        <f t="shared" ref="AC10:AC12" si="27">V10/U10-1</f>
        <v>-2.1518891280486119E-2</v>
      </c>
      <c r="AD10" s="28">
        <f>AVERAGE(AA10:AC10)</f>
        <v>-2.064864916335063E-3</v>
      </c>
    </row>
    <row r="11" spans="1:30" ht="17" x14ac:dyDescent="0.2">
      <c r="A11" s="35" t="s">
        <v>40</v>
      </c>
      <c r="B11" s="24">
        <f>Cost!F26</f>
        <v>442</v>
      </c>
      <c r="C11" s="24">
        <f>Cost!G26</f>
        <v>457</v>
      </c>
      <c r="D11" s="24">
        <f>Cost!H26</f>
        <v>455</v>
      </c>
      <c r="E11" s="24">
        <f>Cost!I26</f>
        <v>452</v>
      </c>
      <c r="F11" s="24">
        <f>Cost!J26</f>
        <v>416</v>
      </c>
      <c r="G11" s="24">
        <f>Cost!K26</f>
        <v>418</v>
      </c>
      <c r="H11" s="4"/>
      <c r="I11" s="4"/>
      <c r="J11" s="8">
        <f t="shared" ref="J11:J13" si="28">C11/B11-1</f>
        <v>3.3936651583710509E-2</v>
      </c>
      <c r="K11" s="8">
        <f t="shared" si="19"/>
        <v>-4.3763676148796948E-3</v>
      </c>
      <c r="L11" s="8">
        <f t="shared" si="20"/>
        <v>-6.59340659340657E-3</v>
      </c>
      <c r="M11" s="8">
        <f t="shared" si="21"/>
        <v>-7.9646017699115057E-2</v>
      </c>
      <c r="N11" s="8">
        <f t="shared" si="22"/>
        <v>4.8076923076922906E-3</v>
      </c>
      <c r="O11" s="28">
        <f t="shared" ref="O11:O13" si="29">AVERAGE(L11:N11)</f>
        <v>-2.7143910661609778E-2</v>
      </c>
      <c r="P11" s="4"/>
      <c r="Q11" s="26">
        <f t="shared" ref="Q11:Q13" si="30">B11/B$13</f>
        <v>0.11152345070713943</v>
      </c>
      <c r="R11" s="26">
        <f t="shared" si="23"/>
        <v>0.11419258967554063</v>
      </c>
      <c r="S11" s="26">
        <f t="shared" si="23"/>
        <v>0.10231768674776823</v>
      </c>
      <c r="T11" s="26">
        <f t="shared" si="23"/>
        <v>9.495401347716767E-2</v>
      </c>
      <c r="U11" s="26">
        <f t="shared" si="23"/>
        <v>8.2933551087067459E-2</v>
      </c>
      <c r="V11" s="26">
        <f t="shared" si="23"/>
        <v>8.5583412706147513E-2</v>
      </c>
      <c r="W11" s="4"/>
      <c r="X11" s="4"/>
      <c r="Y11" s="8">
        <f t="shared" ref="Y11:Y12" si="31">R11/Q11-1</f>
        <v>2.3933432398988153E-2</v>
      </c>
      <c r="Z11" s="8">
        <f t="shared" si="24"/>
        <v>-0.10399013597566165</v>
      </c>
      <c r="AA11" s="8">
        <f t="shared" si="25"/>
        <v>-7.1968723147087466E-2</v>
      </c>
      <c r="AB11" s="8">
        <f t="shared" si="26"/>
        <v>-0.12659246249755007</v>
      </c>
      <c r="AC11" s="8">
        <f t="shared" si="27"/>
        <v>3.1951623731848899E-2</v>
      </c>
      <c r="AD11" s="28">
        <f t="shared" ref="AD11:AD12" si="32">AVERAGE(AA11:AC11)</f>
        <v>-5.5536520637596211E-2</v>
      </c>
    </row>
    <row r="12" spans="1:30" ht="17" x14ac:dyDescent="0.2">
      <c r="A12" s="35" t="s">
        <v>38</v>
      </c>
      <c r="B12" s="24">
        <f>Cost!F30</f>
        <v>1391.0920000000001</v>
      </c>
      <c r="C12" s="24">
        <f>Cost!G30</f>
        <v>1328.711</v>
      </c>
      <c r="D12" s="24">
        <f>Cost!H30</f>
        <v>1469.0340000000001</v>
      </c>
      <c r="E12" s="24">
        <f>Cost!I30</f>
        <v>1639.0989999999999</v>
      </c>
      <c r="F12" s="24">
        <f>Cost!J30</f>
        <v>1711.5640000000001</v>
      </c>
      <c r="G12" s="24">
        <f>Cost!K30</f>
        <v>1714.124</v>
      </c>
      <c r="H12" s="4"/>
      <c r="I12" s="4"/>
      <c r="J12" s="8">
        <f t="shared" si="28"/>
        <v>-4.4843187941559615E-2</v>
      </c>
      <c r="K12" s="8">
        <f t="shared" si="19"/>
        <v>0.10560836780910221</v>
      </c>
      <c r="L12" s="8">
        <f t="shared" si="20"/>
        <v>0.11576655135279368</v>
      </c>
      <c r="M12" s="8">
        <f t="shared" si="21"/>
        <v>4.4210264297641633E-2</v>
      </c>
      <c r="N12" s="8">
        <f t="shared" si="22"/>
        <v>1.495708019098263E-3</v>
      </c>
      <c r="O12" s="28">
        <f t="shared" si="29"/>
        <v>5.3824174556511194E-2</v>
      </c>
      <c r="P12" s="4"/>
      <c r="Q12" s="26">
        <f t="shared" si="30"/>
        <v>0.35099407260428961</v>
      </c>
      <c r="R12" s="26">
        <f t="shared" si="23"/>
        <v>0.33201083155443606</v>
      </c>
      <c r="S12" s="26">
        <f t="shared" si="23"/>
        <v>0.33034760578861749</v>
      </c>
      <c r="T12" s="26">
        <f t="shared" si="23"/>
        <v>0.34433413393011514</v>
      </c>
      <c r="U12" s="26">
        <f t="shared" si="23"/>
        <v>0.34121653950188835</v>
      </c>
      <c r="V12" s="26">
        <f t="shared" si="23"/>
        <v>0.35095832947730238</v>
      </c>
      <c r="W12" s="4"/>
      <c r="X12" s="4"/>
      <c r="Y12" s="8">
        <f t="shared" si="31"/>
        <v>-5.4084221163629875E-2</v>
      </c>
      <c r="Z12" s="8">
        <f t="shared" si="24"/>
        <v>-5.0095527246251104E-3</v>
      </c>
      <c r="AA12" s="8">
        <f t="shared" si="25"/>
        <v>4.2338820976493885E-2</v>
      </c>
      <c r="AB12" s="8">
        <f t="shared" si="26"/>
        <v>-9.0539801925635377E-3</v>
      </c>
      <c r="AC12" s="8">
        <f t="shared" si="27"/>
        <v>2.8550169313700913E-2</v>
      </c>
      <c r="AD12" s="28">
        <f t="shared" si="32"/>
        <v>2.0611670032543754E-2</v>
      </c>
    </row>
    <row r="13" spans="1:30" ht="17" x14ac:dyDescent="0.2">
      <c r="A13" s="33" t="s">
        <v>8</v>
      </c>
      <c r="B13" s="34">
        <f>SUM(B10:B12)</f>
        <v>3963.2919999999999</v>
      </c>
      <c r="C13" s="34">
        <f t="shared" ref="C13:F13" si="33">SUM(C10:C12)</f>
        <v>4002.0109999999995</v>
      </c>
      <c r="D13" s="34">
        <f t="shared" si="33"/>
        <v>4446.9340000000002</v>
      </c>
      <c r="E13" s="34">
        <f t="shared" si="33"/>
        <v>4760.1989999999996</v>
      </c>
      <c r="F13" s="34">
        <f t="shared" si="33"/>
        <v>5016.0640000000003</v>
      </c>
      <c r="G13" s="34">
        <f>SUM(G10:G12)</f>
        <v>4884.1239999999998</v>
      </c>
      <c r="H13" s="4"/>
      <c r="I13" s="4"/>
      <c r="J13" s="8">
        <f t="shared" si="28"/>
        <v>9.7694038188453902E-3</v>
      </c>
      <c r="K13" s="8">
        <f t="shared" si="19"/>
        <v>0.11117485684072359</v>
      </c>
      <c r="L13" s="8">
        <f t="shared" si="20"/>
        <v>7.044516514074628E-2</v>
      </c>
      <c r="M13" s="8">
        <f t="shared" si="21"/>
        <v>5.3750904111361963E-2</v>
      </c>
      <c r="N13" s="8">
        <f t="shared" si="22"/>
        <v>-2.6303492140451246E-2</v>
      </c>
      <c r="O13" s="28">
        <f t="shared" si="29"/>
        <v>3.2630859037218997E-2</v>
      </c>
      <c r="P13" s="4"/>
      <c r="Q13" s="26">
        <f t="shared" si="30"/>
        <v>1</v>
      </c>
      <c r="R13" s="26">
        <f t="shared" si="23"/>
        <v>1</v>
      </c>
      <c r="S13" s="26">
        <f t="shared" si="23"/>
        <v>1</v>
      </c>
      <c r="T13" s="26">
        <f t="shared" si="23"/>
        <v>1</v>
      </c>
      <c r="U13" s="26">
        <f t="shared" si="23"/>
        <v>1</v>
      </c>
      <c r="V13" s="26">
        <f t="shared" si="23"/>
        <v>1</v>
      </c>
      <c r="W13" s="4"/>
      <c r="X13" s="4"/>
      <c r="Y13" s="4"/>
      <c r="Z13" s="4"/>
      <c r="AA13" s="4"/>
      <c r="AB13" s="4"/>
      <c r="AC13" s="4"/>
      <c r="AD13" s="4"/>
    </row>
    <row r="14" spans="1:30" x14ac:dyDescent="0.2">
      <c r="A14" s="29"/>
      <c r="B14" s="24"/>
      <c r="C14" s="24"/>
      <c r="D14" s="24"/>
      <c r="E14" s="24"/>
      <c r="F14" s="24"/>
      <c r="G14" s="2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7" x14ac:dyDescent="0.2">
      <c r="A15" s="10" t="s">
        <v>49</v>
      </c>
      <c r="B15" s="24"/>
      <c r="C15" s="24"/>
      <c r="D15" s="24"/>
      <c r="E15" s="24"/>
      <c r="F15" s="24"/>
      <c r="G15" s="2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7" x14ac:dyDescent="0.2">
      <c r="A16" s="35" t="s">
        <v>39</v>
      </c>
      <c r="B16" s="24">
        <f>Cost!F60</f>
        <v>731</v>
      </c>
      <c r="C16" s="24">
        <f>Cost!G60</f>
        <v>773.1</v>
      </c>
      <c r="D16" s="24">
        <f>Cost!H60</f>
        <v>868.8</v>
      </c>
      <c r="E16" s="24">
        <f>Cost!I60</f>
        <v>907.8</v>
      </c>
      <c r="F16" s="24">
        <f>Cost!J60</f>
        <v>880.59999999999991</v>
      </c>
      <c r="G16" s="24">
        <f>Cost!K60</f>
        <v>907.9</v>
      </c>
      <c r="H16" s="4"/>
      <c r="I16" s="4"/>
      <c r="J16" s="8">
        <f>C16/B16-1</f>
        <v>5.7592339261286041E-2</v>
      </c>
      <c r="K16" s="8">
        <f t="shared" ref="K16:K19" si="34">D16/C16-1</f>
        <v>0.12378734963135418</v>
      </c>
      <c r="L16" s="8">
        <f t="shared" ref="L16:L19" si="35">E16/D16-1</f>
        <v>4.4889502762430977E-2</v>
      </c>
      <c r="M16" s="8">
        <f t="shared" ref="M16:M19" si="36">F16/E16-1</f>
        <v>-2.9962546816479474E-2</v>
      </c>
      <c r="N16" s="8">
        <f t="shared" ref="N16:N19" si="37">G16/F16-1</f>
        <v>3.1001589825119247E-2</v>
      </c>
      <c r="O16" s="28">
        <f>AVERAGE(L16:N16)</f>
        <v>1.5309515257023584E-2</v>
      </c>
      <c r="P16" s="4"/>
      <c r="Q16" s="26">
        <f>B16/B$19</f>
        <v>0.67756329330982723</v>
      </c>
      <c r="R16" s="26">
        <f t="shared" ref="R16:V19" si="38">C16/C$19</f>
        <v>0.66438416203032913</v>
      </c>
      <c r="S16" s="26">
        <f t="shared" si="38"/>
        <v>0.67387493600980408</v>
      </c>
      <c r="T16" s="26">
        <f t="shared" si="38"/>
        <v>0.69348424267517772</v>
      </c>
      <c r="U16" s="26">
        <f t="shared" si="38"/>
        <v>0.68270710500711318</v>
      </c>
      <c r="V16" s="26">
        <f t="shared" si="38"/>
        <v>0.6866004392306807</v>
      </c>
      <c r="W16" s="4"/>
      <c r="X16" s="4"/>
      <c r="Y16" s="8">
        <f>R16/Q16-1</f>
        <v>-1.9450775166876877E-2</v>
      </c>
      <c r="Z16" s="8">
        <f t="shared" ref="Z16:Z18" si="39">S16/R16-1</f>
        <v>1.4285069575517229E-2</v>
      </c>
      <c r="AA16" s="8">
        <f t="shared" ref="AA16:AA18" si="40">T16/S16-1</f>
        <v>2.9099326325275898E-2</v>
      </c>
      <c r="AB16" s="8">
        <f t="shared" ref="AB16:AB18" si="41">U16/T16-1</f>
        <v>-1.5540566035777248E-2</v>
      </c>
      <c r="AC16" s="8">
        <f t="shared" ref="AC16:AC18" si="42">V16/U16-1</f>
        <v>5.7027884945286544E-3</v>
      </c>
      <c r="AD16" s="28">
        <f>AVERAGE(AA16:AC16)</f>
        <v>6.4205162613424349E-3</v>
      </c>
    </row>
    <row r="17" spans="1:30" ht="17" x14ac:dyDescent="0.2">
      <c r="A17" s="35" t="s">
        <v>40</v>
      </c>
      <c r="B17" s="24">
        <f>Cost!F58</f>
        <v>197</v>
      </c>
      <c r="C17" s="24">
        <f>Cost!G58</f>
        <v>197</v>
      </c>
      <c r="D17" s="24">
        <f>Cost!H58</f>
        <v>197</v>
      </c>
      <c r="E17" s="24">
        <f>Cost!I58</f>
        <v>197</v>
      </c>
      <c r="F17" s="24">
        <f>Cost!J58</f>
        <v>197</v>
      </c>
      <c r="G17" s="24">
        <f>Cost!K58</f>
        <v>197</v>
      </c>
      <c r="H17" s="4"/>
      <c r="I17" s="4"/>
      <c r="J17" s="8">
        <f t="shared" ref="J17:J19" si="43">C17/B17-1</f>
        <v>0</v>
      </c>
      <c r="K17" s="8">
        <f t="shared" si="34"/>
        <v>0</v>
      </c>
      <c r="L17" s="8">
        <f t="shared" si="35"/>
        <v>0</v>
      </c>
      <c r="M17" s="8">
        <f t="shared" si="36"/>
        <v>0</v>
      </c>
      <c r="N17" s="8">
        <f t="shared" si="37"/>
        <v>0</v>
      </c>
      <c r="O17" s="28">
        <f t="shared" ref="O17:O19" si="44">AVERAGE(L17:N17)</f>
        <v>0</v>
      </c>
      <c r="P17" s="4"/>
      <c r="Q17" s="26">
        <f t="shared" ref="Q17:Q19" si="45">B17/B$19</f>
        <v>0.18259913650073317</v>
      </c>
      <c r="R17" s="26">
        <f t="shared" si="38"/>
        <v>0.16929721888497587</v>
      </c>
      <c r="S17" s="26">
        <f t="shared" si="38"/>
        <v>0.15280083148472767</v>
      </c>
      <c r="T17" s="26">
        <f t="shared" si="38"/>
        <v>0.15049173364949331</v>
      </c>
      <c r="U17" s="26">
        <f t="shared" si="38"/>
        <v>0.15272916157892497</v>
      </c>
      <c r="V17" s="26">
        <f t="shared" si="38"/>
        <v>0.1489814809212954</v>
      </c>
      <c r="W17" s="4"/>
      <c r="X17" s="4"/>
      <c r="Y17" s="8">
        <f t="shared" ref="Y17:Y18" si="46">R17/Q17-1</f>
        <v>-7.284764797178489E-2</v>
      </c>
      <c r="Z17" s="8">
        <f t="shared" si="39"/>
        <v>-9.7440392162946199E-2</v>
      </c>
      <c r="AA17" s="8">
        <f t="shared" si="40"/>
        <v>-1.5111814594184092E-2</v>
      </c>
      <c r="AB17" s="8">
        <f t="shared" si="41"/>
        <v>1.4867447368523301E-2</v>
      </c>
      <c r="AC17" s="8">
        <f t="shared" si="42"/>
        <v>-2.4538081784027166E-2</v>
      </c>
      <c r="AD17" s="28">
        <f t="shared" ref="AD17:AD18" si="47">AVERAGE(AA17:AC17)</f>
        <v>-8.2608163365626517E-3</v>
      </c>
    </row>
    <row r="18" spans="1:30" ht="17" x14ac:dyDescent="0.2">
      <c r="A18" s="35" t="s">
        <v>38</v>
      </c>
      <c r="B18" s="24">
        <f>Cost!F62</f>
        <v>150.86600000000001</v>
      </c>
      <c r="C18" s="24">
        <f>Cost!G62</f>
        <v>193.53399999999999</v>
      </c>
      <c r="D18" s="24">
        <f>Cost!H62</f>
        <v>223.46</v>
      </c>
      <c r="E18" s="24">
        <f>Cost!I62</f>
        <v>204.24199999999999</v>
      </c>
      <c r="F18" s="24">
        <f>Cost!J62</f>
        <v>212.26499999999999</v>
      </c>
      <c r="G18" s="24">
        <f>Cost!K62</f>
        <v>217.41200000000001</v>
      </c>
      <c r="H18" s="4"/>
      <c r="I18" s="4"/>
      <c r="J18" s="8">
        <f t="shared" si="43"/>
        <v>0.28282051621969151</v>
      </c>
      <c r="K18" s="8">
        <f t="shared" si="34"/>
        <v>0.15462916076761712</v>
      </c>
      <c r="L18" s="8">
        <f t="shared" si="35"/>
        <v>-8.6001969032489134E-2</v>
      </c>
      <c r="M18" s="8">
        <f t="shared" si="36"/>
        <v>3.9281832336150346E-2</v>
      </c>
      <c r="N18" s="8">
        <f t="shared" si="37"/>
        <v>2.4247991896921395E-2</v>
      </c>
      <c r="O18" s="28">
        <f t="shared" si="44"/>
        <v>-7.4907149331391309E-3</v>
      </c>
      <c r="P18" s="4"/>
      <c r="Q18" s="26">
        <f t="shared" si="45"/>
        <v>0.13983757018943968</v>
      </c>
      <c r="R18" s="26">
        <f t="shared" si="38"/>
        <v>0.166318619084695</v>
      </c>
      <c r="S18" s="26">
        <f t="shared" si="38"/>
        <v>0.17332423250546827</v>
      </c>
      <c r="T18" s="26">
        <f t="shared" si="38"/>
        <v>0.15602402367532897</v>
      </c>
      <c r="U18" s="26">
        <f t="shared" si="38"/>
        <v>0.16456373341396194</v>
      </c>
      <c r="V18" s="26">
        <f t="shared" si="38"/>
        <v>0.16441807984802376</v>
      </c>
      <c r="W18" s="4"/>
      <c r="X18" s="4"/>
      <c r="Y18" s="8">
        <f t="shared" si="46"/>
        <v>0.18937005884313574</v>
      </c>
      <c r="Z18" s="8">
        <f t="shared" si="39"/>
        <v>4.2121642539647119E-2</v>
      </c>
      <c r="AA18" s="8">
        <f t="shared" si="40"/>
        <v>-9.9814137815919635E-2</v>
      </c>
      <c r="AB18" s="8">
        <f t="shared" si="41"/>
        <v>5.4733300279470321E-2</v>
      </c>
      <c r="AC18" s="8">
        <f t="shared" si="42"/>
        <v>-8.8508909537066138E-4</v>
      </c>
      <c r="AD18" s="28">
        <f t="shared" si="47"/>
        <v>-1.5321975543939992E-2</v>
      </c>
    </row>
    <row r="19" spans="1:30" ht="17" x14ac:dyDescent="0.2">
      <c r="A19" s="33" t="s">
        <v>8</v>
      </c>
      <c r="B19" s="34">
        <f>SUM(B16:B18)</f>
        <v>1078.866</v>
      </c>
      <c r="C19" s="34">
        <f t="shared" ref="C19:F19" si="48">SUM(C16:C18)</f>
        <v>1163.634</v>
      </c>
      <c r="D19" s="34">
        <f t="shared" si="48"/>
        <v>1289.26</v>
      </c>
      <c r="E19" s="34">
        <f t="shared" si="48"/>
        <v>1309.0419999999999</v>
      </c>
      <c r="F19" s="34">
        <f t="shared" si="48"/>
        <v>1289.8649999999998</v>
      </c>
      <c r="G19" s="34">
        <f>SUM(G16:G18)</f>
        <v>1322.3120000000001</v>
      </c>
      <c r="H19" s="4"/>
      <c r="I19" s="4"/>
      <c r="J19" s="8">
        <f t="shared" si="43"/>
        <v>7.8571388847178403E-2</v>
      </c>
      <c r="K19" s="8">
        <f t="shared" si="34"/>
        <v>0.10796006304387795</v>
      </c>
      <c r="L19" s="8">
        <f t="shared" si="35"/>
        <v>1.5343685525029738E-2</v>
      </c>
      <c r="M19" s="8">
        <f t="shared" si="36"/>
        <v>-1.464964454922002E-2</v>
      </c>
      <c r="N19" s="8">
        <f t="shared" si="37"/>
        <v>2.5155345714474198E-2</v>
      </c>
      <c r="O19" s="28">
        <f t="shared" si="44"/>
        <v>8.6164622300946379E-3</v>
      </c>
      <c r="P19" s="4"/>
      <c r="Q19" s="26">
        <f t="shared" si="45"/>
        <v>1</v>
      </c>
      <c r="R19" s="26">
        <f t="shared" si="38"/>
        <v>1</v>
      </c>
      <c r="S19" s="26">
        <f t="shared" si="38"/>
        <v>1</v>
      </c>
      <c r="T19" s="26">
        <f t="shared" si="38"/>
        <v>1</v>
      </c>
      <c r="U19" s="26">
        <f t="shared" si="38"/>
        <v>1</v>
      </c>
      <c r="V19" s="26">
        <f t="shared" si="38"/>
        <v>1</v>
      </c>
      <c r="W19" s="4"/>
      <c r="X19" s="4"/>
      <c r="Y19" s="4"/>
      <c r="Z19" s="4"/>
      <c r="AA19" s="4"/>
      <c r="AB19" s="4"/>
      <c r="AC19" s="4"/>
      <c r="AD19" s="4"/>
    </row>
    <row r="20" spans="1:30" x14ac:dyDescent="0.2">
      <c r="A20" s="29"/>
      <c r="B20" s="24"/>
      <c r="C20" s="24"/>
      <c r="D20" s="24"/>
      <c r="E20" s="24"/>
      <c r="F20" s="24"/>
      <c r="G20" s="2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34" x14ac:dyDescent="0.2">
      <c r="A21" s="2" t="s">
        <v>51</v>
      </c>
      <c r="B21" s="24"/>
      <c r="C21" s="24"/>
      <c r="D21" s="24"/>
      <c r="E21" s="24"/>
      <c r="F21" s="24"/>
      <c r="G21" s="2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7" x14ac:dyDescent="0.2">
      <c r="A22" s="35" t="s">
        <v>39</v>
      </c>
      <c r="B22" s="24">
        <f>Cost!F96</f>
        <v>2861.2</v>
      </c>
      <c r="C22" s="24">
        <f>Cost!G96</f>
        <v>2989.3999999999996</v>
      </c>
      <c r="D22" s="24">
        <f>Cost!H96</f>
        <v>3391.7</v>
      </c>
      <c r="E22" s="24">
        <f>Cost!I96</f>
        <v>3576.8999999999996</v>
      </c>
      <c r="F22" s="24">
        <f>Cost!J96</f>
        <v>3790.3</v>
      </c>
      <c r="G22" s="24">
        <f>Cost!K96</f>
        <v>3659.8</v>
      </c>
      <c r="H22" s="4"/>
      <c r="I22" s="4"/>
      <c r="J22" s="8">
        <f>C22/B22-1</f>
        <v>4.4806374947574445E-2</v>
      </c>
      <c r="K22" s="8">
        <f t="shared" ref="K22:K25" si="49">D22/C22-1</f>
        <v>0.13457550010035457</v>
      </c>
      <c r="L22" s="8">
        <f t="shared" ref="L22:L25" si="50">E22/D22-1</f>
        <v>5.4603885956894693E-2</v>
      </c>
      <c r="M22" s="8">
        <f t="shared" ref="M22:M25" si="51">F22/E22-1</f>
        <v>5.966059996086015E-2</v>
      </c>
      <c r="N22" s="8">
        <f t="shared" ref="N22:N25" si="52">G22/F22-1</f>
        <v>-3.4429992348890548E-2</v>
      </c>
      <c r="O22" s="28">
        <f>AVERAGE(L22:N22)</f>
        <v>2.6611497856288097E-2</v>
      </c>
      <c r="P22" s="4"/>
      <c r="Q22" s="26">
        <f>B22/B$25</f>
        <v>0.56269378735870212</v>
      </c>
      <c r="R22" s="26">
        <f t="shared" ref="R22:V25" si="53">C22/C$25</f>
        <v>0.57482149556269868</v>
      </c>
      <c r="S22" s="26">
        <f t="shared" si="53"/>
        <v>0.59140613666038011</v>
      </c>
      <c r="T22" s="26">
        <f t="shared" si="53"/>
        <v>0.58818364076941898</v>
      </c>
      <c r="U22" s="26">
        <f t="shared" si="53"/>
        <v>0.59724789782228194</v>
      </c>
      <c r="V22" s="26">
        <f t="shared" si="53"/>
        <v>0.58808207439130589</v>
      </c>
      <c r="W22" s="4"/>
      <c r="X22" s="4"/>
      <c r="Y22" s="8">
        <f>R22/Q22-1</f>
        <v>2.1552944916851224E-2</v>
      </c>
      <c r="Z22" s="8">
        <f t="shared" ref="Z22:Z24" si="54">S22/R22-1</f>
        <v>2.8851810911223019E-2</v>
      </c>
      <c r="AA22" s="8">
        <f t="shared" ref="AA22:AA24" si="55">T22/S22-1</f>
        <v>-5.448871242963893E-3</v>
      </c>
      <c r="AB22" s="8">
        <f t="shared" ref="AB22:AB24" si="56">U22/T22-1</f>
        <v>1.5410590204456787E-2</v>
      </c>
      <c r="AC22" s="8">
        <f t="shared" ref="AC22:AC24" si="57">V22/U22-1</f>
        <v>-1.53467654961984E-2</v>
      </c>
      <c r="AD22" s="28">
        <f>AVERAGE(AA22:AC22)</f>
        <v>-1.7950155115685023E-3</v>
      </c>
    </row>
    <row r="23" spans="1:30" ht="17" x14ac:dyDescent="0.2">
      <c r="A23" s="35" t="s">
        <v>40</v>
      </c>
      <c r="B23" s="24">
        <f>Cost!F93</f>
        <v>639</v>
      </c>
      <c r="C23" s="24">
        <f>Cost!G93</f>
        <v>659</v>
      </c>
      <c r="D23" s="24">
        <f>Cost!H93</f>
        <v>670</v>
      </c>
      <c r="E23" s="24">
        <f>Cost!I93</f>
        <v>653</v>
      </c>
      <c r="F23" s="24">
        <f>Cost!J93</f>
        <v>627</v>
      </c>
      <c r="G23" s="24">
        <f>Cost!K93</f>
        <v>639</v>
      </c>
      <c r="H23" s="4"/>
      <c r="I23" s="4"/>
      <c r="J23" s="8">
        <f t="shared" ref="J23:J25" si="58">C23/B23-1</f>
        <v>3.1298904538341166E-2</v>
      </c>
      <c r="K23" s="8">
        <f t="shared" si="49"/>
        <v>1.6691957511380862E-2</v>
      </c>
      <c r="L23" s="8">
        <f t="shared" si="50"/>
        <v>-2.5373134328358193E-2</v>
      </c>
      <c r="M23" s="8">
        <f t="shared" si="51"/>
        <v>-3.9816232771822335E-2</v>
      </c>
      <c r="N23" s="8">
        <f t="shared" si="52"/>
        <v>1.9138755980861344E-2</v>
      </c>
      <c r="O23" s="28">
        <f t="shared" ref="O23:O25" si="59">AVERAGE(L23:N23)</f>
        <v>-1.5350203706439728E-2</v>
      </c>
      <c r="P23" s="4"/>
      <c r="Q23" s="26">
        <f t="shared" ref="Q23:Q25" si="60">B23/B$25</f>
        <v>0.1256680169586924</v>
      </c>
      <c r="R23" s="26">
        <f t="shared" si="53"/>
        <v>0.12671685474537314</v>
      </c>
      <c r="S23" s="26">
        <f t="shared" si="53"/>
        <v>0.11682699282438148</v>
      </c>
      <c r="T23" s="26">
        <f t="shared" si="53"/>
        <v>0.10737899226213499</v>
      </c>
      <c r="U23" s="26">
        <f t="shared" si="53"/>
        <v>9.879809828630208E-2</v>
      </c>
      <c r="V23" s="26">
        <f t="shared" si="53"/>
        <v>0.10267895664682344</v>
      </c>
      <c r="W23" s="4"/>
      <c r="X23" s="4"/>
      <c r="Y23" s="8">
        <f t="shared" ref="Y23:Y24" si="61">R23/Q23-1</f>
        <v>8.3460996048461134E-3</v>
      </c>
      <c r="Z23" s="8">
        <f t="shared" si="54"/>
        <v>-7.8046933384390726E-2</v>
      </c>
      <c r="AA23" s="8">
        <f t="shared" si="55"/>
        <v>-8.0871726078313722E-2</v>
      </c>
      <c r="AB23" s="8">
        <f t="shared" si="56"/>
        <v>-7.9912223006201377E-2</v>
      </c>
      <c r="AC23" s="8">
        <f t="shared" si="57"/>
        <v>3.9280698999642816E-2</v>
      </c>
      <c r="AD23" s="28">
        <f t="shared" ref="AD23:AD24" si="62">AVERAGE(AA23:AC23)</f>
        <v>-4.0501083361624092E-2</v>
      </c>
    </row>
    <row r="24" spans="1:30" ht="17" x14ac:dyDescent="0.2">
      <c r="A24" s="35" t="s">
        <v>38</v>
      </c>
      <c r="B24" s="24">
        <f>Cost!F98</f>
        <v>1584.626</v>
      </c>
      <c r="C24" s="24">
        <f>Cost!G98</f>
        <v>1552.171</v>
      </c>
      <c r="D24" s="24">
        <f>Cost!H98</f>
        <v>1673.2760000000001</v>
      </c>
      <c r="E24" s="24">
        <f>Cost!I98</f>
        <v>1851.364</v>
      </c>
      <c r="F24" s="24">
        <f>Cost!J98</f>
        <v>1928.9760000000001</v>
      </c>
      <c r="G24" s="24">
        <f>Cost!K98</f>
        <v>1924.481</v>
      </c>
      <c r="H24" s="4"/>
      <c r="I24" s="4"/>
      <c r="J24" s="8">
        <f t="shared" si="58"/>
        <v>-2.048117347563394E-2</v>
      </c>
      <c r="K24" s="8">
        <f t="shared" si="49"/>
        <v>7.8022975561326646E-2</v>
      </c>
      <c r="L24" s="8">
        <f t="shared" si="50"/>
        <v>0.10643073826433902</v>
      </c>
      <c r="M24" s="8">
        <f t="shared" si="51"/>
        <v>4.1921523806231598E-2</v>
      </c>
      <c r="N24" s="8">
        <f t="shared" si="52"/>
        <v>-2.3302519056743742E-3</v>
      </c>
      <c r="O24" s="28">
        <f t="shared" si="59"/>
        <v>4.8674003388298748E-2</v>
      </c>
      <c r="P24" s="4"/>
      <c r="Q24" s="26">
        <f t="shared" si="60"/>
        <v>0.31163819568260548</v>
      </c>
      <c r="R24" s="26">
        <f t="shared" si="53"/>
        <v>0.29846164969192807</v>
      </c>
      <c r="S24" s="26">
        <f t="shared" si="53"/>
        <v>0.29176687051523847</v>
      </c>
      <c r="T24" s="26">
        <f t="shared" si="53"/>
        <v>0.30443736696844609</v>
      </c>
      <c r="U24" s="26">
        <f t="shared" si="53"/>
        <v>0.30395400389141602</v>
      </c>
      <c r="V24" s="26">
        <f t="shared" si="53"/>
        <v>0.30923896896187075</v>
      </c>
      <c r="W24" s="4"/>
      <c r="X24" s="4"/>
      <c r="Y24" s="8">
        <f t="shared" si="61"/>
        <v>-4.2281550121979761E-2</v>
      </c>
      <c r="Z24" s="8">
        <f t="shared" si="54"/>
        <v>-2.2430952799463277E-2</v>
      </c>
      <c r="AA24" s="8">
        <f t="shared" si="55"/>
        <v>4.3426782591294399E-2</v>
      </c>
      <c r="AB24" s="8">
        <f t="shared" si="56"/>
        <v>-1.5877258493046664E-3</v>
      </c>
      <c r="AC24" s="8">
        <f t="shared" si="57"/>
        <v>1.7387384284441643E-2</v>
      </c>
      <c r="AD24" s="28">
        <f t="shared" si="62"/>
        <v>1.9742147008810457E-2</v>
      </c>
    </row>
    <row r="25" spans="1:30" ht="17" x14ac:dyDescent="0.2">
      <c r="A25" s="33" t="s">
        <v>8</v>
      </c>
      <c r="B25" s="34">
        <f>SUM(B22:B24)</f>
        <v>5084.826</v>
      </c>
      <c r="C25" s="34">
        <f t="shared" ref="C25:F25" si="63">SUM(C22:C24)</f>
        <v>5200.5709999999999</v>
      </c>
      <c r="D25" s="34">
        <f t="shared" si="63"/>
        <v>5734.9759999999997</v>
      </c>
      <c r="E25" s="34">
        <f t="shared" si="63"/>
        <v>6081.2639999999992</v>
      </c>
      <c r="F25" s="34">
        <f t="shared" si="63"/>
        <v>6346.2759999999998</v>
      </c>
      <c r="G25" s="34">
        <f>SUM(G22:G24)</f>
        <v>6223.2809999999999</v>
      </c>
      <c r="H25" s="4"/>
      <c r="I25" s="4"/>
      <c r="J25" s="8">
        <f t="shared" si="58"/>
        <v>2.2762824135968529E-2</v>
      </c>
      <c r="K25" s="8">
        <f t="shared" si="49"/>
        <v>0.1027589085890761</v>
      </c>
      <c r="L25" s="8">
        <f t="shared" si="50"/>
        <v>6.0381769688312437E-2</v>
      </c>
      <c r="M25" s="8">
        <f t="shared" si="51"/>
        <v>4.3578440271627938E-2</v>
      </c>
      <c r="N25" s="8">
        <f t="shared" si="52"/>
        <v>-1.9380657254742806E-2</v>
      </c>
      <c r="O25" s="28">
        <f t="shared" si="59"/>
        <v>2.8193184235065855E-2</v>
      </c>
      <c r="P25" s="4"/>
      <c r="Q25" s="26">
        <f t="shared" si="60"/>
        <v>1</v>
      </c>
      <c r="R25" s="26">
        <f t="shared" si="53"/>
        <v>1</v>
      </c>
      <c r="S25" s="26">
        <f t="shared" si="53"/>
        <v>1</v>
      </c>
      <c r="T25" s="26">
        <f t="shared" si="53"/>
        <v>1</v>
      </c>
      <c r="U25" s="26">
        <f t="shared" si="53"/>
        <v>1</v>
      </c>
      <c r="V25" s="26">
        <f t="shared" si="53"/>
        <v>1</v>
      </c>
      <c r="W25" s="4"/>
      <c r="X25" s="4"/>
      <c r="Y25" s="4"/>
      <c r="Z25" s="4"/>
      <c r="AA25" s="4"/>
      <c r="AB25" s="4"/>
      <c r="AC25" s="4"/>
      <c r="AD25" s="4"/>
    </row>
    <row r="26" spans="1:30" x14ac:dyDescent="0.2">
      <c r="A26" s="29"/>
      <c r="B26" s="24"/>
      <c r="C26" s="24"/>
      <c r="D26" s="24"/>
      <c r="E26" s="24"/>
      <c r="F26" s="24"/>
      <c r="G26" s="2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4" x14ac:dyDescent="0.2">
      <c r="A27" s="10" t="s">
        <v>53</v>
      </c>
      <c r="B27" s="24"/>
      <c r="C27" s="24"/>
      <c r="D27" s="24"/>
      <c r="E27" s="24"/>
      <c r="F27" s="24"/>
      <c r="G27" s="2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7" x14ac:dyDescent="0.2">
      <c r="A28" s="35" t="s">
        <v>39</v>
      </c>
      <c r="B28" s="24">
        <f>B4-B22</f>
        <v>571.59999999999991</v>
      </c>
      <c r="C28" s="24">
        <f t="shared" ref="C28:G28" si="64">C4-C22</f>
        <v>629.40000000000055</v>
      </c>
      <c r="D28" s="24">
        <f t="shared" si="64"/>
        <v>725.80000000000018</v>
      </c>
      <c r="E28" s="24">
        <f t="shared" si="64"/>
        <v>780.5</v>
      </c>
      <c r="F28" s="24">
        <f t="shared" si="64"/>
        <v>746.79999999999927</v>
      </c>
      <c r="G28" s="24">
        <f t="shared" si="64"/>
        <v>819.60000000000036</v>
      </c>
      <c r="H28" s="4"/>
      <c r="I28" s="4"/>
      <c r="J28" s="8">
        <f>C28/B28-1</f>
        <v>0.101119664100771</v>
      </c>
      <c r="K28" s="8">
        <f t="shared" ref="K28:K31" si="65">D28/C28-1</f>
        <v>0.15316174134095895</v>
      </c>
      <c r="L28" s="8">
        <f t="shared" ref="L28:L31" si="66">E28/D28-1</f>
        <v>7.5365114356571894E-2</v>
      </c>
      <c r="M28" s="8">
        <f t="shared" ref="M28:M31" si="67">F28/E28-1</f>
        <v>-4.3177450352339219E-2</v>
      </c>
      <c r="N28" s="8">
        <f t="shared" ref="N28:N31" si="68">G28/F28-1</f>
        <v>9.748259239421686E-2</v>
      </c>
      <c r="O28" s="28">
        <f>AVERAGE(L28:N28)</f>
        <v>4.3223418799483181E-2</v>
      </c>
      <c r="P28" s="4"/>
      <c r="Q28" s="26">
        <f>B28/B$31</f>
        <v>0.57226096141042893</v>
      </c>
      <c r="R28" s="26">
        <f t="shared" ref="R28:V31" si="69">C28/C$31</f>
        <v>0.59127627933717708</v>
      </c>
      <c r="S28" s="26">
        <f t="shared" si="69"/>
        <v>0.60596547883629259</v>
      </c>
      <c r="T28" s="26">
        <f t="shared" si="69"/>
        <v>0.56864669372565224</v>
      </c>
      <c r="U28" s="26">
        <f t="shared" si="69"/>
        <v>0.57582269472375835</v>
      </c>
      <c r="V28" s="26">
        <f t="shared" si="69"/>
        <v>0.58093380359957814</v>
      </c>
      <c r="W28" s="4"/>
      <c r="X28" s="4"/>
      <c r="Y28" s="8">
        <f>R28/Q28-1</f>
        <v>3.3228403139508034E-2</v>
      </c>
      <c r="Z28" s="8">
        <f t="shared" ref="Z28:Z30" si="70">S28/R28-1</f>
        <v>2.4843207841150239E-2</v>
      </c>
      <c r="AA28" s="8">
        <f t="shared" ref="AA28:AA30" si="71">T28/S28-1</f>
        <v>-6.1585661913130862E-2</v>
      </c>
      <c r="AB28" s="8">
        <f t="shared" ref="AB28:AB30" si="72">U28/T28-1</f>
        <v>1.261943677380839E-2</v>
      </c>
      <c r="AC28" s="8">
        <f t="shared" ref="AC28:AC30" si="73">V28/U28-1</f>
        <v>8.8761851914707091E-3</v>
      </c>
      <c r="AD28" s="28">
        <f>AVERAGE(AA28:AC28)</f>
        <v>-1.3363346649283922E-2</v>
      </c>
    </row>
    <row r="29" spans="1:30" ht="17" x14ac:dyDescent="0.2">
      <c r="A29" s="35" t="s">
        <v>40</v>
      </c>
      <c r="B29" s="24">
        <f t="shared" ref="B29:G30" si="74">B5-B23</f>
        <v>349</v>
      </c>
      <c r="C29" s="24">
        <f t="shared" si="74"/>
        <v>368</v>
      </c>
      <c r="D29" s="24">
        <f t="shared" si="74"/>
        <v>332</v>
      </c>
      <c r="E29" s="24">
        <f t="shared" si="74"/>
        <v>375</v>
      </c>
      <c r="F29" s="24">
        <f t="shared" si="74"/>
        <v>377</v>
      </c>
      <c r="G29" s="24">
        <f t="shared" si="74"/>
        <v>380</v>
      </c>
      <c r="H29" s="4"/>
      <c r="I29" s="4"/>
      <c r="J29" s="8">
        <f t="shared" ref="J29:J31" si="75">C29/B29-1</f>
        <v>5.4441260744985565E-2</v>
      </c>
      <c r="K29" s="8">
        <f t="shared" si="65"/>
        <v>-9.7826086956521729E-2</v>
      </c>
      <c r="L29" s="8">
        <f t="shared" si="66"/>
        <v>0.12951807228915668</v>
      </c>
      <c r="M29" s="8">
        <f t="shared" si="67"/>
        <v>5.3333333333334121E-3</v>
      </c>
      <c r="N29" s="8">
        <f t="shared" si="68"/>
        <v>7.9575596816976457E-3</v>
      </c>
      <c r="O29" s="28">
        <f t="shared" ref="O29:O31" si="76">AVERAGE(L29:N29)</f>
        <v>4.7602988434729245E-2</v>
      </c>
      <c r="P29" s="4"/>
      <c r="Q29" s="26">
        <f t="shared" ref="Q29:Q31" si="77">B29/B$31</f>
        <v>0.34940356111308563</v>
      </c>
      <c r="R29" s="26">
        <f t="shared" si="69"/>
        <v>0.34570967714661738</v>
      </c>
      <c r="S29" s="26">
        <f t="shared" si="69"/>
        <v>0.27718453978182572</v>
      </c>
      <c r="T29" s="26">
        <f t="shared" si="69"/>
        <v>0.2732126971776036</v>
      </c>
      <c r="U29" s="26">
        <f t="shared" si="69"/>
        <v>0.29068713967709842</v>
      </c>
      <c r="V29" s="26">
        <f t="shared" si="69"/>
        <v>0.2693446136747677</v>
      </c>
      <c r="W29" s="4"/>
      <c r="X29" s="4"/>
      <c r="Y29" s="8">
        <f t="shared" ref="Y29:Y30" si="78">R29/Q29-1</f>
        <v>-1.0571970001395314E-2</v>
      </c>
      <c r="Z29" s="8">
        <f t="shared" si="70"/>
        <v>-0.19821584958331895</v>
      </c>
      <c r="AA29" s="8">
        <f t="shared" si="71"/>
        <v>-1.4329235704662269E-2</v>
      </c>
      <c r="AB29" s="8">
        <f t="shared" si="72"/>
        <v>6.3959115663410948E-2</v>
      </c>
      <c r="AC29" s="8">
        <f t="shared" si="73"/>
        <v>-7.3420950187333522E-2</v>
      </c>
      <c r="AD29" s="28">
        <f t="shared" ref="AD29:AD30" si="79">AVERAGE(AA29:AC29)</f>
        <v>-7.9303567428616138E-3</v>
      </c>
    </row>
    <row r="30" spans="1:30" ht="17" x14ac:dyDescent="0.2">
      <c r="A30" s="35" t="s">
        <v>38</v>
      </c>
      <c r="B30" s="24">
        <f t="shared" si="74"/>
        <v>78.245000000000118</v>
      </c>
      <c r="C30" s="24">
        <f t="shared" si="74"/>
        <v>67.076999999999998</v>
      </c>
      <c r="D30" s="24">
        <f t="shared" si="74"/>
        <v>139.95799999999986</v>
      </c>
      <c r="E30" s="24">
        <f t="shared" si="74"/>
        <v>217.05699999999979</v>
      </c>
      <c r="F30" s="24">
        <f t="shared" si="74"/>
        <v>173.12699999999995</v>
      </c>
      <c r="G30" s="24">
        <f t="shared" si="74"/>
        <v>211.2320000000002</v>
      </c>
      <c r="H30" s="4"/>
      <c r="I30" s="4"/>
      <c r="J30" s="8">
        <f t="shared" si="75"/>
        <v>-0.14273116493066784</v>
      </c>
      <c r="K30" s="8">
        <f t="shared" si="65"/>
        <v>1.0865274237070808</v>
      </c>
      <c r="L30" s="8">
        <f t="shared" si="66"/>
        <v>0.55087240457851649</v>
      </c>
      <c r="M30" s="8">
        <f t="shared" si="67"/>
        <v>-0.20238923416429733</v>
      </c>
      <c r="N30" s="8">
        <f t="shared" si="68"/>
        <v>0.22009854037787435</v>
      </c>
      <c r="O30" s="28">
        <f t="shared" si="76"/>
        <v>0.18952723693069784</v>
      </c>
      <c r="P30" s="4"/>
      <c r="Q30" s="26">
        <f t="shared" si="77"/>
        <v>7.8335477476485463E-2</v>
      </c>
      <c r="R30" s="26">
        <f t="shared" si="69"/>
        <v>6.301404351620557E-2</v>
      </c>
      <c r="S30" s="26">
        <f t="shared" si="69"/>
        <v>0.1168499813818817</v>
      </c>
      <c r="T30" s="26">
        <f t="shared" si="69"/>
        <v>0.15814060909674413</v>
      </c>
      <c r="U30" s="26">
        <f t="shared" si="69"/>
        <v>0.13349016559914326</v>
      </c>
      <c r="V30" s="26">
        <f t="shared" si="69"/>
        <v>0.14972158272565417</v>
      </c>
      <c r="W30" s="4"/>
      <c r="X30" s="4"/>
      <c r="Y30" s="8">
        <f t="shared" si="78"/>
        <v>-0.19558742033428012</v>
      </c>
      <c r="Z30" s="8">
        <f t="shared" si="70"/>
        <v>0.85434825098679679</v>
      </c>
      <c r="AA30" s="8">
        <f t="shared" si="71"/>
        <v>0.35336443554850905</v>
      </c>
      <c r="AB30" s="8">
        <f t="shared" si="72"/>
        <v>-0.15587674562781473</v>
      </c>
      <c r="AC30" s="8">
        <f t="shared" si="73"/>
        <v>0.12159260611940592</v>
      </c>
      <c r="AD30" s="28">
        <f t="shared" si="79"/>
        <v>0.10636009868003342</v>
      </c>
    </row>
    <row r="31" spans="1:30" ht="17" x14ac:dyDescent="0.2">
      <c r="A31" s="33" t="s">
        <v>8</v>
      </c>
      <c r="B31" s="34">
        <f>SUM(B28:B30)</f>
        <v>998.84500000000003</v>
      </c>
      <c r="C31" s="34">
        <f t="shared" ref="C31:F31" si="80">SUM(C28:C30)</f>
        <v>1064.4770000000005</v>
      </c>
      <c r="D31" s="34">
        <f t="shared" si="80"/>
        <v>1197.758</v>
      </c>
      <c r="E31" s="34">
        <f t="shared" si="80"/>
        <v>1372.5569999999998</v>
      </c>
      <c r="F31" s="34">
        <f t="shared" si="80"/>
        <v>1296.9269999999992</v>
      </c>
      <c r="G31" s="34">
        <f>SUM(G28:G30)</f>
        <v>1410.8320000000006</v>
      </c>
      <c r="H31" s="4"/>
      <c r="I31" s="4"/>
      <c r="J31" s="8">
        <f t="shared" si="75"/>
        <v>6.5707892615971986E-2</v>
      </c>
      <c r="K31" s="8">
        <f t="shared" si="65"/>
        <v>0.12520796597765793</v>
      </c>
      <c r="L31" s="8">
        <f t="shared" si="66"/>
        <v>0.14593849508832313</v>
      </c>
      <c r="M31" s="8">
        <f t="shared" si="67"/>
        <v>-5.5101536766779535E-2</v>
      </c>
      <c r="N31" s="8">
        <f t="shared" si="68"/>
        <v>8.7826839906950394E-2</v>
      </c>
      <c r="O31" s="28">
        <f t="shared" si="76"/>
        <v>5.9554599409497998E-2</v>
      </c>
      <c r="P31" s="4"/>
      <c r="Q31" s="26">
        <f t="shared" si="77"/>
        <v>1</v>
      </c>
      <c r="R31" s="26">
        <f t="shared" si="69"/>
        <v>1</v>
      </c>
      <c r="S31" s="26">
        <f t="shared" si="69"/>
        <v>1</v>
      </c>
      <c r="T31" s="26">
        <f t="shared" si="69"/>
        <v>1</v>
      </c>
      <c r="U31" s="26">
        <f t="shared" si="69"/>
        <v>1</v>
      </c>
      <c r="V31" s="26">
        <f t="shared" si="69"/>
        <v>1</v>
      </c>
      <c r="W31" s="4"/>
      <c r="X31" s="4"/>
      <c r="Y31" s="4"/>
      <c r="Z31" s="4"/>
      <c r="AA31" s="4"/>
      <c r="AB31" s="4"/>
      <c r="AC31" s="4"/>
      <c r="AD31" s="4"/>
    </row>
    <row r="32" spans="1:30" x14ac:dyDescent="0.2">
      <c r="A32" s="29"/>
      <c r="B32" s="2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7" x14ac:dyDescent="0.2">
      <c r="A33" s="10" t="s">
        <v>54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7" x14ac:dyDescent="0.2">
      <c r="A34" s="35" t="s">
        <v>39</v>
      </c>
      <c r="B34" s="26">
        <f>B28/B4</f>
        <v>0.16651130272663714</v>
      </c>
      <c r="C34" s="26">
        <f t="shared" ref="C34:G34" si="81">C28/C4</f>
        <v>0.17392505803028643</v>
      </c>
      <c r="D34" s="26">
        <f t="shared" si="81"/>
        <v>0.17627200971463272</v>
      </c>
      <c r="E34" s="26">
        <f t="shared" si="81"/>
        <v>0.17912057649056778</v>
      </c>
      <c r="F34" s="26">
        <f t="shared" si="81"/>
        <v>0.16459853210200334</v>
      </c>
      <c r="G34" s="26">
        <f t="shared" si="81"/>
        <v>0.18297093360717959</v>
      </c>
      <c r="H34" s="4"/>
      <c r="I34" s="4"/>
      <c r="J34" s="8">
        <f>C34/B34-1</f>
        <v>4.4524036400222622E-2</v>
      </c>
      <c r="K34" s="8">
        <f t="shared" ref="K34:K36" si="82">D34/C34-1</f>
        <v>1.3494039967131055E-2</v>
      </c>
      <c r="L34" s="8">
        <f t="shared" ref="L34:L36" si="83">E34/D34-1</f>
        <v>1.6160062964883704E-2</v>
      </c>
      <c r="M34" s="8">
        <f t="shared" ref="M34:M36" si="84">F34/E34-1</f>
        <v>-8.1074127122012452E-2</v>
      </c>
      <c r="N34" s="8">
        <f t="shared" ref="N34:N36" si="85">G34/F34-1</f>
        <v>0.11161947357945268</v>
      </c>
      <c r="O34" s="28">
        <f>AVERAGE(L34:N34)</f>
        <v>1.556846980744131E-2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7" x14ac:dyDescent="0.2">
      <c r="A35" s="35" t="s">
        <v>40</v>
      </c>
      <c r="B35" s="26">
        <f t="shared" ref="B35:G36" si="86">B29/B5</f>
        <v>0.35323886639676111</v>
      </c>
      <c r="C35" s="26">
        <f t="shared" si="86"/>
        <v>0.35832521908471276</v>
      </c>
      <c r="D35" s="26">
        <f t="shared" si="86"/>
        <v>0.33133732534930138</v>
      </c>
      <c r="E35" s="26">
        <f t="shared" si="86"/>
        <v>0.36478599221789881</v>
      </c>
      <c r="F35" s="26">
        <f t="shared" si="86"/>
        <v>0.37549800796812749</v>
      </c>
      <c r="G35" s="26">
        <f t="shared" si="86"/>
        <v>0.37291462217860649</v>
      </c>
      <c r="H35" s="4"/>
      <c r="I35" s="4"/>
      <c r="J35" s="8">
        <f t="shared" ref="J35:J36" si="87">C35/B35-1</f>
        <v>1.4399187552138315E-2</v>
      </c>
      <c r="K35" s="8">
        <f t="shared" si="82"/>
        <v>-7.5316757788770339E-2</v>
      </c>
      <c r="L35" s="8">
        <f t="shared" si="83"/>
        <v>0.10095049458534522</v>
      </c>
      <c r="M35" s="8">
        <f t="shared" si="84"/>
        <v>2.9365205843293607E-2</v>
      </c>
      <c r="N35" s="8">
        <f t="shared" si="85"/>
        <v>-6.8798921291222115E-3</v>
      </c>
      <c r="O35" s="28">
        <f t="shared" ref="O35:O36" si="88">AVERAGE(L35:N35)</f>
        <v>4.1145269433172205E-2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7" x14ac:dyDescent="0.2">
      <c r="A36" s="35" t="s">
        <v>38</v>
      </c>
      <c r="B36" s="26">
        <f t="shared" si="86"/>
        <v>4.7054161146595323E-2</v>
      </c>
      <c r="C36" s="26">
        <f t="shared" si="86"/>
        <v>4.1424784838394117E-2</v>
      </c>
      <c r="D36" s="26">
        <f t="shared" si="86"/>
        <v>7.7186948843888797E-2</v>
      </c>
      <c r="E36" s="26">
        <f t="shared" si="86"/>
        <v>0.10493850139792615</v>
      </c>
      <c r="F36" s="26">
        <f t="shared" si="86"/>
        <v>8.2358951963819066E-2</v>
      </c>
      <c r="G36" s="26">
        <f t="shared" si="86"/>
        <v>9.8904674925891348E-2</v>
      </c>
      <c r="H36" s="4"/>
      <c r="I36" s="4"/>
      <c r="J36" s="8">
        <f t="shared" si="87"/>
        <v>-0.11963609957179155</v>
      </c>
      <c r="K36" s="8">
        <f t="shared" si="82"/>
        <v>0.86330355474408882</v>
      </c>
      <c r="L36" s="8">
        <f t="shared" si="83"/>
        <v>0.35953685136803482</v>
      </c>
      <c r="M36" s="8">
        <f t="shared" si="84"/>
        <v>-0.2151693528430102</v>
      </c>
      <c r="N36" s="8">
        <f t="shared" si="85"/>
        <v>0.200897687106812</v>
      </c>
      <c r="O36" s="28">
        <f t="shared" si="88"/>
        <v>0.1150883952106122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7" x14ac:dyDescent="0.2">
      <c r="A37" s="30" t="s">
        <v>45</v>
      </c>
      <c r="B37" s="26">
        <f>B31/B7</f>
        <v>0.16418458526110305</v>
      </c>
      <c r="C37" s="26">
        <f t="shared" ref="C37:G37" si="89">C31/C7</f>
        <v>0.16990723774183381</v>
      </c>
      <c r="D37" s="26">
        <f t="shared" si="89"/>
        <v>0.17276849219946994</v>
      </c>
      <c r="E37" s="26">
        <f t="shared" si="89"/>
        <v>0.18414139539975535</v>
      </c>
      <c r="F37" s="26">
        <f t="shared" si="89"/>
        <v>0.16968370459347989</v>
      </c>
      <c r="G37" s="26">
        <f t="shared" si="89"/>
        <v>0.18480627677373918</v>
      </c>
      <c r="H37" s="4"/>
      <c r="I37" s="4"/>
      <c r="J37" s="8">
        <f t="shared" ref="J37" si="90">C37/B37-1</f>
        <v>3.4854992456386791E-2</v>
      </c>
      <c r="K37" s="8">
        <f t="shared" ref="K37" si="91">D37/C37-1</f>
        <v>1.684009754772009E-2</v>
      </c>
      <c r="L37" s="8">
        <f t="shared" ref="L37" si="92">E37/D37-1</f>
        <v>6.5827414799423112E-2</v>
      </c>
      <c r="M37" s="8">
        <f t="shared" ref="M37" si="93">F37/E37-1</f>
        <v>-7.8514072161172899E-2</v>
      </c>
      <c r="N37" s="8">
        <f t="shared" ref="N37" si="94">G37/F37-1</f>
        <v>8.9122124110203815E-2</v>
      </c>
      <c r="O37" s="28">
        <f t="shared" ref="O37" si="95">AVERAGE(L37:N37)</f>
        <v>2.5478488916151343E-2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</sheetData>
  <mergeCells count="3">
    <mergeCell ref="I2:N2"/>
    <mergeCell ref="Q2:V2"/>
    <mergeCell ref="X2:A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1BB6-67BF-114B-A96C-DFFEB8016B65}">
  <dimension ref="A1:T20"/>
  <sheetViews>
    <sheetView workbookViewId="0">
      <selection activeCell="T3" sqref="T3"/>
    </sheetView>
  </sheetViews>
  <sheetFormatPr baseColWidth="10" defaultRowHeight="16" x14ac:dyDescent="0.2"/>
  <cols>
    <col min="1" max="1" width="24.33203125" customWidth="1"/>
  </cols>
  <sheetData>
    <row r="1" spans="1:20" x14ac:dyDescent="0.2">
      <c r="A1" s="16" t="s">
        <v>170</v>
      </c>
      <c r="B1" s="16">
        <v>2023</v>
      </c>
      <c r="C1" s="16">
        <f>B1+1</f>
        <v>2024</v>
      </c>
      <c r="D1" s="16">
        <f t="shared" ref="D1:T1" si="0">C1+1</f>
        <v>2025</v>
      </c>
      <c r="E1" s="16">
        <f t="shared" si="0"/>
        <v>2026</v>
      </c>
      <c r="F1" s="16">
        <f t="shared" si="0"/>
        <v>2027</v>
      </c>
      <c r="G1" s="16">
        <f t="shared" si="0"/>
        <v>2028</v>
      </c>
      <c r="H1" s="16">
        <f t="shared" si="0"/>
        <v>2029</v>
      </c>
      <c r="I1" s="16">
        <f t="shared" si="0"/>
        <v>2030</v>
      </c>
      <c r="J1" s="16">
        <f t="shared" si="0"/>
        <v>2031</v>
      </c>
      <c r="K1" s="16">
        <f t="shared" si="0"/>
        <v>2032</v>
      </c>
      <c r="L1" s="16">
        <f t="shared" si="0"/>
        <v>2033</v>
      </c>
      <c r="M1" s="16">
        <f t="shared" si="0"/>
        <v>2034</v>
      </c>
      <c r="N1" s="16">
        <f t="shared" si="0"/>
        <v>2035</v>
      </c>
      <c r="O1" s="16">
        <f t="shared" si="0"/>
        <v>2036</v>
      </c>
      <c r="P1" s="16">
        <f>O1+1</f>
        <v>2037</v>
      </c>
      <c r="Q1" s="16">
        <f t="shared" si="0"/>
        <v>2038</v>
      </c>
      <c r="R1" s="16">
        <f t="shared" si="0"/>
        <v>2039</v>
      </c>
      <c r="S1" s="16">
        <f t="shared" si="0"/>
        <v>2040</v>
      </c>
      <c r="T1" s="16">
        <f t="shared" si="0"/>
        <v>2041</v>
      </c>
    </row>
    <row r="2" spans="1:20" x14ac:dyDescent="0.2">
      <c r="A2" s="16" t="s">
        <v>179</v>
      </c>
      <c r="B2">
        <f>193*B6</f>
        <v>13.510000000000002</v>
      </c>
      <c r="C2">
        <f>B2*(1+$B8)</f>
        <v>14.185500000000003</v>
      </c>
      <c r="D2">
        <f>C2*(1+$B8)</f>
        <v>14.894775000000005</v>
      </c>
      <c r="E2">
        <f t="shared" ref="E2:S2" si="1">D2*(1+$B8)</f>
        <v>15.639513750000006</v>
      </c>
      <c r="F2">
        <f t="shared" si="1"/>
        <v>16.421489437500007</v>
      </c>
      <c r="G2">
        <f t="shared" si="1"/>
        <v>17.242563909375008</v>
      </c>
      <c r="H2">
        <f t="shared" si="1"/>
        <v>18.10469210484376</v>
      </c>
      <c r="I2">
        <f t="shared" si="1"/>
        <v>19.009926710085949</v>
      </c>
      <c r="J2">
        <f t="shared" si="1"/>
        <v>19.960423045590247</v>
      </c>
      <c r="K2">
        <f t="shared" si="1"/>
        <v>20.95844419786976</v>
      </c>
      <c r="L2">
        <f t="shared" si="1"/>
        <v>22.006366407763249</v>
      </c>
      <c r="M2">
        <f t="shared" si="1"/>
        <v>23.106684728151411</v>
      </c>
      <c r="N2">
        <f t="shared" si="1"/>
        <v>24.262018964558983</v>
      </c>
      <c r="O2">
        <f t="shared" si="1"/>
        <v>25.475119912786933</v>
      </c>
      <c r="P2">
        <f t="shared" si="1"/>
        <v>26.748875908426282</v>
      </c>
      <c r="Q2">
        <f>P2*(1+$B8)</f>
        <v>28.086319703847597</v>
      </c>
      <c r="R2">
        <f t="shared" si="1"/>
        <v>29.490635689039976</v>
      </c>
      <c r="S2">
        <f t="shared" si="1"/>
        <v>30.965167473491977</v>
      </c>
      <c r="T2">
        <f>(S2)*(1+B9)/(B11-B9)</f>
        <v>531.56870829494562</v>
      </c>
    </row>
    <row r="3" spans="1:20" x14ac:dyDescent="0.2">
      <c r="A3" s="16" t="s">
        <v>171</v>
      </c>
      <c r="B3">
        <v>0</v>
      </c>
      <c r="C3">
        <f>B3+1</f>
        <v>1</v>
      </c>
      <c r="D3">
        <f t="shared" ref="D3:R3" si="2">C3+1</f>
        <v>2</v>
      </c>
      <c r="E3">
        <f t="shared" si="2"/>
        <v>3</v>
      </c>
      <c r="F3">
        <f t="shared" si="2"/>
        <v>4</v>
      </c>
      <c r="G3">
        <f t="shared" si="2"/>
        <v>5</v>
      </c>
      <c r="H3">
        <f t="shared" si="2"/>
        <v>6</v>
      </c>
      <c r="I3">
        <f t="shared" si="2"/>
        <v>7</v>
      </c>
      <c r="J3">
        <f t="shared" si="2"/>
        <v>8</v>
      </c>
      <c r="K3">
        <f t="shared" si="2"/>
        <v>9</v>
      </c>
      <c r="L3">
        <f t="shared" si="2"/>
        <v>10</v>
      </c>
      <c r="M3">
        <f t="shared" si="2"/>
        <v>11</v>
      </c>
      <c r="N3">
        <f t="shared" si="2"/>
        <v>12</v>
      </c>
      <c r="O3">
        <f t="shared" si="2"/>
        <v>13</v>
      </c>
      <c r="P3">
        <f t="shared" si="2"/>
        <v>14</v>
      </c>
      <c r="Q3">
        <f t="shared" si="2"/>
        <v>15</v>
      </c>
      <c r="R3">
        <f t="shared" si="2"/>
        <v>16</v>
      </c>
      <c r="S3">
        <f>R3+1</f>
        <v>17</v>
      </c>
      <c r="T3">
        <f>S3+1</f>
        <v>18</v>
      </c>
    </row>
    <row r="4" spans="1:20" x14ac:dyDescent="0.2">
      <c r="A4" s="16" t="s">
        <v>172</v>
      </c>
      <c r="B4">
        <f>B2/((1+$B11)^B3)</f>
        <v>13.510000000000002</v>
      </c>
      <c r="C4">
        <f t="shared" ref="C4:R4" si="3">C2/((1+$B11)^C3)</f>
        <v>13.014220183486239</v>
      </c>
      <c r="D4">
        <f t="shared" si="3"/>
        <v>12.536634121706928</v>
      </c>
      <c r="E4">
        <f t="shared" si="3"/>
        <v>12.076574153937868</v>
      </c>
      <c r="F4">
        <f t="shared" si="3"/>
        <v>11.633397120765837</v>
      </c>
      <c r="G4">
        <f t="shared" si="3"/>
        <v>11.206483464957914</v>
      </c>
      <c r="H4">
        <f t="shared" si="3"/>
        <v>10.795236365326431</v>
      </c>
      <c r="I4">
        <f t="shared" si="3"/>
        <v>10.399080902378675</v>
      </c>
      <c r="J4">
        <f t="shared" si="3"/>
        <v>10.01746325458496</v>
      </c>
      <c r="K4">
        <f t="shared" si="3"/>
        <v>9.6498499241414759</v>
      </c>
      <c r="L4">
        <f t="shared" si="3"/>
        <v>9.2957269911454574</v>
      </c>
      <c r="M4">
        <f t="shared" si="3"/>
        <v>8.9545993951401197</v>
      </c>
      <c r="N4">
        <f t="shared" si="3"/>
        <v>8.6259902430248871</v>
      </c>
      <c r="O4">
        <f t="shared" si="3"/>
        <v>8.309440142363421</v>
      </c>
      <c r="P4">
        <f t="shared" si="3"/>
        <v>8.0045065591574254</v>
      </c>
      <c r="Q4">
        <f t="shared" si="3"/>
        <v>7.710763199188345</v>
      </c>
      <c r="R4">
        <f t="shared" si="3"/>
        <v>7.4277994120621669</v>
      </c>
      <c r="S4">
        <f>S2/((1+$B11)^S3)</f>
        <v>7.1552196171241063</v>
      </c>
      <c r="T4">
        <f>T2/((1+$B11)^T3)</f>
        <v>112.68923861831541</v>
      </c>
    </row>
    <row r="5" spans="1:20" x14ac:dyDescent="0.2">
      <c r="A5" s="16"/>
    </row>
    <row r="6" spans="1:20" x14ac:dyDescent="0.2">
      <c r="A6" s="16" t="s">
        <v>180</v>
      </c>
      <c r="B6" s="65">
        <v>7.0000000000000007E-2</v>
      </c>
    </row>
    <row r="7" spans="1:20" x14ac:dyDescent="0.2">
      <c r="A7" s="16"/>
    </row>
    <row r="8" spans="1:20" x14ac:dyDescent="0.2">
      <c r="A8" s="16" t="s">
        <v>173</v>
      </c>
      <c r="B8" s="63">
        <v>0.05</v>
      </c>
    </row>
    <row r="9" spans="1:20" x14ac:dyDescent="0.2">
      <c r="A9" s="16" t="s">
        <v>174</v>
      </c>
      <c r="B9" s="63">
        <v>0.03</v>
      </c>
    </row>
    <row r="10" spans="1:20" x14ac:dyDescent="0.2">
      <c r="A10" s="16"/>
    </row>
    <row r="11" spans="1:20" x14ac:dyDescent="0.2">
      <c r="A11" s="16" t="s">
        <v>175</v>
      </c>
      <c r="B11" s="65">
        <f>SUM(B12:B14)</f>
        <v>0.09</v>
      </c>
    </row>
    <row r="12" spans="1:20" x14ac:dyDescent="0.2">
      <c r="A12" s="16" t="s">
        <v>176</v>
      </c>
      <c r="B12" s="65">
        <v>0.04</v>
      </c>
      <c r="C12" t="s">
        <v>181</v>
      </c>
    </row>
    <row r="13" spans="1:20" x14ac:dyDescent="0.2">
      <c r="A13" s="16" t="s">
        <v>177</v>
      </c>
      <c r="B13" s="65">
        <v>0.05</v>
      </c>
      <c r="C13" t="s">
        <v>182</v>
      </c>
    </row>
    <row r="14" spans="1:20" x14ac:dyDescent="0.2">
      <c r="A14" s="16" t="s">
        <v>178</v>
      </c>
      <c r="B14" s="65">
        <v>0</v>
      </c>
      <c r="C14" t="s">
        <v>183</v>
      </c>
    </row>
    <row r="16" spans="1:20" x14ac:dyDescent="0.2">
      <c r="A16" s="16" t="s">
        <v>184</v>
      </c>
      <c r="B16">
        <f>SUM(B4:T4)</f>
        <v>293.01222366880768</v>
      </c>
    </row>
    <row r="17" spans="1:2" x14ac:dyDescent="0.2">
      <c r="A17" s="16" t="s">
        <v>185</v>
      </c>
      <c r="B17">
        <f>B16</f>
        <v>293.01222366880768</v>
      </c>
    </row>
    <row r="18" spans="1:2" x14ac:dyDescent="0.2">
      <c r="A18" s="16" t="s">
        <v>188</v>
      </c>
      <c r="B18">
        <f>(B17+Overview!I11-Overview!H11)/1000</f>
        <v>0.29225387366880767</v>
      </c>
    </row>
    <row r="20" spans="1:2" x14ac:dyDescent="0.2">
      <c r="A20" s="16" t="s">
        <v>187</v>
      </c>
      <c r="B20" s="61">
        <f>B18/Overview!C11-1</f>
        <v>-0.81734132895699518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2CD2-65E2-CD47-9325-0E1C69AB065F}">
  <dimension ref="A1:T19"/>
  <sheetViews>
    <sheetView tabSelected="1" workbookViewId="0">
      <selection activeCell="B10" sqref="B10"/>
    </sheetView>
  </sheetViews>
  <sheetFormatPr baseColWidth="10" defaultRowHeight="16" x14ac:dyDescent="0.2"/>
  <cols>
    <col min="1" max="1" width="24.33203125" customWidth="1"/>
  </cols>
  <sheetData>
    <row r="1" spans="1:20" x14ac:dyDescent="0.2">
      <c r="A1" s="16" t="s">
        <v>170</v>
      </c>
      <c r="B1" s="16">
        <v>2023</v>
      </c>
      <c r="C1" s="16">
        <f>B1+1</f>
        <v>2024</v>
      </c>
      <c r="D1" s="16">
        <f t="shared" ref="D1:T1" si="0">C1+1</f>
        <v>2025</v>
      </c>
      <c r="E1" s="16">
        <f t="shared" si="0"/>
        <v>2026</v>
      </c>
      <c r="F1" s="16">
        <f t="shared" si="0"/>
        <v>2027</v>
      </c>
      <c r="G1" s="16">
        <f t="shared" si="0"/>
        <v>2028</v>
      </c>
      <c r="H1" s="16">
        <f t="shared" si="0"/>
        <v>2029</v>
      </c>
      <c r="I1" s="16">
        <f t="shared" si="0"/>
        <v>2030</v>
      </c>
      <c r="J1" s="16">
        <f t="shared" si="0"/>
        <v>2031</v>
      </c>
      <c r="K1" s="16">
        <f t="shared" si="0"/>
        <v>2032</v>
      </c>
      <c r="L1" s="16">
        <f t="shared" si="0"/>
        <v>2033</v>
      </c>
      <c r="M1" s="16">
        <f t="shared" si="0"/>
        <v>2034</v>
      </c>
      <c r="N1" s="16">
        <f t="shared" si="0"/>
        <v>2035</v>
      </c>
      <c r="O1" s="16">
        <f t="shared" si="0"/>
        <v>2036</v>
      </c>
      <c r="P1" s="16">
        <f>O1+1</f>
        <v>2037</v>
      </c>
      <c r="Q1" s="16">
        <f t="shared" si="0"/>
        <v>2038</v>
      </c>
      <c r="R1" s="16">
        <f t="shared" si="0"/>
        <v>2039</v>
      </c>
      <c r="S1" s="16">
        <f t="shared" si="0"/>
        <v>2040</v>
      </c>
      <c r="T1" s="16">
        <f t="shared" si="0"/>
        <v>2041</v>
      </c>
    </row>
    <row r="2" spans="1:20" x14ac:dyDescent="0.2">
      <c r="A2" s="16" t="s">
        <v>179</v>
      </c>
      <c r="B2">
        <f>450*B6</f>
        <v>45</v>
      </c>
      <c r="C2">
        <f>B2*(1+$B8)</f>
        <v>45.9</v>
      </c>
      <c r="D2">
        <f t="shared" ref="D2:I2" si="1">C2*(1+$B8)</f>
        <v>46.817999999999998</v>
      </c>
      <c r="E2">
        <f t="shared" si="1"/>
        <v>47.754359999999998</v>
      </c>
      <c r="F2">
        <f t="shared" si="1"/>
        <v>48.7094472</v>
      </c>
      <c r="G2">
        <f t="shared" si="1"/>
        <v>49.683636143999998</v>
      </c>
      <c r="H2">
        <f t="shared" si="1"/>
        <v>50.677308866879997</v>
      </c>
      <c r="I2">
        <f t="shared" si="1"/>
        <v>51.690855044217599</v>
      </c>
      <c r="J2">
        <f>I2*(1+$B9)</f>
        <v>52.724672145101955</v>
      </c>
      <c r="K2">
        <f t="shared" ref="K2:S2" si="2">J2*(1+$B9)</f>
        <v>53.779165588003998</v>
      </c>
      <c r="L2">
        <f t="shared" si="2"/>
        <v>54.854748899764083</v>
      </c>
      <c r="M2">
        <f t="shared" si="2"/>
        <v>55.951843877759366</v>
      </c>
      <c r="N2">
        <f t="shared" si="2"/>
        <v>57.070880755314555</v>
      </c>
      <c r="O2">
        <f t="shared" si="2"/>
        <v>58.212298370420847</v>
      </c>
      <c r="P2">
        <f t="shared" si="2"/>
        <v>59.376544337829266</v>
      </c>
      <c r="Q2">
        <f t="shared" si="2"/>
        <v>60.564075224585849</v>
      </c>
      <c r="R2">
        <f t="shared" si="2"/>
        <v>61.775356729077565</v>
      </c>
      <c r="S2">
        <f t="shared" si="2"/>
        <v>63.010863863659118</v>
      </c>
      <c r="T2">
        <f>(S2)*(1+B9)/(B11-B9)</f>
        <v>642.71081140932301</v>
      </c>
    </row>
    <row r="3" spans="1:20" x14ac:dyDescent="0.2">
      <c r="A3" s="16" t="s">
        <v>171</v>
      </c>
      <c r="B3">
        <v>0</v>
      </c>
      <c r="C3">
        <f>B3+1</f>
        <v>1</v>
      </c>
      <c r="D3">
        <f t="shared" ref="D3:T3" si="3">C3+1</f>
        <v>2</v>
      </c>
      <c r="E3">
        <f t="shared" si="3"/>
        <v>3</v>
      </c>
      <c r="F3">
        <f t="shared" si="3"/>
        <v>4</v>
      </c>
      <c r="G3">
        <f t="shared" si="3"/>
        <v>5</v>
      </c>
      <c r="H3">
        <f t="shared" si="3"/>
        <v>6</v>
      </c>
      <c r="I3">
        <f t="shared" si="3"/>
        <v>7</v>
      </c>
      <c r="J3">
        <f t="shared" si="3"/>
        <v>8</v>
      </c>
      <c r="K3">
        <f t="shared" si="3"/>
        <v>9</v>
      </c>
      <c r="L3">
        <f t="shared" si="3"/>
        <v>10</v>
      </c>
      <c r="M3">
        <f t="shared" si="3"/>
        <v>11</v>
      </c>
      <c r="N3">
        <f t="shared" si="3"/>
        <v>12</v>
      </c>
      <c r="O3">
        <f t="shared" si="3"/>
        <v>13</v>
      </c>
      <c r="P3">
        <f t="shared" si="3"/>
        <v>14</v>
      </c>
      <c r="Q3">
        <f t="shared" si="3"/>
        <v>15</v>
      </c>
      <c r="R3">
        <f t="shared" si="3"/>
        <v>16</v>
      </c>
      <c r="S3">
        <f t="shared" si="3"/>
        <v>17</v>
      </c>
      <c r="T3">
        <f t="shared" si="3"/>
        <v>18</v>
      </c>
    </row>
    <row r="4" spans="1:20" x14ac:dyDescent="0.2">
      <c r="A4" s="16" t="s">
        <v>172</v>
      </c>
      <c r="B4">
        <f>B2/((1+$B11)^B3)</f>
        <v>45</v>
      </c>
      <c r="C4">
        <f t="shared" ref="C4:R4" si="4">C2/((1+$B11)^C3)</f>
        <v>40.982142857142854</v>
      </c>
      <c r="D4">
        <f t="shared" si="4"/>
        <v>37.323022959183668</v>
      </c>
      <c r="E4">
        <f t="shared" si="4"/>
        <v>33.990610194970834</v>
      </c>
      <c r="F4">
        <f t="shared" si="4"/>
        <v>30.955734284705585</v>
      </c>
      <c r="G4">
        <f t="shared" si="4"/>
        <v>28.191829437856867</v>
      </c>
      <c r="H4">
        <f t="shared" si="4"/>
        <v>25.674701809476787</v>
      </c>
      <c r="I4">
        <f t="shared" si="4"/>
        <v>23.382317719344933</v>
      </c>
      <c r="J4">
        <f t="shared" si="4"/>
        <v>21.294610780117704</v>
      </c>
      <c r="K4">
        <f t="shared" si="4"/>
        <v>19.393306246178625</v>
      </c>
      <c r="L4">
        <f t="shared" si="4"/>
        <v>17.661761045626964</v>
      </c>
      <c r="M4">
        <f t="shared" si="4"/>
        <v>16.084818095124554</v>
      </c>
      <c r="N4">
        <f t="shared" si="4"/>
        <v>14.648673622345576</v>
      </c>
      <c r="O4">
        <f t="shared" si="4"/>
        <v>13.340756334636147</v>
      </c>
      <c r="P4">
        <f t="shared" si="4"/>
        <v>12.149617376186491</v>
      </c>
      <c r="Q4">
        <f t="shared" si="4"/>
        <v>11.064830110455555</v>
      </c>
      <c r="R4">
        <f t="shared" si="4"/>
        <v>10.07689885059345</v>
      </c>
      <c r="S4">
        <f>S2/((1+$B11)^S3)</f>
        <v>9.1771757389333199</v>
      </c>
      <c r="T4">
        <f>T2/((1+$B11)^T3)</f>
        <v>83.577850479571296</v>
      </c>
    </row>
    <row r="5" spans="1:20" x14ac:dyDescent="0.2">
      <c r="A5" s="16"/>
    </row>
    <row r="6" spans="1:20" x14ac:dyDescent="0.2">
      <c r="A6" s="16" t="s">
        <v>180</v>
      </c>
      <c r="B6" s="65">
        <v>0.1</v>
      </c>
    </row>
    <row r="7" spans="1:20" x14ac:dyDescent="0.2">
      <c r="A7" s="16"/>
    </row>
    <row r="8" spans="1:20" x14ac:dyDescent="0.2">
      <c r="A8" s="16" t="s">
        <v>173</v>
      </c>
      <c r="B8" s="63">
        <v>0.02</v>
      </c>
    </row>
    <row r="9" spans="1:20" x14ac:dyDescent="0.2">
      <c r="A9" s="16" t="s">
        <v>174</v>
      </c>
      <c r="B9" s="63">
        <v>0.02</v>
      </c>
    </row>
    <row r="10" spans="1:20" x14ac:dyDescent="0.2">
      <c r="A10" s="16"/>
    </row>
    <row r="11" spans="1:20" x14ac:dyDescent="0.2">
      <c r="A11" s="16" t="s">
        <v>175</v>
      </c>
      <c r="B11" s="65">
        <f>SUM(B12:B14)</f>
        <v>0.12</v>
      </c>
    </row>
    <row r="12" spans="1:20" x14ac:dyDescent="0.2">
      <c r="A12" s="16" t="s">
        <v>176</v>
      </c>
      <c r="B12" s="65">
        <v>0.04</v>
      </c>
      <c r="C12" t="s">
        <v>181</v>
      </c>
    </row>
    <row r="13" spans="1:20" x14ac:dyDescent="0.2">
      <c r="A13" s="16" t="s">
        <v>177</v>
      </c>
      <c r="B13" s="65">
        <v>0.05</v>
      </c>
      <c r="C13" t="s">
        <v>182</v>
      </c>
    </row>
    <row r="14" spans="1:20" x14ac:dyDescent="0.2">
      <c r="A14" s="16" t="s">
        <v>178</v>
      </c>
      <c r="B14" s="65">
        <v>0.03</v>
      </c>
      <c r="C14" t="s">
        <v>183</v>
      </c>
    </row>
    <row r="16" spans="1:20" x14ac:dyDescent="0.2">
      <c r="A16" s="16" t="s">
        <v>184</v>
      </c>
      <c r="B16">
        <f>SUM(B4:T4)</f>
        <v>493.97065794245123</v>
      </c>
    </row>
    <row r="17" spans="1:2" x14ac:dyDescent="0.2">
      <c r="A17" s="16" t="s">
        <v>186</v>
      </c>
      <c r="B17">
        <f>B16/1000</f>
        <v>0.49397065794245121</v>
      </c>
    </row>
    <row r="18" spans="1:2" x14ac:dyDescent="0.2">
      <c r="A18" s="16"/>
      <c r="B18" s="31"/>
    </row>
    <row r="19" spans="1:2" x14ac:dyDescent="0.2">
      <c r="A19" s="16" t="s">
        <v>187</v>
      </c>
      <c r="B19" s="61">
        <f>B17/Overview!C12-1</f>
        <v>0.5672652387285082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4128-722F-614C-8A3D-2C85A0464B9F}">
  <dimension ref="A1:AQ105"/>
  <sheetViews>
    <sheetView zoomScale="85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L65" sqref="L65"/>
    </sheetView>
  </sheetViews>
  <sheetFormatPr baseColWidth="10" defaultRowHeight="16" outlineLevelCol="1" x14ac:dyDescent="0.2"/>
  <cols>
    <col min="1" max="1" width="24.83203125" style="1" bestFit="1" customWidth="1"/>
    <col min="2" max="5" width="10" customWidth="1" outlineLevel="1"/>
    <col min="6" max="10" width="10" bestFit="1" customWidth="1"/>
    <col min="11" max="11" width="11" bestFit="1" customWidth="1"/>
    <col min="19" max="19" width="11" customWidth="1"/>
    <col min="21" max="21" width="6" bestFit="1" customWidth="1"/>
    <col min="22" max="22" width="6.1640625" bestFit="1" customWidth="1"/>
    <col min="23" max="23" width="6.83203125" bestFit="1" customWidth="1"/>
    <col min="24" max="24" width="7.33203125" bestFit="1" customWidth="1"/>
    <col min="25" max="25" width="8" bestFit="1" customWidth="1"/>
    <col min="26" max="26" width="6.83203125" bestFit="1" customWidth="1"/>
    <col min="27" max="27" width="14.1640625" bestFit="1" customWidth="1"/>
    <col min="29" max="33" width="6.1640625" bestFit="1" customWidth="1"/>
    <col min="34" max="34" width="7.1640625" bestFit="1" customWidth="1"/>
    <col min="35" max="35" width="14.1640625" bestFit="1" customWidth="1"/>
    <col min="37" max="37" width="6" bestFit="1" customWidth="1"/>
    <col min="38" max="40" width="7.33203125" bestFit="1" customWidth="1"/>
    <col min="41" max="41" width="8.83203125" bestFit="1" customWidth="1"/>
    <col min="42" max="42" width="7.6640625" bestFit="1" customWidth="1"/>
    <col min="43" max="43" width="14.1640625" bestFit="1" customWidth="1"/>
  </cols>
  <sheetData>
    <row r="1" spans="1:43" ht="17" x14ac:dyDescent="0.2">
      <c r="A1" s="2" t="s">
        <v>0</v>
      </c>
      <c r="B1" s="3">
        <f t="shared" ref="B1:D1" si="0">C1-1</f>
        <v>2014</v>
      </c>
      <c r="C1" s="3">
        <f t="shared" si="0"/>
        <v>2015</v>
      </c>
      <c r="D1" s="3">
        <f t="shared" si="0"/>
        <v>2016</v>
      </c>
      <c r="E1" s="3">
        <f>F1-1</f>
        <v>2017</v>
      </c>
      <c r="F1" s="3">
        <v>2018</v>
      </c>
      <c r="G1" s="3">
        <f>F1+1</f>
        <v>2019</v>
      </c>
      <c r="H1" s="3">
        <f t="shared" ref="H1:K1" si="1">G1+1</f>
        <v>2020</v>
      </c>
      <c r="I1" s="3">
        <f t="shared" si="1"/>
        <v>2021</v>
      </c>
      <c r="J1" s="3">
        <f t="shared" si="1"/>
        <v>2022</v>
      </c>
      <c r="K1" s="3">
        <f t="shared" si="1"/>
        <v>2023</v>
      </c>
      <c r="L1" s="3" t="s">
        <v>91</v>
      </c>
      <c r="M1" s="3" t="s">
        <v>92</v>
      </c>
      <c r="N1" s="3" t="s">
        <v>93</v>
      </c>
      <c r="O1" s="3" t="s">
        <v>94</v>
      </c>
      <c r="P1" s="3" t="s">
        <v>95</v>
      </c>
      <c r="Q1" s="3" t="s">
        <v>96</v>
      </c>
      <c r="S1" s="3" t="s">
        <v>30</v>
      </c>
      <c r="T1" s="4"/>
      <c r="U1" s="3">
        <v>2018</v>
      </c>
      <c r="V1" s="3">
        <f>U1+1</f>
        <v>2019</v>
      </c>
      <c r="W1" s="3">
        <f t="shared" ref="W1:Z1" si="2">V1+1</f>
        <v>2020</v>
      </c>
      <c r="X1" s="3">
        <f t="shared" si="2"/>
        <v>2021</v>
      </c>
      <c r="Y1" s="3">
        <f t="shared" si="2"/>
        <v>2022</v>
      </c>
      <c r="Z1" s="3">
        <f t="shared" si="2"/>
        <v>2023</v>
      </c>
      <c r="AA1" s="3" t="s">
        <v>30</v>
      </c>
      <c r="AB1" s="4"/>
      <c r="AC1" s="3">
        <v>2018</v>
      </c>
      <c r="AD1" s="3">
        <f>AC1+1</f>
        <v>2019</v>
      </c>
      <c r="AE1" s="3">
        <f t="shared" ref="AE1:AH1" si="3">AD1+1</f>
        <v>2020</v>
      </c>
      <c r="AF1" s="3">
        <f t="shared" si="3"/>
        <v>2021</v>
      </c>
      <c r="AG1" s="3">
        <f t="shared" si="3"/>
        <v>2022</v>
      </c>
      <c r="AH1" s="3">
        <f t="shared" si="3"/>
        <v>2023</v>
      </c>
      <c r="AI1" s="3" t="s">
        <v>30</v>
      </c>
      <c r="AJ1" s="4"/>
      <c r="AK1" s="3">
        <v>2018</v>
      </c>
      <c r="AL1" s="3">
        <f>AK1+1</f>
        <v>2019</v>
      </c>
      <c r="AM1" s="3">
        <f t="shared" ref="AM1" si="4">AL1+1</f>
        <v>2020</v>
      </c>
      <c r="AN1" s="3">
        <f t="shared" ref="AN1" si="5">AM1+1</f>
        <v>2021</v>
      </c>
      <c r="AO1" s="3">
        <f t="shared" ref="AO1" si="6">AN1+1</f>
        <v>2022</v>
      </c>
      <c r="AP1" s="3">
        <f t="shared" ref="AP1" si="7">AO1+1</f>
        <v>2023</v>
      </c>
      <c r="AQ1" s="3" t="s">
        <v>30</v>
      </c>
    </row>
    <row r="2" spans="1:43" ht="16" customHeight="1" x14ac:dyDescent="0.2">
      <c r="A2" s="2"/>
      <c r="B2" s="4"/>
      <c r="C2" s="4"/>
      <c r="D2" s="4"/>
      <c r="E2" s="4"/>
      <c r="F2" s="4"/>
      <c r="G2" s="4"/>
      <c r="H2" s="4"/>
      <c r="I2" s="4"/>
      <c r="J2" s="4"/>
      <c r="K2" s="4"/>
      <c r="S2" s="4"/>
      <c r="T2" s="4"/>
      <c r="U2" s="84" t="s">
        <v>26</v>
      </c>
      <c r="V2" s="84"/>
      <c r="W2" s="84"/>
      <c r="X2" s="84"/>
      <c r="Y2" s="84"/>
      <c r="Z2" s="84"/>
      <c r="AA2" s="84"/>
      <c r="AB2" s="4"/>
      <c r="AC2" s="83" t="s">
        <v>27</v>
      </c>
      <c r="AD2" s="83"/>
      <c r="AE2" s="83"/>
      <c r="AF2" s="83"/>
      <c r="AG2" s="83"/>
      <c r="AH2" s="83"/>
      <c r="AI2" s="11"/>
      <c r="AJ2" s="4"/>
      <c r="AK2" s="83" t="s">
        <v>32</v>
      </c>
      <c r="AL2" s="83"/>
      <c r="AM2" s="83"/>
      <c r="AN2" s="83"/>
      <c r="AO2" s="83"/>
      <c r="AP2" s="83"/>
      <c r="AQ2" s="83"/>
    </row>
    <row r="3" spans="1:43" ht="17" x14ac:dyDescent="0.2">
      <c r="A3" s="2" t="s">
        <v>9</v>
      </c>
      <c r="B3" s="4"/>
      <c r="C3" s="4"/>
      <c r="D3" s="4"/>
      <c r="E3" s="4"/>
      <c r="F3" s="4"/>
      <c r="G3" s="4"/>
      <c r="H3" s="4"/>
      <c r="I3" s="4"/>
      <c r="J3" s="4"/>
      <c r="K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ht="34" x14ac:dyDescent="0.2">
      <c r="A4" s="2" t="s">
        <v>28</v>
      </c>
      <c r="B4" s="4"/>
      <c r="C4" s="4"/>
      <c r="D4" s="4"/>
      <c r="E4" s="4"/>
      <c r="F4" s="4"/>
      <c r="G4" s="4"/>
      <c r="H4" s="4"/>
      <c r="I4" s="4"/>
      <c r="J4" s="4"/>
      <c r="K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ht="17" x14ac:dyDescent="0.2">
      <c r="A5" s="6" t="s">
        <v>1</v>
      </c>
      <c r="B5" s="7">
        <f>'[1]Statement of Income'!K$32/1000</f>
        <v>4108.2690000000002</v>
      </c>
      <c r="C5" s="7">
        <f>'[1]Statement of Income'!L$32/1000</f>
        <v>4501.223</v>
      </c>
      <c r="D5" s="7">
        <f>'[1]Statement of Income'!M$32/1000</f>
        <v>3904.384</v>
      </c>
      <c r="E5" s="7">
        <f>'[1]Statement of Income'!N$32/1000</f>
        <v>4476.3999999999996</v>
      </c>
      <c r="F5" s="7">
        <f>'[1]Statement of Income'!O$32/1000</f>
        <v>4865</v>
      </c>
      <c r="G5" s="7">
        <f>'[1]Statement of Income'!P$32/1000</f>
        <v>5586.3689999999997</v>
      </c>
      <c r="H5" s="7">
        <f>'[1]Statement of Income'!Q$32/1000</f>
        <v>5984.634</v>
      </c>
      <c r="I5" s="7">
        <f>'[1]Statement of Income'!R$32/1000</f>
        <v>7547.0609999999997</v>
      </c>
      <c r="J5" s="7">
        <f>'[1]Statement of Income'!S$32/1000</f>
        <v>8634.652</v>
      </c>
      <c r="K5" s="7">
        <f>'[1]Statement of Income'!T$32/1000</f>
        <v>9871.6489999999994</v>
      </c>
      <c r="L5" s="61">
        <f>K5/B5-1</f>
        <v>1.4028730835298271</v>
      </c>
      <c r="M5" s="61">
        <v>1.9513845293492373</v>
      </c>
      <c r="S5" s="7"/>
      <c r="T5" s="4"/>
      <c r="U5" s="4"/>
      <c r="V5" s="8">
        <f>G5/F5-1</f>
        <v>0.14827728674203478</v>
      </c>
      <c r="W5" s="8">
        <f>H5/G5-1</f>
        <v>7.1292283055415906E-2</v>
      </c>
      <c r="X5" s="8">
        <f>I5/H5-1</f>
        <v>0.26107310823017738</v>
      </c>
      <c r="Y5" s="8">
        <f>J5/I5-1</f>
        <v>0.14410788517543449</v>
      </c>
      <c r="Z5" s="8">
        <f>K5/J5-1</f>
        <v>0.14325962412845361</v>
      </c>
      <c r="AA5" s="14">
        <f>AVERAGE(X5:Z5)</f>
        <v>0.18281353917802182</v>
      </c>
      <c r="AB5" s="4"/>
      <c r="AC5" s="26">
        <f t="shared" ref="AC5:AC13" si="8">F5/F$16</f>
        <v>6.0242261810269433E-2</v>
      </c>
      <c r="AD5" s="26">
        <f t="shared" ref="AD5:AD13" si="9">G5/G$16</f>
        <v>6.6274227986199113E-2</v>
      </c>
      <c r="AE5" s="26">
        <f t="shared" ref="AE5:AE13" si="10">H5/H$16</f>
        <v>7.208514299989377E-2</v>
      </c>
      <c r="AF5" s="26">
        <f t="shared" ref="AF5:AF13" si="11">I5/I$16</f>
        <v>8.1867649035802265E-2</v>
      </c>
      <c r="AG5" s="26">
        <f t="shared" ref="AG5:AG13" si="12">J5/J$16</f>
        <v>8.7160697664561387E-2</v>
      </c>
      <c r="AH5" s="15">
        <f t="shared" ref="AH5:AH13" si="13">K5/K$16</f>
        <v>9.2357909316446052E-2</v>
      </c>
      <c r="AI5" s="20">
        <f>AVERAGE(AF5:AH5)</f>
        <v>8.712875200560323E-2</v>
      </c>
      <c r="AJ5" s="4"/>
      <c r="AK5" s="4"/>
      <c r="AL5" s="12">
        <f>(AD5-AC5)/ABS(AC5)</f>
        <v>0.10012848114712415</v>
      </c>
      <c r="AM5" s="12">
        <f>(AE5-AD5)/ABS(AD5)</f>
        <v>8.7679859732273546E-2</v>
      </c>
      <c r="AN5" s="12">
        <f>(AF5-AE5)/ABS(AE5)</f>
        <v>0.13570765942606108</v>
      </c>
      <c r="AO5" s="12">
        <f>(AG5-AF5)/ABS(AF5)</f>
        <v>6.4653726973940256E-2</v>
      </c>
      <c r="AP5" s="12">
        <f>(AH5-AG5)/ABS(AG5)</f>
        <v>5.9627926245911587E-2</v>
      </c>
      <c r="AQ5" s="13">
        <f>AVERAGE(AN5:AP5)</f>
        <v>8.6663104215304307E-2</v>
      </c>
    </row>
    <row r="6" spans="1:43" ht="17" x14ac:dyDescent="0.2">
      <c r="A6" s="6" t="s">
        <v>2</v>
      </c>
      <c r="B6" s="7">
        <f>'[2]Statement of Operations'!D$8/1000</f>
        <v>472.29500000000002</v>
      </c>
      <c r="C6" s="7">
        <f>'[2]Statement of Operations'!E$8/1000</f>
        <v>491.29300000000001</v>
      </c>
      <c r="D6" s="7">
        <f>'[2]Statement of Operations'!F$8/1000</f>
        <v>506.94799999999998</v>
      </c>
      <c r="E6" s="7">
        <f>'[2]Statement of Operations'!G$8/1000</f>
        <v>529.16899999999998</v>
      </c>
      <c r="F6" s="7">
        <f>'[2]Statement of Operations'!H$8/1000</f>
        <v>630.17899999999997</v>
      </c>
      <c r="G6" s="7">
        <f>'[2]Statement of Operations'!I$8/1000</f>
        <v>541.38900000000001</v>
      </c>
      <c r="H6" s="7">
        <f>'[2]Statement of Operations'!J$8/1000</f>
        <v>288.60500000000002</v>
      </c>
      <c r="I6" s="7">
        <f>'[2]Statement of Operations'!K$8/1000</f>
        <v>398.17399999999998</v>
      </c>
      <c r="J6" s="7">
        <f>'[2]Statement of Operations'!L$8/1000</f>
        <v>456.42899999999997</v>
      </c>
      <c r="K6" s="7">
        <f>'[2]Statement of Operations'!M$8/1000</f>
        <v>463.92200000000003</v>
      </c>
      <c r="L6" s="61">
        <f t="shared" ref="L6:L16" si="14">K6/B6-1</f>
        <v>-1.7728326575551234E-2</v>
      </c>
      <c r="M6" s="61">
        <v>5.189301739053942E-2</v>
      </c>
      <c r="S6" s="7"/>
      <c r="T6" s="4"/>
      <c r="U6" s="4"/>
      <c r="V6" s="8">
        <f t="shared" ref="V6:V11" si="15">G6/F6-1</f>
        <v>-0.14089647544586537</v>
      </c>
      <c r="W6" s="8">
        <f t="shared" ref="W6:W11" si="16">H6/G6-1</f>
        <v>-0.4669175029415078</v>
      </c>
      <c r="X6" s="8">
        <f t="shared" ref="X6:X11" si="17">I6/H6-1</f>
        <v>0.37965038720742861</v>
      </c>
      <c r="Y6" s="8">
        <f t="shared" ref="Y6:Y11" si="18">J6/I6-1</f>
        <v>0.1463053840783175</v>
      </c>
      <c r="Z6" s="8">
        <f t="shared" ref="Z6:Z11" si="19">K6/J6-1</f>
        <v>1.6416573004782942E-2</v>
      </c>
      <c r="AA6" s="14">
        <f t="shared" ref="AA6:AA31" si="20">AVERAGE(V6:Z6)</f>
        <v>-1.3088326819368824E-2</v>
      </c>
      <c r="AB6" s="4"/>
      <c r="AC6" s="26">
        <f t="shared" si="8"/>
        <v>7.8033727246318149E-3</v>
      </c>
      <c r="AD6" s="26">
        <f t="shared" si="9"/>
        <v>6.4228012892131462E-3</v>
      </c>
      <c r="AE6" s="26">
        <f t="shared" si="10"/>
        <v>3.4762581463602189E-3</v>
      </c>
      <c r="AF6" s="26">
        <f t="shared" si="11"/>
        <v>4.3192402031971824E-3</v>
      </c>
      <c r="AG6" s="26">
        <f t="shared" si="12"/>
        <v>4.6073275534831148E-3</v>
      </c>
      <c r="AH6" s="15">
        <f t="shared" si="13"/>
        <v>4.340396017514834E-3</v>
      </c>
      <c r="AI6" s="20">
        <f t="shared" ref="AI6:AI36" si="21">AVERAGE(AF6:AH6)</f>
        <v>4.4223212580650441E-3</v>
      </c>
      <c r="AJ6" s="4"/>
      <c r="AK6" s="4"/>
      <c r="AL6" s="12">
        <f t="shared" ref="AL6:AL34" si="22">(AD6-AC6)/ABS(AC6)</f>
        <v>-0.17691983763133753</v>
      </c>
      <c r="AM6" s="12">
        <f t="shared" ref="AM6:AM34" si="23">(AE6-AD6)/ABS(AD6)</f>
        <v>-0.45876293071709007</v>
      </c>
      <c r="AN6" s="12">
        <f t="shared" ref="AN6:AN34" si="24">(AF6-AE6)/ABS(AE6)</f>
        <v>0.24249696695269865</v>
      </c>
      <c r="AO6" s="12">
        <f t="shared" ref="AO6:AO34" si="25">(AG6-AF6)/ABS(AF6)</f>
        <v>6.6698617519045322E-2</v>
      </c>
      <c r="AP6" s="12">
        <f t="shared" ref="AP6:AP34" si="26">(AH6-AG6)/ABS(AG6)</f>
        <v>-5.7936305346139763E-2</v>
      </c>
      <c r="AQ6" s="13">
        <f t="shared" ref="AQ6:AQ36" si="27">AVERAGE(AN6:AP6)</f>
        <v>8.3753093041868079E-2</v>
      </c>
    </row>
    <row r="7" spans="1:43" ht="17" x14ac:dyDescent="0.2">
      <c r="A7" s="6" t="s">
        <v>3</v>
      </c>
      <c r="B7" s="7"/>
      <c r="C7" s="7">
        <f>'[3]Results of Operations'!B$5</f>
        <v>6764</v>
      </c>
      <c r="D7" s="7">
        <f>'[3]Results of Operations'!C$5</f>
        <v>6933.5</v>
      </c>
      <c r="E7" s="7">
        <f>'[3]Results of Operations'!D$5</f>
        <v>7170.2</v>
      </c>
      <c r="F7" s="7">
        <f>'[3]Results of Operations'!E$5</f>
        <v>8080.1</v>
      </c>
      <c r="G7" s="7">
        <f>'[3]Results of Operations'!F$5</f>
        <v>8510.4</v>
      </c>
      <c r="H7" s="7">
        <f>'[3]Results of Operations'!G$5</f>
        <v>7806.9</v>
      </c>
      <c r="I7" s="7">
        <f>'[3]Results of Operations'!H$5</f>
        <v>7196.1</v>
      </c>
      <c r="J7" s="7">
        <f>'[3]Results of Operations'!I$5</f>
        <v>9630</v>
      </c>
      <c r="K7" s="7">
        <f>'[3]Results of Operations'!J$5</f>
        <v>10487.8</v>
      </c>
      <c r="L7" s="61">
        <f>K7/C7-1</f>
        <v>0.55053222945002944</v>
      </c>
      <c r="M7" s="61">
        <v>0.16590191188694914</v>
      </c>
      <c r="S7" s="7"/>
      <c r="T7" s="4"/>
      <c r="U7" s="4"/>
      <c r="V7" s="8">
        <f t="shared" si="15"/>
        <v>5.3254291407284438E-2</v>
      </c>
      <c r="W7" s="8">
        <f t="shared" si="16"/>
        <v>-8.266356457980828E-2</v>
      </c>
      <c r="X7" s="8">
        <f t="shared" si="17"/>
        <v>-7.8238481343426924E-2</v>
      </c>
      <c r="Y7" s="8">
        <f t="shared" si="18"/>
        <v>0.33822487180556138</v>
      </c>
      <c r="Z7" s="8">
        <f t="shared" si="19"/>
        <v>8.9075804776739265E-2</v>
      </c>
      <c r="AA7" s="14">
        <f t="shared" si="20"/>
        <v>6.3930584413269972E-2</v>
      </c>
      <c r="AB7" s="4"/>
      <c r="AC7" s="26">
        <f t="shared" si="8"/>
        <v>0.10005416231308491</v>
      </c>
      <c r="AD7" s="26">
        <f t="shared" si="9"/>
        <v>0.10096364738057026</v>
      </c>
      <c r="AE7" s="26">
        <f t="shared" si="10"/>
        <v>9.4034405927893111E-2</v>
      </c>
      <c r="AF7" s="26">
        <f t="shared" si="11"/>
        <v>7.806055751060402E-2</v>
      </c>
      <c r="AG7" s="26">
        <f t="shared" si="12"/>
        <v>9.7208030909610041E-2</v>
      </c>
      <c r="AH7" s="15">
        <f t="shared" si="13"/>
        <v>9.8122540755756507E-2</v>
      </c>
      <c r="AI7" s="20">
        <f t="shared" si="21"/>
        <v>9.1130376391990189E-2</v>
      </c>
      <c r="AJ7" s="4"/>
      <c r="AK7" s="4"/>
      <c r="AL7" s="12">
        <f t="shared" si="22"/>
        <v>9.0899273599376416E-3</v>
      </c>
      <c r="AM7" s="12">
        <f t="shared" si="23"/>
        <v>-6.8631053180539428E-2</v>
      </c>
      <c r="AN7" s="12">
        <f t="shared" si="24"/>
        <v>-0.16987238085534415</v>
      </c>
      <c r="AO7" s="12">
        <f t="shared" si="25"/>
        <v>0.24528999035658899</v>
      </c>
      <c r="AP7" s="12">
        <f t="shared" si="26"/>
        <v>9.4077602188736165E-3</v>
      </c>
      <c r="AQ7" s="13">
        <f t="shared" si="27"/>
        <v>2.8275123240039488E-2</v>
      </c>
    </row>
    <row r="8" spans="1:43" ht="17" x14ac:dyDescent="0.2">
      <c r="A8" s="6" t="s">
        <v>4</v>
      </c>
      <c r="B8" s="7"/>
      <c r="C8" s="7"/>
      <c r="D8" s="7"/>
      <c r="E8" s="7"/>
      <c r="F8" s="7">
        <f>'[4]Statement of Operations'!B$25</f>
        <v>21258</v>
      </c>
      <c r="G8" s="7">
        <f>'[4]Statement of Operations'!C$25</f>
        <v>21365</v>
      </c>
      <c r="H8" s="7">
        <f>'[4]Statement of Operations'!D$25</f>
        <v>19208</v>
      </c>
      <c r="I8" s="7">
        <f>'[4]Statement of Operations'!E$25</f>
        <v>23223</v>
      </c>
      <c r="J8" s="7">
        <f>'[4]Statement of Operations'!F$25</f>
        <v>23183</v>
      </c>
      <c r="K8" s="7">
        <f>'[4]Statement of Operations'!G$25</f>
        <v>25494</v>
      </c>
      <c r="L8" s="61">
        <f>K8/F8-1</f>
        <v>0.19926615862263608</v>
      </c>
      <c r="M8" s="61">
        <v>0.10766598220396983</v>
      </c>
      <c r="S8" s="7"/>
      <c r="T8" s="4"/>
      <c r="U8" s="4"/>
      <c r="V8" s="8">
        <f t="shared" si="15"/>
        <v>5.033399190892851E-3</v>
      </c>
      <c r="W8" s="8">
        <f t="shared" si="16"/>
        <v>-0.10095951322256025</v>
      </c>
      <c r="X8" s="8">
        <f t="shared" si="17"/>
        <v>0.20902748854643893</v>
      </c>
      <c r="Y8" s="8">
        <f t="shared" si="18"/>
        <v>-1.7224303492227033E-3</v>
      </c>
      <c r="Z8" s="8">
        <f t="shared" si="19"/>
        <v>9.9685114092222804E-2</v>
      </c>
      <c r="AA8" s="14">
        <f t="shared" si="20"/>
        <v>4.2212811651554327E-2</v>
      </c>
      <c r="AB8" s="4"/>
      <c r="AC8" s="26">
        <f t="shared" si="8"/>
        <v>0.26323329939624002</v>
      </c>
      <c r="AD8" s="26">
        <f t="shared" si="9"/>
        <v>0.25346497535790136</v>
      </c>
      <c r="AE8" s="26">
        <f t="shared" si="10"/>
        <v>0.23136108686712664</v>
      </c>
      <c r="AF8" s="26">
        <f t="shared" si="11"/>
        <v>0.25191427677057809</v>
      </c>
      <c r="AG8" s="26">
        <f t="shared" si="12"/>
        <v>0.23401596890731979</v>
      </c>
      <c r="AH8" s="15">
        <f t="shared" si="13"/>
        <v>0.2385186649275593</v>
      </c>
      <c r="AI8" s="20">
        <f t="shared" si="21"/>
        <v>0.24148297020181908</v>
      </c>
      <c r="AJ8" s="4"/>
      <c r="AK8" s="4"/>
      <c r="AL8" s="12">
        <f t="shared" si="22"/>
        <v>-3.7108998218476116E-2</v>
      </c>
      <c r="AM8" s="12">
        <f t="shared" si="23"/>
        <v>-8.7206875267729814E-2</v>
      </c>
      <c r="AN8" s="12">
        <f t="shared" si="24"/>
        <v>8.8835984398946868E-2</v>
      </c>
      <c r="AO8" s="12">
        <f t="shared" si="25"/>
        <v>-7.104920011960475E-2</v>
      </c>
      <c r="AP8" s="12">
        <f t="shared" si="26"/>
        <v>1.9240977619022073E-2</v>
      </c>
      <c r="AQ8" s="13">
        <f t="shared" si="27"/>
        <v>1.2342587299454732E-2</v>
      </c>
    </row>
    <row r="9" spans="1:43" ht="17" x14ac:dyDescent="0.2">
      <c r="A9" s="6" t="s">
        <v>5</v>
      </c>
      <c r="B9" s="7"/>
      <c r="C9" s="7"/>
      <c r="D9" s="7"/>
      <c r="E9" s="7"/>
      <c r="F9" s="7">
        <f>'[5]Statement of Operations'!B$9</f>
        <v>5357</v>
      </c>
      <c r="G9" s="7">
        <f>'[5]Statement of Operations'!C$9</f>
        <v>5603</v>
      </c>
      <c r="H9" s="7">
        <f>'[5]Statement of Operations'!D$9</f>
        <v>4968</v>
      </c>
      <c r="I9" s="7">
        <f>'[5]Statement of Operations'!E$9</f>
        <v>5739</v>
      </c>
      <c r="J9" s="7">
        <f>'[5]Statement of Operations'!F$9</f>
        <v>6505</v>
      </c>
      <c r="K9" s="7">
        <f>'[5]Statement of Operations'!G$9</f>
        <v>7022</v>
      </c>
      <c r="L9" s="61">
        <f>K9/F9-1</f>
        <v>0.31080828822101925</v>
      </c>
      <c r="M9" s="61">
        <v>0.42559351476548923</v>
      </c>
      <c r="S9" s="7"/>
      <c r="T9" s="4"/>
      <c r="U9" s="4"/>
      <c r="V9" s="8">
        <f t="shared" si="15"/>
        <v>4.592122456598835E-2</v>
      </c>
      <c r="W9" s="8">
        <f t="shared" si="16"/>
        <v>-0.11333214349455645</v>
      </c>
      <c r="X9" s="8">
        <f t="shared" si="17"/>
        <v>0.15519323671497576</v>
      </c>
      <c r="Y9" s="8">
        <f t="shared" si="18"/>
        <v>0.1334727304408434</v>
      </c>
      <c r="Z9" s="8">
        <f t="shared" si="19"/>
        <v>7.9477325134512E-2</v>
      </c>
      <c r="AA9" s="14">
        <f t="shared" si="20"/>
        <v>6.0146474672352609E-2</v>
      </c>
      <c r="AB9" s="4"/>
      <c r="AC9" s="26">
        <f t="shared" si="8"/>
        <v>6.6334593323250438E-2</v>
      </c>
      <c r="AD9" s="26">
        <f t="shared" si="9"/>
        <v>6.6471530864981102E-2</v>
      </c>
      <c r="AE9" s="26">
        <f t="shared" si="10"/>
        <v>5.9839747998536294E-2</v>
      </c>
      <c r="AF9" s="26">
        <f t="shared" si="11"/>
        <v>6.225449056479989E-2</v>
      </c>
      <c r="AG9" s="26">
        <f t="shared" si="12"/>
        <v>6.5663368750468673E-2</v>
      </c>
      <c r="AH9" s="15">
        <f t="shared" si="13"/>
        <v>6.569695085593949E-2</v>
      </c>
      <c r="AI9" s="20">
        <f t="shared" si="21"/>
        <v>6.4538270057069344E-2</v>
      </c>
      <c r="AJ9" s="4"/>
      <c r="AK9" s="4"/>
      <c r="AL9" s="12">
        <f t="shared" si="22"/>
        <v>2.0643458393324772E-3</v>
      </c>
      <c r="AM9" s="12">
        <f t="shared" si="23"/>
        <v>-9.9768769880078087E-2</v>
      </c>
      <c r="AN9" s="12">
        <f t="shared" si="24"/>
        <v>4.0353488225295699E-2</v>
      </c>
      <c r="AO9" s="12">
        <f t="shared" si="25"/>
        <v>5.4757145303767706E-2</v>
      </c>
      <c r="AP9" s="12">
        <f t="shared" si="26"/>
        <v>5.1142830637328771E-4</v>
      </c>
      <c r="AQ9" s="13">
        <f t="shared" si="27"/>
        <v>3.1874020611812229E-2</v>
      </c>
    </row>
    <row r="10" spans="1:43" ht="17" x14ac:dyDescent="0.2">
      <c r="A10" s="6" t="s">
        <v>6</v>
      </c>
      <c r="B10" s="7">
        <f>[6]SBUX!J$21</f>
        <v>21366</v>
      </c>
      <c r="C10" s="7">
        <f>[6]SBUX!K$21</f>
        <v>23043</v>
      </c>
      <c r="D10" s="7">
        <f>[6]SBUX!L$21</f>
        <v>25085</v>
      </c>
      <c r="E10" s="7">
        <f>[6]SBUX!M$21</f>
        <v>27339</v>
      </c>
      <c r="F10" s="7">
        <f>[6]SBUX!N$21</f>
        <v>29324</v>
      </c>
      <c r="G10" s="7">
        <f>[6]SBUX!O$21</f>
        <v>31256</v>
      </c>
      <c r="H10" s="7">
        <f>[6]SBUX!P$21</f>
        <v>32660</v>
      </c>
      <c r="I10" s="7">
        <f>[6]SBUX!Q$21</f>
        <v>33833</v>
      </c>
      <c r="J10" s="7">
        <f>[6]SBUX!R$21</f>
        <v>35711</v>
      </c>
      <c r="K10" s="7">
        <f>[6]SBUX!S$21</f>
        <v>38038</v>
      </c>
      <c r="L10" s="61">
        <f t="shared" si="14"/>
        <v>0.78030515772723019</v>
      </c>
      <c r="M10" s="61">
        <v>1.2521941982906375</v>
      </c>
      <c r="S10" s="7"/>
      <c r="T10" s="4"/>
      <c r="U10" s="4"/>
      <c r="V10" s="8">
        <f t="shared" si="15"/>
        <v>6.5884599645341657E-2</v>
      </c>
      <c r="W10" s="8">
        <f t="shared" si="16"/>
        <v>4.4919375479907764E-2</v>
      </c>
      <c r="X10" s="8">
        <f t="shared" si="17"/>
        <v>3.5915492957746542E-2</v>
      </c>
      <c r="Y10" s="8">
        <f t="shared" si="18"/>
        <v>5.5507936038778682E-2</v>
      </c>
      <c r="Z10" s="8">
        <f t="shared" si="19"/>
        <v>6.516199490353114E-2</v>
      </c>
      <c r="AA10" s="14">
        <f t="shared" si="20"/>
        <v>5.3477879805061156E-2</v>
      </c>
      <c r="AB10" s="4"/>
      <c r="AC10" s="26">
        <f t="shared" si="8"/>
        <v>0.36311286440377</v>
      </c>
      <c r="AD10" s="26">
        <f t="shared" si="9"/>
        <v>0.37080745470566651</v>
      </c>
      <c r="AE10" s="26">
        <f t="shared" si="10"/>
        <v>0.39339093591630342</v>
      </c>
      <c r="AF10" s="26">
        <f t="shared" si="11"/>
        <v>0.36700752383322438</v>
      </c>
      <c r="AG10" s="26">
        <f t="shared" si="12"/>
        <v>0.3604772577168312</v>
      </c>
      <c r="AH10" s="15">
        <f t="shared" si="13"/>
        <v>0.35587875486445836</v>
      </c>
      <c r="AI10" s="20">
        <f t="shared" si="21"/>
        <v>0.36112117880483802</v>
      </c>
      <c r="AJ10" s="4"/>
      <c r="AK10" s="4"/>
      <c r="AL10" s="12">
        <f t="shared" si="22"/>
        <v>2.1190629845987415E-2</v>
      </c>
      <c r="AM10" s="12">
        <f t="shared" si="23"/>
        <v>6.0903525331125988E-2</v>
      </c>
      <c r="AN10" s="12">
        <f t="shared" si="24"/>
        <v>-6.7066649671593578E-2</v>
      </c>
      <c r="AO10" s="12">
        <f t="shared" si="25"/>
        <v>-1.7793275865812124E-2</v>
      </c>
      <c r="AP10" s="12">
        <f t="shared" si="26"/>
        <v>-1.2756707264970222E-2</v>
      </c>
      <c r="AQ10" s="13">
        <f t="shared" si="27"/>
        <v>-3.2538877600791972E-2</v>
      </c>
    </row>
    <row r="11" spans="1:43" ht="17" x14ac:dyDescent="0.2">
      <c r="A11" s="6" t="s">
        <v>7</v>
      </c>
      <c r="B11" s="7"/>
      <c r="C11" s="7"/>
      <c r="D11" s="7"/>
      <c r="E11" s="7"/>
      <c r="F11" s="7">
        <f>'[7]Statement of Income'!B$8</f>
        <v>5688</v>
      </c>
      <c r="G11" s="7">
        <f>'[7]Statement of Income'!C$8</f>
        <v>5597</v>
      </c>
      <c r="H11" s="7">
        <f>'[7]Statement of Income'!D$8</f>
        <v>5652</v>
      </c>
      <c r="I11" s="7">
        <f>'[7]Statement of Income'!E$8</f>
        <v>6584</v>
      </c>
      <c r="J11" s="7">
        <f>'[7]Statement of Income'!F$8</f>
        <v>6842</v>
      </c>
      <c r="K11" s="7">
        <f>'[7]Statement of Income'!G$8</f>
        <v>7076</v>
      </c>
      <c r="L11" s="61">
        <f>K11/F11-1</f>
        <v>0.24402250351617449</v>
      </c>
      <c r="M11" s="61">
        <v>0.21605095541401265</v>
      </c>
      <c r="S11" s="7"/>
      <c r="T11" s="4"/>
      <c r="U11" s="4"/>
      <c r="V11" s="8">
        <f t="shared" si="15"/>
        <v>-1.5998593530239136E-2</v>
      </c>
      <c r="W11" s="8">
        <f t="shared" si="16"/>
        <v>9.8266928711809864E-3</v>
      </c>
      <c r="X11" s="8">
        <f t="shared" si="17"/>
        <v>0.1648973814578909</v>
      </c>
      <c r="Y11" s="8">
        <f t="shared" si="18"/>
        <v>3.9185905224787376E-2</v>
      </c>
      <c r="Z11" s="8">
        <f t="shared" si="19"/>
        <v>3.4200526161940914E-2</v>
      </c>
      <c r="AA11" s="14">
        <f t="shared" si="20"/>
        <v>4.6422382437112206E-2</v>
      </c>
      <c r="AB11" s="4"/>
      <c r="AC11" s="26">
        <f t="shared" si="8"/>
        <v>7.0433296028121803E-2</v>
      </c>
      <c r="AD11" s="26">
        <f t="shared" si="9"/>
        <v>6.6400349500499597E-2</v>
      </c>
      <c r="AE11" s="26">
        <f t="shared" si="10"/>
        <v>6.8078553882392742E-2</v>
      </c>
      <c r="AF11" s="26">
        <f t="shared" si="11"/>
        <v>7.1420729374218936E-2</v>
      </c>
      <c r="AG11" s="26">
        <f t="shared" si="12"/>
        <v>6.9065145117710475E-2</v>
      </c>
      <c r="AH11" s="15">
        <f t="shared" si="13"/>
        <v>6.620216807983878E-2</v>
      </c>
      <c r="AI11" s="20">
        <f t="shared" si="21"/>
        <v>6.8896014190589397E-2</v>
      </c>
      <c r="AJ11" s="4"/>
      <c r="AK11" s="4"/>
      <c r="AL11" s="12">
        <f t="shared" si="22"/>
        <v>-5.7259091296990791E-2</v>
      </c>
      <c r="AM11" s="12">
        <f t="shared" si="23"/>
        <v>2.5274029346494899E-2</v>
      </c>
      <c r="AN11" s="12">
        <f t="shared" si="24"/>
        <v>4.9092927232265805E-2</v>
      </c>
      <c r="AO11" s="12">
        <f t="shared" si="25"/>
        <v>-3.2981800622142163E-2</v>
      </c>
      <c r="AP11" s="12">
        <f t="shared" si="26"/>
        <v>-4.1453283461465387E-2</v>
      </c>
      <c r="AQ11" s="13">
        <f t="shared" si="27"/>
        <v>-8.4473856171139155E-3</v>
      </c>
    </row>
    <row r="12" spans="1:43" ht="17" x14ac:dyDescent="0.2">
      <c r="A12" s="6" t="s">
        <v>34</v>
      </c>
      <c r="B12" s="7">
        <f>'[8]Statement of Income'!B$7/1000</f>
        <v>0</v>
      </c>
      <c r="C12" s="7">
        <f>'[8]Statement of Income'!C$7/1000</f>
        <v>190.59200000000001</v>
      </c>
      <c r="D12" s="7">
        <f>'[8]Statement of Income'!D$7/1000</f>
        <v>268.47500000000002</v>
      </c>
      <c r="E12" s="7">
        <f>'[8]Statement of Income'!E$7/1000</f>
        <v>358.81</v>
      </c>
      <c r="F12" s="7">
        <f>'[8]Statement of Income'!F$7/1000</f>
        <v>459.31</v>
      </c>
      <c r="G12" s="7">
        <f>'[8]Statement of Income'!G$7/1000</f>
        <v>594.51900000000001</v>
      </c>
      <c r="H12" s="7">
        <f>'[8]Statement of Income'!H$7/1000</f>
        <v>522.86699999999996</v>
      </c>
      <c r="I12" s="7">
        <f>'[8]Statement of Income'!I$7/1000</f>
        <v>739.89300000000003</v>
      </c>
      <c r="J12" s="7">
        <f>'[8]Statement of Income'!J$7/1000</f>
        <v>900.48599999999999</v>
      </c>
      <c r="K12" s="7">
        <f>'[8]Statement of Income'!K$7/1000</f>
        <v>1087.5329999999999</v>
      </c>
      <c r="L12" s="61">
        <f>K12/C12-1</f>
        <v>4.70607895399597</v>
      </c>
      <c r="M12" s="61">
        <v>4.6875748847926273</v>
      </c>
      <c r="S12" s="7"/>
      <c r="T12" s="4"/>
      <c r="U12" s="4"/>
      <c r="V12" s="8">
        <f t="shared" ref="V12" si="28">G12/F12-1</f>
        <v>0.29437416995057797</v>
      </c>
      <c r="W12" s="8">
        <f t="shared" ref="W12" si="29">H12/G12-1</f>
        <v>-0.12052095896010062</v>
      </c>
      <c r="X12" s="8">
        <f t="shared" ref="X12" si="30">I12/H12-1</f>
        <v>0.41506922410479152</v>
      </c>
      <c r="Y12" s="8">
        <f t="shared" ref="Y12" si="31">J12/I12-1</f>
        <v>0.21704895167274185</v>
      </c>
      <c r="Z12" s="8">
        <f t="shared" ref="Z12" si="32">K12/J12-1</f>
        <v>0.20771783237051977</v>
      </c>
      <c r="AA12" s="14">
        <f t="shared" si="20"/>
        <v>0.2027378438277061</v>
      </c>
      <c r="AB12" s="4"/>
      <c r="AC12" s="26">
        <f t="shared" si="8"/>
        <v>5.6875381854213473E-3</v>
      </c>
      <c r="AD12" s="26">
        <f t="shared" si="9"/>
        <v>7.0531122716968953E-3</v>
      </c>
      <c r="AE12" s="26">
        <f t="shared" si="10"/>
        <v>6.2979528012783162E-3</v>
      </c>
      <c r="AF12" s="26">
        <f t="shared" si="11"/>
        <v>8.0260780253461374E-3</v>
      </c>
      <c r="AG12" s="26">
        <f t="shared" si="12"/>
        <v>9.0897685276917044E-3</v>
      </c>
      <c r="AH12" s="15">
        <f t="shared" si="13"/>
        <v>1.0174822280719515E-2</v>
      </c>
      <c r="AI12" s="20">
        <f t="shared" si="21"/>
        <v>9.0968896112524535E-3</v>
      </c>
      <c r="AJ12" s="4"/>
      <c r="AK12" s="4"/>
      <c r="AL12" s="12">
        <f t="shared" si="22"/>
        <v>0.2400993262385249</v>
      </c>
      <c r="AM12" s="12">
        <f t="shared" si="23"/>
        <v>-0.10706755278076649</v>
      </c>
      <c r="AN12" s="12">
        <f t="shared" si="24"/>
        <v>0.2743947562955788</v>
      </c>
      <c r="AO12" s="12">
        <f t="shared" si="25"/>
        <v>0.13252929998767282</v>
      </c>
      <c r="AP12" s="12">
        <f t="shared" si="26"/>
        <v>0.11937088933807584</v>
      </c>
      <c r="AQ12" s="13">
        <f t="shared" si="27"/>
        <v>0.17543164854044249</v>
      </c>
    </row>
    <row r="13" spans="1:43" ht="17" x14ac:dyDescent="0.2">
      <c r="A13" s="6" t="s">
        <v>31</v>
      </c>
      <c r="B13" s="7"/>
      <c r="C13" s="7"/>
      <c r="D13" s="7"/>
      <c r="E13" s="7"/>
      <c r="F13" s="7">
        <f>'[9]Statement of Income'!B$11</f>
        <v>3432.7999999999997</v>
      </c>
      <c r="G13" s="7">
        <f>'[9]Statement of Income'!C$11</f>
        <v>3618.8</v>
      </c>
      <c r="H13" s="7">
        <f>'[9]Statement of Income'!D$11</f>
        <v>4117.5</v>
      </c>
      <c r="I13" s="7">
        <f>'[9]Statement of Income'!E$11</f>
        <v>4357.3999999999996</v>
      </c>
      <c r="J13" s="7">
        <f>'[9]Statement of Income'!F$11</f>
        <v>4537.0999999999995</v>
      </c>
      <c r="K13" s="7">
        <f>'[9]Statement of Income'!G$11</f>
        <v>4479.4000000000005</v>
      </c>
      <c r="L13" s="61">
        <f>K13/F13-1</f>
        <v>0.3048823118154278</v>
      </c>
      <c r="M13" s="61">
        <v>0.27911365860478132</v>
      </c>
      <c r="S13" s="7"/>
      <c r="T13" s="4"/>
      <c r="U13" s="4"/>
      <c r="V13" s="8">
        <f t="shared" ref="V13:V16" si="33">G13/F13-1</f>
        <v>5.4183174085294938E-2</v>
      </c>
      <c r="W13" s="8">
        <f t="shared" ref="W13:W16" si="34">H13/G13-1</f>
        <v>0.13780811318669173</v>
      </c>
      <c r="X13" s="8">
        <f t="shared" ref="X13" si="35">I13/H13-1</f>
        <v>5.8263509411050407E-2</v>
      </c>
      <c r="Y13" s="8">
        <f t="shared" ref="Y13" si="36">J13/I13-1</f>
        <v>4.1240189103593838E-2</v>
      </c>
      <c r="Z13" s="8">
        <f t="shared" ref="Z13" si="37">K13/J13-1</f>
        <v>-1.2717374534394033E-2</v>
      </c>
      <c r="AA13" s="14">
        <f t="shared" si="20"/>
        <v>5.5755522250447373E-2</v>
      </c>
      <c r="AB13" s="4"/>
      <c r="AC13" s="26">
        <f t="shared" si="8"/>
        <v>4.2507633369433279E-2</v>
      </c>
      <c r="AD13" s="26">
        <f t="shared" si="9"/>
        <v>4.2931853630946572E-2</v>
      </c>
      <c r="AE13" s="26">
        <f t="shared" si="10"/>
        <v>4.9595443314004263E-2</v>
      </c>
      <c r="AF13" s="26">
        <f t="shared" si="11"/>
        <v>4.7267418920902422E-2</v>
      </c>
      <c r="AG13" s="26">
        <f t="shared" si="12"/>
        <v>4.5798811738316896E-2</v>
      </c>
      <c r="AH13" s="15">
        <f t="shared" si="13"/>
        <v>4.1908704309896815E-2</v>
      </c>
      <c r="AI13" s="20">
        <f t="shared" si="21"/>
        <v>4.4991644989705377E-2</v>
      </c>
      <c r="AJ13" s="4"/>
      <c r="AK13" s="4"/>
      <c r="AL13" s="12">
        <f t="shared" si="22"/>
        <v>9.9798607423377452E-3</v>
      </c>
      <c r="AM13" s="12">
        <f t="shared" si="23"/>
        <v>0.15521318367335474</v>
      </c>
      <c r="AN13" s="12">
        <f t="shared" si="24"/>
        <v>-4.6940288009170321E-2</v>
      </c>
      <c r="AO13" s="12">
        <f t="shared" si="25"/>
        <v>-3.1070179335222485E-2</v>
      </c>
      <c r="AP13" s="12">
        <f t="shared" si="26"/>
        <v>-8.4939047123038791E-2</v>
      </c>
      <c r="AQ13" s="13">
        <f t="shared" si="27"/>
        <v>-5.4316504822477206E-2</v>
      </c>
    </row>
    <row r="14" spans="1:43" ht="17" x14ac:dyDescent="0.2">
      <c r="A14" s="6" t="s">
        <v>33</v>
      </c>
      <c r="B14" s="7"/>
      <c r="C14" s="7"/>
      <c r="D14" s="7"/>
      <c r="E14" s="7"/>
      <c r="F14" s="7"/>
      <c r="G14" s="7"/>
      <c r="H14" s="7"/>
      <c r="I14" s="7">
        <f>'[10]Statement of Operations'!B$9/1000</f>
        <v>500.072</v>
      </c>
      <c r="J14" s="7">
        <f>'[10]Statement of Operations'!C$9/1000</f>
        <v>564.11900000000003</v>
      </c>
      <c r="K14" s="7">
        <f>'[10]Statement of Operations'!D$9/1000</f>
        <v>728.7</v>
      </c>
      <c r="L14" s="61">
        <f>K14/I14-1</f>
        <v>0.45719016461629525</v>
      </c>
      <c r="M14" s="61">
        <v>0.34937437718988074</v>
      </c>
      <c r="S14" s="7"/>
      <c r="T14" s="4"/>
      <c r="U14" s="4"/>
      <c r="V14" s="8"/>
      <c r="W14" s="8"/>
      <c r="X14" s="8"/>
      <c r="Y14" s="8">
        <f t="shared" ref="Y14:Y16" si="38">J14/I14-1</f>
        <v>0.1280755571197747</v>
      </c>
      <c r="Z14" s="8">
        <f t="shared" ref="Z14:Z16" si="39">K14/J14-1</f>
        <v>0.29174872677573349</v>
      </c>
      <c r="AA14" s="14">
        <f t="shared" si="20"/>
        <v>0.20991214194775409</v>
      </c>
      <c r="AB14" s="4"/>
      <c r="AC14" s="26">
        <f t="shared" ref="AC14" si="40">F14/F$16</f>
        <v>0</v>
      </c>
      <c r="AD14" s="26">
        <f t="shared" ref="AD14" si="41">G14/G$16</f>
        <v>0</v>
      </c>
      <c r="AE14" s="26">
        <f t="shared" ref="AE14" si="42">H14/H$16</f>
        <v>0</v>
      </c>
      <c r="AF14" s="26">
        <f t="shared" ref="AF14" si="43">I14/I$16</f>
        <v>5.4245909750340847E-3</v>
      </c>
      <c r="AG14" s="26">
        <f t="shared" ref="AG14" si="44">J14/J$16</f>
        <v>5.6943818472168549E-3</v>
      </c>
      <c r="AH14" s="15">
        <f t="shared" ref="AH14" si="45">K14/K$16</f>
        <v>6.8176257602852626E-3</v>
      </c>
      <c r="AI14" s="20">
        <f t="shared" si="21"/>
        <v>5.9788661941787341E-3</v>
      </c>
      <c r="AJ14" s="4"/>
      <c r="AK14" s="4"/>
      <c r="AL14" s="12"/>
      <c r="AM14" s="12"/>
      <c r="AN14" s="12"/>
      <c r="AO14" s="12">
        <f t="shared" ref="AO14" si="46">(AG14-AF14)/ABS(AF14)</f>
        <v>4.9734786166264831E-2</v>
      </c>
      <c r="AP14" s="12">
        <f t="shared" ref="AP14" si="47">(AH14-AG14)/ABS(AG14)</f>
        <v>0.19725475797120917</v>
      </c>
      <c r="AQ14" s="13">
        <f t="shared" si="27"/>
        <v>0.123494772068737</v>
      </c>
    </row>
    <row r="15" spans="1:43" ht="17" x14ac:dyDescent="0.2">
      <c r="A15" s="6" t="s">
        <v>36</v>
      </c>
      <c r="B15" s="7">
        <f>'[11]Statement of Operations'!B$9/1000</f>
        <v>1598.049</v>
      </c>
      <c r="C15" s="7">
        <f>'[11]Statement of Operations'!C$9/1000</f>
        <v>1637.375</v>
      </c>
      <c r="D15" s="7">
        <f>'[11]Statement of Operations'!D$9/1000</f>
        <v>1713.62</v>
      </c>
      <c r="E15" s="7">
        <f>'[11]Statement of Operations'!E$9/1000</f>
        <v>1783.3589999999999</v>
      </c>
      <c r="F15" s="7">
        <f>'[11]Statement of Operations'!F$9/1000</f>
        <v>1662.8710000000001</v>
      </c>
      <c r="G15" s="7">
        <f>'[11]Statement of Operations'!G$9/1000</f>
        <v>1619.248</v>
      </c>
      <c r="H15" s="7">
        <f>'[11]Statement of Operations'!H$9/1000</f>
        <v>1813.2339999999999</v>
      </c>
      <c r="I15" s="7">
        <f>'[11]Statement of Operations'!I$9/1000</f>
        <v>2068.4209999999998</v>
      </c>
      <c r="J15" s="7">
        <f>'[11]Statement of Operations'!J$9/1000</f>
        <v>2102.1030000000001</v>
      </c>
      <c r="K15" s="7">
        <f>'[11]Statement of Operations'!K$9/1000</f>
        <v>2135.7130000000002</v>
      </c>
      <c r="L15" s="61">
        <f t="shared" si="14"/>
        <v>0.33645025903461057</v>
      </c>
      <c r="M15" s="61">
        <v>0.33683969227028809</v>
      </c>
      <c r="S15" s="7"/>
      <c r="T15" s="4"/>
      <c r="U15" s="4"/>
      <c r="V15" s="8">
        <f t="shared" ref="V15" si="48">G15/F15-1</f>
        <v>-2.6233544273729037E-2</v>
      </c>
      <c r="W15" s="8">
        <f t="shared" ref="W15" si="49">H15/G15-1</f>
        <v>0.11980005533432792</v>
      </c>
      <c r="X15" s="8">
        <f t="shared" ref="X15" si="50">I15/H15-1</f>
        <v>0.14073583442622395</v>
      </c>
      <c r="Y15" s="8">
        <f t="shared" si="38"/>
        <v>1.6283918989412838E-2</v>
      </c>
      <c r="Z15" s="8">
        <f t="shared" ref="Z15" si="51">K15/J15-1</f>
        <v>1.5988750313376654E-2</v>
      </c>
      <c r="AA15" s="14">
        <f t="shared" si="20"/>
        <v>5.3315002957922464E-2</v>
      </c>
      <c r="AB15" s="4"/>
      <c r="AC15" s="26">
        <f t="shared" ref="AC15:AC16" si="52">F15/F$16</f>
        <v>2.0590978445776887E-2</v>
      </c>
      <c r="AD15" s="26">
        <f t="shared" ref="AD15:AD16" si="53">G15/G$16</f>
        <v>1.921004701232535E-2</v>
      </c>
      <c r="AE15" s="26">
        <f t="shared" ref="AE15:AE16" si="54">H15/H$16</f>
        <v>2.1840472146211345E-2</v>
      </c>
      <c r="AF15" s="26">
        <f t="shared" ref="AF15:AF16" si="55">I15/I$16</f>
        <v>2.2437444786292723E-2</v>
      </c>
      <c r="AG15" s="26">
        <f t="shared" ref="AG15:AG16" si="56">J15/J$16</f>
        <v>2.1219241266789618E-2</v>
      </c>
      <c r="AH15" s="15">
        <f t="shared" ref="AH15:AH16" si="57">K15/K$16</f>
        <v>1.9981462831585178E-2</v>
      </c>
      <c r="AI15" s="20">
        <f t="shared" si="21"/>
        <v>2.1212716294889175E-2</v>
      </c>
      <c r="AJ15" s="4"/>
      <c r="AK15" s="4"/>
      <c r="AL15" s="12">
        <f t="shared" ref="AL15" si="58">(AD15-AC15)/ABS(AC15)</f>
        <v>-6.7064876838563228E-2</v>
      </c>
      <c r="AM15" s="12">
        <f t="shared" ref="AM15" si="59">(AE15-AD15)/ABS(AD15)</f>
        <v>0.13692965624697789</v>
      </c>
      <c r="AN15" s="12">
        <f t="shared" ref="AN15" si="60">(AF15-AE15)/ABS(AE15)</f>
        <v>2.7333321188522681E-2</v>
      </c>
      <c r="AO15" s="12">
        <f>(AG15-AF15)/ABS(AF15)</f>
        <v>-5.4293326673602267E-2</v>
      </c>
      <c r="AP15" s="12">
        <f>(AH15-AG15)/ABS(AG15)</f>
        <v>-5.8332831963303793E-2</v>
      </c>
      <c r="AQ15" s="13"/>
    </row>
    <row r="16" spans="1:43" ht="17" x14ac:dyDescent="0.2">
      <c r="A16" s="5" t="s">
        <v>8</v>
      </c>
      <c r="B16" s="9">
        <f t="shared" ref="B16" si="61">SUM(B5:B15)</f>
        <v>27544.612999999998</v>
      </c>
      <c r="C16" s="9">
        <f t="shared" ref="C16" si="62">SUM(C5:C15)</f>
        <v>36627.483</v>
      </c>
      <c r="D16" s="9">
        <f t="shared" ref="D16" si="63">SUM(D5:D15)</f>
        <v>38411.927000000003</v>
      </c>
      <c r="E16" s="9">
        <f t="shared" ref="E16" si="64">SUM(E5:E15)</f>
        <v>41656.937999999995</v>
      </c>
      <c r="F16" s="9">
        <f t="shared" ref="F16:J16" si="65">SUM(F5:F15)</f>
        <v>80757.260000000009</v>
      </c>
      <c r="G16" s="9">
        <f t="shared" si="65"/>
        <v>84291.725000000006</v>
      </c>
      <c r="H16" s="9">
        <f t="shared" si="65"/>
        <v>83021.739999999991</v>
      </c>
      <c r="I16" s="9">
        <f t="shared" si="65"/>
        <v>92186.120999999985</v>
      </c>
      <c r="J16" s="9">
        <f t="shared" si="65"/>
        <v>99065.889000000025</v>
      </c>
      <c r="K16" s="9">
        <f>SUM(K5:K15)</f>
        <v>106884.71699999999</v>
      </c>
      <c r="L16" s="61">
        <f t="shared" si="14"/>
        <v>2.8804218087943365</v>
      </c>
      <c r="M16" s="61">
        <v>3.7456028091431373</v>
      </c>
      <c r="S16" s="9"/>
      <c r="T16" s="4"/>
      <c r="U16" s="4"/>
      <c r="V16" s="8">
        <f t="shared" si="33"/>
        <v>4.3766529473634908E-2</v>
      </c>
      <c r="W16" s="8">
        <f t="shared" si="34"/>
        <v>-1.5066544195174725E-2</v>
      </c>
      <c r="X16" s="8">
        <f t="shared" ref="X16" si="66">I16/H16-1</f>
        <v>0.11038531594254697</v>
      </c>
      <c r="Y16" s="8">
        <f t="shared" si="38"/>
        <v>7.4629108214674167E-2</v>
      </c>
      <c r="Z16" s="8">
        <f t="shared" si="39"/>
        <v>7.8925532076938865E-2</v>
      </c>
      <c r="AA16" s="14">
        <f t="shared" si="20"/>
        <v>5.8527988302524037E-2</v>
      </c>
      <c r="AB16" s="4"/>
      <c r="AC16" s="26">
        <f t="shared" si="52"/>
        <v>1</v>
      </c>
      <c r="AD16" s="26">
        <f t="shared" si="53"/>
        <v>1</v>
      </c>
      <c r="AE16" s="26">
        <f t="shared" si="54"/>
        <v>1</v>
      </c>
      <c r="AF16" s="26">
        <f t="shared" si="55"/>
        <v>1</v>
      </c>
      <c r="AG16" s="26">
        <f t="shared" si="56"/>
        <v>1</v>
      </c>
      <c r="AH16" s="15">
        <f t="shared" si="57"/>
        <v>1</v>
      </c>
      <c r="AI16" s="20"/>
      <c r="AJ16" s="4"/>
      <c r="AK16" s="4"/>
      <c r="AL16" s="12"/>
      <c r="AM16" s="12"/>
      <c r="AN16" s="12"/>
      <c r="AO16" s="12"/>
      <c r="AP16" s="12"/>
      <c r="AQ16" s="13"/>
    </row>
    <row r="17" spans="1:43" ht="17" x14ac:dyDescent="0.2">
      <c r="A17" s="10" t="s">
        <v>10</v>
      </c>
      <c r="B17" s="7"/>
      <c r="C17" s="7"/>
      <c r="D17" s="7"/>
      <c r="E17" s="7"/>
      <c r="F17" s="7"/>
      <c r="G17" s="7"/>
      <c r="H17" s="7"/>
      <c r="I17" s="7"/>
      <c r="J17" s="7"/>
      <c r="K17" s="7"/>
      <c r="S17" s="7"/>
      <c r="T17" s="4"/>
      <c r="U17" s="4"/>
      <c r="V17" s="4"/>
      <c r="W17" s="4"/>
      <c r="X17" s="4"/>
      <c r="Y17" s="4"/>
      <c r="Z17" s="4"/>
      <c r="AA17" s="14"/>
      <c r="AB17" s="4"/>
      <c r="AC17" s="27"/>
      <c r="AD17" s="27"/>
      <c r="AE17" s="27"/>
      <c r="AF17" s="27"/>
      <c r="AG17" s="27"/>
      <c r="AH17" s="27"/>
      <c r="AI17" s="20"/>
      <c r="AJ17" s="4"/>
      <c r="AK17" s="4"/>
      <c r="AL17" s="12"/>
      <c r="AM17" s="12"/>
      <c r="AN17" s="12"/>
      <c r="AO17" s="12"/>
      <c r="AP17" s="12"/>
      <c r="AQ17" s="13"/>
    </row>
    <row r="18" spans="1:43" ht="17" x14ac:dyDescent="0.2">
      <c r="A18" s="6" t="s">
        <v>14</v>
      </c>
      <c r="B18" s="7">
        <f t="shared" ref="B18:E18" si="67">B5</f>
        <v>4108.2690000000002</v>
      </c>
      <c r="C18" s="7">
        <f t="shared" si="67"/>
        <v>4501.223</v>
      </c>
      <c r="D18" s="7">
        <f t="shared" si="67"/>
        <v>3904.384</v>
      </c>
      <c r="E18" s="7">
        <f t="shared" si="67"/>
        <v>4476.3999999999996</v>
      </c>
      <c r="F18" s="7">
        <f t="shared" ref="F18:G18" si="68">F5</f>
        <v>4865</v>
      </c>
      <c r="G18" s="7">
        <f t="shared" si="68"/>
        <v>5586.3689999999997</v>
      </c>
      <c r="H18" s="7">
        <f>H5</f>
        <v>5984.634</v>
      </c>
      <c r="I18" s="7">
        <f t="shared" ref="I18:K18" si="69">I5</f>
        <v>7547.0609999999997</v>
      </c>
      <c r="J18" s="7">
        <f t="shared" si="69"/>
        <v>8634.652</v>
      </c>
      <c r="K18" s="7">
        <f t="shared" si="69"/>
        <v>9871.6489999999994</v>
      </c>
      <c r="S18" s="7"/>
      <c r="T18" s="4"/>
      <c r="U18" s="4"/>
      <c r="V18" s="8">
        <f>G18/F18-1</f>
        <v>0.14827728674203478</v>
      </c>
      <c r="W18" s="8">
        <f>H18/G18-1</f>
        <v>7.1292283055415906E-2</v>
      </c>
      <c r="X18" s="8">
        <f>I18/H18-1</f>
        <v>0.26107310823017738</v>
      </c>
      <c r="Y18" s="8">
        <f>J18/I18-1</f>
        <v>0.14410788517543449</v>
      </c>
      <c r="Z18" s="8">
        <f>K18/J18-1</f>
        <v>0.14325962412845361</v>
      </c>
      <c r="AA18" s="14">
        <f>AVERAGE(X18:Z18)</f>
        <v>0.18281353917802182</v>
      </c>
      <c r="AB18" s="4"/>
      <c r="AC18" s="26">
        <f t="shared" ref="AC18:AC35" si="70">F18/F$37</f>
        <v>6.2003857621300063E-2</v>
      </c>
      <c r="AD18" s="26">
        <f t="shared" ref="AD18:AD35" si="71">G18/G$37</f>
        <v>6.8226940350253673E-2</v>
      </c>
      <c r="AE18" s="26">
        <f t="shared" ref="AE18:AE35" si="72">H18/H$37</f>
        <v>7.3948513859058498E-2</v>
      </c>
      <c r="AF18" s="26">
        <f t="shared" ref="AF18:AF35" si="73">I18/I$37</f>
        <v>8.4131229343522754E-2</v>
      </c>
      <c r="AG18" s="26">
        <f t="shared" ref="AG18:AG35" si="74">J18/J$37</f>
        <v>9.0337431700292098E-2</v>
      </c>
      <c r="AH18" s="26">
        <f t="shared" ref="AH18:AH35" si="75">K18/K$37</f>
        <v>9.5734244777989863E-2</v>
      </c>
      <c r="AI18" s="20">
        <f t="shared" si="21"/>
        <v>9.006763527393491E-2</v>
      </c>
      <c r="AJ18" s="4"/>
      <c r="AK18" s="4"/>
      <c r="AL18" s="12">
        <f t="shared" si="22"/>
        <v>0.10036605733408122</v>
      </c>
      <c r="AM18" s="12">
        <f t="shared" si="23"/>
        <v>8.3860912997596446E-2</v>
      </c>
      <c r="AN18" s="12">
        <f t="shared" si="24"/>
        <v>0.13770006931947151</v>
      </c>
      <c r="AO18" s="12">
        <f t="shared" si="25"/>
        <v>7.3768116847886742E-2</v>
      </c>
      <c r="AP18" s="12">
        <f t="shared" si="26"/>
        <v>5.9740607809202477E-2</v>
      </c>
      <c r="AQ18" s="13">
        <f t="shared" si="27"/>
        <v>9.0402931325520242E-2</v>
      </c>
    </row>
    <row r="19" spans="1:43" ht="17" x14ac:dyDescent="0.2">
      <c r="A19" s="6" t="s">
        <v>15</v>
      </c>
      <c r="B19" s="7">
        <f>'[2]Statement of Operations'!D$8/1000</f>
        <v>472.29500000000002</v>
      </c>
      <c r="C19" s="7">
        <f>'[2]Statement of Operations'!E$8/1000</f>
        <v>491.29300000000001</v>
      </c>
      <c r="D19" s="7">
        <f>'[2]Statement of Operations'!F$8/1000</f>
        <v>506.94799999999998</v>
      </c>
      <c r="E19" s="7">
        <f>'[2]Statement of Operations'!G$8/1000</f>
        <v>529.16899999999998</v>
      </c>
      <c r="F19" s="7">
        <f>'[2]Statement of Operations'!H$8/1000</f>
        <v>630.17899999999997</v>
      </c>
      <c r="G19" s="7">
        <f>'[2]Statement of Operations'!I$8/1000</f>
        <v>541.38900000000001</v>
      </c>
      <c r="H19" s="7">
        <f>'[2]Statement of Operations'!J$8/1000</f>
        <v>288.60500000000002</v>
      </c>
      <c r="I19" s="7">
        <f>'[2]Statement of Operations'!K$8/1000</f>
        <v>398.17399999999998</v>
      </c>
      <c r="J19" s="7">
        <f>'[2]Statement of Operations'!L$8/1000</f>
        <v>456.42899999999997</v>
      </c>
      <c r="K19" s="7">
        <f>'[2]Statement of Operations'!M$8/1000</f>
        <v>463.92200000000003</v>
      </c>
      <c r="S19" s="7"/>
      <c r="T19" s="4"/>
      <c r="U19" s="4"/>
      <c r="V19" s="8">
        <f t="shared" ref="V19:V31" si="76">G19/F19-1</f>
        <v>-0.14089647544586537</v>
      </c>
      <c r="W19" s="8">
        <f t="shared" ref="W19:W31" si="77">H19/G19-1</f>
        <v>-0.4669175029415078</v>
      </c>
      <c r="X19" s="8">
        <f t="shared" ref="X19:X32" si="78">I19/H19-1</f>
        <v>0.37965038720742861</v>
      </c>
      <c r="Y19" s="8">
        <f t="shared" ref="Y19:Y32" si="79">J19/I19-1</f>
        <v>0.1463053840783175</v>
      </c>
      <c r="Z19" s="8">
        <f t="shared" ref="Z19:Z32" si="80">K19/J19-1</f>
        <v>1.6416573004782942E-2</v>
      </c>
      <c r="AA19" s="14">
        <f t="shared" si="20"/>
        <v>-1.3088326819368824E-2</v>
      </c>
      <c r="AB19" s="4"/>
      <c r="AC19" s="26">
        <f t="shared" si="70"/>
        <v>8.0315578606234839E-3</v>
      </c>
      <c r="AD19" s="26">
        <f t="shared" si="71"/>
        <v>6.6120435311887715E-3</v>
      </c>
      <c r="AE19" s="26">
        <f t="shared" si="72"/>
        <v>3.5661179684995906E-3</v>
      </c>
      <c r="AF19" s="26">
        <f t="shared" si="73"/>
        <v>4.4386640193616869E-3</v>
      </c>
      <c r="AG19" s="26">
        <f t="shared" si="74"/>
        <v>4.7752501911521878E-3</v>
      </c>
      <c r="AH19" s="26">
        <f t="shared" si="75"/>
        <v>4.4990682211142859E-3</v>
      </c>
      <c r="AI19" s="20">
        <f t="shared" si="21"/>
        <v>4.5709941438760527E-3</v>
      </c>
      <c r="AJ19" s="4"/>
      <c r="AK19" s="4"/>
      <c r="AL19" s="12">
        <f t="shared" si="22"/>
        <v>-0.17674209089549117</v>
      </c>
      <c r="AM19" s="12">
        <f t="shared" si="23"/>
        <v>-0.46066326519504291</v>
      </c>
      <c r="AN19" s="12">
        <f t="shared" si="24"/>
        <v>0.24467672089636774</v>
      </c>
      <c r="AO19" s="12">
        <f t="shared" si="25"/>
        <v>7.5830513488359175E-2</v>
      </c>
      <c r="AP19" s="12">
        <f t="shared" si="26"/>
        <v>-5.7836125644186158E-2</v>
      </c>
      <c r="AQ19" s="13">
        <f t="shared" si="27"/>
        <v>8.7557036246846923E-2</v>
      </c>
    </row>
    <row r="20" spans="1:43" ht="17" x14ac:dyDescent="0.2">
      <c r="A20" s="6" t="s">
        <v>11</v>
      </c>
      <c r="B20" s="7"/>
      <c r="C20" s="7"/>
      <c r="D20" s="7"/>
      <c r="E20" s="7"/>
      <c r="F20" s="7"/>
      <c r="G20" s="7"/>
      <c r="H20" s="7"/>
      <c r="I20" s="7"/>
      <c r="J20" s="7">
        <f>(('[2]Statistical Data'!I$12*'[2]Statistical Data'!I$14)+('[2]Statistical Data'!I$13*'[2]Statistical Data'!I$15))/1000</f>
        <v>19.128</v>
      </c>
      <c r="K20" s="7">
        <f>(('[2]Statistical Data'!J$12*'[2]Statistical Data'!J$14)+('[2]Statistical Data'!J$13*'[2]Statistical Data'!J$15))/1000</f>
        <v>102.11199999999999</v>
      </c>
      <c r="S20" s="7"/>
      <c r="T20" s="4"/>
      <c r="U20" s="4"/>
      <c r="V20" s="8"/>
      <c r="W20" s="8"/>
      <c r="X20" s="8"/>
      <c r="Y20" s="8"/>
      <c r="Z20" s="8">
        <f t="shared" si="80"/>
        <v>4.3383521539104972</v>
      </c>
      <c r="AA20" s="14">
        <f>AVERAGE(Z20)</f>
        <v>4.3383521539104972</v>
      </c>
      <c r="AB20" s="4"/>
      <c r="AC20" s="26">
        <f t="shared" si="70"/>
        <v>0</v>
      </c>
      <c r="AD20" s="26">
        <f t="shared" si="71"/>
        <v>0</v>
      </c>
      <c r="AE20" s="26">
        <f t="shared" si="72"/>
        <v>0</v>
      </c>
      <c r="AF20" s="26">
        <f t="shared" si="73"/>
        <v>0</v>
      </c>
      <c r="AG20" s="26">
        <f t="shared" si="74"/>
        <v>2.0012090742779062E-4</v>
      </c>
      <c r="AH20" s="26">
        <f t="shared" si="75"/>
        <v>9.9027175730925007E-4</v>
      </c>
      <c r="AI20" s="20">
        <f t="shared" si="21"/>
        <v>3.9679755491234692E-4</v>
      </c>
      <c r="AJ20" s="4"/>
      <c r="AK20" s="4"/>
      <c r="AL20" s="12"/>
      <c r="AM20" s="12"/>
      <c r="AN20" s="12"/>
      <c r="AO20" s="12"/>
      <c r="AP20" s="12">
        <f t="shared" si="26"/>
        <v>3.9483673147273159</v>
      </c>
      <c r="AQ20" s="13">
        <f t="shared" si="27"/>
        <v>3.9483673147273159</v>
      </c>
    </row>
    <row r="21" spans="1:43" ht="17" x14ac:dyDescent="0.2">
      <c r="A21" s="6" t="s">
        <v>12</v>
      </c>
      <c r="B21" s="7"/>
      <c r="C21" s="7"/>
      <c r="D21" s="7"/>
      <c r="E21" s="7"/>
      <c r="F21" s="7">
        <f>'[3]Olive Garden'!B$3</f>
        <v>4082.5</v>
      </c>
      <c r="G21" s="7">
        <f>'[3]Olive Garden'!C$3</f>
        <v>4287.3</v>
      </c>
      <c r="H21" s="7">
        <f>'[3]Olive Garden'!D$3</f>
        <v>4013.8</v>
      </c>
      <c r="I21" s="7">
        <f>'[3]Olive Garden'!E$3</f>
        <v>3593.4</v>
      </c>
      <c r="J21" s="7">
        <f>'[3]Olive Garden'!F$3</f>
        <v>4503.8999999999996</v>
      </c>
      <c r="K21" s="7">
        <f>'[3]Olive Garden'!G$3</f>
        <v>4877.8</v>
      </c>
      <c r="S21" s="7"/>
      <c r="T21" s="4"/>
      <c r="U21" s="4"/>
      <c r="V21" s="8">
        <f t="shared" si="76"/>
        <v>5.0165339865278602E-2</v>
      </c>
      <c r="W21" s="8">
        <f t="shared" si="77"/>
        <v>-6.3793063233270386E-2</v>
      </c>
      <c r="X21" s="8">
        <f t="shared" si="78"/>
        <v>-0.1047386516518013</v>
      </c>
      <c r="Y21" s="8">
        <f t="shared" si="79"/>
        <v>0.25338119886458488</v>
      </c>
      <c r="Z21" s="8">
        <f t="shared" si="80"/>
        <v>8.3016940873465339E-2</v>
      </c>
      <c r="AA21" s="14">
        <f t="shared" si="20"/>
        <v>4.3606352943651429E-2</v>
      </c>
      <c r="AB21" s="4"/>
      <c r="AC21" s="26">
        <f t="shared" si="70"/>
        <v>5.2030986380052935E-2</v>
      </c>
      <c r="AD21" s="26">
        <f t="shared" si="71"/>
        <v>5.2361267464365958E-2</v>
      </c>
      <c r="AE21" s="26">
        <f t="shared" si="72"/>
        <v>4.9596106449866277E-2</v>
      </c>
      <c r="AF21" s="26">
        <f t="shared" si="73"/>
        <v>4.0057601167264277E-2</v>
      </c>
      <c r="AG21" s="26">
        <f t="shared" si="74"/>
        <v>4.7120689824551767E-2</v>
      </c>
      <c r="AH21" s="26">
        <f t="shared" si="75"/>
        <v>4.7304406708350247E-2</v>
      </c>
      <c r="AI21" s="20">
        <f t="shared" si="21"/>
        <v>4.4827565900055433E-2</v>
      </c>
      <c r="AJ21" s="4"/>
      <c r="AK21" s="4"/>
      <c r="AL21" s="12">
        <f t="shared" si="22"/>
        <v>6.3477767248257102E-3</v>
      </c>
      <c r="AM21" s="12">
        <f t="shared" si="23"/>
        <v>-5.2809283434200473E-2</v>
      </c>
      <c r="AN21" s="12">
        <f t="shared" si="24"/>
        <v>-0.19232367146086157</v>
      </c>
      <c r="AO21" s="12">
        <f t="shared" si="25"/>
        <v>0.17632330572654364</v>
      </c>
      <c r="AP21" s="12">
        <f t="shared" si="26"/>
        <v>3.8988581127001121E-3</v>
      </c>
      <c r="AQ21" s="13">
        <f t="shared" si="27"/>
        <v>-4.0338358738726057E-3</v>
      </c>
    </row>
    <row r="22" spans="1:43" ht="17" x14ac:dyDescent="0.2">
      <c r="A22" s="6" t="s">
        <v>13</v>
      </c>
      <c r="B22" s="7"/>
      <c r="C22" s="7"/>
      <c r="D22" s="7"/>
      <c r="E22" s="7"/>
      <c r="F22" s="7">
        <f>'[3]LongHorn Steakhouse'!B$3</f>
        <v>1703.2</v>
      </c>
      <c r="G22" s="7">
        <f>'[3]LongHorn Steakhouse'!C$3</f>
        <v>1810.6</v>
      </c>
      <c r="H22" s="7">
        <f>'[3]LongHorn Steakhouse'!D$3</f>
        <v>1701.1</v>
      </c>
      <c r="I22" s="7">
        <f>'[3]LongHorn Steakhouse'!E$3</f>
        <v>1810.4</v>
      </c>
      <c r="J22" s="7">
        <f>'[3]LongHorn Steakhouse'!F$3</f>
        <v>2374.3000000000002</v>
      </c>
      <c r="K22" s="7">
        <f>'[3]LongHorn Steakhouse'!G$3</f>
        <v>2612.3000000000002</v>
      </c>
      <c r="S22" s="7"/>
      <c r="T22" s="4"/>
      <c r="U22" s="4"/>
      <c r="V22" s="8">
        <f t="shared" si="76"/>
        <v>6.3057773602630318E-2</v>
      </c>
      <c r="W22" s="8">
        <f t="shared" si="77"/>
        <v>-6.047718988180717E-2</v>
      </c>
      <c r="X22" s="8">
        <f t="shared" si="78"/>
        <v>6.4252542472517993E-2</v>
      </c>
      <c r="Y22" s="8">
        <f t="shared" si="79"/>
        <v>0.31147812638091033</v>
      </c>
      <c r="Z22" s="8">
        <f t="shared" si="80"/>
        <v>0.10024007075769692</v>
      </c>
      <c r="AA22" s="14">
        <f t="shared" si="20"/>
        <v>9.5710264666389683E-2</v>
      </c>
      <c r="AB22" s="4"/>
      <c r="AC22" s="26">
        <f t="shared" si="70"/>
        <v>2.1707085364973951E-2</v>
      </c>
      <c r="AD22" s="26">
        <f t="shared" si="71"/>
        <v>2.2113057372001258E-2</v>
      </c>
      <c r="AE22" s="26">
        <f t="shared" si="72"/>
        <v>2.1019467009284844E-2</v>
      </c>
      <c r="AF22" s="26">
        <f t="shared" si="73"/>
        <v>2.0181521999558982E-2</v>
      </c>
      <c r="AG22" s="26">
        <f t="shared" si="74"/>
        <v>2.4840394735769728E-2</v>
      </c>
      <c r="AH22" s="26">
        <f t="shared" si="75"/>
        <v>2.5333818861827739E-2</v>
      </c>
      <c r="AI22" s="20">
        <f t="shared" si="21"/>
        <v>2.3451911865718818E-2</v>
      </c>
      <c r="AJ22" s="4"/>
      <c r="AK22" s="4"/>
      <c r="AL22" s="12">
        <f t="shared" si="22"/>
        <v>1.8702280854451966E-2</v>
      </c>
      <c r="AM22" s="12">
        <f t="shared" si="23"/>
        <v>-4.9454507548154711E-2</v>
      </c>
      <c r="AN22" s="12">
        <f t="shared" si="24"/>
        <v>-3.9865188273124151E-2</v>
      </c>
      <c r="AO22" s="12">
        <f t="shared" si="25"/>
        <v>0.23084843334970251</v>
      </c>
      <c r="AP22" s="12">
        <f t="shared" si="26"/>
        <v>1.9863779593948583E-2</v>
      </c>
      <c r="AQ22" s="13">
        <f t="shared" si="27"/>
        <v>7.0282341556842307E-2</v>
      </c>
    </row>
    <row r="23" spans="1:43" ht="17" x14ac:dyDescent="0.2">
      <c r="A23" s="6" t="s">
        <v>16</v>
      </c>
      <c r="B23" s="7"/>
      <c r="C23" s="7"/>
      <c r="D23" s="7"/>
      <c r="E23" s="7"/>
      <c r="F23" s="7">
        <f>F8</f>
        <v>21258</v>
      </c>
      <c r="G23" s="7">
        <f t="shared" ref="G23:K23" si="81">G8</f>
        <v>21365</v>
      </c>
      <c r="H23" s="7">
        <f t="shared" si="81"/>
        <v>19208</v>
      </c>
      <c r="I23" s="7">
        <f t="shared" si="81"/>
        <v>23223</v>
      </c>
      <c r="J23" s="7">
        <f t="shared" si="81"/>
        <v>23183</v>
      </c>
      <c r="K23" s="7">
        <f t="shared" si="81"/>
        <v>25494</v>
      </c>
      <c r="S23" s="7"/>
      <c r="T23" s="4"/>
      <c r="U23" s="4"/>
      <c r="V23" s="8">
        <f t="shared" si="76"/>
        <v>5.033399190892851E-3</v>
      </c>
      <c r="W23" s="8">
        <f t="shared" si="77"/>
        <v>-0.10095951322256025</v>
      </c>
      <c r="X23" s="8">
        <f t="shared" si="78"/>
        <v>0.20902748854643893</v>
      </c>
      <c r="Y23" s="8">
        <f t="shared" si="79"/>
        <v>-1.7224303492227033E-3</v>
      </c>
      <c r="Z23" s="8">
        <f t="shared" si="80"/>
        <v>9.9685114092222804E-2</v>
      </c>
      <c r="AA23" s="14">
        <f t="shared" si="20"/>
        <v>4.2212811651554327E-2</v>
      </c>
      <c r="AB23" s="4"/>
      <c r="AC23" s="26">
        <f t="shared" si="70"/>
        <v>0.27093073079416174</v>
      </c>
      <c r="AD23" s="26">
        <f t="shared" si="71"/>
        <v>0.26093309994079694</v>
      </c>
      <c r="AE23" s="26">
        <f t="shared" si="72"/>
        <v>0.23734167439559303</v>
      </c>
      <c r="AF23" s="26">
        <f t="shared" si="73"/>
        <v>0.25887952131891195</v>
      </c>
      <c r="AG23" s="26">
        <f t="shared" si="74"/>
        <v>0.2425451169436674</v>
      </c>
      <c r="AH23" s="26">
        <f t="shared" si="75"/>
        <v>0.24723821079640024</v>
      </c>
      <c r="AI23" s="20">
        <f t="shared" si="21"/>
        <v>0.24955428301965984</v>
      </c>
      <c r="AJ23" s="4"/>
      <c r="AK23" s="4"/>
      <c r="AL23" s="12">
        <f t="shared" si="22"/>
        <v>-3.6901058894498212E-2</v>
      </c>
      <c r="AM23" s="12">
        <f t="shared" si="23"/>
        <v>-9.0411778155230452E-2</v>
      </c>
      <c r="AN23" s="12">
        <f t="shared" si="24"/>
        <v>9.0746165746772176E-2</v>
      </c>
      <c r="AO23" s="12">
        <f t="shared" si="25"/>
        <v>-6.3096548896667312E-2</v>
      </c>
      <c r="AP23" s="12">
        <f t="shared" si="26"/>
        <v>1.9349364406387279E-2</v>
      </c>
      <c r="AQ23" s="13">
        <f t="shared" si="27"/>
        <v>1.5666327085497381E-2</v>
      </c>
    </row>
    <row r="24" spans="1:43" ht="17" x14ac:dyDescent="0.2">
      <c r="A24" s="6" t="s">
        <v>17</v>
      </c>
      <c r="B24" s="7"/>
      <c r="C24" s="7"/>
      <c r="D24" s="7"/>
      <c r="E24" s="7"/>
      <c r="F24" s="7">
        <f>[5]TH!B$9</f>
        <v>3292</v>
      </c>
      <c r="G24" s="7">
        <f>[5]TH!C$9</f>
        <v>3344</v>
      </c>
      <c r="H24" s="7">
        <f>[5]TH!D$9</f>
        <v>2810</v>
      </c>
      <c r="I24" s="7">
        <f>[5]TH!E$9</f>
        <v>3331</v>
      </c>
      <c r="J24" s="7">
        <f>[5]TH!F$9</f>
        <v>3802</v>
      </c>
      <c r="K24" s="7">
        <f>[5]TH!G$9</f>
        <v>3972</v>
      </c>
      <c r="S24" s="7"/>
      <c r="T24" s="4"/>
      <c r="U24" s="4"/>
      <c r="V24" s="8">
        <f t="shared" si="76"/>
        <v>1.5795868772782606E-2</v>
      </c>
      <c r="W24" s="8">
        <f t="shared" si="77"/>
        <v>-0.15968899521531099</v>
      </c>
      <c r="X24" s="8">
        <f t="shared" si="78"/>
        <v>0.18540925266903918</v>
      </c>
      <c r="Y24" s="8">
        <f t="shared" si="79"/>
        <v>0.14139897928549994</v>
      </c>
      <c r="Z24" s="8">
        <f t="shared" si="80"/>
        <v>4.4713308784850136E-2</v>
      </c>
      <c r="AA24" s="14">
        <f t="shared" si="20"/>
        <v>4.5525682859372175E-2</v>
      </c>
      <c r="AB24" s="4"/>
      <c r="AC24" s="26">
        <f t="shared" si="70"/>
        <v>4.1956156071802635E-2</v>
      </c>
      <c r="AD24" s="26">
        <f t="shared" si="71"/>
        <v>4.0840640589844365E-2</v>
      </c>
      <c r="AE24" s="26">
        <f t="shared" si="72"/>
        <v>3.4721475689900895E-2</v>
      </c>
      <c r="AF24" s="26">
        <f t="shared" si="73"/>
        <v>3.7132484412577868E-2</v>
      </c>
      <c r="AG24" s="26">
        <f t="shared" si="74"/>
        <v>3.9777273632395443E-2</v>
      </c>
      <c r="AH24" s="26">
        <f t="shared" si="75"/>
        <v>3.8520050728928446E-2</v>
      </c>
      <c r="AI24" s="20">
        <f t="shared" si="21"/>
        <v>3.8476602924633917E-2</v>
      </c>
      <c r="AJ24" s="4"/>
      <c r="AK24" s="4"/>
      <c r="AL24" s="12">
        <f t="shared" si="22"/>
        <v>-2.658764735380444E-2</v>
      </c>
      <c r="AM24" s="12">
        <f t="shared" si="23"/>
        <v>-0.14983028697804246</v>
      </c>
      <c r="AN24" s="12">
        <f t="shared" si="24"/>
        <v>6.9438544150882395E-2</v>
      </c>
      <c r="AO24" s="12">
        <f t="shared" si="25"/>
        <v>7.1225754528875723E-2</v>
      </c>
      <c r="AP24" s="12">
        <f t="shared" si="26"/>
        <v>-3.160656296069244E-2</v>
      </c>
      <c r="AQ24" s="13">
        <f t="shared" si="27"/>
        <v>3.6352578573021883E-2</v>
      </c>
    </row>
    <row r="25" spans="1:43" ht="17" x14ac:dyDescent="0.2">
      <c r="A25" s="6" t="s">
        <v>20</v>
      </c>
      <c r="B25" s="7"/>
      <c r="C25" s="7"/>
      <c r="D25" s="7"/>
      <c r="E25" s="7"/>
      <c r="F25" s="7">
        <f>[5]BK!B$9</f>
        <v>1651</v>
      </c>
      <c r="G25" s="7">
        <f>[5]BK!C$9</f>
        <v>1777</v>
      </c>
      <c r="H25" s="7">
        <f>[5]BK!D$9</f>
        <v>1602</v>
      </c>
      <c r="I25" s="7">
        <f>[5]BK!E$9</f>
        <v>1156</v>
      </c>
      <c r="J25" s="7">
        <f>[5]BK!F$9</f>
        <v>1196</v>
      </c>
      <c r="K25" s="7">
        <f>[5]BK!G$9</f>
        <v>1298</v>
      </c>
      <c r="S25" s="7"/>
      <c r="T25" s="4"/>
      <c r="U25" s="4"/>
      <c r="V25" s="8">
        <f t="shared" si="76"/>
        <v>7.631738340399763E-2</v>
      </c>
      <c r="W25" s="8">
        <f t="shared" si="77"/>
        <v>-9.8480585256049524E-2</v>
      </c>
      <c r="X25" s="8">
        <f t="shared" si="78"/>
        <v>-0.27840199750312111</v>
      </c>
      <c r="Y25" s="8">
        <f t="shared" si="79"/>
        <v>3.460207612456756E-2</v>
      </c>
      <c r="Z25" s="8">
        <f t="shared" si="80"/>
        <v>8.5284280936454904E-2</v>
      </c>
      <c r="AA25" s="14">
        <f t="shared" si="20"/>
        <v>-3.6135768458830111E-2</v>
      </c>
      <c r="AB25" s="4"/>
      <c r="AC25" s="26">
        <f t="shared" si="70"/>
        <v>2.1041802452778296E-2</v>
      </c>
      <c r="AD25" s="26">
        <f t="shared" si="71"/>
        <v>2.1702696868466938E-2</v>
      </c>
      <c r="AE25" s="26">
        <f t="shared" si="72"/>
        <v>1.9794948062356314E-2</v>
      </c>
      <c r="AF25" s="26">
        <f t="shared" si="73"/>
        <v>1.2886566190615435E-2</v>
      </c>
      <c r="AG25" s="26">
        <f t="shared" si="74"/>
        <v>1.2512787812820871E-2</v>
      </c>
      <c r="AH25" s="26">
        <f t="shared" si="75"/>
        <v>1.2587871562474602E-2</v>
      </c>
      <c r="AI25" s="20">
        <f t="shared" si="21"/>
        <v>1.2662408521970302E-2</v>
      </c>
      <c r="AJ25" s="4"/>
      <c r="AK25" s="4"/>
      <c r="AL25" s="12">
        <f t="shared" si="22"/>
        <v>3.1408640831592803E-2</v>
      </c>
      <c r="AM25" s="12">
        <f t="shared" si="23"/>
        <v>-8.7903766876203229E-2</v>
      </c>
      <c r="AN25" s="12">
        <f t="shared" si="24"/>
        <v>-0.34899722141117512</v>
      </c>
      <c r="AO25" s="12">
        <f t="shared" si="25"/>
        <v>-2.9005273574489267E-2</v>
      </c>
      <c r="AP25" s="12">
        <f t="shared" si="26"/>
        <v>6.0005612479737827E-3</v>
      </c>
      <c r="AQ25" s="13">
        <f t="shared" si="27"/>
        <v>-0.12400064457923021</v>
      </c>
    </row>
    <row r="26" spans="1:43" ht="17" x14ac:dyDescent="0.2">
      <c r="A26" s="6" t="s">
        <v>18</v>
      </c>
      <c r="B26" s="7"/>
      <c r="C26" s="7"/>
      <c r="D26" s="7"/>
      <c r="E26" s="7"/>
      <c r="F26" s="7">
        <f>[5]PLK!B$9</f>
        <v>414</v>
      </c>
      <c r="G26" s="7">
        <f>[5]PLK!C$9</f>
        <v>482</v>
      </c>
      <c r="H26" s="7">
        <f>[5]PLK!D$9</f>
        <v>556</v>
      </c>
      <c r="I26" s="7">
        <f>[5]PLK!E$9</f>
        <v>559</v>
      </c>
      <c r="J26" s="7">
        <f>[5]PLK!F$9</f>
        <v>618</v>
      </c>
      <c r="K26" s="7">
        <f>[5]PLK!G$9</f>
        <v>692</v>
      </c>
      <c r="S26" s="7"/>
      <c r="T26" s="4"/>
      <c r="U26" s="4"/>
      <c r="V26" s="8">
        <f t="shared" si="76"/>
        <v>0.16425120772946866</v>
      </c>
      <c r="W26" s="8">
        <f t="shared" si="77"/>
        <v>0.15352697095435675</v>
      </c>
      <c r="X26" s="8">
        <f t="shared" si="78"/>
        <v>5.3956834532373765E-3</v>
      </c>
      <c r="Y26" s="8">
        <f t="shared" si="79"/>
        <v>0.10554561717352406</v>
      </c>
      <c r="Z26" s="8">
        <f t="shared" si="80"/>
        <v>0.11974110032362462</v>
      </c>
      <c r="AA26" s="14">
        <f t="shared" si="20"/>
        <v>0.10969211592684229</v>
      </c>
      <c r="AB26" s="4"/>
      <c r="AC26" s="26">
        <f t="shared" si="70"/>
        <v>5.2763817174138186E-3</v>
      </c>
      <c r="AD26" s="26">
        <f t="shared" si="71"/>
        <v>5.8867191280816342E-3</v>
      </c>
      <c r="AE26" s="26">
        <f t="shared" si="72"/>
        <v>6.8701567557241635E-3</v>
      </c>
      <c r="AF26" s="26">
        <f t="shared" si="73"/>
        <v>6.2314796717595393E-3</v>
      </c>
      <c r="AG26" s="26">
        <f t="shared" si="74"/>
        <v>6.4656378497686432E-3</v>
      </c>
      <c r="AH26" s="26">
        <f t="shared" si="75"/>
        <v>6.7109453938616528E-3</v>
      </c>
      <c r="AI26" s="20">
        <f t="shared" si="21"/>
        <v>6.4693543051299457E-3</v>
      </c>
      <c r="AJ26" s="4"/>
      <c r="AK26" s="4"/>
      <c r="AL26" s="12">
        <f t="shared" si="22"/>
        <v>0.11567347537679062</v>
      </c>
      <c r="AM26" s="12">
        <f t="shared" si="23"/>
        <v>0.16706039582408483</v>
      </c>
      <c r="AN26" s="12">
        <f t="shared" si="24"/>
        <v>-9.2963975448228764E-2</v>
      </c>
      <c r="AO26" s="12">
        <f t="shared" si="25"/>
        <v>3.7576657606745639E-2</v>
      </c>
      <c r="AP26" s="12">
        <f t="shared" si="26"/>
        <v>3.7940192413001797E-2</v>
      </c>
      <c r="AQ26" s="13">
        <f t="shared" si="27"/>
        <v>-5.8157084761604428E-3</v>
      </c>
    </row>
    <row r="27" spans="1:43" ht="17" x14ac:dyDescent="0.2">
      <c r="A27" s="6" t="s">
        <v>19</v>
      </c>
      <c r="B27" s="7"/>
      <c r="C27" s="7"/>
      <c r="D27" s="7"/>
      <c r="E27" s="7"/>
      <c r="F27" s="7">
        <f>[5]FHS!B$9</f>
        <v>0</v>
      </c>
      <c r="G27" s="7">
        <f>[5]FHS!C$9</f>
        <v>0</v>
      </c>
      <c r="H27" s="7">
        <f>[5]FHS!D$9</f>
        <v>0</v>
      </c>
      <c r="I27" s="7">
        <f>[5]FHS!E$9</f>
        <v>5</v>
      </c>
      <c r="J27" s="7">
        <f>[5]FHS!F$9</f>
        <v>138</v>
      </c>
      <c r="K27" s="7">
        <f>[5]FHS!G$9</f>
        <v>186</v>
      </c>
      <c r="S27" s="7"/>
      <c r="T27" s="4"/>
      <c r="U27" s="4"/>
      <c r="V27" s="8"/>
      <c r="W27" s="8"/>
      <c r="X27" s="8"/>
      <c r="Y27" s="8">
        <f>J27/I27-1</f>
        <v>26.6</v>
      </c>
      <c r="Z27" s="8">
        <f t="shared" si="80"/>
        <v>0.34782608695652173</v>
      </c>
      <c r="AA27" s="14">
        <f>AVERAGE(Y27:Z27)</f>
        <v>13.473913043478262</v>
      </c>
      <c r="AB27" s="4"/>
      <c r="AC27" s="26">
        <f t="shared" si="70"/>
        <v>0</v>
      </c>
      <c r="AD27" s="26">
        <f t="shared" si="71"/>
        <v>0</v>
      </c>
      <c r="AE27" s="26">
        <f t="shared" si="72"/>
        <v>0</v>
      </c>
      <c r="AF27" s="26">
        <f t="shared" si="73"/>
        <v>5.5737743038994094E-5</v>
      </c>
      <c r="AG27" s="26">
        <f t="shared" si="74"/>
        <v>1.4437832091716389E-3</v>
      </c>
      <c r="AH27" s="26">
        <f t="shared" si="75"/>
        <v>1.8038090220495193E-3</v>
      </c>
      <c r="AI27" s="20">
        <f t="shared" si="21"/>
        <v>1.1011099914200507E-3</v>
      </c>
      <c r="AJ27" s="4"/>
      <c r="AK27" s="4"/>
      <c r="AL27" s="12"/>
      <c r="AM27" s="12"/>
      <c r="AN27" s="12"/>
      <c r="AO27" s="12">
        <f t="shared" si="25"/>
        <v>24.903151624951317</v>
      </c>
      <c r="AP27" s="12">
        <f t="shared" si="26"/>
        <v>0.24936279255141278</v>
      </c>
      <c r="AQ27" s="13">
        <f t="shared" si="27"/>
        <v>12.576257208751365</v>
      </c>
    </row>
    <row r="28" spans="1:43" ht="17" x14ac:dyDescent="0.2">
      <c r="A28" s="6" t="s">
        <v>21</v>
      </c>
      <c r="B28" s="7">
        <f>[6]SBUX!J$21</f>
        <v>21366</v>
      </c>
      <c r="C28" s="7">
        <f>[6]SBUX!K$21</f>
        <v>23043</v>
      </c>
      <c r="D28" s="7">
        <f>[6]SBUX!L$21</f>
        <v>25085</v>
      </c>
      <c r="E28" s="7">
        <f>[6]SBUX!M$21</f>
        <v>27339</v>
      </c>
      <c r="F28" s="7">
        <f>[6]SBUX!N$21</f>
        <v>29324</v>
      </c>
      <c r="G28" s="7">
        <f>[6]SBUX!O$21</f>
        <v>31256</v>
      </c>
      <c r="H28" s="7">
        <f>[6]SBUX!P$21</f>
        <v>32660</v>
      </c>
      <c r="I28" s="7">
        <f>[6]SBUX!Q$21</f>
        <v>33833</v>
      </c>
      <c r="J28" s="7">
        <f>[6]SBUX!R$21</f>
        <v>35711</v>
      </c>
      <c r="K28" s="7">
        <f>[6]SBUX!S$21</f>
        <v>38038</v>
      </c>
      <c r="S28" s="7"/>
      <c r="T28" s="4"/>
      <c r="U28" s="4"/>
      <c r="V28" s="8">
        <f t="shared" si="76"/>
        <v>6.5884599645341657E-2</v>
      </c>
      <c r="W28" s="8">
        <f t="shared" si="77"/>
        <v>4.4919375479907764E-2</v>
      </c>
      <c r="X28" s="8">
        <f t="shared" si="78"/>
        <v>3.5915492957746542E-2</v>
      </c>
      <c r="Y28" s="8">
        <f t="shared" si="79"/>
        <v>5.5507936038778682E-2</v>
      </c>
      <c r="Z28" s="8">
        <f t="shared" si="80"/>
        <v>6.516199490353114E-2</v>
      </c>
      <c r="AA28" s="14">
        <f t="shared" si="20"/>
        <v>5.3477879805061156E-2</v>
      </c>
      <c r="AB28" s="4"/>
      <c r="AC28" s="26">
        <f t="shared" si="70"/>
        <v>0.37373096010010343</v>
      </c>
      <c r="AD28" s="26">
        <f t="shared" si="71"/>
        <v>0.3817329731687128</v>
      </c>
      <c r="AE28" s="26">
        <f t="shared" si="72"/>
        <v>0.40355992741358127</v>
      </c>
      <c r="AF28" s="26">
        <f t="shared" si="73"/>
        <v>0.37715501204765745</v>
      </c>
      <c r="AG28" s="26">
        <f t="shared" si="74"/>
        <v>0.37361552306324924</v>
      </c>
      <c r="AH28" s="26">
        <f t="shared" si="75"/>
        <v>0.36888864290709472</v>
      </c>
      <c r="AI28" s="20">
        <f t="shared" si="21"/>
        <v>0.37321972600600045</v>
      </c>
      <c r="AJ28" s="4"/>
      <c r="AK28" s="4"/>
      <c r="AL28" s="12">
        <f t="shared" si="22"/>
        <v>2.1411159157020441E-2</v>
      </c>
      <c r="AM28" s="12">
        <f t="shared" si="23"/>
        <v>5.7178592835944793E-2</v>
      </c>
      <c r="AN28" s="12">
        <f t="shared" si="24"/>
        <v>-6.5429973523766671E-2</v>
      </c>
      <c r="AO28" s="12">
        <f t="shared" si="25"/>
        <v>-9.3847062118876199E-3</v>
      </c>
      <c r="AP28" s="12">
        <f t="shared" si="26"/>
        <v>-1.2651723133447833E-2</v>
      </c>
      <c r="AQ28" s="13">
        <f t="shared" si="27"/>
        <v>-2.9155467623034042E-2</v>
      </c>
    </row>
    <row r="29" spans="1:43" ht="17" x14ac:dyDescent="0.2">
      <c r="A29" s="6" t="s">
        <v>22</v>
      </c>
      <c r="B29" s="7"/>
      <c r="C29" s="7"/>
      <c r="D29" s="7"/>
      <c r="E29" s="7"/>
      <c r="F29" s="7">
        <f>[7]KFC!B$9</f>
        <v>2644</v>
      </c>
      <c r="G29" s="7">
        <f>[7]KFC!C$9</f>
        <v>2491</v>
      </c>
      <c r="H29" s="7">
        <f>[7]KFC!D$9</f>
        <v>2272</v>
      </c>
      <c r="I29" s="7">
        <f>[7]KFC!E$9</f>
        <v>2793</v>
      </c>
      <c r="J29" s="7">
        <f>[7]KFC!F$9</f>
        <v>2834</v>
      </c>
      <c r="K29" s="7">
        <f>[7]KFC!G$9</f>
        <v>2830</v>
      </c>
      <c r="S29" s="7"/>
      <c r="T29" s="4"/>
      <c r="U29" s="4"/>
      <c r="V29" s="8">
        <f t="shared" si="76"/>
        <v>-5.7866868381240555E-2</v>
      </c>
      <c r="W29" s="8">
        <f t="shared" si="77"/>
        <v>-8.7916499397832193E-2</v>
      </c>
      <c r="X29" s="8">
        <f t="shared" si="78"/>
        <v>0.22931338028169024</v>
      </c>
      <c r="Y29" s="8">
        <f t="shared" si="79"/>
        <v>1.4679556032939578E-2</v>
      </c>
      <c r="Z29" s="8">
        <f t="shared" si="80"/>
        <v>-1.4114326040931546E-3</v>
      </c>
      <c r="AA29" s="14">
        <f t="shared" si="20"/>
        <v>1.9359627186292784E-2</v>
      </c>
      <c r="AB29" s="4"/>
      <c r="AC29" s="26">
        <f t="shared" si="70"/>
        <v>3.3697471644546222E-2</v>
      </c>
      <c r="AD29" s="26">
        <f t="shared" si="71"/>
        <v>3.0422857568571268E-2</v>
      </c>
      <c r="AE29" s="26">
        <f t="shared" si="72"/>
        <v>2.8073734080944782E-2</v>
      </c>
      <c r="AF29" s="26">
        <f t="shared" si="73"/>
        <v>3.1135103261582101E-2</v>
      </c>
      <c r="AG29" s="26">
        <f t="shared" si="74"/>
        <v>2.9649866773858148E-2</v>
      </c>
      <c r="AH29" s="26">
        <f t="shared" si="75"/>
        <v>2.7445051249463115E-2</v>
      </c>
      <c r="AI29" s="20">
        <f t="shared" si="21"/>
        <v>2.9410007094967789E-2</v>
      </c>
      <c r="AJ29" s="4"/>
      <c r="AK29" s="4"/>
      <c r="AL29" s="12">
        <f t="shared" si="22"/>
        <v>-9.7176847880957706E-2</v>
      </c>
      <c r="AM29" s="12">
        <f t="shared" si="23"/>
        <v>-7.7215740905722113E-2</v>
      </c>
      <c r="AN29" s="12">
        <f t="shared" si="24"/>
        <v>0.10904745239128136</v>
      </c>
      <c r="AO29" s="12">
        <f t="shared" si="25"/>
        <v>-4.7702956860162397E-2</v>
      </c>
      <c r="AP29" s="12">
        <f t="shared" si="26"/>
        <v>-7.436173461457124E-2</v>
      </c>
      <c r="AQ29" s="13">
        <f t="shared" si="27"/>
        <v>-4.3390796944840935E-3</v>
      </c>
    </row>
    <row r="30" spans="1:43" ht="17" x14ac:dyDescent="0.2">
      <c r="A30" s="6" t="s">
        <v>23</v>
      </c>
      <c r="B30" s="7"/>
      <c r="C30" s="7"/>
      <c r="D30" s="7"/>
      <c r="E30" s="7"/>
      <c r="F30" s="7">
        <f>'[7]Taco Bell'!B$9</f>
        <v>2056</v>
      </c>
      <c r="G30" s="7">
        <f>'[7]Taco Bell'!C$9</f>
        <v>2079</v>
      </c>
      <c r="H30" s="7">
        <f>'[7]Taco Bell'!D$9</f>
        <v>2031</v>
      </c>
      <c r="I30" s="7">
        <f>'[7]Taco Bell'!E$9</f>
        <v>2238</v>
      </c>
      <c r="J30" s="7">
        <f>'[7]Taco Bell'!F$9</f>
        <v>2437</v>
      </c>
      <c r="K30" s="7">
        <f>'[7]Taco Bell'!G$9</f>
        <v>2641</v>
      </c>
      <c r="S30" s="7"/>
      <c r="T30" s="4"/>
      <c r="U30" s="4"/>
      <c r="V30" s="8">
        <f t="shared" si="76"/>
        <v>1.1186770428015524E-2</v>
      </c>
      <c r="W30" s="8">
        <f t="shared" si="77"/>
        <v>-2.3088023088023046E-2</v>
      </c>
      <c r="X30" s="8">
        <f t="shared" si="78"/>
        <v>0.10192023633677993</v>
      </c>
      <c r="Y30" s="8">
        <f t="shared" si="79"/>
        <v>8.8918677390527279E-2</v>
      </c>
      <c r="Z30" s="8">
        <f t="shared" si="80"/>
        <v>8.3709478867459941E-2</v>
      </c>
      <c r="AA30" s="14">
        <f t="shared" si="20"/>
        <v>5.2529427986951926E-2</v>
      </c>
      <c r="AB30" s="4"/>
      <c r="AC30" s="26">
        <f t="shared" si="70"/>
        <v>2.6203480219813554E-2</v>
      </c>
      <c r="AD30" s="26">
        <f t="shared" si="71"/>
        <v>2.5391056156186136E-2</v>
      </c>
      <c r="AE30" s="26">
        <f t="shared" si="72"/>
        <v>2.5095842393661468E-2</v>
      </c>
      <c r="AF30" s="26">
        <f t="shared" si="73"/>
        <v>2.4948213784253756E-2</v>
      </c>
      <c r="AG30" s="26">
        <f t="shared" si="74"/>
        <v>2.5496374498197708E-2</v>
      </c>
      <c r="AH30" s="26">
        <f t="shared" si="75"/>
        <v>2.5612148533509571E-2</v>
      </c>
      <c r="AI30" s="20">
        <f t="shared" si="21"/>
        <v>2.5352245605320345E-2</v>
      </c>
      <c r="AJ30" s="4"/>
      <c r="AK30" s="4"/>
      <c r="AL30" s="12">
        <f t="shared" si="22"/>
        <v>-3.1004433640578415E-2</v>
      </c>
      <c r="AM30" s="12">
        <f t="shared" si="23"/>
        <v>-1.1626683061497747E-2</v>
      </c>
      <c r="AN30" s="12">
        <f t="shared" si="24"/>
        <v>-5.8825923072022132E-3</v>
      </c>
      <c r="AO30" s="12">
        <f t="shared" si="25"/>
        <v>2.1971942307546163E-2</v>
      </c>
      <c r="AP30" s="12">
        <f t="shared" si="26"/>
        <v>4.5408038433090731E-3</v>
      </c>
      <c r="AQ30" s="13">
        <f t="shared" si="27"/>
        <v>6.8767179478843405E-3</v>
      </c>
    </row>
    <row r="31" spans="1:43" ht="17" x14ac:dyDescent="0.2">
      <c r="A31" s="6" t="s">
        <v>24</v>
      </c>
      <c r="B31" s="7"/>
      <c r="C31" s="7"/>
      <c r="D31" s="7"/>
      <c r="E31" s="7"/>
      <c r="F31" s="7">
        <f>'[7]Pizza Hut'!B$9</f>
        <v>988</v>
      </c>
      <c r="G31" s="7">
        <f>'[7]Pizza Hut'!C$9</f>
        <v>1027</v>
      </c>
      <c r="H31" s="7">
        <f>'[7]Pizza Hut'!D$9</f>
        <v>1002</v>
      </c>
      <c r="I31" s="7">
        <f>'[7]Pizza Hut'!E$9</f>
        <v>1028</v>
      </c>
      <c r="J31" s="7">
        <f>'[7]Pizza Hut'!F$9</f>
        <v>1004</v>
      </c>
      <c r="K31" s="7">
        <f>'[7]Pizza Hut'!G$9</f>
        <v>1019</v>
      </c>
      <c r="S31" s="7"/>
      <c r="T31" s="4"/>
      <c r="U31" s="4"/>
      <c r="V31" s="8">
        <f t="shared" si="76"/>
        <v>3.9473684210526327E-2</v>
      </c>
      <c r="W31" s="8">
        <f t="shared" si="77"/>
        <v>-2.4342745861733239E-2</v>
      </c>
      <c r="X31" s="8">
        <f t="shared" si="78"/>
        <v>2.5948103792415189E-2</v>
      </c>
      <c r="Y31" s="8">
        <f t="shared" si="79"/>
        <v>-2.3346303501945553E-2</v>
      </c>
      <c r="Z31" s="8">
        <f t="shared" si="80"/>
        <v>1.4940239043824688E-2</v>
      </c>
      <c r="AA31" s="14">
        <f t="shared" si="20"/>
        <v>6.534595536617482E-3</v>
      </c>
      <c r="AB31" s="4"/>
      <c r="AC31" s="26">
        <f t="shared" si="70"/>
        <v>1.2591944774890949E-2</v>
      </c>
      <c r="AD31" s="26">
        <f t="shared" si="71"/>
        <v>1.2542864200290122E-2</v>
      </c>
      <c r="AE31" s="26">
        <f t="shared" si="72"/>
        <v>1.2381109836754698E-2</v>
      </c>
      <c r="AF31" s="26">
        <f t="shared" si="73"/>
        <v>1.1459679968817185E-2</v>
      </c>
      <c r="AG31" s="26">
        <f t="shared" si="74"/>
        <v>1.0504045956582069E-2</v>
      </c>
      <c r="AH31" s="26">
        <f t="shared" si="75"/>
        <v>9.8821580294003227E-3</v>
      </c>
      <c r="AI31" s="20">
        <f t="shared" si="21"/>
        <v>1.061529465159986E-2</v>
      </c>
      <c r="AJ31" s="4"/>
      <c r="AK31" s="4"/>
      <c r="AL31" s="12">
        <f t="shared" si="22"/>
        <v>-3.8977755603484213E-3</v>
      </c>
      <c r="AM31" s="12">
        <f t="shared" si="23"/>
        <v>-1.2896126510855678E-2</v>
      </c>
      <c r="AN31" s="12">
        <f t="shared" si="24"/>
        <v>-7.4422235170077108E-2</v>
      </c>
      <c r="AO31" s="12">
        <f t="shared" si="25"/>
        <v>-8.3390986034119777E-2</v>
      </c>
      <c r="AP31" s="12">
        <f t="shared" si="26"/>
        <v>-5.9204608372077548E-2</v>
      </c>
      <c r="AQ31" s="13">
        <f t="shared" si="27"/>
        <v>-7.2339276525424809E-2</v>
      </c>
    </row>
    <row r="32" spans="1:43" ht="17" x14ac:dyDescent="0.2">
      <c r="A32" s="6" t="s">
        <v>25</v>
      </c>
      <c r="B32" s="7"/>
      <c r="C32" s="7"/>
      <c r="D32" s="7"/>
      <c r="E32" s="7"/>
      <c r="F32" s="7">
        <f>'[7]Habit Burger Grill '!B$6</f>
        <v>0</v>
      </c>
      <c r="G32" s="7">
        <f>'[7]Habit Burger Grill '!C$6</f>
        <v>0</v>
      </c>
      <c r="H32" s="7">
        <f>'[7]Habit Burger Grill '!D$6</f>
        <v>347</v>
      </c>
      <c r="I32" s="7">
        <f>'[7]Habit Burger Grill '!E$6</f>
        <v>525</v>
      </c>
      <c r="J32" s="7">
        <f>'[7]Habit Burger Grill '!F$6</f>
        <v>567</v>
      </c>
      <c r="K32" s="7">
        <f>'[7]Habit Burger Grill '!G$6</f>
        <v>586</v>
      </c>
      <c r="S32" s="7"/>
      <c r="T32" s="4"/>
      <c r="U32" s="4"/>
      <c r="V32" s="8"/>
      <c r="W32" s="8"/>
      <c r="X32" s="8">
        <f t="shared" si="78"/>
        <v>0.51296829971181546</v>
      </c>
      <c r="Y32" s="8">
        <f t="shared" si="79"/>
        <v>8.0000000000000071E-2</v>
      </c>
      <c r="Z32" s="8">
        <f t="shared" si="80"/>
        <v>3.3509700176366897E-2</v>
      </c>
      <c r="AA32" s="14">
        <f>AVERAGE(X32:Z32)</f>
        <v>0.20882599996272747</v>
      </c>
      <c r="AB32" s="4"/>
      <c r="AC32" s="26">
        <f t="shared" si="70"/>
        <v>0</v>
      </c>
      <c r="AD32" s="26">
        <f t="shared" si="71"/>
        <v>0</v>
      </c>
      <c r="AE32" s="26">
        <f t="shared" si="72"/>
        <v>4.2876697738062674E-3</v>
      </c>
      <c r="AF32" s="26">
        <f t="shared" si="73"/>
        <v>5.8524630190943802E-3</v>
      </c>
      <c r="AG32" s="26">
        <f t="shared" si="74"/>
        <v>5.9320657942052114E-3</v>
      </c>
      <c r="AH32" s="26">
        <f t="shared" si="75"/>
        <v>5.6829682092527862E-3</v>
      </c>
      <c r="AI32" s="20">
        <f t="shared" si="21"/>
        <v>5.8224990075174598E-3</v>
      </c>
      <c r="AJ32" s="4"/>
      <c r="AK32" s="4"/>
      <c r="AL32" s="12"/>
      <c r="AM32" s="12"/>
      <c r="AN32" s="12">
        <f t="shared" si="24"/>
        <v>0.36495190344358269</v>
      </c>
      <c r="AO32" s="12">
        <f t="shared" si="25"/>
        <v>1.3601585324181866E-2</v>
      </c>
      <c r="AP32" s="12">
        <f t="shared" si="26"/>
        <v>-4.1991709733860051E-2</v>
      </c>
      <c r="AQ32" s="13">
        <f t="shared" si="27"/>
        <v>0.11218725967796817</v>
      </c>
    </row>
    <row r="33" spans="1:43" ht="17" x14ac:dyDescent="0.2">
      <c r="A33" s="6" t="s">
        <v>29</v>
      </c>
      <c r="B33" s="7">
        <f t="shared" ref="B33:E33" si="82">B12</f>
        <v>0</v>
      </c>
      <c r="C33" s="7">
        <f t="shared" si="82"/>
        <v>190.59200000000001</v>
      </c>
      <c r="D33" s="7">
        <f t="shared" si="82"/>
        <v>268.47500000000002</v>
      </c>
      <c r="E33" s="7">
        <f t="shared" si="82"/>
        <v>358.81</v>
      </c>
      <c r="F33" s="7">
        <f t="shared" ref="F33:J33" si="83">F12</f>
        <v>459.31</v>
      </c>
      <c r="G33" s="7">
        <f t="shared" si="83"/>
        <v>594.51900000000001</v>
      </c>
      <c r="H33" s="7">
        <f t="shared" si="83"/>
        <v>522.86699999999996</v>
      </c>
      <c r="I33" s="7">
        <f t="shared" si="83"/>
        <v>739.89300000000003</v>
      </c>
      <c r="J33" s="7">
        <f t="shared" si="83"/>
        <v>900.48599999999999</v>
      </c>
      <c r="K33" s="7">
        <f>K12</f>
        <v>1087.5329999999999</v>
      </c>
      <c r="S33" s="7"/>
      <c r="T33" s="4"/>
      <c r="U33" s="4"/>
      <c r="V33" s="8">
        <f t="shared" ref="V33" si="84">G33/F33-1</f>
        <v>0.29437416995057797</v>
      </c>
      <c r="W33" s="8">
        <f t="shared" ref="W33" si="85">H33/G33-1</f>
        <v>-0.12052095896010062</v>
      </c>
      <c r="X33" s="8">
        <f t="shared" ref="X33" si="86">I33/H33-1</f>
        <v>0.41506922410479152</v>
      </c>
      <c r="Y33" s="8">
        <f t="shared" ref="Y33" si="87">J33/I33-1</f>
        <v>0.21704895167274185</v>
      </c>
      <c r="Z33" s="8">
        <f t="shared" ref="Z33" si="88">K33/J33-1</f>
        <v>0.20771783237051977</v>
      </c>
      <c r="AA33" s="14">
        <f>AVERAGE(X33:Z33)</f>
        <v>0.27994533604935107</v>
      </c>
      <c r="AB33" s="4"/>
      <c r="AC33" s="26">
        <f t="shared" si="70"/>
        <v>5.8538523831529977E-3</v>
      </c>
      <c r="AD33" s="26">
        <f t="shared" si="71"/>
        <v>7.2609260774024178E-3</v>
      </c>
      <c r="AE33" s="26">
        <f t="shared" si="72"/>
        <v>6.460752252509399E-3</v>
      </c>
      <c r="AF33" s="26">
        <f t="shared" si="73"/>
        <v>8.247993182070092E-3</v>
      </c>
      <c r="AG33" s="26">
        <f t="shared" si="74"/>
        <v>9.4210620789429884E-3</v>
      </c>
      <c r="AH33" s="26">
        <f t="shared" si="75"/>
        <v>1.0546784070841825E-2</v>
      </c>
      <c r="AI33" s="20">
        <f t="shared" si="21"/>
        <v>9.4052797772849698E-3</v>
      </c>
      <c r="AJ33" s="4"/>
      <c r="AK33" s="4"/>
      <c r="AL33" s="12">
        <f t="shared" si="22"/>
        <v>0.24036712956734024</v>
      </c>
      <c r="AM33" s="12">
        <f t="shared" si="23"/>
        <v>-0.11020272295338937</v>
      </c>
      <c r="AN33" s="12">
        <f t="shared" si="24"/>
        <v>0.27663046959686727</v>
      </c>
      <c r="AO33" s="12">
        <f t="shared" si="25"/>
        <v>0.14222476558576375</v>
      </c>
      <c r="AP33" s="12">
        <f t="shared" si="26"/>
        <v>0.11948992400919825</v>
      </c>
      <c r="AQ33" s="13">
        <f t="shared" si="27"/>
        <v>0.17944838639727642</v>
      </c>
    </row>
    <row r="34" spans="1:43" ht="17" x14ac:dyDescent="0.2">
      <c r="A34" s="6" t="s">
        <v>39</v>
      </c>
      <c r="B34" s="7"/>
      <c r="C34" s="7"/>
      <c r="D34" s="7"/>
      <c r="E34" s="7"/>
      <c r="F34" s="7">
        <f>'[9]Statement of Income'!B$11</f>
        <v>3432.7999999999997</v>
      </c>
      <c r="G34" s="7">
        <f>'[9]Statement of Income'!C$11</f>
        <v>3618.8</v>
      </c>
      <c r="H34" s="7">
        <f>'[9]Statement of Income'!D$11</f>
        <v>4117.5</v>
      </c>
      <c r="I34" s="7">
        <f>'[9]Statement of Income'!E$11</f>
        <v>4357.3999999999996</v>
      </c>
      <c r="J34" s="7">
        <f>'[9]Statement of Income'!F$11</f>
        <v>4537.0999999999995</v>
      </c>
      <c r="K34" s="7">
        <f>'[9]Statement of Income'!G$11</f>
        <v>4479.4000000000005</v>
      </c>
      <c r="S34" s="7"/>
      <c r="T34" s="4"/>
      <c r="U34" s="4"/>
      <c r="V34" s="8">
        <f t="shared" ref="V34" si="89">G34/F34-1</f>
        <v>5.4183174085294938E-2</v>
      </c>
      <c r="W34" s="8">
        <f t="shared" ref="W34" si="90">H34/G34-1</f>
        <v>0.13780811318669173</v>
      </c>
      <c r="X34" s="8">
        <f t="shared" ref="X34" si="91">I34/H34-1</f>
        <v>5.8263509411050407E-2</v>
      </c>
      <c r="Y34" s="8">
        <f t="shared" ref="Y34" si="92">J34/I34-1</f>
        <v>4.1240189103593838E-2</v>
      </c>
      <c r="Z34" s="8">
        <f t="shared" ref="Z34" si="93">K34/J34-1</f>
        <v>-1.2717374534394033E-2</v>
      </c>
      <c r="AA34" s="14">
        <f>AVERAGE(X34:Z34)</f>
        <v>2.8928774660083405E-2</v>
      </c>
      <c r="AB34" s="4"/>
      <c r="AC34" s="26">
        <f t="shared" si="70"/>
        <v>4.3750635651058342E-2</v>
      </c>
      <c r="AD34" s="26">
        <f t="shared" si="71"/>
        <v>4.4196803279464354E-2</v>
      </c>
      <c r="AE34" s="26">
        <f t="shared" si="72"/>
        <v>5.0877464823191082E-2</v>
      </c>
      <c r="AF34" s="26">
        <f t="shared" si="73"/>
        <v>4.8574328303622571E-2</v>
      </c>
      <c r="AG34" s="26">
        <f t="shared" si="74"/>
        <v>4.7468034770526392E-2</v>
      </c>
      <c r="AH34" s="26">
        <f t="shared" si="75"/>
        <v>4.3440764157895793E-2</v>
      </c>
      <c r="AI34" s="20">
        <f t="shared" si="21"/>
        <v>4.6494375744014917E-2</v>
      </c>
      <c r="AJ34" s="4"/>
      <c r="AK34" s="4"/>
      <c r="AL34" s="12">
        <f t="shared" si="22"/>
        <v>1.0197969052712931E-2</v>
      </c>
      <c r="AM34" s="12">
        <f t="shared" si="23"/>
        <v>0.15115712105881732</v>
      </c>
      <c r="AN34" s="12">
        <f t="shared" si="24"/>
        <v>-4.5268303512613108E-2</v>
      </c>
      <c r="AO34" s="12">
        <f t="shared" si="25"/>
        <v>-2.2775271871616896E-2</v>
      </c>
      <c r="AP34" s="12">
        <f t="shared" si="26"/>
        <v>-8.4841738911238654E-2</v>
      </c>
      <c r="AQ34" s="13">
        <f t="shared" si="27"/>
        <v>-5.0961771431822879E-2</v>
      </c>
    </row>
    <row r="35" spans="1:43" ht="17" x14ac:dyDescent="0.2">
      <c r="A35" s="6" t="s">
        <v>35</v>
      </c>
      <c r="B35" s="7"/>
      <c r="C35" s="7"/>
      <c r="D35" s="7"/>
      <c r="E35" s="7"/>
      <c r="F35" s="7"/>
      <c r="G35" s="7"/>
      <c r="H35" s="7"/>
      <c r="I35" s="7">
        <f>I14</f>
        <v>500.072</v>
      </c>
      <c r="J35" s="7">
        <f t="shared" ref="J35:K35" si="94">J14</f>
        <v>564.11900000000003</v>
      </c>
      <c r="K35" s="7">
        <f t="shared" si="94"/>
        <v>728.7</v>
      </c>
      <c r="S35" s="7"/>
      <c r="T35" s="4"/>
      <c r="U35" s="4"/>
      <c r="V35" s="8"/>
      <c r="W35" s="8"/>
      <c r="X35" s="8"/>
      <c r="Y35" s="8">
        <f t="shared" ref="Y35:Y36" si="95">J35/I35-1</f>
        <v>0.1280755571197747</v>
      </c>
      <c r="Z35" s="8">
        <f t="shared" ref="Z35" si="96">K35/J35-1</f>
        <v>0.29174872677573349</v>
      </c>
      <c r="AA35" s="14">
        <f t="shared" ref="AA35:AA36" si="97">AVERAGE(X35:Z35)</f>
        <v>0.20991214194775409</v>
      </c>
      <c r="AB35" s="4"/>
      <c r="AC35" s="26">
        <f t="shared" si="70"/>
        <v>0</v>
      </c>
      <c r="AD35" s="26">
        <f t="shared" si="71"/>
        <v>0</v>
      </c>
      <c r="AE35" s="26">
        <f t="shared" si="72"/>
        <v>0</v>
      </c>
      <c r="AF35" s="26">
        <f t="shared" si="73"/>
        <v>5.5745769273991708E-3</v>
      </c>
      <c r="AG35" s="26">
        <f t="shared" si="74"/>
        <v>5.9019242041644625E-3</v>
      </c>
      <c r="AH35" s="26">
        <f t="shared" si="75"/>
        <v>7.0668582492875529E-3</v>
      </c>
      <c r="AI35" s="20">
        <f t="shared" si="21"/>
        <v>6.1811197936170624E-3</v>
      </c>
      <c r="AJ35" s="4"/>
      <c r="AK35" s="4"/>
      <c r="AL35" s="12"/>
      <c r="AM35" s="12"/>
      <c r="AN35" s="12"/>
      <c r="AO35" s="12">
        <f t="shared" ref="AO35:AO36" si="98">(AG35-AF35)/ABS(AF35)</f>
        <v>5.8721456538947815E-2</v>
      </c>
      <c r="AP35" s="12">
        <f t="shared" ref="AP35" si="99">(AH35-AG35)/ABS(AG35)</f>
        <v>0.19738207486654949</v>
      </c>
      <c r="AQ35" s="13">
        <f t="shared" si="27"/>
        <v>0.12805176570274865</v>
      </c>
    </row>
    <row r="36" spans="1:43" ht="17" x14ac:dyDescent="0.2">
      <c r="A36" s="6" t="s">
        <v>38</v>
      </c>
      <c r="B36" s="7">
        <f>'[11]Statement of Operations'!B$9/1000</f>
        <v>1598.049</v>
      </c>
      <c r="C36" s="7">
        <f>'[11]Statement of Operations'!C$9/1000</f>
        <v>1637.375</v>
      </c>
      <c r="D36" s="7">
        <f>'[11]Statement of Operations'!D$9/1000</f>
        <v>1713.62</v>
      </c>
      <c r="E36" s="7">
        <f>'[11]Statement of Operations'!E$9/1000</f>
        <v>1783.3589999999999</v>
      </c>
      <c r="F36" s="7">
        <f>'[11]Statement of Operations'!F$9/1000</f>
        <v>1662.8710000000001</v>
      </c>
      <c r="G36" s="7">
        <f>'[11]Statement of Operations'!G$9/1000</f>
        <v>1619.248</v>
      </c>
      <c r="H36" s="7">
        <f>'[11]Statement of Operations'!H$9/1000</f>
        <v>1813.2339999999999</v>
      </c>
      <c r="I36" s="7">
        <f>'[11]Statement of Operations'!I$9/1000</f>
        <v>2068.4209999999998</v>
      </c>
      <c r="J36" s="7">
        <f>'[11]Statement of Operations'!J$9/1000</f>
        <v>2102.1030000000001</v>
      </c>
      <c r="K36" s="7">
        <f>'[11]Statement of Operations'!K$9/1000</f>
        <v>2135.7130000000002</v>
      </c>
      <c r="S36" s="7"/>
      <c r="T36" s="4"/>
      <c r="U36" s="4"/>
      <c r="V36" s="8">
        <f t="shared" ref="V36" si="100">G36/F36-1</f>
        <v>-2.6233544273729037E-2</v>
      </c>
      <c r="W36" s="8">
        <f t="shared" ref="W36" si="101">H36/G36-1</f>
        <v>0.11980005533432792</v>
      </c>
      <c r="X36" s="8">
        <f t="shared" ref="X36" si="102">I36/H36-1</f>
        <v>0.14073583442622395</v>
      </c>
      <c r="Y36" s="8">
        <f t="shared" si="95"/>
        <v>1.6283918989412838E-2</v>
      </c>
      <c r="Z36" s="8">
        <f t="shared" ref="Z36" si="103">K36/J36-1</f>
        <v>1.5988750313376654E-2</v>
      </c>
      <c r="AA36" s="14">
        <f t="shared" si="97"/>
        <v>5.7669501243004483E-2</v>
      </c>
      <c r="AB36" s="4"/>
      <c r="AC36" s="26">
        <f t="shared" ref="AC36:AC37" si="104">F36/F$37</f>
        <v>2.1193096963327617E-2</v>
      </c>
      <c r="AD36" s="26">
        <f>G36/G$37</f>
        <v>1.9776054304373299E-2</v>
      </c>
      <c r="AE36" s="26">
        <f t="shared" ref="AE36:AE37" si="105">H36/H$37</f>
        <v>2.2405039235267533E-2</v>
      </c>
      <c r="AF36" s="26">
        <f t="shared" ref="AF36:AF37" si="106">I36/I$37</f>
        <v>2.3057823638891837E-2</v>
      </c>
      <c r="AG36" s="26">
        <f t="shared" ref="AG36:AG37" si="107">J36/J$37</f>
        <v>2.199261605325601E-2</v>
      </c>
      <c r="AH36" s="26">
        <f t="shared" ref="AH36:AH37" si="108">K36/K$37</f>
        <v>2.071192676294863E-2</v>
      </c>
      <c r="AI36" s="20">
        <f t="shared" si="21"/>
        <v>2.1920788818365494E-2</v>
      </c>
      <c r="AJ36" s="4"/>
      <c r="AK36" s="4"/>
      <c r="AL36" s="12">
        <f t="shared" ref="AL36" si="109">(AD36-AC36)/ABS(AC36)</f>
        <v>-6.6863406580282198E-2</v>
      </c>
      <c r="AM36" s="12">
        <f t="shared" ref="AM36" si="110">(AE36-AD36)/ABS(AD36)</f>
        <v>0.13293778882437926</v>
      </c>
      <c r="AN36" s="12">
        <f t="shared" ref="AN36" si="111">(AF36-AE36)/ABS(AE36)</f>
        <v>2.9135606359339161E-2</v>
      </c>
      <c r="AO36" s="12">
        <f t="shared" si="98"/>
        <v>-4.6197230160054281E-2</v>
      </c>
      <c r="AP36" s="12">
        <f t="shared" ref="AP36" si="112">(AH36-AG36)/ABS(AG36)</f>
        <v>-5.823269442826353E-2</v>
      </c>
      <c r="AQ36" s="13">
        <f t="shared" si="27"/>
        <v>-2.5098106076326218E-2</v>
      </c>
    </row>
    <row r="37" spans="1:43" ht="17" x14ac:dyDescent="0.2">
      <c r="A37" s="5" t="s">
        <v>8</v>
      </c>
      <c r="B37" s="9">
        <f t="shared" ref="B37:K37" si="113">SUM(B18:B36)</f>
        <v>27544.612999999998</v>
      </c>
      <c r="C37" s="9">
        <f t="shared" si="113"/>
        <v>29863.483</v>
      </c>
      <c r="D37" s="9">
        <f t="shared" si="113"/>
        <v>31478.427</v>
      </c>
      <c r="E37" s="9">
        <f t="shared" si="113"/>
        <v>34486.737999999998</v>
      </c>
      <c r="F37" s="9">
        <f t="shared" si="113"/>
        <v>78462.86</v>
      </c>
      <c r="G37" s="9">
        <f t="shared" si="113"/>
        <v>81879.225000000006</v>
      </c>
      <c r="H37" s="9">
        <f t="shared" si="113"/>
        <v>80929.739999999991</v>
      </c>
      <c r="I37" s="9">
        <f t="shared" si="113"/>
        <v>89705.820999999996</v>
      </c>
      <c r="J37" s="9">
        <f t="shared" si="113"/>
        <v>95582.217000000019</v>
      </c>
      <c r="K37" s="9">
        <f t="shared" si="113"/>
        <v>103115.12899999999</v>
      </c>
      <c r="S37" s="9"/>
      <c r="T37" s="4"/>
      <c r="U37" s="4"/>
      <c r="V37" s="8">
        <f t="shared" ref="V37" si="114">G37/F37-1</f>
        <v>4.3541173492783747E-2</v>
      </c>
      <c r="W37" s="8">
        <f t="shared" ref="W37" si="115">H37/G37-1</f>
        <v>-1.1596164961258704E-2</v>
      </c>
      <c r="X37" s="8">
        <f t="shared" ref="X37" si="116">I37/H37-1</f>
        <v>0.10844074131462689</v>
      </c>
      <c r="Y37" s="8">
        <f t="shared" ref="Y37" si="117">J37/I37-1</f>
        <v>6.5507410048674775E-2</v>
      </c>
      <c r="Z37" s="8">
        <f t="shared" ref="Z37" si="118">K37/J37-1</f>
        <v>7.8810810592518044E-2</v>
      </c>
      <c r="AA37" s="14">
        <f>AVERAGE(X37:Z37)</f>
        <v>8.4252987318606573E-2</v>
      </c>
      <c r="AB37" s="4"/>
      <c r="AC37" s="26">
        <f t="shared" si="104"/>
        <v>1</v>
      </c>
      <c r="AD37" s="26">
        <f t="shared" ref="AD37" si="119">G37/G$37</f>
        <v>1</v>
      </c>
      <c r="AE37" s="26">
        <f t="shared" si="105"/>
        <v>1</v>
      </c>
      <c r="AF37" s="26">
        <f t="shared" si="106"/>
        <v>1</v>
      </c>
      <c r="AG37" s="26">
        <f t="shared" si="107"/>
        <v>1</v>
      </c>
      <c r="AH37" s="26">
        <f t="shared" si="108"/>
        <v>1</v>
      </c>
      <c r="AI37" s="15"/>
      <c r="AJ37" s="4"/>
      <c r="AK37" s="4"/>
      <c r="AL37" s="12"/>
      <c r="AM37" s="12"/>
      <c r="AN37" s="12"/>
      <c r="AO37" s="12"/>
      <c r="AP37" s="12"/>
      <c r="AQ37" s="13"/>
    </row>
    <row r="38" spans="1:4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12"/>
      <c r="AM38" s="12"/>
      <c r="AN38" s="12"/>
      <c r="AO38" s="12"/>
      <c r="AP38" s="12"/>
      <c r="AQ38" s="4"/>
    </row>
    <row r="39" spans="1:43" ht="17" x14ac:dyDescent="0.2">
      <c r="A39" s="2" t="s">
        <v>44</v>
      </c>
      <c r="B39" s="4"/>
      <c r="C39" s="4"/>
      <c r="D39" s="4"/>
      <c r="E39" s="4"/>
      <c r="F39" s="4"/>
      <c r="G39" s="4"/>
      <c r="H39" s="4"/>
      <c r="I39" s="4"/>
      <c r="J39" s="4"/>
      <c r="K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ht="34" x14ac:dyDescent="0.2">
      <c r="A40" s="2" t="s">
        <v>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ht="17" x14ac:dyDescent="0.2">
      <c r="A41" s="6" t="s">
        <v>1</v>
      </c>
      <c r="B41" s="24">
        <f>'[1]Statement of Income'!K$44/1000</f>
        <v>710.8</v>
      </c>
      <c r="C41" s="24">
        <f>'[1]Statement of Income'!L$44/1000</f>
        <v>763.58900000000006</v>
      </c>
      <c r="D41" s="24">
        <f>'[1]Statement of Income'!M$44/1000</f>
        <v>34.567</v>
      </c>
      <c r="E41" s="24">
        <f>'[1]Statement of Income'!N$44/1000</f>
        <v>270.78199999999998</v>
      </c>
      <c r="F41" s="24">
        <f>'[1]Statement of Income'!O$44/1000</f>
        <v>258.38299999999998</v>
      </c>
      <c r="G41" s="24">
        <f>'[1]Statement of Income'!P$44/1000</f>
        <v>443.95800000000003</v>
      </c>
      <c r="H41" s="24">
        <f>'[1]Statement of Income'!Q$44/1000</f>
        <v>290.16399999999999</v>
      </c>
      <c r="I41" s="24">
        <f>'[1]Statement of Income'!R$44/1000</f>
        <v>804.94299999999998</v>
      </c>
      <c r="J41" s="24">
        <f>'[1]Statement of Income'!S$44/1000</f>
        <v>1160.403</v>
      </c>
      <c r="K41" s="24">
        <f>'[1]Statement of Income'!T$44/1000</f>
        <v>1557.8130000000001</v>
      </c>
      <c r="S41" s="24"/>
      <c r="T41" s="4"/>
      <c r="U41" s="4"/>
      <c r="V41" s="8">
        <f>G41/F41-1</f>
        <v>0.71821675574631483</v>
      </c>
      <c r="W41" s="8">
        <f>H41/G41-1</f>
        <v>-0.34641565193103863</v>
      </c>
      <c r="X41" s="8">
        <f>I41/H41-1</f>
        <v>1.7740967177182561</v>
      </c>
      <c r="Y41" s="8">
        <f>J41/I41-1</f>
        <v>0.44159648571389543</v>
      </c>
      <c r="Z41" s="8">
        <f>K41/J41-1</f>
        <v>0.34247584675324005</v>
      </c>
      <c r="AA41" s="14">
        <f>AVERAGE(X41:Z41)</f>
        <v>0.85272301672846373</v>
      </c>
      <c r="AB41" s="4"/>
      <c r="AC41" s="26">
        <f t="shared" ref="AC41:AH41" si="120">F41/F$52</f>
        <v>1.3873937002060556E-2</v>
      </c>
      <c r="AD41" s="26">
        <f t="shared" si="120"/>
        <v>2.35605490955157E-2</v>
      </c>
      <c r="AE41" s="26">
        <f t="shared" si="120"/>
        <v>1.9190611280267819E-2</v>
      </c>
      <c r="AF41" s="26">
        <f t="shared" si="120"/>
        <v>3.9002830982321691E-2</v>
      </c>
      <c r="AG41" s="26">
        <f t="shared" si="120"/>
        <v>5.6122648854494417E-2</v>
      </c>
      <c r="AH41" s="26">
        <f t="shared" si="120"/>
        <v>6.4551924375511563E-2</v>
      </c>
      <c r="AI41" s="20">
        <f t="shared" ref="AI41:AI51" si="121">AVERAGE(AF41:AH41)</f>
        <v>5.3225801404109228E-2</v>
      </c>
      <c r="AJ41" s="4"/>
      <c r="AK41" s="4"/>
      <c r="AL41" s="4"/>
      <c r="AM41" s="4"/>
      <c r="AN41" s="4"/>
      <c r="AO41" s="4"/>
      <c r="AP41" s="4"/>
      <c r="AQ41" s="4"/>
    </row>
    <row r="42" spans="1:43" ht="17" x14ac:dyDescent="0.2">
      <c r="A42" s="6" t="s">
        <v>2</v>
      </c>
      <c r="B42" s="24">
        <f>'[2]Statement of Operations'!D$21/1000</f>
        <v>57.331000000000003</v>
      </c>
      <c r="C42" s="24">
        <f>'[2]Statement of Operations'!E$21/1000</f>
        <v>63.151000000000003</v>
      </c>
      <c r="D42" s="24">
        <f>'[2]Statement of Operations'!F$21/1000</f>
        <v>46.999000000000002</v>
      </c>
      <c r="E42" s="24">
        <f>'[2]Statement of Operations'!G$21/1000</f>
        <v>70.697999999999993</v>
      </c>
      <c r="F42" s="24">
        <f>'[2]Statement of Operations'!H$21/1000</f>
        <v>73.614000000000004</v>
      </c>
      <c r="G42" s="24">
        <f>'[2]Statement of Operations'!I$21/1000</f>
        <v>164.983</v>
      </c>
      <c r="H42" s="24">
        <f>'[2]Statement of Operations'!J$21/1000</f>
        <v>6.6790000000000003</v>
      </c>
      <c r="I42" s="24">
        <f>'[2]Statement of Operations'!K$21/1000</f>
        <v>104.075</v>
      </c>
      <c r="J42" s="24">
        <f>'[2]Statement of Operations'!L$21/1000</f>
        <v>60.613999999999997</v>
      </c>
      <c r="K42" s="24">
        <f>'[2]Statement of Operations'!M$21/1000</f>
        <v>52.823</v>
      </c>
      <c r="S42" s="24"/>
      <c r="T42" s="4"/>
      <c r="U42" s="4"/>
      <c r="V42" s="8">
        <f t="shared" ref="V42:V52" si="122">G42/F42-1</f>
        <v>1.2411905344092156</v>
      </c>
      <c r="W42" s="8">
        <f t="shared" ref="W42:W52" si="123">H42/G42-1</f>
        <v>-0.95951704114969416</v>
      </c>
      <c r="X42" s="8">
        <f t="shared" ref="X42:X52" si="124">I42/H42-1</f>
        <v>14.582422518341069</v>
      </c>
      <c r="Y42" s="8">
        <f t="shared" ref="Y42:Y52" si="125">J42/I42-1</f>
        <v>-0.41759308191208266</v>
      </c>
      <c r="Z42" s="8">
        <f t="shared" ref="Z42:Z52" si="126">K42/J42-1</f>
        <v>-0.12853466195928331</v>
      </c>
      <c r="AA42" s="14">
        <f t="shared" ref="AA42:AA54" si="127">AVERAGE(X42:Z42)</f>
        <v>4.6787649248232341</v>
      </c>
      <c r="AB42" s="4"/>
      <c r="AC42" s="26">
        <f t="shared" ref="AC42:AC52" si="128">F42/F$52</f>
        <v>3.9527213418440298E-3</v>
      </c>
      <c r="AD42" s="26">
        <f t="shared" ref="AD42:AD52" si="129">G42/G$52</f>
        <v>8.7555355944153868E-3</v>
      </c>
      <c r="AE42" s="26">
        <f t="shared" ref="AE42:AE52" si="130">H42/H$52</f>
        <v>4.4172982430938635E-4</v>
      </c>
      <c r="AF42" s="26">
        <f t="shared" ref="AF42:AF52" si="131">I42/I$52</f>
        <v>5.0428659352092387E-3</v>
      </c>
      <c r="AG42" s="26">
        <f t="shared" ref="AG42:AG52" si="132">J42/J$52</f>
        <v>2.9315834564942736E-3</v>
      </c>
      <c r="AH42" s="26">
        <f t="shared" ref="AH42:AH52" si="133">K42/K$52</f>
        <v>2.1888546964800313E-3</v>
      </c>
      <c r="AI42" s="20">
        <f t="shared" si="121"/>
        <v>3.3877680293945139E-3</v>
      </c>
      <c r="AJ42" s="4"/>
      <c r="AK42" s="4"/>
      <c r="AL42" s="4"/>
      <c r="AM42" s="4"/>
      <c r="AN42" s="4"/>
      <c r="AO42" s="4"/>
      <c r="AP42" s="4"/>
      <c r="AQ42" s="4"/>
    </row>
    <row r="43" spans="1:43" ht="17" x14ac:dyDescent="0.2">
      <c r="A43" s="6" t="s">
        <v>3</v>
      </c>
      <c r="B43" s="24"/>
      <c r="C43" s="24">
        <f>'[3]Results of Operations'!B$16</f>
        <v>367.59999999999945</v>
      </c>
      <c r="D43" s="24">
        <f>'[3]Results of Operations'!C$16</f>
        <v>622.20000000000073</v>
      </c>
      <c r="E43" s="24">
        <f>'[3]Results of Operations'!D$16</f>
        <v>677.5</v>
      </c>
      <c r="F43" s="24">
        <f>'[3]Results of Operations'!E$16</f>
        <v>766.79999999999927</v>
      </c>
      <c r="G43" s="24">
        <f>'[3]Results of Operations'!F$16</f>
        <v>832.49999999999909</v>
      </c>
      <c r="H43" s="24">
        <f>'[3]Results of Operations'!G$16</f>
        <v>47.900000000000546</v>
      </c>
      <c r="I43" s="24">
        <f>'[3]Results of Operations'!H$16</f>
        <v>648.70000000000073</v>
      </c>
      <c r="J43" s="24">
        <f>'[3]Results of Operations'!I$16</f>
        <v>1162.2000000000007</v>
      </c>
      <c r="K43" s="24">
        <f>'[3]Results of Operations'!J$16</f>
        <v>1201.7999999999993</v>
      </c>
      <c r="S43" s="24"/>
      <c r="T43" s="4"/>
      <c r="U43" s="4"/>
      <c r="V43" s="8">
        <f t="shared" si="122"/>
        <v>8.5680751173708769E-2</v>
      </c>
      <c r="W43" s="8">
        <f t="shared" si="123"/>
        <v>-0.94246246246246179</v>
      </c>
      <c r="X43" s="8">
        <f t="shared" si="124"/>
        <v>12.542797494780654</v>
      </c>
      <c r="Y43" s="8">
        <f t="shared" si="125"/>
        <v>0.79158316633266446</v>
      </c>
      <c r="Z43" s="8">
        <f t="shared" si="126"/>
        <v>3.4073309241093197E-2</v>
      </c>
      <c r="AA43" s="14">
        <f t="shared" si="127"/>
        <v>4.4561513234514702</v>
      </c>
      <c r="AB43" s="4"/>
      <c r="AC43" s="26">
        <f t="shared" si="128"/>
        <v>4.1173509453718025E-2</v>
      </c>
      <c r="AD43" s="26">
        <f t="shared" si="129"/>
        <v>4.418020876302893E-2</v>
      </c>
      <c r="AE43" s="26">
        <f t="shared" si="130"/>
        <v>3.1679680467764405E-3</v>
      </c>
      <c r="AF43" s="26">
        <f t="shared" si="131"/>
        <v>3.1432208812589353E-2</v>
      </c>
      <c r="AG43" s="26">
        <f t="shared" si="132"/>
        <v>5.6209560384360827E-2</v>
      </c>
      <c r="AH43" s="26">
        <f t="shared" si="133"/>
        <v>4.9799624675419797E-2</v>
      </c>
      <c r="AI43" s="20">
        <f t="shared" si="121"/>
        <v>4.5813797957456659E-2</v>
      </c>
      <c r="AJ43" s="4"/>
      <c r="AK43" s="4"/>
      <c r="AL43" s="4"/>
      <c r="AM43" s="4"/>
      <c r="AN43" s="4"/>
      <c r="AO43" s="4"/>
      <c r="AP43" s="4"/>
      <c r="AQ43" s="4"/>
    </row>
    <row r="44" spans="1:43" ht="17" x14ac:dyDescent="0.2">
      <c r="A44" s="6" t="s">
        <v>4</v>
      </c>
      <c r="B44" s="24"/>
      <c r="C44" s="24"/>
      <c r="D44" s="24"/>
      <c r="E44" s="24"/>
      <c r="F44" s="24">
        <f>'[4]Statement of Operations'!B$35</f>
        <v>8823</v>
      </c>
      <c r="G44" s="24">
        <f>'[4]Statement of Operations'!C$35</f>
        <v>9070</v>
      </c>
      <c r="H44" s="24">
        <f>'[4]Statement of Operations'!D$35</f>
        <v>7324</v>
      </c>
      <c r="I44" s="24">
        <f>'[4]Statement of Operations'!E$35</f>
        <v>10356</v>
      </c>
      <c r="J44" s="24">
        <f>'[4]Statement of Operations'!F$35</f>
        <v>9371</v>
      </c>
      <c r="K44" s="24">
        <f>'[4]Statement of Operations'!G$35</f>
        <v>11647</v>
      </c>
      <c r="S44" s="24"/>
      <c r="T44" s="4"/>
      <c r="U44" s="4"/>
      <c r="V44" s="8">
        <f t="shared" si="122"/>
        <v>2.7995013034115335E-2</v>
      </c>
      <c r="W44" s="8">
        <f t="shared" si="123"/>
        <v>-0.19250275633958103</v>
      </c>
      <c r="X44" s="8">
        <f t="shared" si="124"/>
        <v>0.41398143091206996</v>
      </c>
      <c r="Y44" s="8">
        <f t="shared" si="125"/>
        <v>-9.5113943607570528E-2</v>
      </c>
      <c r="Z44" s="8">
        <f t="shared" si="126"/>
        <v>0.24287696083662369</v>
      </c>
      <c r="AA44" s="14">
        <f t="shared" si="127"/>
        <v>0.18724814938037437</v>
      </c>
      <c r="AB44" s="4"/>
      <c r="AC44" s="26">
        <f t="shared" si="128"/>
        <v>0.47375309586613784</v>
      </c>
      <c r="AD44" s="26">
        <f t="shared" si="129"/>
        <v>0.48133873090771512</v>
      </c>
      <c r="AE44" s="26">
        <f t="shared" si="130"/>
        <v>0.48438826669290991</v>
      </c>
      <c r="AF44" s="26">
        <f t="shared" si="131"/>
        <v>0.50179120466035909</v>
      </c>
      <c r="AG44" s="26">
        <f t="shared" si="132"/>
        <v>0.45322645875223277</v>
      </c>
      <c r="AH44" s="26">
        <f t="shared" si="133"/>
        <v>0.48262292277801194</v>
      </c>
      <c r="AI44" s="20">
        <f t="shared" si="121"/>
        <v>0.47921352873020129</v>
      </c>
      <c r="AJ44" s="4"/>
      <c r="AK44" s="4"/>
      <c r="AL44" s="4"/>
      <c r="AM44" s="4"/>
      <c r="AN44" s="4"/>
      <c r="AO44" s="4"/>
      <c r="AP44" s="4"/>
      <c r="AQ44" s="4"/>
    </row>
    <row r="45" spans="1:43" ht="17" x14ac:dyDescent="0.2">
      <c r="A45" s="6" t="s">
        <v>5</v>
      </c>
      <c r="B45" s="24"/>
      <c r="C45" s="24"/>
      <c r="D45" s="24"/>
      <c r="E45" s="24"/>
      <c r="F45" s="24">
        <f>'[5]Statement of Operations'!B$18</f>
        <v>1917</v>
      </c>
      <c r="G45" s="24">
        <f>'[5]Statement of Operations'!C$18</f>
        <v>2007</v>
      </c>
      <c r="H45" s="24">
        <f>'[5]Statement of Operations'!D$18</f>
        <v>1422</v>
      </c>
      <c r="I45" s="24">
        <f>'[5]Statement of Operations'!E$18</f>
        <v>1879</v>
      </c>
      <c r="J45" s="24">
        <f>'[5]Statement of Operations'!F$18</f>
        <v>1898</v>
      </c>
      <c r="K45" s="24">
        <f>'[5]Statement of Operations'!G$18</f>
        <v>2051</v>
      </c>
      <c r="S45" s="24"/>
      <c r="T45" s="4"/>
      <c r="U45" s="4"/>
      <c r="V45" s="8">
        <f t="shared" si="122"/>
        <v>4.6948356807511749E-2</v>
      </c>
      <c r="W45" s="8">
        <f t="shared" si="123"/>
        <v>-0.29147982062780264</v>
      </c>
      <c r="X45" s="8">
        <f t="shared" si="124"/>
        <v>0.32137834036568225</v>
      </c>
      <c r="Y45" s="8">
        <f t="shared" si="125"/>
        <v>1.0111761575305911E-2</v>
      </c>
      <c r="Z45" s="8">
        <f t="shared" si="126"/>
        <v>8.0611169652265557E-2</v>
      </c>
      <c r="AA45" s="14">
        <f t="shared" si="127"/>
        <v>0.13736709053108456</v>
      </c>
      <c r="AB45" s="4"/>
      <c r="AC45" s="26">
        <f t="shared" si="128"/>
        <v>0.10293377363429516</v>
      </c>
      <c r="AD45" s="26">
        <f t="shared" si="129"/>
        <v>0.10651012490978878</v>
      </c>
      <c r="AE45" s="26">
        <f t="shared" si="130"/>
        <v>9.4046984603675304E-2</v>
      </c>
      <c r="AF45" s="26">
        <f t="shared" si="131"/>
        <v>9.1045352796138929E-2</v>
      </c>
      <c r="AG45" s="26">
        <f t="shared" si="132"/>
        <v>9.1796373782065718E-2</v>
      </c>
      <c r="AH45" s="26">
        <f t="shared" si="133"/>
        <v>8.498837594382265E-2</v>
      </c>
      <c r="AI45" s="20">
        <f t="shared" si="121"/>
        <v>8.9276700840675752E-2</v>
      </c>
      <c r="AJ45" s="4"/>
      <c r="AK45" s="4"/>
      <c r="AL45" s="4"/>
      <c r="AM45" s="4"/>
      <c r="AN45" s="4"/>
      <c r="AO45" s="4"/>
      <c r="AP45" s="4"/>
      <c r="AQ45" s="4"/>
    </row>
    <row r="46" spans="1:43" ht="17" x14ac:dyDescent="0.2">
      <c r="A46" s="6" t="s">
        <v>6</v>
      </c>
      <c r="B46" s="24">
        <f>[6]SBUX!J$40</f>
        <v>2138</v>
      </c>
      <c r="C46" s="24">
        <f>[6]SBUX!K$40</f>
        <v>2613</v>
      </c>
      <c r="D46" s="24">
        <f>[6]SBUX!L$40</f>
        <v>2886.7999999999997</v>
      </c>
      <c r="E46" s="24">
        <f>[6]SBUX!M$40</f>
        <v>3112</v>
      </c>
      <c r="F46" s="24">
        <f>[6]SBUX!N$40</f>
        <v>3734.5</v>
      </c>
      <c r="G46" s="24">
        <f>[6]SBUX!O$40</f>
        <v>3708.2</v>
      </c>
      <c r="H46" s="24">
        <f>[6]SBUX!P$40</f>
        <v>3819.8999999999996</v>
      </c>
      <c r="I46" s="24">
        <f>[6]SBUX!Q$40</f>
        <v>3904.2</v>
      </c>
      <c r="J46" s="24">
        <f>[6]SBUX!R$40</f>
        <v>3987.4</v>
      </c>
      <c r="K46" s="24">
        <f>[6]SBUX!S$40</f>
        <v>4365.1000000000004</v>
      </c>
      <c r="S46" s="24"/>
      <c r="T46" s="4"/>
      <c r="U46" s="4"/>
      <c r="V46" s="8">
        <f t="shared" si="122"/>
        <v>-7.0424420939885213E-3</v>
      </c>
      <c r="W46" s="8">
        <f t="shared" si="123"/>
        <v>3.0122431368318825E-2</v>
      </c>
      <c r="X46" s="8">
        <f t="shared" si="124"/>
        <v>2.206864054032831E-2</v>
      </c>
      <c r="Y46" s="8">
        <f t="shared" si="125"/>
        <v>2.1310383689360224E-2</v>
      </c>
      <c r="Z46" s="8">
        <f t="shared" si="126"/>
        <v>9.472337864272462E-2</v>
      </c>
      <c r="AA46" s="14">
        <f t="shared" si="127"/>
        <v>4.6034134290804385E-2</v>
      </c>
      <c r="AB46" s="4"/>
      <c r="AC46" s="26">
        <f t="shared" si="128"/>
        <v>0.20052487096362823</v>
      </c>
      <c r="AD46" s="26">
        <f t="shared" si="129"/>
        <v>0.19679165181389074</v>
      </c>
      <c r="AE46" s="26">
        <f t="shared" si="130"/>
        <v>0.25263718459042139</v>
      </c>
      <c r="AF46" s="26">
        <f t="shared" si="131"/>
        <v>0.18917470270712378</v>
      </c>
      <c r="AG46" s="26">
        <f t="shared" si="132"/>
        <v>0.19284976860832923</v>
      </c>
      <c r="AH46" s="26">
        <f t="shared" si="133"/>
        <v>0.18087896627614838</v>
      </c>
      <c r="AI46" s="20">
        <f t="shared" si="121"/>
        <v>0.18763447919720047</v>
      </c>
      <c r="AJ46" s="4"/>
      <c r="AK46" s="4"/>
      <c r="AL46" s="4"/>
      <c r="AM46" s="4"/>
      <c r="AN46" s="4"/>
      <c r="AO46" s="4"/>
      <c r="AP46" s="4"/>
      <c r="AQ46" s="4"/>
    </row>
    <row r="47" spans="1:43" ht="17" x14ac:dyDescent="0.2">
      <c r="A47" s="6" t="s">
        <v>7</v>
      </c>
      <c r="B47" s="24"/>
      <c r="C47" s="24"/>
      <c r="D47" s="24"/>
      <c r="E47" s="24"/>
      <c r="F47" s="24">
        <f>'[7]Statement of Income'!B$17</f>
        <v>2296</v>
      </c>
      <c r="G47" s="24">
        <f>'[7]Statement of Income'!C$17</f>
        <v>1930</v>
      </c>
      <c r="H47" s="24">
        <f>'[7]Statement of Income'!D$17</f>
        <v>1503</v>
      </c>
      <c r="I47" s="24">
        <f>'[7]Statement of Income'!E$17</f>
        <v>2139</v>
      </c>
      <c r="J47" s="24">
        <f>'[7]Statement of Income'!F$17</f>
        <v>2187</v>
      </c>
      <c r="K47" s="24">
        <f>'[7]Statement of Income'!G$17</f>
        <v>2318</v>
      </c>
      <c r="S47" s="24"/>
      <c r="T47" s="4"/>
      <c r="U47" s="4"/>
      <c r="V47" s="8">
        <f t="shared" si="122"/>
        <v>-0.15940766550522645</v>
      </c>
      <c r="W47" s="8">
        <f t="shared" si="123"/>
        <v>-0.22124352331606223</v>
      </c>
      <c r="X47" s="8">
        <f t="shared" si="124"/>
        <v>0.42315369261477054</v>
      </c>
      <c r="Y47" s="8">
        <f t="shared" si="125"/>
        <v>2.244039270687237E-2</v>
      </c>
      <c r="Z47" s="8">
        <f t="shared" si="126"/>
        <v>5.9899405578417886E-2</v>
      </c>
      <c r="AA47" s="14">
        <f t="shared" si="127"/>
        <v>0.16849783030002027</v>
      </c>
      <c r="AB47" s="4"/>
      <c r="AC47" s="26">
        <f t="shared" si="128"/>
        <v>0.12328426930847246</v>
      </c>
      <c r="AD47" s="26">
        <f t="shared" si="129"/>
        <v>0.10242378728245757</v>
      </c>
      <c r="AE47" s="26">
        <f t="shared" si="130"/>
        <v>9.9404091321606172E-2</v>
      </c>
      <c r="AF47" s="26">
        <f t="shared" si="131"/>
        <v>0.10364343248054346</v>
      </c>
      <c r="AG47" s="26">
        <f t="shared" si="132"/>
        <v>0.10577379845172694</v>
      </c>
      <c r="AH47" s="26">
        <f t="shared" si="133"/>
        <v>9.6052196702964859E-2</v>
      </c>
      <c r="AI47" s="20">
        <f t="shared" si="121"/>
        <v>0.1018231425450784</v>
      </c>
      <c r="AJ47" s="4"/>
      <c r="AK47" s="4"/>
      <c r="AL47" s="4"/>
      <c r="AM47" s="4"/>
      <c r="AN47" s="4"/>
      <c r="AO47" s="4"/>
      <c r="AP47" s="4"/>
      <c r="AQ47" s="4"/>
    </row>
    <row r="48" spans="1:43" ht="17" x14ac:dyDescent="0.2">
      <c r="A48" s="6" t="s">
        <v>34</v>
      </c>
      <c r="B48" s="24">
        <f>'[8]Statement of Income'!B$18/1000</f>
        <v>0</v>
      </c>
      <c r="C48" s="24">
        <f>'[8]Statement of Income'!C$18/1000</f>
        <v>6.7530000000000001</v>
      </c>
      <c r="D48" s="24">
        <f>'[8]Statement of Income'!D$18/1000</f>
        <v>27.805</v>
      </c>
      <c r="E48" s="24">
        <f>'[8]Statement of Income'!E$18/1000</f>
        <v>33.813000000000002</v>
      </c>
      <c r="F48" s="24">
        <f>'[8]Statement of Income'!F$18/1000</f>
        <v>31.710999999999999</v>
      </c>
      <c r="G48" s="24">
        <f>'[8]Statement of Income'!G$18/1000</f>
        <v>25.684999999999999</v>
      </c>
      <c r="H48" s="24">
        <f>'[8]Statement of Income'!H$18/1000</f>
        <v>-43.875999999999998</v>
      </c>
      <c r="I48" s="24">
        <f>'[8]Statement of Income'!I$18/1000</f>
        <v>-15.853</v>
      </c>
      <c r="J48" s="24">
        <f>'[8]Statement of Income'!J$18/1000</f>
        <v>-26.893999999999998</v>
      </c>
      <c r="K48" s="24">
        <f>'[8]Statement of Income'!K$18/1000</f>
        <v>5.9210000000000003</v>
      </c>
      <c r="S48" s="24"/>
      <c r="T48" s="4"/>
      <c r="U48" s="4"/>
      <c r="V48" s="8">
        <f t="shared" si="122"/>
        <v>-0.1900286966667718</v>
      </c>
      <c r="W48" s="8">
        <f t="shared" si="123"/>
        <v>-2.7082343780416585</v>
      </c>
      <c r="X48" s="8">
        <f t="shared" si="124"/>
        <v>-0.63868629774819952</v>
      </c>
      <c r="Y48" s="8">
        <f t="shared" si="125"/>
        <v>0.69646123762063961</v>
      </c>
      <c r="Z48" s="8">
        <f t="shared" si="126"/>
        <v>-1.220160630623931</v>
      </c>
      <c r="AA48" s="14">
        <f t="shared" si="127"/>
        <v>-0.38746189691716365</v>
      </c>
      <c r="AB48" s="4"/>
      <c r="AC48" s="26">
        <f t="shared" si="128"/>
        <v>1.7027297317251612E-3</v>
      </c>
      <c r="AD48" s="26">
        <f t="shared" si="129"/>
        <v>1.3630854799740531E-3</v>
      </c>
      <c r="AE48" s="26">
        <f t="shared" si="130"/>
        <v>-2.9018322759991962E-3</v>
      </c>
      <c r="AF48" s="26">
        <f t="shared" si="131"/>
        <v>-7.6814368168025033E-4</v>
      </c>
      <c r="AG48" s="26">
        <f t="shared" si="132"/>
        <v>-1.3007226957296497E-3</v>
      </c>
      <c r="AH48" s="26">
        <f t="shared" si="133"/>
        <v>2.4535162065498486E-4</v>
      </c>
      <c r="AI48" s="20">
        <f t="shared" si="121"/>
        <v>-6.0783825225163839E-4</v>
      </c>
      <c r="AJ48" s="4"/>
      <c r="AK48" s="4"/>
      <c r="AL48" s="4"/>
      <c r="AM48" s="4"/>
      <c r="AN48" s="4"/>
      <c r="AO48" s="4"/>
      <c r="AP48" s="4"/>
      <c r="AQ48" s="4"/>
    </row>
    <row r="49" spans="1:43" ht="17" x14ac:dyDescent="0.2">
      <c r="A49" s="6" t="s">
        <v>31</v>
      </c>
      <c r="B49" s="24"/>
      <c r="C49" s="24"/>
      <c r="D49" s="24"/>
      <c r="E49" s="24"/>
      <c r="F49" s="24">
        <f>'[9]Statement of Income'!B$20</f>
        <v>571.59999999999991</v>
      </c>
      <c r="G49" s="24">
        <f>'[9]Statement of Income'!C$20</f>
        <v>629.40000000000043</v>
      </c>
      <c r="H49" s="24">
        <f>'[9]Statement of Income'!D$20</f>
        <v>725.8</v>
      </c>
      <c r="I49" s="24">
        <f>'[9]Statement of Income'!E$20</f>
        <v>780.49999999999977</v>
      </c>
      <c r="J49" s="24">
        <f>'[9]Statement of Income'!F$20</f>
        <v>767.99999999999955</v>
      </c>
      <c r="K49" s="24">
        <f>'[9]Statement of Income'!G$20</f>
        <v>819.50000000000057</v>
      </c>
      <c r="S49" s="24"/>
      <c r="T49" s="4"/>
      <c r="U49" s="4"/>
      <c r="V49" s="8">
        <f t="shared" si="122"/>
        <v>0.10111966410077078</v>
      </c>
      <c r="W49" s="8">
        <f t="shared" si="123"/>
        <v>0.15316174134095872</v>
      </c>
      <c r="X49" s="8">
        <f t="shared" si="124"/>
        <v>7.5365114356571894E-2</v>
      </c>
      <c r="Y49" s="8">
        <f t="shared" si="125"/>
        <v>-1.6015374759769663E-2</v>
      </c>
      <c r="Z49" s="8">
        <f t="shared" si="126"/>
        <v>6.7057291666668073E-2</v>
      </c>
      <c r="AA49" s="14">
        <f t="shared" si="127"/>
        <v>4.2135677087823432E-2</v>
      </c>
      <c r="AB49" s="4"/>
      <c r="AC49" s="26">
        <f t="shared" si="128"/>
        <v>3.0692198752928071E-2</v>
      </c>
      <c r="AD49" s="26">
        <f t="shared" si="129"/>
        <v>3.3401829904444992E-2</v>
      </c>
      <c r="AE49" s="26">
        <f t="shared" si="130"/>
        <v>4.8002321677459582E-2</v>
      </c>
      <c r="AF49" s="26">
        <f t="shared" si="131"/>
        <v>3.7818466129529757E-2</v>
      </c>
      <c r="AG49" s="26">
        <f t="shared" si="132"/>
        <v>3.7144159675777888E-2</v>
      </c>
      <c r="AH49" s="26">
        <f t="shared" si="133"/>
        <v>3.3958056599689278E-2</v>
      </c>
      <c r="AI49" s="20">
        <f t="shared" si="121"/>
        <v>3.630689413499897E-2</v>
      </c>
      <c r="AJ49" s="4"/>
      <c r="AK49" s="4"/>
      <c r="AL49" s="4"/>
      <c r="AM49" s="4"/>
      <c r="AN49" s="4"/>
      <c r="AO49" s="4"/>
      <c r="AP49" s="4"/>
      <c r="AQ49" s="4"/>
    </row>
    <row r="50" spans="1:43" ht="17" x14ac:dyDescent="0.2">
      <c r="A50" s="6" t="s">
        <v>33</v>
      </c>
      <c r="B50" s="24"/>
      <c r="C50" s="24"/>
      <c r="D50" s="24"/>
      <c r="E50" s="24"/>
      <c r="F50" s="24"/>
      <c r="G50" s="24"/>
      <c r="H50" s="24"/>
      <c r="I50" s="24">
        <f>'[10]Statement of Operations'!B$27/1000</f>
        <v>-52.752000000000002</v>
      </c>
      <c r="J50" s="24">
        <f>'[10]Statement of Operations'!C$27/1000</f>
        <v>-59.765999999999998</v>
      </c>
      <c r="K50" s="24">
        <f>'[10]Statement of Operations'!D$27/1000</f>
        <v>4.7249999999999996</v>
      </c>
      <c r="S50" s="24"/>
      <c r="T50" s="4"/>
      <c r="U50" s="4"/>
      <c r="V50" s="8"/>
      <c r="W50" s="8"/>
      <c r="X50" s="8"/>
      <c r="Y50" s="8">
        <f t="shared" si="125"/>
        <v>0.13296178343949028</v>
      </c>
      <c r="Z50" s="8">
        <f t="shared" si="126"/>
        <v>-1.079058327477161</v>
      </c>
      <c r="AA50" s="14">
        <f t="shared" si="127"/>
        <v>-0.47304827201883537</v>
      </c>
      <c r="AB50" s="4"/>
      <c r="AC50" s="26">
        <f t="shared" si="128"/>
        <v>0</v>
      </c>
      <c r="AD50" s="26">
        <f t="shared" si="129"/>
        <v>0</v>
      </c>
      <c r="AE50" s="26">
        <f t="shared" si="130"/>
        <v>0</v>
      </c>
      <c r="AF50" s="26">
        <f t="shared" si="131"/>
        <v>-2.5560534596604156E-3</v>
      </c>
      <c r="AG50" s="26">
        <f t="shared" si="132"/>
        <v>-2.8905701135189354E-3</v>
      </c>
      <c r="AH50" s="26">
        <f t="shared" si="133"/>
        <v>1.957923336589771E-4</v>
      </c>
      <c r="AI50" s="20">
        <f t="shared" si="121"/>
        <v>-1.7502770798401245E-3</v>
      </c>
      <c r="AJ50" s="4"/>
      <c r="AK50" s="4"/>
      <c r="AL50" s="4"/>
      <c r="AM50" s="4"/>
      <c r="AN50" s="4"/>
      <c r="AO50" s="4"/>
      <c r="AP50" s="4"/>
      <c r="AQ50" s="4"/>
    </row>
    <row r="51" spans="1:43" ht="17" x14ac:dyDescent="0.2">
      <c r="A51" s="6" t="s">
        <v>36</v>
      </c>
      <c r="B51" s="24" t="e">
        <f>'[11]Statement of Operations'!A$19/1000</f>
        <v>#VALUE!</v>
      </c>
      <c r="C51" s="24">
        <f>'[11]Statement of Operations'!B$19/1000</f>
        <v>117.53</v>
      </c>
      <c r="D51" s="24">
        <f>'[11]Statement of Operations'!C$19/1000</f>
        <v>136.30699999999999</v>
      </c>
      <c r="E51" s="24">
        <f>'[11]Statement of Operations'!D$19/1000</f>
        <v>164.523</v>
      </c>
      <c r="F51" s="24">
        <f>'[11]Statement of Operations'!E$19/1000</f>
        <v>151.017</v>
      </c>
      <c r="G51" s="24">
        <f>'[11]Statement of Operations'!F$19/1000</f>
        <v>31.553000000000001</v>
      </c>
      <c r="H51" s="24">
        <f>'[11]Statement of Operations'!G$19/1000</f>
        <v>24.535</v>
      </c>
      <c r="I51" s="24">
        <f>'[11]Statement of Operations'!H$19/1000</f>
        <v>90.253</v>
      </c>
      <c r="J51" s="24">
        <f>'[11]Statement of Operations'!I$19/1000</f>
        <v>168.24100000000001</v>
      </c>
      <c r="K51" s="24">
        <f>'[11]Statement of Operations'!J$19/1000</f>
        <v>109.03</v>
      </c>
      <c r="S51" s="24"/>
      <c r="T51" s="4"/>
      <c r="U51" s="4"/>
      <c r="V51" s="8">
        <f t="shared" si="122"/>
        <v>-0.7910632577789255</v>
      </c>
      <c r="W51" s="8">
        <f t="shared" si="123"/>
        <v>-0.22241942129116088</v>
      </c>
      <c r="X51" s="8">
        <f t="shared" si="124"/>
        <v>2.6785408599959242</v>
      </c>
      <c r="Y51" s="8">
        <f t="shared" si="125"/>
        <v>0.86410424030226163</v>
      </c>
      <c r="Z51" s="8">
        <f t="shared" si="126"/>
        <v>-0.35194156002401322</v>
      </c>
      <c r="AA51" s="14">
        <f t="shared" si="127"/>
        <v>1.0635678467580576</v>
      </c>
      <c r="AB51" s="4"/>
      <c r="AC51" s="26">
        <f t="shared" si="128"/>
        <v>8.1088939451905862E-3</v>
      </c>
      <c r="AD51" s="26">
        <f t="shared" si="129"/>
        <v>1.6744962487685927E-3</v>
      </c>
      <c r="AE51" s="26">
        <f t="shared" si="130"/>
        <v>1.6226742385732583E-3</v>
      </c>
      <c r="AF51" s="26">
        <f t="shared" si="131"/>
        <v>4.3731326375252401E-3</v>
      </c>
      <c r="AG51" s="26">
        <f t="shared" si="132"/>
        <v>8.1369408437663437E-3</v>
      </c>
      <c r="AH51" s="26">
        <f t="shared" si="133"/>
        <v>4.5179339976377303E-3</v>
      </c>
      <c r="AI51" s="20">
        <f t="shared" si="121"/>
        <v>5.6760024929764378E-3</v>
      </c>
      <c r="AJ51" s="4"/>
      <c r="AK51" s="4"/>
      <c r="AL51" s="4"/>
      <c r="AM51" s="4"/>
      <c r="AN51" s="4"/>
      <c r="AO51" s="4"/>
      <c r="AP51" s="4"/>
      <c r="AQ51" s="4"/>
    </row>
    <row r="52" spans="1:43" ht="17" x14ac:dyDescent="0.2">
      <c r="A52" s="5" t="s">
        <v>8</v>
      </c>
      <c r="B52" s="25" t="e">
        <f t="shared" ref="B52:E52" si="134">SUM(B41:B51)</f>
        <v>#VALUE!</v>
      </c>
      <c r="C52" s="25">
        <f t="shared" si="134"/>
        <v>3931.6229999999996</v>
      </c>
      <c r="D52" s="25">
        <f t="shared" si="134"/>
        <v>3754.6780000000003</v>
      </c>
      <c r="E52" s="25">
        <f t="shared" si="134"/>
        <v>4329.3159999999998</v>
      </c>
      <c r="F52" s="25">
        <f t="shared" ref="F52:K52" si="135">SUM(F41:F51)</f>
        <v>18623.624999999996</v>
      </c>
      <c r="G52" s="25">
        <f t="shared" si="135"/>
        <v>18843.279000000002</v>
      </c>
      <c r="H52" s="25">
        <f t="shared" si="135"/>
        <v>15120.101999999999</v>
      </c>
      <c r="I52" s="25">
        <f t="shared" si="135"/>
        <v>20638.066000000003</v>
      </c>
      <c r="J52" s="25">
        <f t="shared" si="135"/>
        <v>20676.198000000004</v>
      </c>
      <c r="K52" s="25">
        <f t="shared" si="135"/>
        <v>24132.711999999996</v>
      </c>
      <c r="S52" s="25"/>
      <c r="T52" s="4"/>
      <c r="U52" s="4"/>
      <c r="V52" s="8">
        <f t="shared" si="122"/>
        <v>1.1794374081308234E-2</v>
      </c>
      <c r="W52" s="8">
        <f t="shared" si="123"/>
        <v>-0.19758647101706672</v>
      </c>
      <c r="X52" s="8">
        <f t="shared" si="124"/>
        <v>0.36494224708272505</v>
      </c>
      <c r="Y52" s="8">
        <f t="shared" si="125"/>
        <v>1.8476537481759703E-3</v>
      </c>
      <c r="Z52" s="8">
        <f t="shared" si="126"/>
        <v>0.16717357804369981</v>
      </c>
      <c r="AA52" s="14">
        <f t="shared" si="127"/>
        <v>0.17798782629153362</v>
      </c>
      <c r="AB52" s="4"/>
      <c r="AC52" s="26">
        <f t="shared" si="128"/>
        <v>1</v>
      </c>
      <c r="AD52" s="26">
        <f t="shared" si="129"/>
        <v>1</v>
      </c>
      <c r="AE52" s="26">
        <f t="shared" si="130"/>
        <v>1</v>
      </c>
      <c r="AF52" s="26">
        <f t="shared" si="131"/>
        <v>1</v>
      </c>
      <c r="AG52" s="26">
        <f t="shared" si="132"/>
        <v>1</v>
      </c>
      <c r="AH52" s="26">
        <f t="shared" si="133"/>
        <v>1</v>
      </c>
      <c r="AI52" s="4"/>
      <c r="AJ52" s="4"/>
      <c r="AK52" s="4"/>
      <c r="AL52" s="4"/>
      <c r="AM52" s="4"/>
      <c r="AN52" s="4"/>
      <c r="AO52" s="4"/>
      <c r="AP52" s="4"/>
      <c r="AQ52" s="4"/>
    </row>
    <row r="53" spans="1:43" ht="17" x14ac:dyDescent="0.2">
      <c r="A53" s="10" t="s">
        <v>46</v>
      </c>
      <c r="B53" s="4"/>
      <c r="C53" s="4"/>
      <c r="D53" s="4"/>
      <c r="E53" s="4"/>
      <c r="F53" s="25"/>
      <c r="G53" s="25"/>
      <c r="H53" s="25"/>
      <c r="I53" s="25"/>
      <c r="J53" s="25"/>
      <c r="K53" s="25"/>
      <c r="S53" s="25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s="6" customFormat="1" ht="17" x14ac:dyDescent="0.2">
      <c r="A54" s="6" t="s">
        <v>1</v>
      </c>
      <c r="B54" s="22">
        <f t="shared" ref="B54:E54" si="136">B41/B5</f>
        <v>0.1730169080943823</v>
      </c>
      <c r="C54" s="22">
        <f t="shared" si="136"/>
        <v>0.169640339969826</v>
      </c>
      <c r="D54" s="22">
        <f t="shared" si="136"/>
        <v>8.8533812247975612E-3</v>
      </c>
      <c r="E54" s="22">
        <f t="shared" si="136"/>
        <v>6.0491019569296756E-2</v>
      </c>
      <c r="F54" s="22">
        <f>F41/F5</f>
        <v>5.3110585817060636E-2</v>
      </c>
      <c r="G54" s="22">
        <f t="shared" ref="G54:K54" si="137">G41/G5</f>
        <v>7.9471656813218036E-2</v>
      </c>
      <c r="H54" s="22">
        <f t="shared" si="137"/>
        <v>4.8484836332514235E-2</v>
      </c>
      <c r="I54" s="22">
        <f t="shared" si="137"/>
        <v>0.10665648521987565</v>
      </c>
      <c r="J54" s="22">
        <f t="shared" si="137"/>
        <v>0.13438908713402695</v>
      </c>
      <c r="K54" s="22">
        <f t="shared" si="137"/>
        <v>0.15780676561737558</v>
      </c>
      <c r="S54" s="14">
        <f t="shared" ref="S54:S65" si="138">AVERAGE(I54:K54)</f>
        <v>0.1329507793237594</v>
      </c>
      <c r="V54" s="8">
        <f>G54/F54-1</f>
        <v>0.49634306589948163</v>
      </c>
      <c r="W54" s="8">
        <f t="shared" ref="W54" si="139">H54/G54-1</f>
        <v>-0.38991033688314847</v>
      </c>
      <c r="X54" s="8">
        <f t="shared" ref="X54" si="140">I54/H54-1</f>
        <v>1.1997905590196072</v>
      </c>
      <c r="Y54" s="8">
        <f t="shared" ref="Y54" si="141">J54/I54-1</f>
        <v>0.2600179619362073</v>
      </c>
      <c r="Z54" s="8">
        <f t="shared" ref="Z54" si="142">K54/J54-1</f>
        <v>0.17425282798441866</v>
      </c>
      <c r="AA54" s="14">
        <f t="shared" si="127"/>
        <v>0.54468711631341105</v>
      </c>
      <c r="AC54" s="26"/>
    </row>
    <row r="55" spans="1:43" s="6" customFormat="1" ht="17" x14ac:dyDescent="0.2">
      <c r="A55" s="6" t="s">
        <v>2</v>
      </c>
      <c r="B55" s="22">
        <f t="shared" ref="B55:E55" si="143">B42/B6</f>
        <v>0.12138811547867329</v>
      </c>
      <c r="C55" s="22">
        <f t="shared" si="143"/>
        <v>0.12854040257036026</v>
      </c>
      <c r="D55" s="22">
        <f t="shared" si="143"/>
        <v>9.2709705926446118E-2</v>
      </c>
      <c r="E55" s="22">
        <f t="shared" si="143"/>
        <v>0.13360193057416439</v>
      </c>
      <c r="F55" s="22">
        <f t="shared" ref="F55:K64" si="144">F42/F6</f>
        <v>0.11681442891622858</v>
      </c>
      <c r="G55" s="22">
        <f t="shared" si="144"/>
        <v>0.30474021452227512</v>
      </c>
      <c r="H55" s="22">
        <f t="shared" si="144"/>
        <v>2.3142357201018694E-2</v>
      </c>
      <c r="I55" s="22">
        <f t="shared" si="144"/>
        <v>0.26138070290877857</v>
      </c>
      <c r="J55" s="22">
        <f t="shared" si="144"/>
        <v>0.13280050128278439</v>
      </c>
      <c r="K55" s="22">
        <f t="shared" si="144"/>
        <v>0.11386181297718151</v>
      </c>
      <c r="S55" s="14">
        <f t="shared" si="138"/>
        <v>0.16934767238958148</v>
      </c>
      <c r="V55" s="8">
        <f t="shared" ref="V55:V65" si="145">G55/F55-1</f>
        <v>1.608754905961268</v>
      </c>
      <c r="W55" s="8">
        <f t="shared" ref="W55:W65" si="146">H55/G55-1</f>
        <v>-0.92405873561092777</v>
      </c>
      <c r="X55" s="8">
        <f t="shared" ref="X55:X65" si="147">I55/H55-1</f>
        <v>10.294471891449025</v>
      </c>
      <c r="Y55" s="8">
        <f t="shared" ref="Y55:Y65" si="148">J55/I55-1</f>
        <v>-0.49192691042256653</v>
      </c>
      <c r="Z55" s="8">
        <f t="shared" ref="Z55:Z65" si="149">K55/J55-1</f>
        <v>-0.14261006639782925</v>
      </c>
      <c r="AA55" s="14">
        <f t="shared" ref="AA55:AA65" si="150">AVERAGE(X55:Z55)</f>
        <v>3.2199783048762094</v>
      </c>
    </row>
    <row r="56" spans="1:43" s="6" customFormat="1" ht="17" x14ac:dyDescent="0.2">
      <c r="A56" s="6" t="s">
        <v>3</v>
      </c>
      <c r="B56" s="22" t="e">
        <f t="shared" ref="B56:E56" si="151">B43/B7</f>
        <v>#DIV/0!</v>
      </c>
      <c r="C56" s="22">
        <f t="shared" si="151"/>
        <v>5.434654050857473E-2</v>
      </c>
      <c r="D56" s="22">
        <f t="shared" si="151"/>
        <v>8.9738227446455723E-2</v>
      </c>
      <c r="E56" s="22">
        <f t="shared" si="151"/>
        <v>9.4488298792223369E-2</v>
      </c>
      <c r="F56" s="22">
        <f t="shared" si="144"/>
        <v>9.489981559634153E-2</v>
      </c>
      <c r="G56" s="22">
        <f t="shared" si="144"/>
        <v>9.782148900169195E-2</v>
      </c>
      <c r="H56" s="22">
        <f t="shared" si="144"/>
        <v>6.1355979966440646E-3</v>
      </c>
      <c r="I56" s="22">
        <f t="shared" si="144"/>
        <v>9.0146051333361218E-2</v>
      </c>
      <c r="J56" s="22">
        <f t="shared" si="144"/>
        <v>0.12068535825545179</v>
      </c>
      <c r="K56" s="22">
        <f t="shared" si="144"/>
        <v>0.11459028585594686</v>
      </c>
      <c r="S56" s="14">
        <f t="shared" si="138"/>
        <v>0.10847389848158662</v>
      </c>
      <c r="V56" s="8">
        <f t="shared" si="145"/>
        <v>3.0786923947016209E-2</v>
      </c>
      <c r="W56" s="8">
        <f t="shared" si="146"/>
        <v>-0.93727760577700936</v>
      </c>
      <c r="X56" s="8">
        <f t="shared" si="147"/>
        <v>13.692300796542998</v>
      </c>
      <c r="Y56" s="8">
        <f t="shared" si="148"/>
        <v>0.3387758694960008</v>
      </c>
      <c r="Z56" s="8">
        <f t="shared" si="149"/>
        <v>-5.0503826542103281E-2</v>
      </c>
      <c r="AA56" s="14">
        <f t="shared" si="150"/>
        <v>4.6601909464989655</v>
      </c>
    </row>
    <row r="57" spans="1:43" s="6" customFormat="1" ht="17" x14ac:dyDescent="0.2">
      <c r="A57" s="6" t="s">
        <v>4</v>
      </c>
      <c r="B57" s="22" t="e">
        <f t="shared" ref="B57:E57" si="152">B44/B8</f>
        <v>#DIV/0!</v>
      </c>
      <c r="C57" s="22" t="e">
        <f t="shared" si="152"/>
        <v>#DIV/0!</v>
      </c>
      <c r="D57" s="22" t="e">
        <f t="shared" si="152"/>
        <v>#DIV/0!</v>
      </c>
      <c r="E57" s="22" t="e">
        <f t="shared" si="152"/>
        <v>#DIV/0!</v>
      </c>
      <c r="F57" s="22">
        <f t="shared" si="144"/>
        <v>0.41504374823595824</v>
      </c>
      <c r="G57" s="22">
        <f t="shared" si="144"/>
        <v>0.42452609407910136</v>
      </c>
      <c r="H57" s="22">
        <f t="shared" si="144"/>
        <v>0.38129945855893377</v>
      </c>
      <c r="I57" s="22">
        <f t="shared" si="144"/>
        <v>0.44593721741377085</v>
      </c>
      <c r="J57" s="22">
        <f t="shared" si="144"/>
        <v>0.40421860846309798</v>
      </c>
      <c r="K57" s="22">
        <f t="shared" si="144"/>
        <v>0.45685259276692552</v>
      </c>
      <c r="S57" s="14">
        <f t="shared" si="138"/>
        <v>0.43566947288126484</v>
      </c>
      <c r="V57" s="8">
        <f t="shared" si="145"/>
        <v>2.2846617696195892E-2</v>
      </c>
      <c r="W57" s="8">
        <f t="shared" si="146"/>
        <v>-0.10182327099100119</v>
      </c>
      <c r="X57" s="8">
        <f t="shared" si="147"/>
        <v>0.16951967122934342</v>
      </c>
      <c r="Y57" s="8">
        <f t="shared" si="148"/>
        <v>-9.3552651183997249E-2</v>
      </c>
      <c r="Z57" s="8">
        <f t="shared" si="149"/>
        <v>0.13021168051602117</v>
      </c>
      <c r="AA57" s="14">
        <f t="shared" si="150"/>
        <v>6.8726233520455773E-2</v>
      </c>
    </row>
    <row r="58" spans="1:43" s="6" customFormat="1" ht="17" x14ac:dyDescent="0.2">
      <c r="A58" s="6" t="s">
        <v>5</v>
      </c>
      <c r="B58" s="22" t="e">
        <f t="shared" ref="B58:E58" si="153">B45/B9</f>
        <v>#DIV/0!</v>
      </c>
      <c r="C58" s="22" t="e">
        <f t="shared" si="153"/>
        <v>#DIV/0!</v>
      </c>
      <c r="D58" s="22" t="e">
        <f t="shared" si="153"/>
        <v>#DIV/0!</v>
      </c>
      <c r="E58" s="22" t="e">
        <f t="shared" si="153"/>
        <v>#DIV/0!</v>
      </c>
      <c r="F58" s="22">
        <f t="shared" si="144"/>
        <v>0.35784954265447078</v>
      </c>
      <c r="G58" s="22">
        <f t="shared" si="144"/>
        <v>0.35820096376940924</v>
      </c>
      <c r="H58" s="22">
        <f t="shared" si="144"/>
        <v>0.28623188405797101</v>
      </c>
      <c r="I58" s="22">
        <f t="shared" si="144"/>
        <v>0.3274089562641575</v>
      </c>
      <c r="J58" s="22">
        <f t="shared" si="144"/>
        <v>0.29177555726364335</v>
      </c>
      <c r="K58" s="22">
        <f t="shared" si="144"/>
        <v>0.29208202791227572</v>
      </c>
      <c r="S58" s="14">
        <f t="shared" si="138"/>
        <v>0.30375551381335891</v>
      </c>
      <c r="V58" s="8">
        <f t="shared" si="145"/>
        <v>9.8203594821355544E-4</v>
      </c>
      <c r="W58" s="8">
        <f t="shared" si="146"/>
        <v>-0.20091816324025336</v>
      </c>
      <c r="X58" s="8">
        <f t="shared" si="147"/>
        <v>0.14385913834060093</v>
      </c>
      <c r="Y58" s="8">
        <f t="shared" si="148"/>
        <v>-0.10883452733579069</v>
      </c>
      <c r="Z58" s="8">
        <f t="shared" si="149"/>
        <v>1.0503643674149021E-3</v>
      </c>
      <c r="AA58" s="14">
        <f t="shared" si="150"/>
        <v>1.2024991790741716E-2</v>
      </c>
    </row>
    <row r="59" spans="1:43" s="6" customFormat="1" ht="17" x14ac:dyDescent="0.2">
      <c r="A59" s="6" t="s">
        <v>6</v>
      </c>
      <c r="B59" s="22">
        <f t="shared" ref="B59:E59" si="154">B46/B10</f>
        <v>0.10006552466535618</v>
      </c>
      <c r="C59" s="22">
        <f t="shared" si="154"/>
        <v>0.11339669313891421</v>
      </c>
      <c r="D59" s="22">
        <f t="shared" si="154"/>
        <v>0.11508072553318716</v>
      </c>
      <c r="E59" s="22">
        <f t="shared" si="154"/>
        <v>0.11383005962178573</v>
      </c>
      <c r="F59" s="22">
        <f t="shared" si="144"/>
        <v>0.12735302141590507</v>
      </c>
      <c r="G59" s="22">
        <f t="shared" si="144"/>
        <v>0.11863962119273098</v>
      </c>
      <c r="H59" s="22">
        <f t="shared" si="144"/>
        <v>0.11695958358848743</v>
      </c>
      <c r="I59" s="22">
        <f t="shared" si="144"/>
        <v>0.1153962108001064</v>
      </c>
      <c r="J59" s="22">
        <f t="shared" si="144"/>
        <v>0.11165747248746885</v>
      </c>
      <c r="K59" s="22">
        <f t="shared" si="144"/>
        <v>0.11475629633524372</v>
      </c>
      <c r="S59" s="14">
        <f t="shared" si="138"/>
        <v>0.11393665987427298</v>
      </c>
      <c r="V59" s="8">
        <f t="shared" si="145"/>
        <v>-6.841926580381763E-2</v>
      </c>
      <c r="W59" s="8">
        <f t="shared" si="146"/>
        <v>-1.4160847677643251E-2</v>
      </c>
      <c r="X59" s="8">
        <f t="shared" si="147"/>
        <v>-1.3366777996419943E-2</v>
      </c>
      <c r="Y59" s="8">
        <f t="shared" si="148"/>
        <v>-3.2399142802998382E-2</v>
      </c>
      <c r="Z59" s="8">
        <f t="shared" si="149"/>
        <v>2.7752946388094557E-2</v>
      </c>
      <c r="AA59" s="14">
        <f t="shared" si="150"/>
        <v>-6.0043248037745895E-3</v>
      </c>
    </row>
    <row r="60" spans="1:43" s="6" customFormat="1" ht="17" x14ac:dyDescent="0.2">
      <c r="A60" s="6" t="s">
        <v>7</v>
      </c>
      <c r="B60" s="22" t="e">
        <f t="shared" ref="B60:E60" si="155">B47/B11</f>
        <v>#DIV/0!</v>
      </c>
      <c r="C60" s="22" t="e">
        <f t="shared" si="155"/>
        <v>#DIV/0!</v>
      </c>
      <c r="D60" s="22" t="e">
        <f t="shared" si="155"/>
        <v>#DIV/0!</v>
      </c>
      <c r="E60" s="22" t="e">
        <f t="shared" si="155"/>
        <v>#DIV/0!</v>
      </c>
      <c r="F60" s="22">
        <f t="shared" si="144"/>
        <v>0.40365682137834036</v>
      </c>
      <c r="G60" s="22">
        <f t="shared" si="144"/>
        <v>0.34482758620689657</v>
      </c>
      <c r="H60" s="22">
        <f t="shared" si="144"/>
        <v>0.26592356687898089</v>
      </c>
      <c r="I60" s="22">
        <f t="shared" si="144"/>
        <v>0.32487849331713242</v>
      </c>
      <c r="J60" s="22">
        <f t="shared" si="144"/>
        <v>0.31964337912890967</v>
      </c>
      <c r="K60" s="22">
        <f t="shared" si="144"/>
        <v>0.32758620689655171</v>
      </c>
      <c r="S60" s="14">
        <f t="shared" si="138"/>
        <v>0.32403602644753127</v>
      </c>
      <c r="V60" s="8">
        <f t="shared" si="145"/>
        <v>-0.14574071849092873</v>
      </c>
      <c r="W60" s="8">
        <f t="shared" si="146"/>
        <v>-0.2288216560509555</v>
      </c>
      <c r="X60" s="8">
        <f t="shared" si="147"/>
        <v>0.22169876528837817</v>
      </c>
      <c r="Y60" s="8">
        <f t="shared" si="148"/>
        <v>-1.6114068169826412E-2</v>
      </c>
      <c r="Z60" s="8">
        <f t="shared" si="149"/>
        <v>2.484902953187329E-2</v>
      </c>
      <c r="AA60" s="14">
        <f t="shared" si="150"/>
        <v>7.6811242216808351E-2</v>
      </c>
    </row>
    <row r="61" spans="1:43" s="6" customFormat="1" ht="17" x14ac:dyDescent="0.2">
      <c r="A61" s="6" t="s">
        <v>34</v>
      </c>
      <c r="B61" s="22" t="e">
        <f t="shared" ref="B61:E61" si="156">B48/B12</f>
        <v>#DIV/0!</v>
      </c>
      <c r="C61" s="22">
        <f t="shared" si="156"/>
        <v>3.5431707521826727E-2</v>
      </c>
      <c r="D61" s="22">
        <f t="shared" si="156"/>
        <v>0.10356644007821957</v>
      </c>
      <c r="E61" s="22">
        <f t="shared" si="156"/>
        <v>9.4236503999331131E-2</v>
      </c>
      <c r="F61" s="22">
        <f t="shared" si="144"/>
        <v>6.904051729768565E-2</v>
      </c>
      <c r="G61" s="22">
        <f t="shared" si="144"/>
        <v>4.3202992671386449E-2</v>
      </c>
      <c r="H61" s="22">
        <f t="shared" si="144"/>
        <v>-8.3914265004293637E-2</v>
      </c>
      <c r="I61" s="22">
        <f t="shared" si="144"/>
        <v>-2.1426071067032666E-2</v>
      </c>
      <c r="J61" s="22">
        <f t="shared" si="144"/>
        <v>-2.9866094531175388E-2</v>
      </c>
      <c r="K61" s="22">
        <f t="shared" si="144"/>
        <v>5.4444324907841884E-3</v>
      </c>
      <c r="S61" s="14">
        <f t="shared" si="138"/>
        <v>-1.528257770247462E-2</v>
      </c>
      <c r="V61" s="8">
        <f t="shared" si="145"/>
        <v>-0.37423712390355046</v>
      </c>
      <c r="W61" s="8">
        <f t="shared" si="146"/>
        <v>-2.9423252838655891</v>
      </c>
      <c r="X61" s="8">
        <f t="shared" si="147"/>
        <v>-0.74466711868433388</v>
      </c>
      <c r="Y61" s="8">
        <f t="shared" si="148"/>
        <v>0.39391372490726995</v>
      </c>
      <c r="Z61" s="8">
        <f t="shared" si="149"/>
        <v>-1.1822947585296457</v>
      </c>
      <c r="AA61" s="14">
        <f t="shared" si="150"/>
        <v>-0.51101605076890322</v>
      </c>
    </row>
    <row r="62" spans="1:43" s="6" customFormat="1" ht="17" x14ac:dyDescent="0.2">
      <c r="A62" s="6" t="s">
        <v>31</v>
      </c>
      <c r="B62" s="22" t="e">
        <f t="shared" ref="B62:E62" si="157">B49/B13</f>
        <v>#DIV/0!</v>
      </c>
      <c r="C62" s="22" t="e">
        <f t="shared" si="157"/>
        <v>#DIV/0!</v>
      </c>
      <c r="D62" s="22" t="e">
        <f t="shared" si="157"/>
        <v>#DIV/0!</v>
      </c>
      <c r="E62" s="22" t="e">
        <f t="shared" si="157"/>
        <v>#DIV/0!</v>
      </c>
      <c r="F62" s="22">
        <f t="shared" si="144"/>
        <v>0.16651130272663714</v>
      </c>
      <c r="G62" s="22">
        <f t="shared" si="144"/>
        <v>0.17392505803028641</v>
      </c>
      <c r="H62" s="22">
        <f t="shared" si="144"/>
        <v>0.17627200971463267</v>
      </c>
      <c r="I62" s="22">
        <f t="shared" si="144"/>
        <v>0.17912057649056773</v>
      </c>
      <c r="J62" s="22">
        <f t="shared" si="144"/>
        <v>0.16927112031914651</v>
      </c>
      <c r="K62" s="22">
        <f t="shared" si="144"/>
        <v>0.18294860918873074</v>
      </c>
      <c r="S62" s="14">
        <f t="shared" si="138"/>
        <v>0.17711343533281498</v>
      </c>
      <c r="V62" s="8">
        <f t="shared" si="145"/>
        <v>4.4524036400222622E-2</v>
      </c>
      <c r="W62" s="8">
        <f t="shared" si="146"/>
        <v>1.3494039967131055E-2</v>
      </c>
      <c r="X62" s="8">
        <f t="shared" si="147"/>
        <v>1.6160062964883704E-2</v>
      </c>
      <c r="Y62" s="8">
        <f t="shared" si="148"/>
        <v>-5.4987854351506549E-2</v>
      </c>
      <c r="Z62" s="8">
        <f t="shared" si="149"/>
        <v>8.0802258789310688E-2</v>
      </c>
      <c r="AA62" s="14">
        <f t="shared" si="150"/>
        <v>1.3991489134229282E-2</v>
      </c>
    </row>
    <row r="63" spans="1:43" s="6" customFormat="1" ht="17" x14ac:dyDescent="0.2">
      <c r="A63" s="6" t="s">
        <v>33</v>
      </c>
      <c r="B63" s="22"/>
      <c r="C63" s="22"/>
      <c r="D63" s="22"/>
      <c r="E63" s="22"/>
      <c r="F63" s="22"/>
      <c r="G63" s="22"/>
      <c r="H63" s="22"/>
      <c r="I63" s="22">
        <f t="shared" si="144"/>
        <v>-0.10548880961141596</v>
      </c>
      <c r="J63" s="22">
        <f t="shared" si="144"/>
        <v>-0.10594573130846505</v>
      </c>
      <c r="K63" s="22">
        <f t="shared" si="144"/>
        <v>6.4841498559077802E-3</v>
      </c>
      <c r="S63" s="14">
        <f t="shared" si="138"/>
        <v>-6.8316797021324413E-2</v>
      </c>
      <c r="V63" s="8"/>
      <c r="W63" s="8"/>
      <c r="X63" s="8"/>
      <c r="Y63" s="8">
        <f t="shared" si="148"/>
        <v>4.3314707856902945E-3</v>
      </c>
      <c r="Z63" s="8">
        <f t="shared" si="149"/>
        <v>-1.0612025588556175</v>
      </c>
      <c r="AA63" s="14">
        <f t="shared" si="150"/>
        <v>-0.52843554403496362</v>
      </c>
    </row>
    <row r="64" spans="1:43" s="6" customFormat="1" ht="17" x14ac:dyDescent="0.2">
      <c r="A64" s="6" t="s">
        <v>36</v>
      </c>
      <c r="B64" s="22" t="e">
        <f t="shared" ref="B64:E64" si="158">B51/B15</f>
        <v>#VALUE!</v>
      </c>
      <c r="C64" s="22">
        <f t="shared" si="158"/>
        <v>7.1779525154591961E-2</v>
      </c>
      <c r="D64" s="22">
        <f t="shared" si="158"/>
        <v>7.9543305983823712E-2</v>
      </c>
      <c r="E64" s="22">
        <f t="shared" si="158"/>
        <v>9.2254560074555944E-2</v>
      </c>
      <c r="F64" s="22">
        <f>F51/F15</f>
        <v>9.0817026696598829E-2</v>
      </c>
      <c r="G64" s="22">
        <f t="shared" si="144"/>
        <v>1.9486205942511586E-2</v>
      </c>
      <c r="H64" s="22">
        <f t="shared" si="144"/>
        <v>1.3531072106523483E-2</v>
      </c>
      <c r="I64" s="22">
        <f t="shared" si="144"/>
        <v>4.3633767013581862E-2</v>
      </c>
      <c r="J64" s="22">
        <f t="shared" si="144"/>
        <v>8.0034612956643894E-2</v>
      </c>
      <c r="K64" s="22">
        <f t="shared" si="144"/>
        <v>5.1050866853364657E-2</v>
      </c>
      <c r="S64" s="14">
        <f t="shared" si="138"/>
        <v>5.8239748941196802E-2</v>
      </c>
      <c r="V64" s="8">
        <f t="shared" si="145"/>
        <v>-0.78543444273273744</v>
      </c>
      <c r="W64" s="8">
        <f t="shared" si="146"/>
        <v>-0.30560766182791066</v>
      </c>
      <c r="X64" s="8">
        <f t="shared" si="147"/>
        <v>2.2247087791768938</v>
      </c>
      <c r="Y64" s="8">
        <f t="shared" si="148"/>
        <v>0.8342356948399976</v>
      </c>
      <c r="Z64" s="8">
        <f t="shared" si="149"/>
        <v>-0.36214014202805256</v>
      </c>
      <c r="AA64" s="14">
        <f t="shared" si="150"/>
        <v>0.89893477732961291</v>
      </c>
    </row>
    <row r="65" spans="1:43" s="6" customFormat="1" ht="17" x14ac:dyDescent="0.2">
      <c r="A65" s="5" t="s">
        <v>45</v>
      </c>
      <c r="B65" s="22" t="e">
        <f t="shared" ref="B65:E65" si="159">B52/B16</f>
        <v>#VALUE!</v>
      </c>
      <c r="C65" s="22">
        <f t="shared" si="159"/>
        <v>0.10734079106664249</v>
      </c>
      <c r="D65" s="22">
        <f t="shared" si="159"/>
        <v>9.7747712578960172E-2</v>
      </c>
      <c r="E65" s="22">
        <f t="shared" si="159"/>
        <v>0.10392784990581881</v>
      </c>
      <c r="F65" s="22">
        <f>F52/F16</f>
        <v>0.2306123932387007</v>
      </c>
      <c r="G65" s="22">
        <f t="shared" ref="G65:K65" si="160">G52/G16</f>
        <v>0.22354838508762279</v>
      </c>
      <c r="H65" s="22">
        <f t="shared" si="160"/>
        <v>0.18212220076331814</v>
      </c>
      <c r="I65" s="22">
        <f t="shared" si="160"/>
        <v>0.22387389529059376</v>
      </c>
      <c r="J65" s="22">
        <f t="shared" si="160"/>
        <v>0.20871157780656466</v>
      </c>
      <c r="K65" s="22">
        <f t="shared" si="160"/>
        <v>0.22578262521853332</v>
      </c>
      <c r="S65" s="14">
        <f t="shared" si="138"/>
        <v>0.21945603277189726</v>
      </c>
      <c r="V65" s="8">
        <f t="shared" si="145"/>
        <v>-3.0631520066513263E-2</v>
      </c>
      <c r="W65" s="8">
        <f t="shared" si="146"/>
        <v>-0.18531193731534712</v>
      </c>
      <c r="X65" s="8">
        <f t="shared" si="147"/>
        <v>0.2292509883599263</v>
      </c>
      <c r="Y65" s="8">
        <f t="shared" si="148"/>
        <v>-6.7727045461678514E-2</v>
      </c>
      <c r="Z65" s="8">
        <f t="shared" si="149"/>
        <v>8.1792527234834322E-2</v>
      </c>
      <c r="AA65" s="14">
        <f t="shared" si="150"/>
        <v>8.1105490044360698E-2</v>
      </c>
    </row>
    <row r="66" spans="1:43" ht="17" x14ac:dyDescent="0.2">
      <c r="A66" s="10" t="s">
        <v>10</v>
      </c>
      <c r="B66" s="4"/>
      <c r="C66" s="4"/>
      <c r="D66" s="4"/>
      <c r="E66" s="4"/>
      <c r="F66" s="4"/>
      <c r="G66" s="4"/>
      <c r="H66" s="4"/>
      <c r="I66" s="4"/>
      <c r="J66" s="4"/>
      <c r="K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 ht="17" x14ac:dyDescent="0.2">
      <c r="A67" s="6" t="s">
        <v>14</v>
      </c>
      <c r="B67" s="24">
        <f>'[1]Statement of Income'!K$44/1000</f>
        <v>710.8</v>
      </c>
      <c r="C67" s="24">
        <f>'[1]Statement of Income'!L$44/1000</f>
        <v>763.58900000000006</v>
      </c>
      <c r="D67" s="24">
        <f>'[1]Statement of Income'!M$44/1000</f>
        <v>34.567</v>
      </c>
      <c r="E67" s="24">
        <f>'[1]Statement of Income'!N$44/1000</f>
        <v>270.78199999999998</v>
      </c>
      <c r="F67" s="24">
        <f>'[1]Statement of Income'!O$44/1000</f>
        <v>258.38299999999998</v>
      </c>
      <c r="G67" s="24">
        <f>'[1]Statement of Income'!P$44/1000</f>
        <v>443.95800000000003</v>
      </c>
      <c r="H67" s="24">
        <f>'[1]Statement of Income'!Q$44/1000</f>
        <v>290.16399999999999</v>
      </c>
      <c r="I67" s="24">
        <f>'[1]Statement of Income'!R$44/1000</f>
        <v>804.94299999999998</v>
      </c>
      <c r="J67" s="24">
        <f>'[1]Statement of Income'!S$44/1000</f>
        <v>1160.403</v>
      </c>
      <c r="K67" s="24">
        <f>'[1]Statement of Income'!T$44/1000</f>
        <v>1557.8130000000001</v>
      </c>
      <c r="S67" s="24"/>
      <c r="T67" s="4"/>
      <c r="U67" s="4"/>
      <c r="V67" s="8">
        <f>G67/F67-1</f>
        <v>0.71821675574631483</v>
      </c>
      <c r="W67" s="8">
        <f t="shared" ref="W67" si="161">H67/G67-1</f>
        <v>-0.34641565193103863</v>
      </c>
      <c r="X67" s="8">
        <f t="shared" ref="X67" si="162">I67/H67-1</f>
        <v>1.7740967177182561</v>
      </c>
      <c r="Y67" s="8">
        <f t="shared" ref="Y67" si="163">J67/I67-1</f>
        <v>0.44159648571389543</v>
      </c>
      <c r="Z67" s="8">
        <f t="shared" ref="Z67" si="164">K67/J67-1</f>
        <v>0.34247584675324005</v>
      </c>
      <c r="AA67" s="14">
        <f t="shared" ref="AA67" si="165">AVERAGE(X67:Z67)</f>
        <v>0.85272301672846373</v>
      </c>
      <c r="AB67" s="4"/>
      <c r="AC67" s="26">
        <f t="shared" ref="AC67:AH67" si="166">F67/F$85</f>
        <v>1.3679291107743418E-2</v>
      </c>
      <c r="AD67" s="26">
        <f t="shared" si="166"/>
        <v>2.259146707753102E-2</v>
      </c>
      <c r="AE67" s="26">
        <f t="shared" si="166"/>
        <v>1.7140154748370568E-2</v>
      </c>
      <c r="AF67" s="26">
        <f t="shared" si="166"/>
        <v>3.841336142813525E-2</v>
      </c>
      <c r="AG67" s="26">
        <f t="shared" si="166"/>
        <v>5.5611882969206793E-2</v>
      </c>
      <c r="AH67" s="26">
        <f t="shared" si="166"/>
        <v>6.4259288561810096E-2</v>
      </c>
      <c r="AI67" s="20">
        <f t="shared" ref="AI67:AI84" si="167">AVERAGE(AF67:AH67)</f>
        <v>5.2761510986384041E-2</v>
      </c>
      <c r="AJ67" s="4"/>
      <c r="AK67" s="4"/>
      <c r="AL67" s="4"/>
      <c r="AM67" s="4"/>
      <c r="AN67" s="4"/>
      <c r="AO67" s="4"/>
      <c r="AP67" s="4"/>
      <c r="AQ67" s="4"/>
    </row>
    <row r="68" spans="1:43" ht="17" x14ac:dyDescent="0.2">
      <c r="A68" s="6" t="s">
        <v>15</v>
      </c>
      <c r="B68" s="24">
        <f t="shared" ref="B68:E68" si="168">B42</f>
        <v>57.331000000000003</v>
      </c>
      <c r="C68" s="24">
        <f t="shared" si="168"/>
        <v>63.151000000000003</v>
      </c>
      <c r="D68" s="24">
        <f t="shared" si="168"/>
        <v>46.999000000000002</v>
      </c>
      <c r="E68" s="24">
        <f t="shared" si="168"/>
        <v>70.697999999999993</v>
      </c>
      <c r="F68" s="24">
        <f>F42</f>
        <v>73.614000000000004</v>
      </c>
      <c r="G68" s="24">
        <f t="shared" ref="G68:K68" si="169">G42</f>
        <v>164.983</v>
      </c>
      <c r="H68" s="24">
        <f t="shared" si="169"/>
        <v>6.6790000000000003</v>
      </c>
      <c r="I68" s="24">
        <f t="shared" si="169"/>
        <v>104.075</v>
      </c>
      <c r="J68" s="24">
        <f t="shared" si="169"/>
        <v>60.613999999999997</v>
      </c>
      <c r="K68" s="24">
        <f t="shared" si="169"/>
        <v>52.823</v>
      </c>
      <c r="S68" s="24"/>
      <c r="T68" s="4"/>
      <c r="U68" s="4"/>
      <c r="V68" s="8">
        <f t="shared" ref="V68:V85" si="170">G68/F68-1</f>
        <v>1.2411905344092156</v>
      </c>
      <c r="W68" s="8">
        <f t="shared" ref="W68:W85" si="171">H68/G68-1</f>
        <v>-0.95951704114969416</v>
      </c>
      <c r="X68" s="8">
        <f t="shared" ref="X68:X85" si="172">I68/H68-1</f>
        <v>14.582422518341069</v>
      </c>
      <c r="Y68" s="8">
        <f t="shared" ref="Y68:Y85" si="173">J68/I68-1</f>
        <v>-0.41759308191208266</v>
      </c>
      <c r="Z68" s="8">
        <f t="shared" ref="Z68:Z85" si="174">K68/J68-1</f>
        <v>-0.12853466195928331</v>
      </c>
      <c r="AA68" s="14">
        <f t="shared" ref="AA68:AA85" si="175">AVERAGE(X68:Z68)</f>
        <v>4.6787649248232341</v>
      </c>
      <c r="AB68" s="4"/>
      <c r="AC68" s="26">
        <f t="shared" ref="AC68:AC85" si="176">F68/F$85</f>
        <v>3.8972662118073719E-3</v>
      </c>
      <c r="AD68" s="26">
        <f t="shared" ref="AD68:AD85" si="177">G68/G$85</f>
        <v>8.3954068016620954E-3</v>
      </c>
      <c r="AE68" s="26">
        <f t="shared" ref="AE68:AE85" si="178">H68/H$85</f>
        <v>3.9453238018626377E-4</v>
      </c>
      <c r="AF68" s="26">
        <f t="shared" ref="AF68:AF85" si="179">I68/I$85</f>
        <v>4.9666505462289583E-3</v>
      </c>
      <c r="AG68" s="26">
        <f t="shared" ref="AG68:AG85" si="180">J68/J$85</f>
        <v>2.9049034467297139E-3</v>
      </c>
      <c r="AH68" s="26">
        <f t="shared" ref="AH68:AH85" si="181">K68/K$85</f>
        <v>2.1789318741726347E-3</v>
      </c>
      <c r="AI68" s="20">
        <f t="shared" si="167"/>
        <v>3.3501619557104352E-3</v>
      </c>
      <c r="AJ68" s="4"/>
      <c r="AK68" s="4"/>
      <c r="AL68" s="4"/>
      <c r="AM68" s="4"/>
      <c r="AN68" s="4"/>
      <c r="AO68" s="4"/>
      <c r="AP68" s="4"/>
      <c r="AQ68" s="4"/>
    </row>
    <row r="69" spans="1:43" ht="17" x14ac:dyDescent="0.2">
      <c r="A69" s="6" t="s">
        <v>12</v>
      </c>
      <c r="B69" s="24"/>
      <c r="C69" s="24"/>
      <c r="D69" s="24"/>
      <c r="E69" s="24"/>
      <c r="F69" s="24">
        <f>'[3]Olive Garden'!B$5</f>
        <v>815.59999999999991</v>
      </c>
      <c r="G69" s="24">
        <f>'[3]Olive Garden'!C$5</f>
        <v>879</v>
      </c>
      <c r="H69" s="24">
        <f>'[3]Olive Garden'!D$5</f>
        <v>732.80000000000018</v>
      </c>
      <c r="I69" s="24">
        <f>'[3]Olive Garden'!E$5</f>
        <v>832.90000000000009</v>
      </c>
      <c r="J69" s="24">
        <f>'[3]Olive Garden'!F$5</f>
        <v>993.69999999999982</v>
      </c>
      <c r="K69" s="24">
        <f>'[3]Olive Garden'!G$5</f>
        <v>1025.8000000000002</v>
      </c>
      <c r="S69" s="24"/>
      <c r="T69" s="4"/>
      <c r="U69" s="4"/>
      <c r="V69" s="8">
        <f t="shared" si="170"/>
        <v>7.7734183423246783E-2</v>
      </c>
      <c r="W69" s="8">
        <f t="shared" si="171"/>
        <v>-0.16632536973833878</v>
      </c>
      <c r="X69" s="8">
        <f t="shared" si="172"/>
        <v>0.13659934497816573</v>
      </c>
      <c r="Y69" s="8">
        <f t="shared" si="173"/>
        <v>0.1930603914035296</v>
      </c>
      <c r="Z69" s="8">
        <f t="shared" si="174"/>
        <v>3.2303512126396594E-2</v>
      </c>
      <c r="AA69" s="14">
        <f t="shared" si="175"/>
        <v>0.12065441616936397</v>
      </c>
      <c r="AB69" s="4"/>
      <c r="AC69" s="26">
        <f t="shared" si="176"/>
        <v>4.3179426771403427E-2</v>
      </c>
      <c r="AD69" s="26">
        <f t="shared" si="177"/>
        <v>4.4729230154991612E-2</v>
      </c>
      <c r="AE69" s="26">
        <f t="shared" si="178"/>
        <v>4.3286918430976817E-2</v>
      </c>
      <c r="AF69" s="26">
        <f t="shared" si="179"/>
        <v>3.9747520921970689E-2</v>
      </c>
      <c r="AG69" s="26">
        <f t="shared" si="180"/>
        <v>4.7622703583583274E-2</v>
      </c>
      <c r="AH69" s="26">
        <f t="shared" si="181"/>
        <v>4.2313922278671964E-2</v>
      </c>
      <c r="AI69" s="20">
        <f t="shared" si="167"/>
        <v>4.3228048928075302E-2</v>
      </c>
      <c r="AJ69" s="4"/>
      <c r="AK69" s="4"/>
      <c r="AL69" s="4"/>
      <c r="AM69" s="4"/>
      <c r="AN69" s="4"/>
      <c r="AO69" s="4"/>
      <c r="AP69" s="4"/>
      <c r="AQ69" s="4"/>
    </row>
    <row r="70" spans="1:43" ht="17" x14ac:dyDescent="0.2">
      <c r="A70" s="6" t="s">
        <v>13</v>
      </c>
      <c r="B70" s="24"/>
      <c r="C70" s="24"/>
      <c r="D70" s="24"/>
      <c r="E70" s="24"/>
      <c r="F70" s="24">
        <f>'[3]LongHorn Steakhouse'!B$5</f>
        <v>307.20000000000005</v>
      </c>
      <c r="G70" s="24">
        <f>'[3]LongHorn Steakhouse'!C$5</f>
        <v>328.79999999999995</v>
      </c>
      <c r="H70" s="24">
        <f>'[3]LongHorn Steakhouse'!D$5</f>
        <v>261.89999999999986</v>
      </c>
      <c r="I70" s="24">
        <f>'[3]LongHorn Steakhouse'!E$5</f>
        <v>323.5</v>
      </c>
      <c r="J70" s="24">
        <f>'[3]LongHorn Steakhouse'!F$5</f>
        <v>418.40000000000009</v>
      </c>
      <c r="K70" s="24">
        <f>'[3]LongHorn Steakhouse'!G$5</f>
        <v>430.90000000000009</v>
      </c>
      <c r="S70" s="24"/>
      <c r="T70" s="4"/>
      <c r="U70" s="4"/>
      <c r="V70" s="8">
        <f t="shared" si="170"/>
        <v>7.0312499999999778E-2</v>
      </c>
      <c r="W70" s="8">
        <f t="shared" si="171"/>
        <v>-0.2034671532846718</v>
      </c>
      <c r="X70" s="8">
        <f t="shared" si="172"/>
        <v>0.23520427644139041</v>
      </c>
      <c r="Y70" s="8">
        <f t="shared" si="173"/>
        <v>0.29335394126738823</v>
      </c>
      <c r="Z70" s="8">
        <f t="shared" si="174"/>
        <v>2.987571701720837E-2</v>
      </c>
      <c r="AA70" s="14">
        <f t="shared" si="175"/>
        <v>0.18614464490866234</v>
      </c>
      <c r="AB70" s="4"/>
      <c r="AC70" s="26">
        <f t="shared" si="176"/>
        <v>1.6263756626011691E-2</v>
      </c>
      <c r="AD70" s="26">
        <f t="shared" si="177"/>
        <v>1.6731479948761365E-2</v>
      </c>
      <c r="AE70" s="26">
        <f t="shared" si="178"/>
        <v>1.5470583975263127E-2</v>
      </c>
      <c r="AF70" s="26">
        <f t="shared" si="179"/>
        <v>1.5438015389911776E-2</v>
      </c>
      <c r="AG70" s="26">
        <f t="shared" si="180"/>
        <v>2.0051664666771912E-2</v>
      </c>
      <c r="AH70" s="26">
        <f t="shared" si="181"/>
        <v>1.7774487336595583E-2</v>
      </c>
      <c r="AI70" s="20">
        <f t="shared" si="167"/>
        <v>1.7754722464426425E-2</v>
      </c>
      <c r="AJ70" s="4"/>
      <c r="AK70" s="4"/>
      <c r="AL70" s="4"/>
      <c r="AM70" s="4"/>
      <c r="AN70" s="4"/>
      <c r="AO70" s="4"/>
      <c r="AP70" s="4"/>
      <c r="AQ70" s="4"/>
    </row>
    <row r="71" spans="1:43" ht="17" x14ac:dyDescent="0.2">
      <c r="A71" s="6" t="s">
        <v>16</v>
      </c>
      <c r="B71" s="24">
        <f t="shared" ref="B71:E71" si="182">B44</f>
        <v>0</v>
      </c>
      <c r="C71" s="24">
        <f t="shared" si="182"/>
        <v>0</v>
      </c>
      <c r="D71" s="24">
        <f t="shared" si="182"/>
        <v>0</v>
      </c>
      <c r="E71" s="24">
        <f t="shared" si="182"/>
        <v>0</v>
      </c>
      <c r="F71" s="24">
        <f>F44</f>
        <v>8823</v>
      </c>
      <c r="G71" s="24">
        <f t="shared" ref="G71:K71" si="183">G44</f>
        <v>9070</v>
      </c>
      <c r="H71" s="24">
        <f t="shared" si="183"/>
        <v>7324</v>
      </c>
      <c r="I71" s="24">
        <f t="shared" si="183"/>
        <v>10356</v>
      </c>
      <c r="J71" s="24">
        <f t="shared" si="183"/>
        <v>9371</v>
      </c>
      <c r="K71" s="24">
        <f t="shared" si="183"/>
        <v>11647</v>
      </c>
      <c r="S71" s="24"/>
      <c r="T71" s="4"/>
      <c r="U71" s="4"/>
      <c r="V71" s="8">
        <f t="shared" si="170"/>
        <v>2.7995013034115335E-2</v>
      </c>
      <c r="W71" s="8">
        <f t="shared" si="171"/>
        <v>-0.19250275633958103</v>
      </c>
      <c r="X71" s="8">
        <f t="shared" si="172"/>
        <v>0.41398143091206996</v>
      </c>
      <c r="Y71" s="8">
        <f t="shared" si="173"/>
        <v>-9.5113943607570528E-2</v>
      </c>
      <c r="Z71" s="8">
        <f t="shared" si="174"/>
        <v>0.24287696083662369</v>
      </c>
      <c r="AA71" s="14">
        <f t="shared" si="175"/>
        <v>0.18724814938037437</v>
      </c>
      <c r="AB71" s="4"/>
      <c r="AC71" s="26">
        <f t="shared" si="176"/>
        <v>0.46710652575293338</v>
      </c>
      <c r="AD71" s="26">
        <f t="shared" si="177"/>
        <v>0.46154052048438443</v>
      </c>
      <c r="AE71" s="26">
        <f t="shared" si="178"/>
        <v>0.43263290200392207</v>
      </c>
      <c r="AF71" s="26">
        <f t="shared" si="179"/>
        <v>0.4942073798390304</v>
      </c>
      <c r="AG71" s="26">
        <f t="shared" si="180"/>
        <v>0.44910169596634691</v>
      </c>
      <c r="AH71" s="26">
        <f t="shared" si="181"/>
        <v>0.48043502903070023</v>
      </c>
      <c r="AI71" s="20">
        <f t="shared" si="167"/>
        <v>0.47458136827869252</v>
      </c>
      <c r="AJ71" s="4"/>
      <c r="AK71" s="4"/>
      <c r="AL71" s="4"/>
      <c r="AM71" s="4"/>
      <c r="AN71" s="4"/>
      <c r="AO71" s="4"/>
      <c r="AP71" s="4"/>
      <c r="AQ71" s="4"/>
    </row>
    <row r="72" spans="1:43" ht="17" x14ac:dyDescent="0.2">
      <c r="A72" s="6" t="s">
        <v>17</v>
      </c>
      <c r="B72" s="24"/>
      <c r="C72" s="24"/>
      <c r="D72" s="24"/>
      <c r="E72" s="24"/>
      <c r="F72" s="24">
        <f>[5]TH!B$18</f>
        <v>1113</v>
      </c>
      <c r="G72" s="24">
        <f>[5]TH!C$18</f>
        <v>1106</v>
      </c>
      <c r="H72" s="24">
        <f>[5]TH!D$18</f>
        <v>814</v>
      </c>
      <c r="I72" s="24">
        <f>[5]TH!E$18</f>
        <v>845</v>
      </c>
      <c r="J72" s="24">
        <f>[5]TH!F$18</f>
        <v>926</v>
      </c>
      <c r="K72" s="24">
        <f>[5]TH!G$18</f>
        <v>959</v>
      </c>
      <c r="S72" s="24"/>
      <c r="T72" s="4"/>
      <c r="U72" s="4"/>
      <c r="V72" s="8">
        <f t="shared" si="170"/>
        <v>-6.2893081761006275E-3</v>
      </c>
      <c r="W72" s="8">
        <f t="shared" si="171"/>
        <v>-0.26401446654611216</v>
      </c>
      <c r="X72" s="8">
        <f t="shared" si="172"/>
        <v>3.8083538083538038E-2</v>
      </c>
      <c r="Y72" s="8">
        <f t="shared" si="173"/>
        <v>9.5857988165680474E-2</v>
      </c>
      <c r="Z72" s="8">
        <f t="shared" si="174"/>
        <v>3.5637149028077797E-2</v>
      </c>
      <c r="AA72" s="14">
        <f t="shared" si="175"/>
        <v>5.6526225092432103E-2</v>
      </c>
      <c r="AB72" s="4"/>
      <c r="AC72" s="26">
        <f t="shared" si="176"/>
        <v>5.8924352619632199E-2</v>
      </c>
      <c r="AD72" s="26">
        <f t="shared" si="177"/>
        <v>5.6280464791149856E-2</v>
      </c>
      <c r="AE72" s="26">
        <f t="shared" si="178"/>
        <v>4.8083449239649453E-2</v>
      </c>
      <c r="AF72" s="26">
        <f t="shared" si="179"/>
        <v>4.0324955191577895E-2</v>
      </c>
      <c r="AG72" s="26">
        <f t="shared" si="180"/>
        <v>4.43782062175688E-2</v>
      </c>
      <c r="AH72" s="26">
        <f t="shared" si="181"/>
        <v>3.9558443619854167E-2</v>
      </c>
      <c r="AI72" s="20">
        <f t="shared" si="167"/>
        <v>4.1420535009666949E-2</v>
      </c>
      <c r="AJ72" s="4"/>
      <c r="AK72" s="4"/>
      <c r="AL72" s="4"/>
      <c r="AM72" s="4"/>
      <c r="AN72" s="4"/>
      <c r="AO72" s="4"/>
      <c r="AP72" s="4"/>
      <c r="AQ72" s="4"/>
    </row>
    <row r="73" spans="1:43" ht="17" x14ac:dyDescent="0.2">
      <c r="A73" s="6" t="s">
        <v>20</v>
      </c>
      <c r="B73" s="24"/>
      <c r="C73" s="24"/>
      <c r="D73" s="24"/>
      <c r="E73" s="24"/>
      <c r="F73" s="24">
        <f>[5]BK!B$17</f>
        <v>924</v>
      </c>
      <c r="G73" s="24">
        <f>[5]BK!C$17</f>
        <v>987</v>
      </c>
      <c r="H73" s="24">
        <f>[5]BK!D$17</f>
        <v>822</v>
      </c>
      <c r="I73" s="24">
        <f>[5]BK!E$17</f>
        <v>421</v>
      </c>
      <c r="J73" s="24">
        <f>[5]BK!F$17</f>
        <v>396</v>
      </c>
      <c r="K73" s="24">
        <f>[5]BK!G$17</f>
        <v>387</v>
      </c>
      <c r="S73" s="24"/>
      <c r="T73" s="4"/>
      <c r="U73" s="4"/>
      <c r="V73" s="8">
        <f t="shared" si="170"/>
        <v>6.8181818181818121E-2</v>
      </c>
      <c r="W73" s="8">
        <f t="shared" si="171"/>
        <v>-0.16717325227963531</v>
      </c>
      <c r="X73" s="8">
        <f t="shared" si="172"/>
        <v>-0.48783454987834551</v>
      </c>
      <c r="Y73" s="8">
        <f t="shared" si="173"/>
        <v>-5.9382422802850332E-2</v>
      </c>
      <c r="Z73" s="8">
        <f t="shared" si="174"/>
        <v>-2.2727272727272707E-2</v>
      </c>
      <c r="AA73" s="14">
        <f t="shared" si="175"/>
        <v>-0.18998141513615618</v>
      </c>
      <c r="AB73" s="4"/>
      <c r="AC73" s="26">
        <f t="shared" si="176"/>
        <v>4.8918330476675785E-2</v>
      </c>
      <c r="AD73" s="26">
        <f t="shared" si="177"/>
        <v>5.0224971744000819E-2</v>
      </c>
      <c r="AE73" s="26">
        <f t="shared" si="178"/>
        <v>4.855601385134134E-2</v>
      </c>
      <c r="AF73" s="26">
        <f t="shared" si="179"/>
        <v>2.0090894835093839E-2</v>
      </c>
      <c r="AG73" s="26">
        <f t="shared" si="180"/>
        <v>1.8978152982891194E-2</v>
      </c>
      <c r="AH73" s="26">
        <f t="shared" si="181"/>
        <v>1.5963626361713831E-2</v>
      </c>
      <c r="AI73" s="20">
        <f t="shared" si="167"/>
        <v>1.8344224726566289E-2</v>
      </c>
      <c r="AJ73" s="4"/>
      <c r="AK73" s="4"/>
      <c r="AL73" s="4"/>
      <c r="AM73" s="4"/>
      <c r="AN73" s="4"/>
      <c r="AO73" s="4"/>
      <c r="AP73" s="4"/>
      <c r="AQ73" s="4"/>
    </row>
    <row r="74" spans="1:43" ht="17" x14ac:dyDescent="0.2">
      <c r="A74" s="6" t="s">
        <v>18</v>
      </c>
      <c r="B74" s="24"/>
      <c r="C74" s="24"/>
      <c r="D74" s="24"/>
      <c r="E74" s="24"/>
      <c r="F74" s="24">
        <f>[5]PLK!B$17</f>
        <v>146</v>
      </c>
      <c r="G74" s="24">
        <f>[5]PLK!C$17</f>
        <v>178</v>
      </c>
      <c r="H74" s="24">
        <f>[5]PLK!D$17</f>
        <v>211</v>
      </c>
      <c r="I74" s="24">
        <f>[5]PLK!E$17</f>
        <v>198</v>
      </c>
      <c r="J74" s="24">
        <f>[5]PLK!F$17</f>
        <v>204</v>
      </c>
      <c r="K74" s="24">
        <f>[5]PLK!G$17</f>
        <v>221</v>
      </c>
      <c r="S74" s="24"/>
      <c r="T74" s="4"/>
      <c r="U74" s="4"/>
      <c r="V74" s="8">
        <f t="shared" si="170"/>
        <v>0.21917808219178081</v>
      </c>
      <c r="W74" s="8">
        <f t="shared" si="171"/>
        <v>0.18539325842696619</v>
      </c>
      <c r="X74" s="8">
        <f t="shared" si="172"/>
        <v>-6.1611374407582908E-2</v>
      </c>
      <c r="Y74" s="8">
        <f t="shared" si="173"/>
        <v>3.0303030303030276E-2</v>
      </c>
      <c r="Z74" s="8">
        <f t="shared" si="174"/>
        <v>8.3333333333333259E-2</v>
      </c>
      <c r="AA74" s="14">
        <f t="shared" si="175"/>
        <v>1.734166307626021E-2</v>
      </c>
      <c r="AB74" s="4"/>
      <c r="AC74" s="26">
        <f t="shared" si="176"/>
        <v>7.7295197506435766E-3</v>
      </c>
      <c r="AD74" s="26">
        <f t="shared" si="177"/>
        <v>9.0577963226262884E-3</v>
      </c>
      <c r="AE74" s="26">
        <f t="shared" si="178"/>
        <v>1.2463891633373506E-2</v>
      </c>
      <c r="AF74" s="26">
        <f t="shared" si="179"/>
        <v>9.4489244117543468E-3</v>
      </c>
      <c r="AG74" s="26">
        <f t="shared" si="180"/>
        <v>9.7766242639136455E-3</v>
      </c>
      <c r="AH74" s="26">
        <f t="shared" si="181"/>
        <v>9.1161793951905854E-3</v>
      </c>
      <c r="AI74" s="20">
        <f t="shared" si="167"/>
        <v>9.4472426902861926E-3</v>
      </c>
      <c r="AJ74" s="4"/>
      <c r="AK74" s="4"/>
      <c r="AL74" s="4"/>
      <c r="AM74" s="4"/>
      <c r="AN74" s="4"/>
      <c r="AO74" s="4"/>
      <c r="AP74" s="4"/>
      <c r="AQ74" s="4"/>
    </row>
    <row r="75" spans="1:43" ht="17" x14ac:dyDescent="0.2">
      <c r="A75" s="6" t="s">
        <v>19</v>
      </c>
      <c r="B75" s="24"/>
      <c r="C75" s="24"/>
      <c r="D75" s="24"/>
      <c r="E75" s="24"/>
      <c r="F75" s="24">
        <f>[5]FHS!B$16</f>
        <v>0</v>
      </c>
      <c r="G75" s="24">
        <f>[5]FHS!C$16</f>
        <v>0</v>
      </c>
      <c r="H75" s="24">
        <f>[5]FHS!D$16</f>
        <v>0</v>
      </c>
      <c r="I75" s="24">
        <f>[5]FHS!E$16</f>
        <v>2</v>
      </c>
      <c r="J75" s="24">
        <f>[5]FHS!F$16</f>
        <v>33</v>
      </c>
      <c r="K75" s="24">
        <f>[5]FHS!G$16</f>
        <v>37</v>
      </c>
      <c r="S75" s="24"/>
      <c r="T75" s="4"/>
      <c r="U75" s="4"/>
      <c r="V75" s="8"/>
      <c r="W75" s="8"/>
      <c r="X75" s="8"/>
      <c r="Y75" s="8">
        <f t="shared" si="173"/>
        <v>15.5</v>
      </c>
      <c r="Z75" s="8">
        <f t="shared" si="174"/>
        <v>0.1212121212121211</v>
      </c>
      <c r="AA75" s="14">
        <f t="shared" si="175"/>
        <v>7.8106060606060606</v>
      </c>
      <c r="AB75" s="4"/>
      <c r="AC75" s="26">
        <f t="shared" si="176"/>
        <v>0</v>
      </c>
      <c r="AD75" s="26">
        <f t="shared" si="177"/>
        <v>0</v>
      </c>
      <c r="AE75" s="26">
        <f t="shared" si="178"/>
        <v>0</v>
      </c>
      <c r="AF75" s="26">
        <f t="shared" si="179"/>
        <v>9.5443680926811587E-5</v>
      </c>
      <c r="AG75" s="26">
        <f t="shared" si="180"/>
        <v>1.5815127485742661E-3</v>
      </c>
      <c r="AH75" s="26">
        <f t="shared" si="181"/>
        <v>1.5262381792853015E-3</v>
      </c>
      <c r="AI75" s="20">
        <f t="shared" si="167"/>
        <v>1.0677315362621264E-3</v>
      </c>
      <c r="AJ75" s="4"/>
      <c r="AK75" s="4"/>
      <c r="AL75" s="4"/>
      <c r="AM75" s="4"/>
      <c r="AN75" s="4"/>
      <c r="AO75" s="4"/>
      <c r="AP75" s="4"/>
      <c r="AQ75" s="4"/>
    </row>
    <row r="76" spans="1:43" ht="17" x14ac:dyDescent="0.2">
      <c r="A76" s="6" t="s">
        <v>21</v>
      </c>
      <c r="B76" s="24">
        <f t="shared" ref="B76:E76" si="184">B46</f>
        <v>2138</v>
      </c>
      <c r="C76" s="24">
        <f t="shared" si="184"/>
        <v>2613</v>
      </c>
      <c r="D76" s="24">
        <f t="shared" si="184"/>
        <v>2886.7999999999997</v>
      </c>
      <c r="E76" s="24">
        <f t="shared" si="184"/>
        <v>3112</v>
      </c>
      <c r="F76" s="24">
        <f>F46</f>
        <v>3734.5</v>
      </c>
      <c r="G76" s="24">
        <f t="shared" ref="G76:K76" si="185">G46</f>
        <v>3708.2</v>
      </c>
      <c r="H76" s="24">
        <f t="shared" si="185"/>
        <v>3819.8999999999996</v>
      </c>
      <c r="I76" s="24">
        <f t="shared" si="185"/>
        <v>3904.2</v>
      </c>
      <c r="J76" s="24">
        <f t="shared" si="185"/>
        <v>3987.4</v>
      </c>
      <c r="K76" s="24">
        <f t="shared" si="185"/>
        <v>4365.1000000000004</v>
      </c>
      <c r="S76" s="24"/>
      <c r="T76" s="4"/>
      <c r="U76" s="4"/>
      <c r="V76" s="8">
        <f t="shared" si="170"/>
        <v>-7.0424420939885213E-3</v>
      </c>
      <c r="W76" s="8">
        <f t="shared" si="171"/>
        <v>3.0122431368318825E-2</v>
      </c>
      <c r="X76" s="8">
        <f t="shared" si="172"/>
        <v>2.206864054032831E-2</v>
      </c>
      <c r="Y76" s="8">
        <f t="shared" si="173"/>
        <v>2.1310383689360224E-2</v>
      </c>
      <c r="Z76" s="8">
        <f t="shared" si="174"/>
        <v>9.472337864272462E-2</v>
      </c>
      <c r="AA76" s="14">
        <f t="shared" si="175"/>
        <v>4.6034134290804385E-2</v>
      </c>
      <c r="AB76" s="4"/>
      <c r="AC76" s="26">
        <f t="shared" si="176"/>
        <v>0.19771158567656463</v>
      </c>
      <c r="AD76" s="26">
        <f t="shared" si="177"/>
        <v>0.18869730518855504</v>
      </c>
      <c r="AE76" s="26">
        <f t="shared" si="178"/>
        <v>0.22564369502522963</v>
      </c>
      <c r="AF76" s="26">
        <f t="shared" si="179"/>
        <v>0.18631560953722889</v>
      </c>
      <c r="AG76" s="26">
        <f t="shared" si="180"/>
        <v>0.19109466465651603</v>
      </c>
      <c r="AH76" s="26">
        <f t="shared" si="181"/>
        <v>0.18005898044319651</v>
      </c>
      <c r="AI76" s="20">
        <f t="shared" si="167"/>
        <v>0.1858230848789805</v>
      </c>
      <c r="AJ76" s="4"/>
      <c r="AK76" s="4"/>
      <c r="AL76" s="4"/>
      <c r="AM76" s="4"/>
      <c r="AN76" s="4"/>
      <c r="AO76" s="4"/>
      <c r="AP76" s="4"/>
      <c r="AQ76" s="4"/>
    </row>
    <row r="77" spans="1:43" ht="17" x14ac:dyDescent="0.2">
      <c r="A77" s="6" t="s">
        <v>22</v>
      </c>
      <c r="B77" s="24"/>
      <c r="C77" s="24"/>
      <c r="D77" s="24"/>
      <c r="E77" s="24"/>
      <c r="F77" s="24">
        <f>[7]KFC!B$15</f>
        <v>960</v>
      </c>
      <c r="G77" s="24">
        <f>[7]KFC!C$15</f>
        <v>1052</v>
      </c>
      <c r="H77" s="24">
        <f>[7]KFC!D$15</f>
        <v>931</v>
      </c>
      <c r="I77" s="24">
        <f>[7]KFC!E$15</f>
        <v>1225</v>
      </c>
      <c r="J77" s="24">
        <f>[7]KFC!F$15</f>
        <v>1265</v>
      </c>
      <c r="K77" s="24">
        <f>[7]KFC!G$15</f>
        <v>1310</v>
      </c>
      <c r="S77" s="24"/>
      <c r="T77" s="4"/>
      <c r="U77" s="4"/>
      <c r="V77" s="8">
        <f t="shared" si="170"/>
        <v>9.5833333333333437E-2</v>
      </c>
      <c r="W77" s="8">
        <f t="shared" si="171"/>
        <v>-0.11501901140684412</v>
      </c>
      <c r="X77" s="8">
        <f t="shared" si="172"/>
        <v>0.31578947368421062</v>
      </c>
      <c r="Y77" s="8">
        <f t="shared" si="173"/>
        <v>3.2653061224489743E-2</v>
      </c>
      <c r="Z77" s="8">
        <f t="shared" si="174"/>
        <v>3.5573122529644285E-2</v>
      </c>
      <c r="AA77" s="14">
        <f t="shared" si="175"/>
        <v>0.12800521914611487</v>
      </c>
      <c r="AB77" s="4"/>
      <c r="AC77" s="26">
        <f t="shared" si="176"/>
        <v>5.082423945628653E-2</v>
      </c>
      <c r="AD77" s="26">
        <f t="shared" si="177"/>
        <v>5.3532593996645256E-2</v>
      </c>
      <c r="AE77" s="26">
        <f t="shared" si="178"/>
        <v>5.499470668564329E-2</v>
      </c>
      <c r="AF77" s="26">
        <f t="shared" si="179"/>
        <v>5.8459254567672099E-2</v>
      </c>
      <c r="AG77" s="26">
        <f t="shared" si="180"/>
        <v>6.0624655362013537E-2</v>
      </c>
      <c r="AH77" s="26">
        <f t="shared" si="181"/>
        <v>5.4037081482803923E-2</v>
      </c>
      <c r="AI77" s="20">
        <f t="shared" si="167"/>
        <v>5.7706997137496517E-2</v>
      </c>
      <c r="AJ77" s="4"/>
      <c r="AK77" s="4"/>
      <c r="AL77" s="4"/>
      <c r="AM77" s="4"/>
      <c r="AN77" s="4"/>
      <c r="AO77" s="4"/>
      <c r="AP77" s="4"/>
      <c r="AQ77" s="4"/>
    </row>
    <row r="78" spans="1:43" ht="17" x14ac:dyDescent="0.2">
      <c r="A78" s="6" t="s">
        <v>23</v>
      </c>
      <c r="B78" s="24"/>
      <c r="C78" s="24"/>
      <c r="D78" s="24"/>
      <c r="E78" s="24"/>
      <c r="F78" s="24">
        <f>'[7]Taco Bell'!B$15</f>
        <v>630</v>
      </c>
      <c r="G78" s="24">
        <f>'[7]Taco Bell'!C$15</f>
        <v>679</v>
      </c>
      <c r="H78" s="24">
        <f>'[7]Taco Bell'!D$15</f>
        <v>699</v>
      </c>
      <c r="I78" s="24">
        <f>'[7]Taco Bell'!E$15</f>
        <v>759</v>
      </c>
      <c r="J78" s="24">
        <f>'[7]Taco Bell'!F$15</f>
        <v>848</v>
      </c>
      <c r="K78" s="24">
        <f>'[7]Taco Bell'!G$15</f>
        <v>944</v>
      </c>
      <c r="S78" s="24"/>
      <c r="T78" s="4"/>
      <c r="U78" s="4"/>
      <c r="V78" s="8">
        <f t="shared" si="170"/>
        <v>7.7777777777777724E-2</v>
      </c>
      <c r="W78" s="8">
        <f t="shared" si="171"/>
        <v>2.9455081001472649E-2</v>
      </c>
      <c r="X78" s="8">
        <f t="shared" si="172"/>
        <v>8.5836909871244593E-2</v>
      </c>
      <c r="Y78" s="8">
        <f t="shared" si="173"/>
        <v>0.11725955204216065</v>
      </c>
      <c r="Z78" s="8">
        <f t="shared" si="174"/>
        <v>0.1132075471698113</v>
      </c>
      <c r="AA78" s="14">
        <f t="shared" si="175"/>
        <v>0.10543466969440551</v>
      </c>
      <c r="AB78" s="4"/>
      <c r="AC78" s="26">
        <f t="shared" si="176"/>
        <v>3.3353407143188039E-2</v>
      </c>
      <c r="AD78" s="26">
        <f t="shared" si="177"/>
        <v>3.4551930916085674E-2</v>
      </c>
      <c r="AE78" s="26">
        <f t="shared" si="178"/>
        <v>4.1290332946578585E-2</v>
      </c>
      <c r="AF78" s="26">
        <f t="shared" si="179"/>
        <v>3.6220876911725E-2</v>
      </c>
      <c r="AG78" s="26">
        <f t="shared" si="180"/>
        <v>4.0640085175484175E-2</v>
      </c>
      <c r="AH78" s="26">
        <f t="shared" si="181"/>
        <v>3.8939698412035803E-2</v>
      </c>
      <c r="AI78" s="20">
        <f t="shared" si="167"/>
        <v>3.860022016641499E-2</v>
      </c>
      <c r="AJ78" s="4"/>
      <c r="AK78" s="4"/>
      <c r="AL78" s="4"/>
      <c r="AM78" s="4"/>
      <c r="AN78" s="4"/>
      <c r="AO78" s="4"/>
      <c r="AP78" s="4"/>
      <c r="AQ78" s="4"/>
    </row>
    <row r="79" spans="1:43" ht="17" x14ac:dyDescent="0.2">
      <c r="A79" s="6" t="s">
        <v>24</v>
      </c>
      <c r="B79" s="24"/>
      <c r="C79" s="24"/>
      <c r="D79" s="24"/>
      <c r="E79" s="24"/>
      <c r="F79" s="24">
        <f>'[7]Pizza Hut'!B$15</f>
        <v>349</v>
      </c>
      <c r="G79" s="24">
        <f>'[7]Pizza Hut'!C$15</f>
        <v>368</v>
      </c>
      <c r="H79" s="24">
        <f>'[7]Pizza Hut'!D$15</f>
        <v>332</v>
      </c>
      <c r="I79" s="24">
        <f>'[7]Pizza Hut'!E$15</f>
        <v>375</v>
      </c>
      <c r="J79" s="24">
        <f>'[7]Pizza Hut'!F$15</f>
        <v>377</v>
      </c>
      <c r="K79" s="24">
        <f>'[7]Pizza Hut'!G$15</f>
        <v>380</v>
      </c>
      <c r="S79" s="24"/>
      <c r="T79" s="4"/>
      <c r="U79" s="4"/>
      <c r="V79" s="8">
        <f t="shared" si="170"/>
        <v>5.4441260744985565E-2</v>
      </c>
      <c r="W79" s="8">
        <f t="shared" si="171"/>
        <v>-9.7826086956521729E-2</v>
      </c>
      <c r="X79" s="8">
        <f t="shared" si="172"/>
        <v>0.12951807228915668</v>
      </c>
      <c r="Y79" s="8">
        <f t="shared" si="173"/>
        <v>5.3333333333334121E-3</v>
      </c>
      <c r="Z79" s="8">
        <f t="shared" si="174"/>
        <v>7.9575596816976457E-3</v>
      </c>
      <c r="AA79" s="14">
        <f t="shared" si="175"/>
        <v>4.7602988434729245E-2</v>
      </c>
      <c r="AB79" s="4"/>
      <c r="AC79" s="26">
        <f t="shared" si="176"/>
        <v>1.8476728719004167E-2</v>
      </c>
      <c r="AD79" s="26">
        <f t="shared" si="177"/>
        <v>1.8726230599586932E-2</v>
      </c>
      <c r="AE79" s="26">
        <f t="shared" si="178"/>
        <v>1.961143138521329E-2</v>
      </c>
      <c r="AF79" s="26">
        <f t="shared" si="179"/>
        <v>1.7895690173777172E-2</v>
      </c>
      <c r="AG79" s="26">
        <f t="shared" si="180"/>
        <v>1.8067585036742374E-2</v>
      </c>
      <c r="AH79" s="26">
        <f t="shared" si="181"/>
        <v>1.567487859806526E-2</v>
      </c>
      <c r="AI79" s="20">
        <f t="shared" si="167"/>
        <v>1.7212717936194936E-2</v>
      </c>
      <c r="AJ79" s="4"/>
      <c r="AK79" s="4"/>
      <c r="AL79" s="4"/>
      <c r="AM79" s="4"/>
      <c r="AN79" s="4"/>
      <c r="AO79" s="4"/>
      <c r="AP79" s="4"/>
      <c r="AQ79" s="4"/>
    </row>
    <row r="80" spans="1:43" ht="17" x14ac:dyDescent="0.2">
      <c r="A80" s="6" t="s">
        <v>25</v>
      </c>
      <c r="B80" s="24"/>
      <c r="C80" s="24"/>
      <c r="D80" s="24"/>
      <c r="E80" s="24"/>
      <c r="F80" s="24">
        <f>'[7]Habit Burger Grill '!B$8</f>
        <v>0</v>
      </c>
      <c r="G80" s="24">
        <f>'[7]Habit Burger Grill '!C$8</f>
        <v>0</v>
      </c>
      <c r="H80" s="24">
        <f>'[7]Habit Burger Grill '!D$8</f>
        <v>-22</v>
      </c>
      <c r="I80" s="24">
        <f>'[7]Habit Burger Grill '!E$8</f>
        <v>2</v>
      </c>
      <c r="J80" s="24">
        <f>'[7]Habit Burger Grill '!F$8</f>
        <v>-24</v>
      </c>
      <c r="K80" s="24">
        <f>'[7]Habit Burger Grill '!G$8</f>
        <v>-14</v>
      </c>
      <c r="S80" s="24"/>
      <c r="T80" s="4"/>
      <c r="U80" s="4"/>
      <c r="V80" s="8"/>
      <c r="W80" s="8"/>
      <c r="X80" s="8">
        <f t="shared" si="172"/>
        <v>-1.0909090909090908</v>
      </c>
      <c r="Y80" s="8">
        <f t="shared" si="173"/>
        <v>-13</v>
      </c>
      <c r="Z80" s="8">
        <f t="shared" si="174"/>
        <v>-0.41666666666666663</v>
      </c>
      <c r="AA80" s="14">
        <f t="shared" si="175"/>
        <v>-4.8358585858585856</v>
      </c>
      <c r="AB80" s="4"/>
      <c r="AC80" s="26">
        <f t="shared" si="176"/>
        <v>0</v>
      </c>
      <c r="AD80" s="26">
        <f t="shared" si="177"/>
        <v>0</v>
      </c>
      <c r="AE80" s="26">
        <f t="shared" si="178"/>
        <v>-1.2995526821526879E-3</v>
      </c>
      <c r="AF80" s="26">
        <f t="shared" si="179"/>
        <v>9.5443680926811587E-5</v>
      </c>
      <c r="AG80" s="26">
        <f t="shared" si="180"/>
        <v>-1.1501910898721935E-3</v>
      </c>
      <c r="AH80" s="26">
        <f t="shared" si="181"/>
        <v>-5.774955272971412E-4</v>
      </c>
      <c r="AI80" s="20">
        <f t="shared" si="167"/>
        <v>-5.4408097874750769E-4</v>
      </c>
      <c r="AJ80" s="4"/>
      <c r="AK80" s="4"/>
      <c r="AL80" s="4"/>
      <c r="AM80" s="4"/>
      <c r="AN80" s="4"/>
      <c r="AO80" s="4"/>
      <c r="AP80" s="4"/>
      <c r="AQ80" s="4"/>
    </row>
    <row r="81" spans="1:43" ht="17" x14ac:dyDescent="0.2">
      <c r="A81" s="6" t="s">
        <v>29</v>
      </c>
      <c r="B81" s="24">
        <f>'[8]Statement of Income'!B$18/1000</f>
        <v>0</v>
      </c>
      <c r="C81" s="24">
        <f>'[8]Statement of Income'!C$18/1000</f>
        <v>6.7530000000000001</v>
      </c>
      <c r="D81" s="24">
        <f>'[8]Statement of Income'!D$18/1000</f>
        <v>27.805</v>
      </c>
      <c r="E81" s="24">
        <f>'[8]Statement of Income'!E$18/1000</f>
        <v>33.813000000000002</v>
      </c>
      <c r="F81" s="24">
        <f>'[8]Statement of Income'!F$18/1000</f>
        <v>31.710999999999999</v>
      </c>
      <c r="G81" s="24">
        <f>'[8]Statement of Income'!G$18/1000</f>
        <v>25.684999999999999</v>
      </c>
      <c r="H81" s="24">
        <f>'[8]Statement of Income'!H$18/1000</f>
        <v>-43.875999999999998</v>
      </c>
      <c r="I81" s="24">
        <f>'[8]Statement of Income'!I$18/1000</f>
        <v>-15.853</v>
      </c>
      <c r="J81" s="24">
        <f>'[8]Statement of Income'!J$18/1000</f>
        <v>-26.893999999999998</v>
      </c>
      <c r="K81" s="24">
        <f>'[8]Statement of Income'!K$18/1000</f>
        <v>5.9210000000000003</v>
      </c>
      <c r="S81" s="24"/>
      <c r="T81" s="4"/>
      <c r="U81" s="4"/>
      <c r="V81" s="8">
        <f t="shared" si="170"/>
        <v>-0.1900286966667718</v>
      </c>
      <c r="W81" s="8">
        <f t="shared" si="171"/>
        <v>-2.7082343780416585</v>
      </c>
      <c r="X81" s="8">
        <f t="shared" si="172"/>
        <v>-0.63868629774819952</v>
      </c>
      <c r="Y81" s="8">
        <f t="shared" si="173"/>
        <v>0.69646123762063961</v>
      </c>
      <c r="Z81" s="8">
        <f t="shared" si="174"/>
        <v>-1.220160630623931</v>
      </c>
      <c r="AA81" s="14">
        <f t="shared" si="175"/>
        <v>-0.38746189691716365</v>
      </c>
      <c r="AB81" s="4"/>
      <c r="AC81" s="26">
        <f t="shared" si="176"/>
        <v>1.6788411014565646E-3</v>
      </c>
      <c r="AD81" s="26">
        <f t="shared" si="177"/>
        <v>1.3070196547564955E-3</v>
      </c>
      <c r="AE81" s="26">
        <f t="shared" si="178"/>
        <v>-2.5917806128241514E-3</v>
      </c>
      <c r="AF81" s="26">
        <f t="shared" si="179"/>
        <v>-7.5653433686637204E-4</v>
      </c>
      <c r="AG81" s="26">
        <f t="shared" si="180"/>
        <v>-1.2888849654592821E-3</v>
      </c>
      <c r="AH81" s="26">
        <f t="shared" si="181"/>
        <v>2.4423935836616947E-4</v>
      </c>
      <c r="AI81" s="20">
        <f t="shared" si="167"/>
        <v>-6.0039331465316155E-4</v>
      </c>
      <c r="AJ81" s="4"/>
      <c r="AK81" s="4"/>
      <c r="AL81" s="4"/>
      <c r="AM81" s="4"/>
      <c r="AN81" s="4"/>
      <c r="AO81" s="4"/>
      <c r="AP81" s="4"/>
      <c r="AQ81" s="4"/>
    </row>
    <row r="82" spans="1:43" ht="17" x14ac:dyDescent="0.2">
      <c r="A82" s="6" t="s">
        <v>39</v>
      </c>
      <c r="B82" s="24">
        <f t="shared" ref="B82:E82" si="186">B49</f>
        <v>0</v>
      </c>
      <c r="C82" s="24">
        <f t="shared" si="186"/>
        <v>0</v>
      </c>
      <c r="D82" s="24">
        <f t="shared" si="186"/>
        <v>0</v>
      </c>
      <c r="E82" s="24">
        <f t="shared" si="186"/>
        <v>0</v>
      </c>
      <c r="F82" s="24">
        <f>F49</f>
        <v>571.59999999999991</v>
      </c>
      <c r="G82" s="24">
        <f t="shared" ref="G82:K82" si="187">G49</f>
        <v>629.40000000000043</v>
      </c>
      <c r="H82" s="24">
        <f t="shared" si="187"/>
        <v>725.8</v>
      </c>
      <c r="I82" s="24">
        <f t="shared" si="187"/>
        <v>780.49999999999977</v>
      </c>
      <c r="J82" s="24">
        <f t="shared" si="187"/>
        <v>767.99999999999955</v>
      </c>
      <c r="K82" s="24">
        <f t="shared" si="187"/>
        <v>819.50000000000057</v>
      </c>
      <c r="S82" s="24"/>
      <c r="T82" s="4"/>
      <c r="U82" s="4"/>
      <c r="V82" s="8">
        <f t="shared" si="170"/>
        <v>0.10111966410077078</v>
      </c>
      <c r="W82" s="8">
        <f t="shared" si="171"/>
        <v>0.15316174134095872</v>
      </c>
      <c r="X82" s="8">
        <f t="shared" si="172"/>
        <v>7.5365114356571894E-2</v>
      </c>
      <c r="Y82" s="8">
        <f t="shared" si="173"/>
        <v>-1.6015374759769663E-2</v>
      </c>
      <c r="Z82" s="8">
        <f t="shared" si="174"/>
        <v>6.7057291666668073E-2</v>
      </c>
      <c r="AA82" s="14">
        <f t="shared" si="175"/>
        <v>4.2135677087823432E-2</v>
      </c>
      <c r="AB82" s="4"/>
      <c r="AC82" s="26">
        <f t="shared" si="176"/>
        <v>3.0261599242930599E-2</v>
      </c>
      <c r="AD82" s="26">
        <f t="shared" si="177"/>
        <v>3.2027960704837023E-2</v>
      </c>
      <c r="AE82" s="26">
        <f t="shared" si="178"/>
        <v>4.2873424395746401E-2</v>
      </c>
      <c r="AF82" s="26">
        <f t="shared" si="179"/>
        <v>3.7246896481688212E-2</v>
      </c>
      <c r="AG82" s="26">
        <f t="shared" si="180"/>
        <v>3.6806114875910172E-2</v>
      </c>
      <c r="AH82" s="26">
        <f t="shared" si="181"/>
        <v>3.3804113187143395E-2</v>
      </c>
      <c r="AI82" s="20">
        <f t="shared" si="167"/>
        <v>3.5952374848247259E-2</v>
      </c>
      <c r="AJ82" s="4"/>
      <c r="AK82" s="4"/>
      <c r="AL82" s="4"/>
      <c r="AM82" s="4"/>
      <c r="AN82" s="4"/>
      <c r="AO82" s="4"/>
      <c r="AP82" s="4"/>
      <c r="AQ82" s="4"/>
    </row>
    <row r="83" spans="1:43" ht="17" x14ac:dyDescent="0.2">
      <c r="A83" s="6" t="s">
        <v>35</v>
      </c>
      <c r="B83" s="24"/>
      <c r="C83" s="24"/>
      <c r="D83" s="24"/>
      <c r="E83" s="24"/>
      <c r="F83" s="24"/>
      <c r="G83" s="24"/>
      <c r="H83" s="24"/>
      <c r="I83" s="24">
        <f>I50</f>
        <v>-52.752000000000002</v>
      </c>
      <c r="J83" s="24">
        <f t="shared" ref="J83:K83" si="188">J50</f>
        <v>-59.765999999999998</v>
      </c>
      <c r="K83" s="24">
        <f t="shared" si="188"/>
        <v>4.7249999999999996</v>
      </c>
      <c r="S83" s="24"/>
      <c r="T83" s="4"/>
      <c r="U83" s="4"/>
      <c r="V83" s="8"/>
      <c r="W83" s="8"/>
      <c r="X83" s="8"/>
      <c r="Y83" s="8">
        <f t="shared" si="173"/>
        <v>0.13296178343949028</v>
      </c>
      <c r="Z83" s="8">
        <f t="shared" si="174"/>
        <v>-1.079058327477161</v>
      </c>
      <c r="AA83" s="14">
        <f t="shared" si="175"/>
        <v>-0.47304827201883537</v>
      </c>
      <c r="AB83" s="4"/>
      <c r="AC83" s="26">
        <f t="shared" si="176"/>
        <v>0</v>
      </c>
      <c r="AD83" s="26">
        <f t="shared" si="177"/>
        <v>0</v>
      </c>
      <c r="AE83" s="26">
        <f t="shared" si="178"/>
        <v>0</v>
      </c>
      <c r="AF83" s="26">
        <f t="shared" si="179"/>
        <v>-2.5174225281255828E-3</v>
      </c>
      <c r="AG83" s="26">
        <f t="shared" si="180"/>
        <v>-2.8642633615542298E-3</v>
      </c>
      <c r="AH83" s="26">
        <f t="shared" si="181"/>
        <v>1.9490474046278511E-4</v>
      </c>
      <c r="AI83" s="20">
        <f t="shared" si="167"/>
        <v>-1.7289270497390095E-3</v>
      </c>
      <c r="AJ83" s="4"/>
      <c r="AK83" s="4"/>
      <c r="AL83" s="4"/>
      <c r="AM83" s="4"/>
      <c r="AN83" s="4"/>
      <c r="AO83" s="4"/>
      <c r="AP83" s="4"/>
      <c r="AQ83" s="4"/>
    </row>
    <row r="84" spans="1:43" ht="17" x14ac:dyDescent="0.2">
      <c r="A84" s="6" t="s">
        <v>38</v>
      </c>
      <c r="B84" s="24" t="e">
        <f t="shared" ref="B84:E84" si="189">B51</f>
        <v>#VALUE!</v>
      </c>
      <c r="C84" s="24">
        <f t="shared" si="189"/>
        <v>117.53</v>
      </c>
      <c r="D84" s="24">
        <f t="shared" si="189"/>
        <v>136.30699999999999</v>
      </c>
      <c r="E84" s="24">
        <f t="shared" si="189"/>
        <v>164.523</v>
      </c>
      <c r="F84" s="24">
        <f>F51</f>
        <v>151.017</v>
      </c>
      <c r="G84" s="24">
        <f t="shared" ref="G84:K84" si="190">G51</f>
        <v>31.553000000000001</v>
      </c>
      <c r="H84" s="24">
        <f t="shared" si="190"/>
        <v>24.535</v>
      </c>
      <c r="I84" s="24">
        <f t="shared" si="190"/>
        <v>90.253</v>
      </c>
      <c r="J84" s="24">
        <f t="shared" si="190"/>
        <v>168.24100000000001</v>
      </c>
      <c r="K84" s="24">
        <f t="shared" si="190"/>
        <v>109.03</v>
      </c>
      <c r="S84" s="24"/>
      <c r="T84" s="4"/>
      <c r="U84" s="4"/>
      <c r="V84" s="8">
        <f t="shared" si="170"/>
        <v>-0.7910632577789255</v>
      </c>
      <c r="W84" s="8">
        <f t="shared" si="171"/>
        <v>-0.22241942129116088</v>
      </c>
      <c r="X84" s="8">
        <f t="shared" si="172"/>
        <v>2.6785408599959242</v>
      </c>
      <c r="Y84" s="8">
        <f t="shared" si="173"/>
        <v>0.86410424030226163</v>
      </c>
      <c r="Z84" s="8">
        <f t="shared" si="174"/>
        <v>-0.35194156002401322</v>
      </c>
      <c r="AA84" s="14">
        <f t="shared" si="175"/>
        <v>1.0635678467580576</v>
      </c>
      <c r="AB84" s="4"/>
      <c r="AC84" s="26">
        <f t="shared" si="176"/>
        <v>7.9951293437187741E-3</v>
      </c>
      <c r="AD84" s="26">
        <f t="shared" si="177"/>
        <v>1.605621614425996E-3</v>
      </c>
      <c r="AE84" s="26">
        <f t="shared" si="178"/>
        <v>1.4492965934825544E-3</v>
      </c>
      <c r="AF84" s="26">
        <f t="shared" si="179"/>
        <v>4.3070392673437629E-3</v>
      </c>
      <c r="AG84" s="26">
        <f t="shared" si="180"/>
        <v>8.0628874646328213E-3</v>
      </c>
      <c r="AH84" s="26">
        <f t="shared" si="181"/>
        <v>4.497452667229093E-3</v>
      </c>
      <c r="AI84" s="20">
        <f t="shared" si="167"/>
        <v>5.6224597997352257E-3</v>
      </c>
      <c r="AJ84" s="4"/>
      <c r="AK84" s="4"/>
      <c r="AL84" s="4"/>
      <c r="AM84" s="4"/>
      <c r="AN84" s="4"/>
      <c r="AO84" s="4"/>
      <c r="AP84" s="4"/>
      <c r="AQ84" s="4"/>
    </row>
    <row r="85" spans="1:43" ht="17" x14ac:dyDescent="0.2">
      <c r="A85" s="5" t="s">
        <v>8</v>
      </c>
      <c r="B85" s="25" t="e">
        <f t="shared" ref="B85:E85" si="191">SUM(B67:B84)</f>
        <v>#VALUE!</v>
      </c>
      <c r="C85" s="25">
        <f t="shared" si="191"/>
        <v>3564.0230000000001</v>
      </c>
      <c r="D85" s="25">
        <f t="shared" si="191"/>
        <v>3132.4779999999992</v>
      </c>
      <c r="E85" s="25">
        <f t="shared" si="191"/>
        <v>3651.8160000000003</v>
      </c>
      <c r="F85" s="25">
        <f t="shared" ref="F85:J85" si="192">SUM(F67:F84)</f>
        <v>18888.624999999996</v>
      </c>
      <c r="G85" s="25">
        <f t="shared" si="192"/>
        <v>19651.579000000002</v>
      </c>
      <c r="H85" s="25">
        <f t="shared" si="192"/>
        <v>16928.901999999998</v>
      </c>
      <c r="I85" s="25">
        <f t="shared" si="192"/>
        <v>20954.766</v>
      </c>
      <c r="J85" s="25">
        <f t="shared" si="192"/>
        <v>20866.098000000002</v>
      </c>
      <c r="K85" s="25">
        <f>SUM(K67:K84)</f>
        <v>24242.611999999997</v>
      </c>
      <c r="S85" s="25"/>
      <c r="T85" s="4"/>
      <c r="U85" s="4"/>
      <c r="V85" s="8">
        <f t="shared" si="170"/>
        <v>4.0392246656387298E-2</v>
      </c>
      <c r="W85" s="8">
        <f t="shared" si="171"/>
        <v>-0.13854749279943368</v>
      </c>
      <c r="X85" s="8">
        <f t="shared" si="172"/>
        <v>0.23781010723554319</v>
      </c>
      <c r="Y85" s="8">
        <f t="shared" si="173"/>
        <v>-4.2314001502091747E-3</v>
      </c>
      <c r="Z85" s="8">
        <f t="shared" si="174"/>
        <v>0.1618181799011964</v>
      </c>
      <c r="AA85" s="14">
        <f t="shared" si="175"/>
        <v>0.13179896232884347</v>
      </c>
      <c r="AB85" s="4"/>
      <c r="AC85" s="26">
        <f t="shared" si="176"/>
        <v>1</v>
      </c>
      <c r="AD85" s="26">
        <f t="shared" si="177"/>
        <v>1</v>
      </c>
      <c r="AE85" s="26">
        <f t="shared" si="178"/>
        <v>1</v>
      </c>
      <c r="AF85" s="26">
        <f t="shared" si="179"/>
        <v>1</v>
      </c>
      <c r="AG85" s="26">
        <f t="shared" si="180"/>
        <v>1</v>
      </c>
      <c r="AH85" s="26">
        <f t="shared" si="181"/>
        <v>1</v>
      </c>
      <c r="AI85" s="4"/>
      <c r="AJ85" s="4"/>
      <c r="AK85" s="4"/>
      <c r="AL85" s="4"/>
      <c r="AM85" s="4"/>
      <c r="AN85" s="4"/>
      <c r="AO85" s="4"/>
      <c r="AP85" s="4"/>
      <c r="AQ85" s="4"/>
    </row>
    <row r="86" spans="1:43" ht="17" x14ac:dyDescent="0.2">
      <c r="A86" s="10" t="s">
        <v>47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S86" s="25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ht="17" x14ac:dyDescent="0.2">
      <c r="A87" s="6" t="s">
        <v>14</v>
      </c>
      <c r="B87" s="15">
        <f t="shared" ref="B87:E87" si="193">B67/B18</f>
        <v>0.1730169080943823</v>
      </c>
      <c r="C87" s="15">
        <f t="shared" si="193"/>
        <v>0.169640339969826</v>
      </c>
      <c r="D87" s="15">
        <f t="shared" si="193"/>
        <v>8.8533812247975612E-3</v>
      </c>
      <c r="E87" s="15">
        <f t="shared" si="193"/>
        <v>6.0491019569296756E-2</v>
      </c>
      <c r="F87" s="15">
        <f>F67/F18</f>
        <v>5.3110585817060636E-2</v>
      </c>
      <c r="G87" s="15">
        <f t="shared" ref="G87:K87" si="194">G67/G18</f>
        <v>7.9471656813218036E-2</v>
      </c>
      <c r="H87" s="15">
        <f t="shared" si="194"/>
        <v>4.8484836332514235E-2</v>
      </c>
      <c r="I87" s="15">
        <f t="shared" si="194"/>
        <v>0.10665648521987565</v>
      </c>
      <c r="J87" s="15">
        <f t="shared" si="194"/>
        <v>0.13438908713402695</v>
      </c>
      <c r="K87" s="15">
        <f t="shared" si="194"/>
        <v>0.15780676561737558</v>
      </c>
      <c r="S87" s="14">
        <f t="shared" ref="S87:S105" si="195">AVERAGE(I87:K87)</f>
        <v>0.1329507793237594</v>
      </c>
      <c r="T87" s="4"/>
      <c r="U87" s="4"/>
      <c r="V87" s="8">
        <f t="shared" ref="V87" si="196">G87/F87-1</f>
        <v>0.49634306589948163</v>
      </c>
      <c r="W87" s="8">
        <f t="shared" ref="W87" si="197">H87/G87-1</f>
        <v>-0.38991033688314847</v>
      </c>
      <c r="X87" s="8">
        <f t="shared" ref="X87" si="198">I87/H87-1</f>
        <v>1.1997905590196072</v>
      </c>
      <c r="Y87" s="8">
        <f t="shared" ref="Y87" si="199">J87/I87-1</f>
        <v>0.2600179619362073</v>
      </c>
      <c r="Z87" s="8">
        <f t="shared" ref="Z87" si="200">K87/J87-1</f>
        <v>0.17425282798441866</v>
      </c>
      <c r="AA87" s="14">
        <f t="shared" ref="AA87" si="201">AVERAGE(X87:Z87)</f>
        <v>0.54468711631341105</v>
      </c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ht="17" x14ac:dyDescent="0.2">
      <c r="A88" s="6" t="s">
        <v>15</v>
      </c>
      <c r="B88" s="15">
        <f t="shared" ref="B88:E88" si="202">B68/B19</f>
        <v>0.12138811547867329</v>
      </c>
      <c r="C88" s="15">
        <f t="shared" si="202"/>
        <v>0.12854040257036026</v>
      </c>
      <c r="D88" s="15">
        <f t="shared" si="202"/>
        <v>9.2709705926446118E-2</v>
      </c>
      <c r="E88" s="15">
        <f t="shared" si="202"/>
        <v>0.13360193057416439</v>
      </c>
      <c r="F88" s="15">
        <f>F68/F19</f>
        <v>0.11681442891622858</v>
      </c>
      <c r="G88" s="15">
        <f t="shared" ref="G88:K88" si="203">G68/G19</f>
        <v>0.30474021452227512</v>
      </c>
      <c r="H88" s="15">
        <f t="shared" si="203"/>
        <v>2.3142357201018694E-2</v>
      </c>
      <c r="I88" s="15">
        <f t="shared" si="203"/>
        <v>0.26138070290877857</v>
      </c>
      <c r="J88" s="15">
        <f t="shared" si="203"/>
        <v>0.13280050128278439</v>
      </c>
      <c r="K88" s="15">
        <f t="shared" si="203"/>
        <v>0.11386181297718151</v>
      </c>
      <c r="S88" s="14">
        <f t="shared" si="195"/>
        <v>0.16934767238958148</v>
      </c>
      <c r="T88" s="4"/>
      <c r="U88" s="4"/>
      <c r="V88" s="8">
        <f t="shared" ref="V88:V105" si="204">G88/F88-1</f>
        <v>1.608754905961268</v>
      </c>
      <c r="W88" s="8">
        <f t="shared" ref="W88:W105" si="205">H88/G88-1</f>
        <v>-0.92405873561092777</v>
      </c>
      <c r="X88" s="8">
        <f t="shared" ref="X88:X105" si="206">I88/H88-1</f>
        <v>10.294471891449025</v>
      </c>
      <c r="Y88" s="8">
        <f t="shared" ref="Y88:Y105" si="207">J88/I88-1</f>
        <v>-0.49192691042256653</v>
      </c>
      <c r="Z88" s="8">
        <f t="shared" ref="Z88:Z105" si="208">K88/J88-1</f>
        <v>-0.14261006639782925</v>
      </c>
      <c r="AA88" s="14">
        <f t="shared" ref="AA88:AA105" si="209">AVERAGE(X88:Z88)</f>
        <v>3.2199783048762094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ht="17" x14ac:dyDescent="0.2">
      <c r="A89" s="6" t="s">
        <v>12</v>
      </c>
      <c r="B89" s="15" t="e">
        <f t="shared" ref="B89:E89" si="210">B69/B21</f>
        <v>#DIV/0!</v>
      </c>
      <c r="C89" s="15" t="e">
        <f t="shared" si="210"/>
        <v>#DIV/0!</v>
      </c>
      <c r="D89" s="15" t="e">
        <f t="shared" si="210"/>
        <v>#DIV/0!</v>
      </c>
      <c r="E89" s="15" t="e">
        <f t="shared" si="210"/>
        <v>#DIV/0!</v>
      </c>
      <c r="F89" s="15">
        <f>F69/F21</f>
        <v>0.19977954684629515</v>
      </c>
      <c r="G89" s="15">
        <f t="shared" ref="G89:K89" si="211">G69/G21</f>
        <v>0.20502414106780489</v>
      </c>
      <c r="H89" s="15">
        <f t="shared" si="211"/>
        <v>0.18257013304100855</v>
      </c>
      <c r="I89" s="15">
        <f t="shared" si="211"/>
        <v>0.23178605220682363</v>
      </c>
      <c r="J89" s="15">
        <f t="shared" si="211"/>
        <v>0.22063100868136501</v>
      </c>
      <c r="K89" s="15">
        <f t="shared" si="211"/>
        <v>0.21029972528598961</v>
      </c>
      <c r="S89" s="14">
        <f t="shared" si="195"/>
        <v>0.22090559539139276</v>
      </c>
      <c r="T89" s="4"/>
      <c r="U89" s="4"/>
      <c r="V89" s="8">
        <f t="shared" si="204"/>
        <v>2.6251907686750231E-2</v>
      </c>
      <c r="W89" s="8">
        <f t="shared" si="205"/>
        <v>-0.1095188493894016</v>
      </c>
      <c r="X89" s="8">
        <f t="shared" si="206"/>
        <v>0.26957267514703687</v>
      </c>
      <c r="Y89" s="8">
        <f t="shared" si="207"/>
        <v>-4.8126465847500355E-2</v>
      </c>
      <c r="Z89" s="8">
        <f t="shared" si="208"/>
        <v>-4.6826071535102431E-2</v>
      </c>
      <c r="AA89" s="14">
        <f t="shared" si="209"/>
        <v>5.8206712588144693E-2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ht="17" x14ac:dyDescent="0.2">
      <c r="A90" s="6" t="s">
        <v>13</v>
      </c>
      <c r="B90" s="15" t="e">
        <f t="shared" ref="B90:E90" si="212">B70/B22</f>
        <v>#DIV/0!</v>
      </c>
      <c r="C90" s="15" t="e">
        <f t="shared" si="212"/>
        <v>#DIV/0!</v>
      </c>
      <c r="D90" s="15" t="e">
        <f t="shared" si="212"/>
        <v>#DIV/0!</v>
      </c>
      <c r="E90" s="15" t="e">
        <f t="shared" si="212"/>
        <v>#DIV/0!</v>
      </c>
      <c r="F90" s="15">
        <f t="shared" ref="F90:K104" si="213">F70/F22</f>
        <v>0.18036636918741195</v>
      </c>
      <c r="G90" s="15">
        <f t="shared" si="213"/>
        <v>0.18159726057660441</v>
      </c>
      <c r="H90" s="15">
        <f t="shared" si="213"/>
        <v>0.15395920286873194</v>
      </c>
      <c r="I90" s="15">
        <f t="shared" si="213"/>
        <v>0.17868979231109147</v>
      </c>
      <c r="J90" s="15">
        <f t="shared" si="213"/>
        <v>0.1762203596849598</v>
      </c>
      <c r="K90" s="15">
        <f t="shared" si="213"/>
        <v>0.16495042682693414</v>
      </c>
      <c r="S90" s="14">
        <f t="shared" si="195"/>
        <v>0.1732868596076618</v>
      </c>
      <c r="T90" s="4"/>
      <c r="U90" s="4"/>
      <c r="V90" s="8">
        <f t="shared" si="204"/>
        <v>6.8243952281008546E-3</v>
      </c>
      <c r="W90" s="8">
        <f t="shared" si="205"/>
        <v>-0.15219424357017619</v>
      </c>
      <c r="X90" s="8">
        <f t="shared" si="206"/>
        <v>0.16063079687055293</v>
      </c>
      <c r="Y90" s="8">
        <f t="shared" si="207"/>
        <v>-1.3819662523489207E-2</v>
      </c>
      <c r="Z90" s="8">
        <f t="shared" si="208"/>
        <v>-6.3953636674976888E-2</v>
      </c>
      <c r="AA90" s="14">
        <f t="shared" si="209"/>
        <v>2.7619165890695612E-2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ht="17" x14ac:dyDescent="0.2">
      <c r="A91" s="6" t="s">
        <v>16</v>
      </c>
      <c r="B91" s="15" t="e">
        <f t="shared" ref="B91:E91" si="214">B71/B23</f>
        <v>#DIV/0!</v>
      </c>
      <c r="C91" s="15" t="e">
        <f t="shared" si="214"/>
        <v>#DIV/0!</v>
      </c>
      <c r="D91" s="15" t="e">
        <f t="shared" si="214"/>
        <v>#DIV/0!</v>
      </c>
      <c r="E91" s="15" t="e">
        <f t="shared" si="214"/>
        <v>#DIV/0!</v>
      </c>
      <c r="F91" s="15">
        <f t="shared" si="213"/>
        <v>0.41504374823595824</v>
      </c>
      <c r="G91" s="15">
        <f t="shared" si="213"/>
        <v>0.42452609407910136</v>
      </c>
      <c r="H91" s="15">
        <f t="shared" si="213"/>
        <v>0.38129945855893377</v>
      </c>
      <c r="I91" s="15">
        <f t="shared" si="213"/>
        <v>0.44593721741377085</v>
      </c>
      <c r="J91" s="15">
        <f t="shared" si="213"/>
        <v>0.40421860846309798</v>
      </c>
      <c r="K91" s="15">
        <f t="shared" si="213"/>
        <v>0.45685259276692552</v>
      </c>
      <c r="S91" s="14">
        <f t="shared" si="195"/>
        <v>0.43566947288126484</v>
      </c>
      <c r="T91" s="4"/>
      <c r="U91" s="4"/>
      <c r="V91" s="8">
        <f t="shared" si="204"/>
        <v>2.2846617696195892E-2</v>
      </c>
      <c r="W91" s="8">
        <f t="shared" si="205"/>
        <v>-0.10182327099100119</v>
      </c>
      <c r="X91" s="8">
        <f t="shared" si="206"/>
        <v>0.16951967122934342</v>
      </c>
      <c r="Y91" s="8">
        <f t="shared" si="207"/>
        <v>-9.3552651183997249E-2</v>
      </c>
      <c r="Z91" s="8">
        <f t="shared" si="208"/>
        <v>0.13021168051602117</v>
      </c>
      <c r="AA91" s="14">
        <f t="shared" si="209"/>
        <v>6.8726233520455773E-2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ht="17" x14ac:dyDescent="0.2">
      <c r="A92" s="6" t="s">
        <v>17</v>
      </c>
      <c r="B92" s="15" t="e">
        <f t="shared" ref="B92:E92" si="215">B72/B24</f>
        <v>#DIV/0!</v>
      </c>
      <c r="C92" s="15" t="e">
        <f t="shared" si="215"/>
        <v>#DIV/0!</v>
      </c>
      <c r="D92" s="15" t="e">
        <f t="shared" si="215"/>
        <v>#DIV/0!</v>
      </c>
      <c r="E92" s="15" t="e">
        <f t="shared" si="215"/>
        <v>#DIV/0!</v>
      </c>
      <c r="F92" s="15">
        <f t="shared" si="213"/>
        <v>0.33809234507897934</v>
      </c>
      <c r="G92" s="15">
        <f t="shared" si="213"/>
        <v>0.33074162679425839</v>
      </c>
      <c r="H92" s="15">
        <f t="shared" si="213"/>
        <v>0.28967971530249109</v>
      </c>
      <c r="I92" s="15">
        <f t="shared" si="213"/>
        <v>0.25367757430201143</v>
      </c>
      <c r="J92" s="15">
        <f t="shared" si="213"/>
        <v>0.24355602314571279</v>
      </c>
      <c r="K92" s="15">
        <f t="shared" si="213"/>
        <v>0.24144008056394764</v>
      </c>
      <c r="S92" s="14">
        <f t="shared" si="195"/>
        <v>0.24622455933722395</v>
      </c>
      <c r="T92" s="4"/>
      <c r="U92" s="4"/>
      <c r="V92" s="8">
        <f t="shared" si="204"/>
        <v>-2.1741747163792735E-2</v>
      </c>
      <c r="W92" s="8">
        <f t="shared" si="205"/>
        <v>-0.12415102353387875</v>
      </c>
      <c r="X92" s="8">
        <f t="shared" si="206"/>
        <v>-0.12428257519821606</v>
      </c>
      <c r="Y92" s="8">
        <f t="shared" si="207"/>
        <v>-3.9899274439799792E-2</v>
      </c>
      <c r="Z92" s="8">
        <f t="shared" si="208"/>
        <v>-8.6877037752387531E-3</v>
      </c>
      <c r="AA92" s="14">
        <f t="shared" si="209"/>
        <v>-5.7623184471084866E-2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ht="17" x14ac:dyDescent="0.2">
      <c r="A93" s="6" t="s">
        <v>20</v>
      </c>
      <c r="B93" s="15" t="e">
        <f t="shared" ref="B93:E93" si="216">B73/B25</f>
        <v>#DIV/0!</v>
      </c>
      <c r="C93" s="15" t="e">
        <f t="shared" si="216"/>
        <v>#DIV/0!</v>
      </c>
      <c r="D93" s="15" t="e">
        <f t="shared" si="216"/>
        <v>#DIV/0!</v>
      </c>
      <c r="E93" s="15" t="e">
        <f t="shared" si="216"/>
        <v>#DIV/0!</v>
      </c>
      <c r="F93" s="15">
        <f t="shared" si="213"/>
        <v>0.55966081162931558</v>
      </c>
      <c r="G93" s="15">
        <f t="shared" si="213"/>
        <v>0.55543050084411927</v>
      </c>
      <c r="H93" s="15">
        <f t="shared" si="213"/>
        <v>0.51310861423220977</v>
      </c>
      <c r="I93" s="15">
        <f t="shared" si="213"/>
        <v>0.36418685121107264</v>
      </c>
      <c r="J93" s="15">
        <f t="shared" si="213"/>
        <v>0.33110367892976589</v>
      </c>
      <c r="K93" s="15">
        <f t="shared" si="213"/>
        <v>0.29815100154083207</v>
      </c>
      <c r="S93" s="14">
        <f t="shared" si="195"/>
        <v>0.33114717722722353</v>
      </c>
      <c r="T93" s="4"/>
      <c r="U93" s="4"/>
      <c r="V93" s="8">
        <f t="shared" si="204"/>
        <v>-7.5587046605618546E-3</v>
      </c>
      <c r="W93" s="8">
        <f t="shared" si="205"/>
        <v>-7.6196547628534117E-2</v>
      </c>
      <c r="X93" s="8">
        <f t="shared" si="206"/>
        <v>-0.29023438486601172</v>
      </c>
      <c r="Y93" s="8">
        <f t="shared" si="207"/>
        <v>-9.0841204648908769E-2</v>
      </c>
      <c r="Z93" s="8">
        <f t="shared" si="208"/>
        <v>-9.9523742821123307E-2</v>
      </c>
      <c r="AA93" s="14">
        <f t="shared" si="209"/>
        <v>-0.16019977744534794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ht="17" x14ac:dyDescent="0.2">
      <c r="A94" s="6" t="s">
        <v>18</v>
      </c>
      <c r="B94" s="15" t="e">
        <f t="shared" ref="B94:E94" si="217">B74/B26</f>
        <v>#DIV/0!</v>
      </c>
      <c r="C94" s="15" t="e">
        <f t="shared" si="217"/>
        <v>#DIV/0!</v>
      </c>
      <c r="D94" s="15" t="e">
        <f t="shared" si="217"/>
        <v>#DIV/0!</v>
      </c>
      <c r="E94" s="15" t="e">
        <f t="shared" si="217"/>
        <v>#DIV/0!</v>
      </c>
      <c r="F94" s="15">
        <f t="shared" si="213"/>
        <v>0.35265700483091789</v>
      </c>
      <c r="G94" s="15">
        <f t="shared" si="213"/>
        <v>0.36929460580912865</v>
      </c>
      <c r="H94" s="15">
        <f t="shared" si="213"/>
        <v>0.37949640287769787</v>
      </c>
      <c r="I94" s="15">
        <f t="shared" si="213"/>
        <v>0.35420393559928443</v>
      </c>
      <c r="J94" s="15">
        <f t="shared" si="213"/>
        <v>0.3300970873786408</v>
      </c>
      <c r="K94" s="15">
        <f t="shared" si="213"/>
        <v>0.319364161849711</v>
      </c>
      <c r="S94" s="14">
        <f t="shared" si="195"/>
        <v>0.33455506160921206</v>
      </c>
      <c r="T94" s="4"/>
      <c r="U94" s="4"/>
      <c r="V94" s="8">
        <f t="shared" si="204"/>
        <v>4.7177854828625021E-2</v>
      </c>
      <c r="W94" s="8">
        <f t="shared" si="205"/>
        <v>2.7625090938485197E-2</v>
      </c>
      <c r="X94" s="8">
        <f t="shared" si="206"/>
        <v>-6.6647449321316943E-2</v>
      </c>
      <c r="Y94" s="8">
        <f t="shared" si="207"/>
        <v>-6.8059233107776729E-2</v>
      </c>
      <c r="Z94" s="8">
        <f t="shared" si="208"/>
        <v>-3.2514450867052069E-2</v>
      </c>
      <c r="AA94" s="14">
        <f t="shared" si="209"/>
        <v>-5.5740377765381911E-2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ht="17" x14ac:dyDescent="0.2">
      <c r="A95" s="6" t="s">
        <v>19</v>
      </c>
      <c r="B95" s="15"/>
      <c r="C95" s="15"/>
      <c r="D95" s="15"/>
      <c r="E95" s="15"/>
      <c r="F95" s="15"/>
      <c r="G95" s="15"/>
      <c r="H95" s="15"/>
      <c r="I95" s="15">
        <f t="shared" si="213"/>
        <v>0.4</v>
      </c>
      <c r="J95" s="15">
        <f t="shared" si="213"/>
        <v>0.2391304347826087</v>
      </c>
      <c r="K95" s="15">
        <f t="shared" si="213"/>
        <v>0.19892473118279569</v>
      </c>
      <c r="S95" s="14">
        <f t="shared" si="195"/>
        <v>0.27935172198846819</v>
      </c>
      <c r="T95" s="4"/>
      <c r="U95" s="4"/>
      <c r="V95" s="8"/>
      <c r="W95" s="8"/>
      <c r="X95" s="8"/>
      <c r="Y95" s="8">
        <f t="shared" si="207"/>
        <v>-0.40217391304347827</v>
      </c>
      <c r="Z95" s="8">
        <f t="shared" si="208"/>
        <v>-0.16813294232649079</v>
      </c>
      <c r="AA95" s="14">
        <f t="shared" si="209"/>
        <v>-0.28515342768498453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ht="17" x14ac:dyDescent="0.2">
      <c r="A96" s="6" t="s">
        <v>21</v>
      </c>
      <c r="B96" s="15">
        <f t="shared" ref="B96:E96" si="218">B76/B28</f>
        <v>0.10006552466535618</v>
      </c>
      <c r="C96" s="15">
        <f t="shared" si="218"/>
        <v>0.11339669313891421</v>
      </c>
      <c r="D96" s="15">
        <f t="shared" si="218"/>
        <v>0.11508072553318716</v>
      </c>
      <c r="E96" s="15">
        <f t="shared" si="218"/>
        <v>0.11383005962178573</v>
      </c>
      <c r="F96" s="15">
        <f t="shared" si="213"/>
        <v>0.12735302141590507</v>
      </c>
      <c r="G96" s="15">
        <f t="shared" si="213"/>
        <v>0.11863962119273098</v>
      </c>
      <c r="H96" s="15">
        <f t="shared" si="213"/>
        <v>0.11695958358848743</v>
      </c>
      <c r="I96" s="15">
        <f t="shared" si="213"/>
        <v>0.1153962108001064</v>
      </c>
      <c r="J96" s="15">
        <f t="shared" si="213"/>
        <v>0.11165747248746885</v>
      </c>
      <c r="K96" s="15">
        <f t="shared" si="213"/>
        <v>0.11475629633524372</v>
      </c>
      <c r="S96" s="14">
        <f t="shared" si="195"/>
        <v>0.11393665987427298</v>
      </c>
      <c r="T96" s="4"/>
      <c r="U96" s="4"/>
      <c r="V96" s="8">
        <f t="shared" si="204"/>
        <v>-6.841926580381763E-2</v>
      </c>
      <c r="W96" s="8">
        <f t="shared" si="205"/>
        <v>-1.4160847677643251E-2</v>
      </c>
      <c r="X96" s="8">
        <f t="shared" si="206"/>
        <v>-1.3366777996419943E-2</v>
      </c>
      <c r="Y96" s="8">
        <f t="shared" si="207"/>
        <v>-3.2399142802998382E-2</v>
      </c>
      <c r="Z96" s="8">
        <f t="shared" si="208"/>
        <v>2.7752946388094557E-2</v>
      </c>
      <c r="AA96" s="14">
        <f t="shared" si="209"/>
        <v>-6.0043248037745895E-3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ht="17" x14ac:dyDescent="0.2">
      <c r="A97" s="6" t="s">
        <v>22</v>
      </c>
      <c r="B97" s="15" t="e">
        <f t="shared" ref="B97:E97" si="219">B77/B29</f>
        <v>#DIV/0!</v>
      </c>
      <c r="C97" s="15" t="e">
        <f t="shared" si="219"/>
        <v>#DIV/0!</v>
      </c>
      <c r="D97" s="15" t="e">
        <f t="shared" si="219"/>
        <v>#DIV/0!</v>
      </c>
      <c r="E97" s="15" t="e">
        <f t="shared" si="219"/>
        <v>#DIV/0!</v>
      </c>
      <c r="F97" s="15">
        <f t="shared" si="213"/>
        <v>0.36308623298033282</v>
      </c>
      <c r="G97" s="15">
        <f t="shared" si="213"/>
        <v>0.42232035327177841</v>
      </c>
      <c r="H97" s="15">
        <f t="shared" si="213"/>
        <v>0.40977112676056338</v>
      </c>
      <c r="I97" s="15">
        <f t="shared" si="213"/>
        <v>0.43859649122807015</v>
      </c>
      <c r="J97" s="15">
        <f t="shared" si="213"/>
        <v>0.44636556104446012</v>
      </c>
      <c r="K97" s="15">
        <f t="shared" si="213"/>
        <v>0.4628975265017668</v>
      </c>
      <c r="S97" s="14">
        <f t="shared" si="195"/>
        <v>0.44928652625809901</v>
      </c>
      <c r="T97" s="4"/>
      <c r="U97" s="4"/>
      <c r="V97" s="8">
        <f t="shared" si="204"/>
        <v>0.1631406396360231</v>
      </c>
      <c r="W97" s="8">
        <f t="shared" si="205"/>
        <v>-2.9714946045091839E-2</v>
      </c>
      <c r="X97" s="8">
        <f t="shared" si="206"/>
        <v>7.0345035521133692E-2</v>
      </c>
      <c r="Y97" s="8">
        <f t="shared" si="207"/>
        <v>1.7713479181369118E-2</v>
      </c>
      <c r="Z97" s="8">
        <f t="shared" si="208"/>
        <v>3.7036830123325704E-2</v>
      </c>
      <c r="AA97" s="14">
        <f t="shared" si="209"/>
        <v>4.1698448275276169E-2</v>
      </c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 ht="17" x14ac:dyDescent="0.2">
      <c r="A98" s="6" t="s">
        <v>23</v>
      </c>
      <c r="B98" s="15" t="e">
        <f t="shared" ref="B98:E98" si="220">B78/B30</f>
        <v>#DIV/0!</v>
      </c>
      <c r="C98" s="15" t="e">
        <f t="shared" si="220"/>
        <v>#DIV/0!</v>
      </c>
      <c r="D98" s="15" t="e">
        <f t="shared" si="220"/>
        <v>#DIV/0!</v>
      </c>
      <c r="E98" s="15" t="e">
        <f t="shared" si="220"/>
        <v>#DIV/0!</v>
      </c>
      <c r="F98" s="15">
        <f t="shared" si="213"/>
        <v>0.30642023346303504</v>
      </c>
      <c r="G98" s="15">
        <f t="shared" si="213"/>
        <v>0.32659932659932661</v>
      </c>
      <c r="H98" s="15">
        <f t="shared" si="213"/>
        <v>0.34416543574593794</v>
      </c>
      <c r="I98" s="15">
        <f t="shared" si="213"/>
        <v>0.33914209115281502</v>
      </c>
      <c r="J98" s="15">
        <f t="shared" si="213"/>
        <v>0.34796881411571606</v>
      </c>
      <c r="K98" s="15">
        <f t="shared" si="213"/>
        <v>0.35744036349867475</v>
      </c>
      <c r="S98" s="14">
        <f t="shared" si="195"/>
        <v>0.34818375625573528</v>
      </c>
      <c r="T98" s="4"/>
      <c r="U98" s="4"/>
      <c r="V98" s="8">
        <f t="shared" si="204"/>
        <v>6.585431029875477E-2</v>
      </c>
      <c r="W98" s="8">
        <f t="shared" si="205"/>
        <v>5.378489089220162E-2</v>
      </c>
      <c r="X98" s="8">
        <f t="shared" si="206"/>
        <v>-1.4595726564567424E-2</v>
      </c>
      <c r="Y98" s="8">
        <f t="shared" si="207"/>
        <v>2.6026621858988852E-2</v>
      </c>
      <c r="Z98" s="8">
        <f t="shared" si="208"/>
        <v>2.7219535196073563E-2</v>
      </c>
      <c r="AA98" s="14">
        <f t="shared" si="209"/>
        <v>1.2883476830164997E-2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spans="1:43" ht="17" x14ac:dyDescent="0.2">
      <c r="A99" s="6" t="s">
        <v>24</v>
      </c>
      <c r="B99" s="15" t="e">
        <f t="shared" ref="B99:E99" si="221">B79/B31</f>
        <v>#DIV/0!</v>
      </c>
      <c r="C99" s="15" t="e">
        <f t="shared" si="221"/>
        <v>#DIV/0!</v>
      </c>
      <c r="D99" s="15" t="e">
        <f t="shared" si="221"/>
        <v>#DIV/0!</v>
      </c>
      <c r="E99" s="15" t="e">
        <f t="shared" si="221"/>
        <v>#DIV/0!</v>
      </c>
      <c r="F99" s="15">
        <f t="shared" si="213"/>
        <v>0.35323886639676111</v>
      </c>
      <c r="G99" s="15">
        <f t="shared" si="213"/>
        <v>0.35832521908471276</v>
      </c>
      <c r="H99" s="15">
        <f t="shared" si="213"/>
        <v>0.33133732534930138</v>
      </c>
      <c r="I99" s="15">
        <f t="shared" si="213"/>
        <v>0.36478599221789881</v>
      </c>
      <c r="J99" s="15">
        <f t="shared" si="213"/>
        <v>0.37549800796812749</v>
      </c>
      <c r="K99" s="15">
        <f t="shared" si="213"/>
        <v>0.37291462217860649</v>
      </c>
      <c r="S99" s="14">
        <f t="shared" si="195"/>
        <v>0.37106620745487762</v>
      </c>
      <c r="T99" s="4"/>
      <c r="U99" s="4"/>
      <c r="V99" s="8">
        <f t="shared" si="204"/>
        <v>1.4399187552138315E-2</v>
      </c>
      <c r="W99" s="8">
        <f t="shared" si="205"/>
        <v>-7.5316757788770339E-2</v>
      </c>
      <c r="X99" s="8">
        <f t="shared" si="206"/>
        <v>0.10095049458534522</v>
      </c>
      <c r="Y99" s="8">
        <f t="shared" si="207"/>
        <v>2.9365205843293607E-2</v>
      </c>
      <c r="Z99" s="8">
        <f t="shared" si="208"/>
        <v>-6.8798921291222115E-3</v>
      </c>
      <c r="AA99" s="14">
        <f t="shared" si="209"/>
        <v>4.1145269433172205E-2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 ht="17" x14ac:dyDescent="0.2">
      <c r="A100" s="6" t="s">
        <v>25</v>
      </c>
      <c r="B100" s="15"/>
      <c r="C100" s="15"/>
      <c r="D100" s="15"/>
      <c r="E100" s="15"/>
      <c r="F100" s="15"/>
      <c r="G100" s="15"/>
      <c r="H100" s="15">
        <f t="shared" si="213"/>
        <v>-6.3400576368876083E-2</v>
      </c>
      <c r="I100" s="15">
        <f t="shared" si="213"/>
        <v>3.8095238095238095E-3</v>
      </c>
      <c r="J100" s="15">
        <f t="shared" si="213"/>
        <v>-4.2328042328042326E-2</v>
      </c>
      <c r="K100" s="15">
        <f t="shared" si="213"/>
        <v>-2.3890784982935155E-2</v>
      </c>
      <c r="S100" s="14">
        <f t="shared" si="195"/>
        <v>-2.0803101167151224E-2</v>
      </c>
      <c r="T100" s="4"/>
      <c r="U100" s="4"/>
      <c r="V100" s="8"/>
      <c r="W100" s="8"/>
      <c r="X100" s="8">
        <f t="shared" si="206"/>
        <v>-1.0600865800865802</v>
      </c>
      <c r="Y100" s="8">
        <f t="shared" si="207"/>
        <v>-12.111111111111111</v>
      </c>
      <c r="Z100" s="8">
        <f t="shared" si="208"/>
        <v>-0.43558020477815695</v>
      </c>
      <c r="AA100" s="14">
        <f t="shared" si="209"/>
        <v>-4.5355926319919488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:43" ht="17" x14ac:dyDescent="0.2">
      <c r="A101" s="6" t="s">
        <v>29</v>
      </c>
      <c r="B101" s="15" t="e">
        <f t="shared" ref="B101:E101" si="222">B81/B33</f>
        <v>#DIV/0!</v>
      </c>
      <c r="C101" s="15">
        <f t="shared" si="222"/>
        <v>3.5431707521826727E-2</v>
      </c>
      <c r="D101" s="15">
        <f t="shared" si="222"/>
        <v>0.10356644007821957</v>
      </c>
      <c r="E101" s="15">
        <f t="shared" si="222"/>
        <v>9.4236503999331131E-2</v>
      </c>
      <c r="F101" s="15">
        <f t="shared" si="213"/>
        <v>6.904051729768565E-2</v>
      </c>
      <c r="G101" s="15">
        <f t="shared" si="213"/>
        <v>4.3202992671386449E-2</v>
      </c>
      <c r="H101" s="15">
        <f t="shared" si="213"/>
        <v>-8.3914265004293637E-2</v>
      </c>
      <c r="I101" s="15">
        <f t="shared" si="213"/>
        <v>-2.1426071067032666E-2</v>
      </c>
      <c r="J101" s="15">
        <f t="shared" si="213"/>
        <v>-2.9866094531175388E-2</v>
      </c>
      <c r="K101" s="15">
        <f t="shared" si="213"/>
        <v>5.4444324907841884E-3</v>
      </c>
      <c r="S101" s="14">
        <f t="shared" si="195"/>
        <v>-1.528257770247462E-2</v>
      </c>
      <c r="T101" s="4"/>
      <c r="U101" s="4"/>
      <c r="V101" s="8">
        <f t="shared" si="204"/>
        <v>-0.37423712390355046</v>
      </c>
      <c r="W101" s="8">
        <f t="shared" si="205"/>
        <v>-2.9423252838655891</v>
      </c>
      <c r="X101" s="8">
        <f t="shared" si="206"/>
        <v>-0.74466711868433388</v>
      </c>
      <c r="Y101" s="8">
        <f t="shared" si="207"/>
        <v>0.39391372490726995</v>
      </c>
      <c r="Z101" s="8">
        <f t="shared" si="208"/>
        <v>-1.1822947585296457</v>
      </c>
      <c r="AA101" s="14">
        <f t="shared" si="209"/>
        <v>-0.51101605076890322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43" ht="17" x14ac:dyDescent="0.2">
      <c r="A102" s="6" t="s">
        <v>39</v>
      </c>
      <c r="B102" s="15" t="e">
        <f t="shared" ref="B102:E102" si="223">B82/B34</f>
        <v>#DIV/0!</v>
      </c>
      <c r="C102" s="15" t="e">
        <f t="shared" si="223"/>
        <v>#DIV/0!</v>
      </c>
      <c r="D102" s="15" t="e">
        <f t="shared" si="223"/>
        <v>#DIV/0!</v>
      </c>
      <c r="E102" s="15" t="e">
        <f t="shared" si="223"/>
        <v>#DIV/0!</v>
      </c>
      <c r="F102" s="15">
        <f t="shared" si="213"/>
        <v>0.16651130272663714</v>
      </c>
      <c r="G102" s="15">
        <f t="shared" si="213"/>
        <v>0.17392505803028641</v>
      </c>
      <c r="H102" s="15">
        <f t="shared" si="213"/>
        <v>0.17627200971463267</v>
      </c>
      <c r="I102" s="15">
        <f t="shared" si="213"/>
        <v>0.17912057649056773</v>
      </c>
      <c r="J102" s="15">
        <f t="shared" si="213"/>
        <v>0.16927112031914651</v>
      </c>
      <c r="K102" s="15">
        <f t="shared" si="213"/>
        <v>0.18294860918873074</v>
      </c>
      <c r="S102" s="14">
        <f t="shared" si="195"/>
        <v>0.17711343533281498</v>
      </c>
      <c r="T102" s="4"/>
      <c r="U102" s="4"/>
      <c r="V102" s="8">
        <f t="shared" si="204"/>
        <v>4.4524036400222622E-2</v>
      </c>
      <c r="W102" s="8">
        <f t="shared" si="205"/>
        <v>1.3494039967131055E-2</v>
      </c>
      <c r="X102" s="8">
        <f t="shared" si="206"/>
        <v>1.6160062964883704E-2</v>
      </c>
      <c r="Y102" s="8">
        <f t="shared" si="207"/>
        <v>-5.4987854351506549E-2</v>
      </c>
      <c r="Z102" s="8">
        <f t="shared" si="208"/>
        <v>8.0802258789310688E-2</v>
      </c>
      <c r="AA102" s="14">
        <f t="shared" si="209"/>
        <v>1.3991489134229282E-2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 spans="1:43" ht="17" x14ac:dyDescent="0.2">
      <c r="A103" s="6" t="s">
        <v>35</v>
      </c>
      <c r="B103" s="15"/>
      <c r="C103" s="15"/>
      <c r="D103" s="15"/>
      <c r="E103" s="15"/>
      <c r="F103" s="15"/>
      <c r="G103" s="15"/>
      <c r="H103" s="15"/>
      <c r="I103" s="15">
        <f t="shared" si="213"/>
        <v>-0.10548880961141596</v>
      </c>
      <c r="J103" s="15">
        <f t="shared" si="213"/>
        <v>-0.10594573130846505</v>
      </c>
      <c r="K103" s="15">
        <f t="shared" si="213"/>
        <v>6.4841498559077802E-3</v>
      </c>
      <c r="S103" s="14">
        <f t="shared" si="195"/>
        <v>-6.8316797021324413E-2</v>
      </c>
      <c r="T103" s="4"/>
      <c r="U103" s="4"/>
      <c r="V103" s="8"/>
      <c r="W103" s="8"/>
      <c r="X103" s="8"/>
      <c r="Y103" s="8">
        <f t="shared" si="207"/>
        <v>4.3314707856902945E-3</v>
      </c>
      <c r="Z103" s="8">
        <f t="shared" si="208"/>
        <v>-1.0612025588556175</v>
      </c>
      <c r="AA103" s="14">
        <f t="shared" si="209"/>
        <v>-0.52843554403496362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 spans="1:43" ht="17" x14ac:dyDescent="0.2">
      <c r="A104" s="6" t="s">
        <v>38</v>
      </c>
      <c r="B104" s="15" t="e">
        <f t="shared" ref="B104:E104" si="224">B84/B36</f>
        <v>#VALUE!</v>
      </c>
      <c r="C104" s="15">
        <f t="shared" si="224"/>
        <v>7.1779525154591961E-2</v>
      </c>
      <c r="D104" s="15">
        <f t="shared" si="224"/>
        <v>7.9543305983823712E-2</v>
      </c>
      <c r="E104" s="15">
        <f t="shared" si="224"/>
        <v>9.2254560074555944E-2</v>
      </c>
      <c r="F104" s="15">
        <f t="shared" si="213"/>
        <v>9.0817026696598829E-2</v>
      </c>
      <c r="G104" s="15">
        <f t="shared" si="213"/>
        <v>1.9486205942511586E-2</v>
      </c>
      <c r="H104" s="15">
        <f t="shared" si="213"/>
        <v>1.3531072106523483E-2</v>
      </c>
      <c r="I104" s="15">
        <f t="shared" si="213"/>
        <v>4.3633767013581862E-2</v>
      </c>
      <c r="J104" s="15">
        <f t="shared" si="213"/>
        <v>8.0034612956643894E-2</v>
      </c>
      <c r="K104" s="15">
        <f t="shared" si="213"/>
        <v>5.1050866853364657E-2</v>
      </c>
      <c r="S104" s="14">
        <f t="shared" si="195"/>
        <v>5.8239748941196802E-2</v>
      </c>
      <c r="T104" s="4"/>
      <c r="U104" s="4"/>
      <c r="V104" s="8">
        <f t="shared" si="204"/>
        <v>-0.78543444273273744</v>
      </c>
      <c r="W104" s="8">
        <f t="shared" si="205"/>
        <v>-0.30560766182791066</v>
      </c>
      <c r="X104" s="8">
        <f t="shared" si="206"/>
        <v>2.2247087791768938</v>
      </c>
      <c r="Y104" s="8">
        <f t="shared" si="207"/>
        <v>0.8342356948399976</v>
      </c>
      <c r="Z104" s="8">
        <f t="shared" si="208"/>
        <v>-0.36214014202805256</v>
      </c>
      <c r="AA104" s="14">
        <f t="shared" si="209"/>
        <v>0.89893477732961291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 spans="1:43" ht="17" x14ac:dyDescent="0.2">
      <c r="A105" s="5" t="s">
        <v>8</v>
      </c>
      <c r="B105" s="15" t="e">
        <f t="shared" ref="B105:E105" si="225">B85/B37</f>
        <v>#VALUE!</v>
      </c>
      <c r="C105" s="15">
        <f t="shared" si="225"/>
        <v>0.11934384880691914</v>
      </c>
      <c r="D105" s="15">
        <f t="shared" si="225"/>
        <v>9.9511897465524538E-2</v>
      </c>
      <c r="E105" s="15">
        <f t="shared" si="225"/>
        <v>0.10589044403097796</v>
      </c>
      <c r="F105" s="15">
        <f>F85/F37</f>
        <v>0.24073332274658349</v>
      </c>
      <c r="G105" s="15">
        <f t="shared" ref="G105:K105" si="226">G85/G37</f>
        <v>0.24000690040727671</v>
      </c>
      <c r="H105" s="15">
        <f t="shared" si="226"/>
        <v>0.20918023460843937</v>
      </c>
      <c r="I105" s="15">
        <f t="shared" si="226"/>
        <v>0.23359427255005002</v>
      </c>
      <c r="J105" s="15">
        <f t="shared" si="226"/>
        <v>0.21830523140094144</v>
      </c>
      <c r="K105" s="15">
        <f t="shared" si="226"/>
        <v>0.2351023776540104</v>
      </c>
      <c r="S105" s="14">
        <f t="shared" si="195"/>
        <v>0.22900062720166728</v>
      </c>
      <c r="T105" s="4"/>
      <c r="U105" s="4"/>
      <c r="V105" s="8">
        <f t="shared" si="204"/>
        <v>-3.0175396202688498E-3</v>
      </c>
      <c r="W105" s="8">
        <f t="shared" si="205"/>
        <v>-0.12844074793902349</v>
      </c>
      <c r="X105" s="8">
        <f t="shared" si="206"/>
        <v>0.11671292934206168</v>
      </c>
      <c r="Y105" s="8">
        <f t="shared" si="207"/>
        <v>-6.545126720019534E-2</v>
      </c>
      <c r="Z105" s="8">
        <f t="shared" si="208"/>
        <v>7.694339776136272E-2</v>
      </c>
      <c r="AA105" s="14">
        <f t="shared" si="209"/>
        <v>4.2735019967743017E-2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</sheetData>
  <mergeCells count="3">
    <mergeCell ref="AC2:AH2"/>
    <mergeCell ref="U2:AA2"/>
    <mergeCell ref="AK2:AQ2"/>
  </mergeCells>
  <phoneticPr fontId="9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7E4C-0402-6C42-9FE3-E55237C86829}">
  <dimension ref="A1:O59"/>
  <sheetViews>
    <sheetView topLeftCell="A25" workbookViewId="0">
      <selection activeCell="G53" sqref="G53"/>
    </sheetView>
  </sheetViews>
  <sheetFormatPr baseColWidth="10" defaultRowHeight="16" x14ac:dyDescent="0.2"/>
  <cols>
    <col min="1" max="1" width="24.33203125" bestFit="1" customWidth="1"/>
    <col min="2" max="3" width="7.33203125" bestFit="1" customWidth="1"/>
    <col min="4" max="5" width="8.1640625" bestFit="1" customWidth="1"/>
    <col min="6" max="6" width="7.33203125" bestFit="1" customWidth="1"/>
    <col min="7" max="7" width="8.1640625" bestFit="1" customWidth="1"/>
  </cols>
  <sheetData>
    <row r="1" spans="1:7" x14ac:dyDescent="0.2">
      <c r="B1" s="16">
        <v>2018</v>
      </c>
      <c r="C1" s="16">
        <f>B1+1</f>
        <v>2019</v>
      </c>
      <c r="D1" s="16">
        <f t="shared" ref="D1:G1" si="0">C1+1</f>
        <v>2020</v>
      </c>
      <c r="E1" s="16">
        <f t="shared" si="0"/>
        <v>2021</v>
      </c>
      <c r="F1" s="16">
        <f t="shared" si="0"/>
        <v>2022</v>
      </c>
      <c r="G1" s="16">
        <f t="shared" si="0"/>
        <v>2023</v>
      </c>
    </row>
    <row r="2" spans="1:7" x14ac:dyDescent="0.2">
      <c r="A2" s="16" t="s">
        <v>67</v>
      </c>
    </row>
    <row r="3" spans="1:7" x14ac:dyDescent="0.2">
      <c r="A3" s="54" t="s">
        <v>71</v>
      </c>
    </row>
    <row r="4" spans="1:7" x14ac:dyDescent="0.2">
      <c r="A4" s="53" t="s">
        <v>1</v>
      </c>
      <c r="B4">
        <f>'[1]Statement of Income'!O$51</f>
        <v>27962</v>
      </c>
      <c r="C4">
        <f>'[1]Statement of Income'!P$51</f>
        <v>28295</v>
      </c>
      <c r="D4">
        <f>'[1]Statement of Income'!Q$51</f>
        <v>28416</v>
      </c>
      <c r="E4">
        <f>'[1]Statement of Income'!R$51</f>
        <v>28511</v>
      </c>
      <c r="F4">
        <f>'[1]Statement of Income'!S$51</f>
        <v>28062</v>
      </c>
      <c r="G4">
        <f>'[1]Statement of Income'!T$51</f>
        <v>27710</v>
      </c>
    </row>
    <row r="5" spans="1:7" x14ac:dyDescent="0.2">
      <c r="A5" s="53" t="s">
        <v>33</v>
      </c>
      <c r="E5">
        <f>'[10]Statement of Operations'!B$35</f>
        <v>732</v>
      </c>
      <c r="F5">
        <f>'[10]Statement of Operations'!C$35</f>
        <v>1328</v>
      </c>
      <c r="G5">
        <f>'[10]Statement of Operations'!D$35</f>
        <v>63448</v>
      </c>
    </row>
    <row r="6" spans="1:7" x14ac:dyDescent="0.2">
      <c r="A6" s="53" t="s">
        <v>68</v>
      </c>
      <c r="B6">
        <f>'[4]Statement of Operations'!B$43</f>
        <v>785.6</v>
      </c>
      <c r="C6">
        <f>'[4]Statement of Operations'!C$43</f>
        <v>764.9</v>
      </c>
      <c r="D6">
        <f>'[4]Statement of Operations'!D$43</f>
        <v>750.1</v>
      </c>
      <c r="E6">
        <f>'[4]Statement of Operations'!E$43</f>
        <v>751.8</v>
      </c>
      <c r="F6">
        <f>'[4]Statement of Operations'!F$43</f>
        <v>741.3</v>
      </c>
      <c r="G6">
        <f>'[4]Statement of Operations'!G$43</f>
        <v>732.3</v>
      </c>
    </row>
    <row r="7" spans="1:7" x14ac:dyDescent="0.2">
      <c r="A7" s="53" t="s">
        <v>7</v>
      </c>
      <c r="B7">
        <f>'[7]Statement of Income'!B$26</f>
        <v>329</v>
      </c>
      <c r="C7">
        <f>'[7]Statement of Income'!C$26</f>
        <v>313</v>
      </c>
      <c r="D7">
        <f>'[7]Statement of Income'!D$26</f>
        <v>307</v>
      </c>
      <c r="E7">
        <f>'[7]Statement of Income'!E$26</f>
        <v>302</v>
      </c>
      <c r="F7">
        <f>'[7]Statement of Income'!F$26</f>
        <v>290</v>
      </c>
      <c r="G7">
        <f>'[7]Statement of Income'!G$26</f>
        <v>285</v>
      </c>
    </row>
    <row r="8" spans="1:7" x14ac:dyDescent="0.2">
      <c r="A8" s="53" t="s">
        <v>5</v>
      </c>
      <c r="B8">
        <f>'[5]Statement of Operations'!B$26</f>
        <v>473</v>
      </c>
      <c r="C8">
        <f>'[5]Statement of Operations'!C$26</f>
        <v>469</v>
      </c>
      <c r="D8">
        <f>'[5]Statement of Operations'!D$26</f>
        <v>468</v>
      </c>
      <c r="E8">
        <f>'[5]Statement of Operations'!E$26</f>
        <v>464</v>
      </c>
      <c r="F8">
        <f>'[5]Statement of Operations'!F$26</f>
        <v>455</v>
      </c>
      <c r="G8">
        <f>'[5]Statement of Operations'!G$26</f>
        <v>456</v>
      </c>
    </row>
    <row r="9" spans="1:7" x14ac:dyDescent="0.2">
      <c r="A9" s="54" t="s">
        <v>72</v>
      </c>
    </row>
    <row r="10" spans="1:7" x14ac:dyDescent="0.2">
      <c r="A10" s="53" t="s">
        <v>1</v>
      </c>
      <c r="B10">
        <f>8.636*50</f>
        <v>431.79999999999995</v>
      </c>
      <c r="C10">
        <f>16.74*50</f>
        <v>836.99999999999989</v>
      </c>
      <c r="D10">
        <f>27.734*50</f>
        <v>1386.7</v>
      </c>
      <c r="E10">
        <f>34.965*50</f>
        <v>1748.2500000000002</v>
      </c>
      <c r="F10">
        <f>27.75 * 50</f>
        <v>1387.5</v>
      </c>
      <c r="G10">
        <f>45.739*50</f>
        <v>2286.9499999999998</v>
      </c>
    </row>
    <row r="11" spans="1:7" x14ac:dyDescent="0.2">
      <c r="A11" s="53" t="s">
        <v>33</v>
      </c>
      <c r="G11">
        <v>42.98</v>
      </c>
    </row>
    <row r="12" spans="1:7" x14ac:dyDescent="0.2">
      <c r="A12" s="53" t="s">
        <v>68</v>
      </c>
      <c r="B12">
        <v>156</v>
      </c>
      <c r="C12">
        <v>178</v>
      </c>
      <c r="D12">
        <v>198.197</v>
      </c>
      <c r="E12">
        <v>253.27799999999999</v>
      </c>
      <c r="F12">
        <v>254.57</v>
      </c>
      <c r="G12">
        <v>292.92500000000001</v>
      </c>
    </row>
    <row r="13" spans="1:7" x14ac:dyDescent="0.2">
      <c r="A13" s="53" t="s">
        <v>7</v>
      </c>
      <c r="B13">
        <v>83.18</v>
      </c>
      <c r="C13">
        <v>92.67</v>
      </c>
      <c r="D13">
        <v>101.8</v>
      </c>
      <c r="E13">
        <v>132</v>
      </c>
      <c r="F13">
        <v>124</v>
      </c>
      <c r="G13">
        <v>129</v>
      </c>
    </row>
    <row r="14" spans="1:7" x14ac:dyDescent="0.2">
      <c r="A14" s="53" t="s">
        <v>5</v>
      </c>
      <c r="B14">
        <v>43.335999999999999</v>
      </c>
      <c r="C14">
        <v>54.43</v>
      </c>
      <c r="D14">
        <v>54.25</v>
      </c>
      <c r="E14">
        <v>55.73</v>
      </c>
      <c r="F14">
        <v>61.71</v>
      </c>
      <c r="G14">
        <v>76.92</v>
      </c>
    </row>
    <row r="15" spans="1:7" x14ac:dyDescent="0.2">
      <c r="A15" s="54" t="s">
        <v>73</v>
      </c>
    </row>
    <row r="16" spans="1:7" x14ac:dyDescent="0.2">
      <c r="A16" s="53" t="s">
        <v>1</v>
      </c>
      <c r="B16" s="57">
        <f t="shared" ref="B16:F16" si="1">B4*B10/1000</f>
        <v>12073.991599999999</v>
      </c>
      <c r="C16" s="57">
        <f t="shared" si="1"/>
        <v>23682.914999999997</v>
      </c>
      <c r="D16" s="57">
        <f t="shared" si="1"/>
        <v>39404.467200000006</v>
      </c>
      <c r="E16" s="57">
        <f t="shared" si="1"/>
        <v>49844.35575000001</v>
      </c>
      <c r="F16" s="57">
        <f t="shared" si="1"/>
        <v>38936.025000000001</v>
      </c>
      <c r="G16" s="57">
        <f>G4*G10/1000</f>
        <v>63371.384499999993</v>
      </c>
    </row>
    <row r="17" spans="1:8" x14ac:dyDescent="0.2">
      <c r="A17" s="53" t="s">
        <v>33</v>
      </c>
      <c r="B17" s="57">
        <f t="shared" ref="B17:G20" si="2">B5*B11</f>
        <v>0</v>
      </c>
      <c r="C17" s="57">
        <f t="shared" si="2"/>
        <v>0</v>
      </c>
      <c r="D17" s="57">
        <f t="shared" si="2"/>
        <v>0</v>
      </c>
      <c r="E17" s="57">
        <f t="shared" si="2"/>
        <v>0</v>
      </c>
      <c r="F17" s="57">
        <f t="shared" si="2"/>
        <v>0</v>
      </c>
      <c r="G17" s="57">
        <f>G5*G11/1000</f>
        <v>2726.9950399999998</v>
      </c>
    </row>
    <row r="18" spans="1:8" x14ac:dyDescent="0.2">
      <c r="A18" s="53" t="s">
        <v>68</v>
      </c>
      <c r="B18" s="57">
        <f t="shared" si="2"/>
        <v>122553.60000000001</v>
      </c>
      <c r="C18" s="57">
        <f t="shared" si="2"/>
        <v>136152.19999999998</v>
      </c>
      <c r="D18" s="57">
        <f t="shared" si="2"/>
        <v>148667.56969999999</v>
      </c>
      <c r="E18" s="57">
        <f t="shared" si="2"/>
        <v>190414.40039999998</v>
      </c>
      <c r="F18" s="57">
        <f t="shared" si="2"/>
        <v>188712.74099999998</v>
      </c>
      <c r="G18" s="57">
        <f t="shared" si="2"/>
        <v>214508.97750000001</v>
      </c>
    </row>
    <row r="19" spans="1:8" x14ac:dyDescent="0.2">
      <c r="A19" s="53" t="s">
        <v>7</v>
      </c>
      <c r="B19" s="57">
        <f t="shared" si="2"/>
        <v>27366.22</v>
      </c>
      <c r="C19" s="57">
        <f t="shared" si="2"/>
        <v>29005.71</v>
      </c>
      <c r="D19" s="57">
        <f t="shared" si="2"/>
        <v>31252.6</v>
      </c>
      <c r="E19" s="57">
        <f t="shared" si="2"/>
        <v>39864</v>
      </c>
      <c r="F19" s="57">
        <f t="shared" si="2"/>
        <v>35960</v>
      </c>
      <c r="G19" s="57">
        <f t="shared" si="2"/>
        <v>36765</v>
      </c>
    </row>
    <row r="20" spans="1:8" x14ac:dyDescent="0.2">
      <c r="A20" s="53" t="s">
        <v>5</v>
      </c>
      <c r="B20" s="57">
        <f t="shared" si="2"/>
        <v>20497.928</v>
      </c>
      <c r="C20" s="57">
        <f t="shared" si="2"/>
        <v>25527.67</v>
      </c>
      <c r="D20" s="57">
        <f t="shared" si="2"/>
        <v>25389</v>
      </c>
      <c r="E20" s="57">
        <f t="shared" si="2"/>
        <v>25858.719999999998</v>
      </c>
      <c r="F20" s="57">
        <f t="shared" si="2"/>
        <v>28078.05</v>
      </c>
      <c r="G20" s="57">
        <f t="shared" si="2"/>
        <v>35075.520000000004</v>
      </c>
    </row>
    <row r="21" spans="1:8" x14ac:dyDescent="0.2">
      <c r="A21" s="54" t="s">
        <v>74</v>
      </c>
    </row>
    <row r="22" spans="1:8" x14ac:dyDescent="0.2">
      <c r="A22" s="53" t="s">
        <v>1</v>
      </c>
      <c r="B22" s="57">
        <f>Profitability!F18-Cost!F81</f>
        <v>1270.9279999999999</v>
      </c>
      <c r="C22" s="57">
        <f>Profitability!G18-Cost!G81</f>
        <v>1886.7969999999996</v>
      </c>
      <c r="D22" s="57">
        <f>Profitability!H18-Cost!H81</f>
        <v>1955.7089999999998</v>
      </c>
      <c r="E22" s="57">
        <f>Profitability!I18-Cost!I81</f>
        <v>3209.0619999999999</v>
      </c>
      <c r="F22" s="57">
        <f>Profitability!J18-Cost!J81</f>
        <v>3728.1130000000003</v>
      </c>
      <c r="G22" s="57">
        <f>Profitability!K18-Cost!K81</f>
        <v>4446.2899999999991</v>
      </c>
    </row>
    <row r="23" spans="1:8" x14ac:dyDescent="0.2">
      <c r="A23" s="53" t="s">
        <v>33</v>
      </c>
      <c r="B23" s="57"/>
      <c r="C23" s="57"/>
      <c r="D23" s="57"/>
      <c r="E23" s="57">
        <f>Profitability!I35-Cost!I97</f>
        <v>2.3279999999999745</v>
      </c>
      <c r="F23" s="57">
        <f>Profitability!J35-Cost!J97</f>
        <v>2.7110000000000127</v>
      </c>
      <c r="G23" s="57">
        <f>Profitability!K35-Cost!K97</f>
        <v>57.057000000000016</v>
      </c>
      <c r="H23" s="57"/>
    </row>
    <row r="24" spans="1:8" x14ac:dyDescent="0.2">
      <c r="A24" s="53" t="s">
        <v>68</v>
      </c>
      <c r="B24" s="57">
        <f>Profitability!F23-Cost!F85</f>
        <v>6648</v>
      </c>
      <c r="C24" s="57">
        <f>Profitability!G23-Cost!G85</f>
        <v>6983</v>
      </c>
      <c r="D24" s="57">
        <f>Profitability!H23-Cost!H85</f>
        <v>4961</v>
      </c>
      <c r="E24" s="57">
        <f>Profitability!I23-Cost!I85</f>
        <v>7495</v>
      </c>
      <c r="F24" s="57">
        <f>Profitability!J23-Cost!J85</f>
        <v>7853</v>
      </c>
      <c r="G24" s="57">
        <f>Profitability!K23-Cost!K85</f>
        <v>9311</v>
      </c>
    </row>
    <row r="25" spans="1:8" x14ac:dyDescent="0.2">
      <c r="A25" s="53" t="s">
        <v>7</v>
      </c>
      <c r="B25" s="57">
        <f>Profitability!F11-Cost!F74</f>
        <v>1763</v>
      </c>
      <c r="C25" s="57">
        <f>Profitability!G11-Cost!G74</f>
        <v>1897</v>
      </c>
      <c r="D25" s="57">
        <f>Profitability!H11-Cost!H74</f>
        <v>1623</v>
      </c>
      <c r="E25" s="57">
        <f>Profitability!I11-Cost!I74</f>
        <v>2106</v>
      </c>
      <c r="F25" s="57">
        <f>Profitability!J11-Cost!J74</f>
        <v>2167</v>
      </c>
      <c r="G25" s="57">
        <f>Profitability!K11-Cost!K74</f>
        <v>2303</v>
      </c>
    </row>
    <row r="26" spans="1:8" x14ac:dyDescent="0.2">
      <c r="A26" s="53" t="s">
        <v>5</v>
      </c>
      <c r="B26" s="57">
        <f>Profitability!F9-Cost!F72</f>
        <v>1903</v>
      </c>
      <c r="C26" s="57">
        <f>Profitability!G9-Cost!G72</f>
        <v>1986</v>
      </c>
      <c r="D26" s="57">
        <f>Profitability!H9-Cost!H72</f>
        <v>1566</v>
      </c>
      <c r="E26" s="57">
        <f>Profitability!I9-Cost!I72</f>
        <v>1890</v>
      </c>
      <c r="F26" s="57">
        <f>Profitability!J9-Cost!J72</f>
        <v>1967</v>
      </c>
      <c r="G26" s="57">
        <f>Profitability!K9-Cost!K72</f>
        <v>2098</v>
      </c>
    </row>
    <row r="27" spans="1:8" s="54" customFormat="1" x14ac:dyDescent="0.2">
      <c r="A27" s="54" t="s">
        <v>75</v>
      </c>
    </row>
    <row r="28" spans="1:8" s="53" customFormat="1" x14ac:dyDescent="0.2">
      <c r="A28" s="53" t="s">
        <v>1</v>
      </c>
      <c r="B28" s="58">
        <f>B16/B22</f>
        <v>9.5001381667568907</v>
      </c>
      <c r="C28" s="58">
        <f t="shared" ref="C28:G28" si="3">C16/C22</f>
        <v>12.551914699885575</v>
      </c>
      <c r="D28" s="58">
        <f t="shared" si="3"/>
        <v>20.148430671434252</v>
      </c>
      <c r="E28" s="58">
        <f t="shared" si="3"/>
        <v>15.532375426214891</v>
      </c>
      <c r="F28" s="58">
        <f t="shared" si="3"/>
        <v>10.443896147997659</v>
      </c>
      <c r="G28" s="58">
        <f t="shared" si="3"/>
        <v>14.252643102451708</v>
      </c>
    </row>
    <row r="29" spans="1:8" s="53" customFormat="1" x14ac:dyDescent="0.2">
      <c r="A29" s="53" t="s">
        <v>33</v>
      </c>
      <c r="B29" s="58"/>
      <c r="C29" s="58"/>
      <c r="D29" s="58"/>
      <c r="E29" s="58">
        <f>E17/E23</f>
        <v>0</v>
      </c>
      <c r="F29" s="58">
        <f t="shared" ref="F29:G29" si="4">F17/F23</f>
        <v>0</v>
      </c>
      <c r="G29" s="58">
        <f t="shared" si="4"/>
        <v>47.794224021592427</v>
      </c>
    </row>
    <row r="30" spans="1:8" s="53" customFormat="1" x14ac:dyDescent="0.2">
      <c r="A30" s="53" t="s">
        <v>68</v>
      </c>
      <c r="B30" s="58">
        <f t="shared" ref="B30:G30" si="5">B18/B24</f>
        <v>18.434657039711194</v>
      </c>
      <c r="C30" s="58">
        <f t="shared" si="5"/>
        <v>19.49766575970213</v>
      </c>
      <c r="D30" s="58">
        <f t="shared" si="5"/>
        <v>29.967258556742589</v>
      </c>
      <c r="E30" s="58">
        <f t="shared" si="5"/>
        <v>25.405523735823881</v>
      </c>
      <c r="F30" s="58">
        <f t="shared" si="5"/>
        <v>24.030655927670953</v>
      </c>
      <c r="G30" s="58">
        <f t="shared" si="5"/>
        <v>23.0382319299753</v>
      </c>
    </row>
    <row r="31" spans="1:8" s="53" customFormat="1" x14ac:dyDescent="0.2">
      <c r="A31" s="53" t="s">
        <v>7</v>
      </c>
      <c r="B31" s="58">
        <f t="shared" ref="B31:G31" si="6">B19/B25</f>
        <v>15.522529778786161</v>
      </c>
      <c r="C31" s="58">
        <f t="shared" si="6"/>
        <v>15.290305745914601</v>
      </c>
      <c r="D31" s="58">
        <f t="shared" si="6"/>
        <v>19.256069008009856</v>
      </c>
      <c r="E31" s="58">
        <f t="shared" si="6"/>
        <v>18.928774928774928</v>
      </c>
      <c r="F31" s="58">
        <f t="shared" si="6"/>
        <v>16.594370096908168</v>
      </c>
      <c r="G31" s="58">
        <f t="shared" si="6"/>
        <v>15.963960052105948</v>
      </c>
    </row>
    <row r="32" spans="1:8" s="53" customFormat="1" x14ac:dyDescent="0.2">
      <c r="A32" s="53" t="s">
        <v>5</v>
      </c>
      <c r="B32" s="58">
        <f t="shared" ref="B32:G32" si="7">B20/B26</f>
        <v>10.771375722543352</v>
      </c>
      <c r="C32" s="58">
        <f t="shared" si="7"/>
        <v>12.853811681772406</v>
      </c>
      <c r="D32" s="58">
        <f t="shared" si="7"/>
        <v>16.212643678160919</v>
      </c>
      <c r="E32" s="58">
        <f t="shared" si="7"/>
        <v>13.681862433862433</v>
      </c>
      <c r="F32" s="58">
        <f t="shared" si="7"/>
        <v>14.274555160142349</v>
      </c>
      <c r="G32" s="58">
        <f t="shared" si="7"/>
        <v>16.71855100095329</v>
      </c>
    </row>
    <row r="33" spans="1:15" x14ac:dyDescent="0.2">
      <c r="A33" s="53"/>
    </row>
    <row r="34" spans="1:15" x14ac:dyDescent="0.2">
      <c r="A34" s="54" t="s">
        <v>69</v>
      </c>
      <c r="O34" s="54"/>
    </row>
    <row r="35" spans="1:15" x14ac:dyDescent="0.2">
      <c r="A35" s="54" t="s">
        <v>71</v>
      </c>
    </row>
    <row r="36" spans="1:15" x14ac:dyDescent="0.2">
      <c r="A36" s="53" t="s">
        <v>3</v>
      </c>
      <c r="B36">
        <f>'[3]Results of Operations'!E$26</f>
        <v>126</v>
      </c>
      <c r="C36">
        <f>'[3]Results of Operations'!F$26</f>
        <v>125.4</v>
      </c>
      <c r="D36">
        <f>'[3]Results of Operations'!G$26</f>
        <v>122.7</v>
      </c>
      <c r="E36">
        <f>'[3]Results of Operations'!H$26</f>
        <v>131.80000000000001</v>
      </c>
      <c r="F36">
        <f>'[3]Results of Operations'!I$26</f>
        <v>129</v>
      </c>
      <c r="G36">
        <f>'[3]Results of Operations'!J$26</f>
        <v>122.9</v>
      </c>
    </row>
    <row r="37" spans="1:15" x14ac:dyDescent="0.2">
      <c r="A37" s="53" t="s">
        <v>2</v>
      </c>
      <c r="B37" s="55">
        <f>'[2]Statement of Operations'!H$29</f>
        <v>65562</v>
      </c>
      <c r="C37" s="55">
        <f>'[2]Statement of Operations'!I$29</f>
        <v>61833</v>
      </c>
      <c r="D37" s="55">
        <f>'[2]Statement of Operations'!J$29</f>
        <v>60812</v>
      </c>
      <c r="E37" s="55">
        <f>'[2]Statement of Operations'!K$29</f>
        <v>65573</v>
      </c>
      <c r="F37" s="55">
        <f>'[2]Statement of Operations'!L$29</f>
        <v>60879</v>
      </c>
      <c r="G37" s="55">
        <f>'[2]Statement of Operations'!M$29</f>
        <v>56196</v>
      </c>
    </row>
    <row r="38" spans="1:15" x14ac:dyDescent="0.2">
      <c r="A38" s="53" t="s">
        <v>70</v>
      </c>
      <c r="B38" s="55">
        <f>[6]SBUX!N$49</f>
        <v>3053.475399999998</v>
      </c>
      <c r="C38" s="55">
        <f>[6]SBUX!O$49</f>
        <v>3094.0175000000008</v>
      </c>
      <c r="D38" s="55">
        <f>[6]SBUX!P$49</f>
        <v>928.10000000000196</v>
      </c>
      <c r="E38" s="55">
        <f>[6]SBUX!Q$49</f>
        <v>3522.6688000000026</v>
      </c>
      <c r="F38" s="55">
        <f>[6]SBUX!R$49</f>
        <v>3283.0000000000045</v>
      </c>
      <c r="G38" s="55">
        <f>[6]SBUX!S$49</f>
        <v>4054.1999999999953</v>
      </c>
    </row>
    <row r="39" spans="1:15" x14ac:dyDescent="0.2">
      <c r="A39" s="53" t="s">
        <v>36</v>
      </c>
      <c r="B39">
        <f>'[11]Statement of Operations'!F$27</f>
        <v>32299</v>
      </c>
      <c r="C39">
        <f>'[11]Statement of Operations'!G$27</f>
        <v>31632</v>
      </c>
      <c r="D39">
        <f>'[11]Statement of Operations'!H$27</f>
        <v>32717</v>
      </c>
      <c r="E39">
        <f>'[11]Statement of Operations'!I$27</f>
        <v>35337</v>
      </c>
      <c r="F39">
        <f>'[11]Statement of Operations'!J$27</f>
        <v>35717</v>
      </c>
      <c r="G39">
        <f>'[11]Statement of Operations'!K$27</f>
        <v>33159</v>
      </c>
    </row>
    <row r="40" spans="1:15" x14ac:dyDescent="0.2">
      <c r="A40" s="54" t="s">
        <v>72</v>
      </c>
    </row>
    <row r="41" spans="1:15" x14ac:dyDescent="0.2">
      <c r="A41" s="53" t="s">
        <v>3</v>
      </c>
      <c r="B41" s="57">
        <v>85.137</v>
      </c>
      <c r="C41" s="57">
        <v>95.725999999999999</v>
      </c>
      <c r="D41" s="57">
        <v>105.73099999999999</v>
      </c>
      <c r="E41" s="57">
        <v>136.9</v>
      </c>
      <c r="F41" s="57">
        <v>130.27000000000001</v>
      </c>
      <c r="G41" s="57">
        <v>160</v>
      </c>
    </row>
    <row r="42" spans="1:15" x14ac:dyDescent="0.2">
      <c r="A42" s="53" t="s">
        <v>2</v>
      </c>
      <c r="B42" s="57">
        <v>16.21</v>
      </c>
      <c r="C42" s="57">
        <v>19.88</v>
      </c>
      <c r="D42" s="57">
        <v>14.68</v>
      </c>
      <c r="E42" s="57">
        <v>16</v>
      </c>
      <c r="F42" s="57">
        <v>9.2100000000000009</v>
      </c>
      <c r="G42" s="57">
        <v>10.88</v>
      </c>
    </row>
    <row r="43" spans="1:15" x14ac:dyDescent="0.2">
      <c r="A43" s="53" t="s">
        <v>70</v>
      </c>
      <c r="B43" s="57">
        <v>57</v>
      </c>
      <c r="C43" s="57">
        <v>79</v>
      </c>
      <c r="D43" s="57">
        <v>99</v>
      </c>
      <c r="E43" s="57">
        <v>110</v>
      </c>
      <c r="F43" s="57">
        <v>95</v>
      </c>
      <c r="G43" s="57">
        <v>94</v>
      </c>
    </row>
    <row r="44" spans="1:15" x14ac:dyDescent="0.2">
      <c r="A44" s="53" t="s">
        <v>36</v>
      </c>
      <c r="B44" s="57">
        <v>36</v>
      </c>
      <c r="C44" s="57">
        <v>58</v>
      </c>
      <c r="D44" s="57">
        <v>79</v>
      </c>
      <c r="E44" s="57">
        <v>126</v>
      </c>
      <c r="F44" s="57">
        <v>79</v>
      </c>
      <c r="G44" s="57">
        <v>75</v>
      </c>
    </row>
    <row r="45" spans="1:15" x14ac:dyDescent="0.2">
      <c r="A45" s="54" t="s">
        <v>73</v>
      </c>
      <c r="B45" s="57"/>
      <c r="C45" s="57"/>
      <c r="D45" s="57"/>
      <c r="E45" s="57"/>
      <c r="F45" s="57"/>
      <c r="G45" s="57"/>
    </row>
    <row r="46" spans="1:15" x14ac:dyDescent="0.2">
      <c r="A46" s="53" t="s">
        <v>3</v>
      </c>
      <c r="B46" s="57">
        <f>B41*B36</f>
        <v>10727.262000000001</v>
      </c>
      <c r="C46" s="57">
        <f t="shared" ref="C46:G46" si="8">C41*C36</f>
        <v>12004.0404</v>
      </c>
      <c r="D46" s="57">
        <f t="shared" si="8"/>
        <v>12973.1937</v>
      </c>
      <c r="E46" s="57">
        <f t="shared" si="8"/>
        <v>18043.420000000002</v>
      </c>
      <c r="F46" s="57">
        <f t="shared" si="8"/>
        <v>16804.830000000002</v>
      </c>
      <c r="G46" s="57">
        <f t="shared" si="8"/>
        <v>19664</v>
      </c>
    </row>
    <row r="47" spans="1:15" x14ac:dyDescent="0.2">
      <c r="A47" s="53" t="s">
        <v>2</v>
      </c>
      <c r="B47" s="57">
        <f t="shared" ref="B47:F47" si="9">B42*B37/1000</f>
        <v>1062.7600199999999</v>
      </c>
      <c r="C47" s="57">
        <f t="shared" si="9"/>
        <v>1229.2400400000001</v>
      </c>
      <c r="D47" s="57">
        <f t="shared" si="9"/>
        <v>892.72016000000008</v>
      </c>
      <c r="E47" s="57">
        <f t="shared" si="9"/>
        <v>1049.1679999999999</v>
      </c>
      <c r="F47" s="57">
        <f t="shared" si="9"/>
        <v>560.69559000000004</v>
      </c>
      <c r="G47" s="57">
        <f>G42*G37/1000</f>
        <v>611.41248000000007</v>
      </c>
    </row>
    <row r="48" spans="1:15" x14ac:dyDescent="0.2">
      <c r="A48" s="53" t="s">
        <v>70</v>
      </c>
      <c r="B48" s="57">
        <f t="shared" ref="B48:G48" si="10">B43*B38</f>
        <v>174048.09779999987</v>
      </c>
      <c r="C48" s="57">
        <f t="shared" si="10"/>
        <v>244427.38250000007</v>
      </c>
      <c r="D48" s="57">
        <f t="shared" si="10"/>
        <v>91881.900000000198</v>
      </c>
      <c r="E48" s="57">
        <f t="shared" si="10"/>
        <v>387493.56800000032</v>
      </c>
      <c r="F48" s="57">
        <f t="shared" si="10"/>
        <v>311885.00000000041</v>
      </c>
      <c r="G48" s="57">
        <f t="shared" si="10"/>
        <v>381094.79999999958</v>
      </c>
    </row>
    <row r="49" spans="1:7" x14ac:dyDescent="0.2">
      <c r="A49" s="53" t="s">
        <v>36</v>
      </c>
      <c r="B49" s="57">
        <f t="shared" ref="B49:F49" si="11">B44*B39/1000</f>
        <v>1162.7639999999999</v>
      </c>
      <c r="C49" s="57">
        <f t="shared" si="11"/>
        <v>1834.6559999999999</v>
      </c>
      <c r="D49" s="57">
        <f t="shared" si="11"/>
        <v>2584.643</v>
      </c>
      <c r="E49" s="57">
        <f t="shared" si="11"/>
        <v>4452.4620000000004</v>
      </c>
      <c r="F49" s="57">
        <f t="shared" si="11"/>
        <v>2821.643</v>
      </c>
      <c r="G49" s="57">
        <f>G44*G39/1000</f>
        <v>2486.9250000000002</v>
      </c>
    </row>
    <row r="50" spans="1:7" x14ac:dyDescent="0.2">
      <c r="A50" s="54" t="s">
        <v>74</v>
      </c>
    </row>
    <row r="51" spans="1:7" x14ac:dyDescent="0.2">
      <c r="A51" s="53" t="s">
        <v>3</v>
      </c>
      <c r="B51" s="57">
        <f>Profitability!F7-Cost!G70</f>
        <v>2064.8000000000011</v>
      </c>
      <c r="C51" s="57">
        <f>Profitability!G7-Cost!H70</f>
        <v>2282.1999999999998</v>
      </c>
      <c r="D51" s="57">
        <f>Profitability!H7-Cost!I70</f>
        <v>810.09999999999854</v>
      </c>
      <c r="E51" s="57">
        <f>Profitability!I7-Cost!J70</f>
        <v>-126.10000000000036</v>
      </c>
      <c r="F51" s="57">
        <f>Profitability!J7-Cost!K70</f>
        <v>2617.1000000000004</v>
      </c>
      <c r="G51" s="57">
        <f>Profitability!K7-Cost!L70</f>
        <v>10487.634098088112</v>
      </c>
    </row>
    <row r="52" spans="1:7" x14ac:dyDescent="0.2">
      <c r="A52" s="53" t="s">
        <v>2</v>
      </c>
      <c r="B52" s="57">
        <f>Profitability!F6-Cost!G69</f>
        <v>243.67899999999997</v>
      </c>
      <c r="C52" s="57">
        <f>Profitability!G6-Cost!H69</f>
        <v>148.91300000000001</v>
      </c>
      <c r="D52" s="57">
        <f>Profitability!H6-Cost!I69</f>
        <v>-115.69899999999996</v>
      </c>
      <c r="E52" s="57">
        <f>Profitability!I6-Cost!J69</f>
        <v>-12.687000000000012</v>
      </c>
      <c r="F52" s="57">
        <f>Profitability!J6-Cost!K69</f>
        <v>26.006999999999948</v>
      </c>
      <c r="G52" s="57">
        <f>Profitability!K6-Cost!L69</f>
        <v>463.87010698260951</v>
      </c>
    </row>
    <row r="53" spans="1:7" x14ac:dyDescent="0.2">
      <c r="A53" s="53" t="s">
        <v>70</v>
      </c>
      <c r="B53" s="57">
        <f>Profitability!F10-Cost!G73</f>
        <v>8925.9051041983294</v>
      </c>
      <c r="C53" s="57">
        <f>Profitability!G10-Cost!H73</f>
        <v>11365.535472084168</v>
      </c>
      <c r="D53" s="57">
        <f>Profitability!H10-Cost!I73</f>
        <v>10549.337879922579</v>
      </c>
      <c r="E53" s="57">
        <f>Profitability!I10-Cost!J73</f>
        <v>8505.6455210732238</v>
      </c>
      <c r="F53" s="57">
        <f>Profitability!J10-Cost!K73</f>
        <v>8218.7259898185766</v>
      </c>
      <c r="G53" s="57">
        <f>Profitability!K10-Cost!L73</f>
        <v>38036.747805801708</v>
      </c>
    </row>
    <row r="54" spans="1:7" x14ac:dyDescent="0.2">
      <c r="A54" s="53" t="s">
        <v>36</v>
      </c>
      <c r="B54" s="57">
        <f>Profitability!F15-Cost!G78</f>
        <v>110.70000000000005</v>
      </c>
      <c r="C54" s="57">
        <f>Profitability!G15-Cost!H78</f>
        <v>-54.02800000000002</v>
      </c>
      <c r="D54" s="57">
        <f>Profitability!H15-Cost!I78</f>
        <v>-38.130000000000109</v>
      </c>
      <c r="E54" s="57">
        <f>Profitability!I15-Cost!J78</f>
        <v>139.44499999999971</v>
      </c>
      <c r="F54" s="57">
        <f>Profitability!J15-Cost!K78</f>
        <v>177.62200000000007</v>
      </c>
      <c r="G54" s="57">
        <f>Profitability!K15-Cost!L78</f>
        <v>2135.3761603077301</v>
      </c>
    </row>
    <row r="55" spans="1:7" x14ac:dyDescent="0.2">
      <c r="A55" s="54" t="s">
        <v>75</v>
      </c>
    </row>
    <row r="56" spans="1:7" x14ac:dyDescent="0.2">
      <c r="A56" s="53" t="s">
        <v>3</v>
      </c>
      <c r="B56" s="56">
        <f>B46/B51</f>
        <v>5.1953031770631517</v>
      </c>
      <c r="C56" s="56">
        <f t="shared" ref="C56:G56" si="12">C46/C51</f>
        <v>5.2598547016037163</v>
      </c>
      <c r="D56" s="56">
        <f t="shared" si="12"/>
        <v>16.014311443031755</v>
      </c>
      <c r="E56" s="56">
        <f t="shared" si="12"/>
        <v>-143.0881839809671</v>
      </c>
      <c r="F56" s="56">
        <f t="shared" si="12"/>
        <v>6.4211646478927058</v>
      </c>
      <c r="G56" s="56">
        <f t="shared" si="12"/>
        <v>1.8749700662787931</v>
      </c>
    </row>
    <row r="57" spans="1:7" x14ac:dyDescent="0.2">
      <c r="A57" s="53" t="s">
        <v>2</v>
      </c>
      <c r="B57" s="56">
        <f t="shared" ref="B57:G57" si="13">B47/B52</f>
        <v>4.3613114794463206</v>
      </c>
      <c r="C57" s="56">
        <f t="shared" si="13"/>
        <v>8.2547530437235164</v>
      </c>
      <c r="D57" s="56">
        <f t="shared" si="13"/>
        <v>-7.7158848391083801</v>
      </c>
      <c r="E57" s="56">
        <f t="shared" si="13"/>
        <v>-82.696303302593122</v>
      </c>
      <c r="F57" s="56">
        <f t="shared" si="13"/>
        <v>21.559410543315305</v>
      </c>
      <c r="G57" s="56">
        <f t="shared" si="13"/>
        <v>1.3180682928182779</v>
      </c>
    </row>
    <row r="58" spans="1:7" x14ac:dyDescent="0.2">
      <c r="A58" s="53" t="s">
        <v>70</v>
      </c>
      <c r="B58" s="56">
        <f t="shared" ref="B58:G58" si="14">B48/B53</f>
        <v>19.499209970105525</v>
      </c>
      <c r="C58" s="56">
        <f t="shared" si="14"/>
        <v>21.506015541490182</v>
      </c>
      <c r="D58" s="56">
        <f t="shared" si="14"/>
        <v>8.709731458584633</v>
      </c>
      <c r="E58" s="56">
        <f t="shared" si="14"/>
        <v>45.557220441407161</v>
      </c>
      <c r="F58" s="56">
        <f t="shared" si="14"/>
        <v>37.948095652095716</v>
      </c>
      <c r="G58" s="56">
        <f t="shared" si="14"/>
        <v>10.019121559647946</v>
      </c>
    </row>
    <row r="59" spans="1:7" x14ac:dyDescent="0.2">
      <c r="A59" s="53" t="s">
        <v>36</v>
      </c>
      <c r="B59" s="56">
        <f t="shared" ref="B59:G59" si="15">B49/B54</f>
        <v>10.503739837398369</v>
      </c>
      <c r="C59" s="56">
        <f t="shared" si="15"/>
        <v>-33.957503516695034</v>
      </c>
      <c r="D59" s="56">
        <f t="shared" si="15"/>
        <v>-67.785024914765089</v>
      </c>
      <c r="E59" s="56">
        <f t="shared" si="15"/>
        <v>31.929879163828101</v>
      </c>
      <c r="F59" s="56">
        <f t="shared" si="15"/>
        <v>15.885661686052398</v>
      </c>
      <c r="G59" s="56">
        <f t="shared" si="15"/>
        <v>1.1646308721745813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1069-F4AD-4D45-BDF7-B5ADCB61462A}">
  <dimension ref="A1:AA100"/>
  <sheetViews>
    <sheetView zoomScale="9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O87" sqref="O87"/>
    </sheetView>
  </sheetViews>
  <sheetFormatPr baseColWidth="10" defaultRowHeight="16" x14ac:dyDescent="0.2"/>
  <cols>
    <col min="1" max="1" width="33.5" style="1" bestFit="1" customWidth="1"/>
    <col min="4" max="4" width="11" customWidth="1"/>
    <col min="6" max="11" width="10" bestFit="1" customWidth="1"/>
    <col min="13" max="16" width="6" bestFit="1" customWidth="1"/>
    <col min="17" max="17" width="7.33203125" bestFit="1" customWidth="1"/>
    <col min="18" max="18" width="6" bestFit="1" customWidth="1"/>
    <col min="19" max="19" width="14.1640625" bestFit="1" customWidth="1"/>
    <col min="21" max="22" width="6" bestFit="1" customWidth="1"/>
    <col min="23" max="26" width="6.1640625" bestFit="1" customWidth="1"/>
    <col min="27" max="27" width="14.1640625" bestFit="1" customWidth="1"/>
    <col min="33" max="33" width="11" customWidth="1"/>
  </cols>
  <sheetData>
    <row r="1" spans="1:27" ht="17" x14ac:dyDescent="0.2">
      <c r="A1" s="2" t="s">
        <v>48</v>
      </c>
      <c r="B1" s="3">
        <f t="shared" ref="B1:D1" si="0">C1-1</f>
        <v>2014</v>
      </c>
      <c r="C1" s="3">
        <f t="shared" si="0"/>
        <v>2015</v>
      </c>
      <c r="D1" s="3">
        <f t="shared" si="0"/>
        <v>2016</v>
      </c>
      <c r="E1" s="3">
        <f>F1-1</f>
        <v>2017</v>
      </c>
      <c r="F1" s="3">
        <v>2018</v>
      </c>
      <c r="G1" s="3">
        <f>F1+1</f>
        <v>2019</v>
      </c>
      <c r="H1" s="3">
        <f t="shared" ref="H1:K1" si="1">G1+1</f>
        <v>2020</v>
      </c>
      <c r="I1" s="3">
        <f t="shared" si="1"/>
        <v>2021</v>
      </c>
      <c r="J1" s="3">
        <f t="shared" si="1"/>
        <v>2022</v>
      </c>
      <c r="K1" s="3">
        <f t="shared" si="1"/>
        <v>2023</v>
      </c>
      <c r="L1" s="4"/>
      <c r="M1" s="3">
        <v>2018</v>
      </c>
      <c r="N1" s="3">
        <f>M1+1</f>
        <v>2019</v>
      </c>
      <c r="O1" s="3">
        <f t="shared" ref="O1" si="2">N1+1</f>
        <v>2020</v>
      </c>
      <c r="P1" s="3">
        <f t="shared" ref="P1" si="3">O1+1</f>
        <v>2021</v>
      </c>
      <c r="Q1" s="3">
        <f t="shared" ref="Q1" si="4">P1+1</f>
        <v>2022</v>
      </c>
      <c r="R1" s="3">
        <f t="shared" ref="R1" si="5">Q1+1</f>
        <v>2023</v>
      </c>
      <c r="S1" s="3" t="s">
        <v>30</v>
      </c>
      <c r="T1" s="4"/>
      <c r="U1" s="3">
        <v>2018</v>
      </c>
      <c r="V1" s="3">
        <f>U1+1</f>
        <v>2019</v>
      </c>
      <c r="W1" s="3">
        <f t="shared" ref="W1" si="6">V1+1</f>
        <v>2020</v>
      </c>
      <c r="X1" s="3">
        <f t="shared" ref="X1" si="7">W1+1</f>
        <v>2021</v>
      </c>
      <c r="Y1" s="3">
        <f t="shared" ref="Y1" si="8">X1+1</f>
        <v>2022</v>
      </c>
      <c r="Z1" s="3">
        <f t="shared" ref="Z1" si="9">Y1+1</f>
        <v>2023</v>
      </c>
      <c r="AA1" s="3" t="s">
        <v>30</v>
      </c>
    </row>
    <row r="2" spans="1:27" ht="17" x14ac:dyDescent="0.2">
      <c r="A2" s="2" t="s">
        <v>28</v>
      </c>
      <c r="F2" s="4"/>
      <c r="G2" s="4"/>
      <c r="H2" s="4"/>
      <c r="I2" s="4"/>
      <c r="J2" s="4"/>
      <c r="K2" s="4"/>
      <c r="L2" s="4"/>
      <c r="M2" s="83" t="s">
        <v>26</v>
      </c>
      <c r="N2" s="83"/>
      <c r="O2" s="83"/>
      <c r="P2" s="83"/>
      <c r="Q2" s="83"/>
      <c r="R2" s="83"/>
      <c r="S2" s="83"/>
      <c r="T2" s="4"/>
      <c r="U2" s="83" t="s">
        <v>50</v>
      </c>
      <c r="V2" s="83"/>
      <c r="W2" s="83"/>
      <c r="X2" s="83"/>
      <c r="Y2" s="83"/>
      <c r="Z2" s="83"/>
      <c r="AA2" s="83"/>
    </row>
    <row r="3" spans="1:27" ht="17" x14ac:dyDescent="0.2">
      <c r="A3" s="6" t="s">
        <v>1</v>
      </c>
      <c r="B3" s="24">
        <f>SUM('[1]Statement of Income'!H$35:H$38)/1000</f>
        <v>1680.3209999999999</v>
      </c>
      <c r="C3" s="24">
        <f>SUM('[1]Statement of Income'!I$35:I$38)/1000</f>
        <v>1990.884</v>
      </c>
      <c r="D3" s="24">
        <f>SUM('[1]Statement of Income'!J$35:J$38)/1000</f>
        <v>2359.8220000000001</v>
      </c>
      <c r="E3" s="24">
        <f>SUM('[1]Statement of Income'!K$35:K$38)/1000</f>
        <v>2990.5129999999999</v>
      </c>
      <c r="F3" s="24">
        <f>SUM('[1]Statement of Income'!L$35:L$38)/1000</f>
        <v>3326.9360000000001</v>
      </c>
      <c r="G3" s="24">
        <f>SUM('[1]Statement of Income'!M$35:M$38)/1000</f>
        <v>3406.17</v>
      </c>
      <c r="H3" s="24">
        <f>SUM('[1]Statement of Income'!N$35:N$38)/1000</f>
        <v>3720.1959999999999</v>
      </c>
      <c r="I3" s="24">
        <f>SUM('[1]Statement of Income'!O$35:O$38)/1000</f>
        <v>3953.9929999999999</v>
      </c>
      <c r="J3" s="24">
        <f>SUM('[1]Statement of Income'!P$35:P$38)/1000</f>
        <v>4443.8789999999999</v>
      </c>
      <c r="K3" s="24">
        <f>SUM('[1]Statement of Income'!Q$35:Q$38)/1000</f>
        <v>4943.5529999999999</v>
      </c>
      <c r="L3" s="4"/>
      <c r="M3" s="4"/>
      <c r="N3" s="8">
        <f>G3/F3-1</f>
        <v>2.3815907489654231E-2</v>
      </c>
      <c r="O3" s="8">
        <f t="shared" ref="O3:R3" si="10">H3/G3-1</f>
        <v>9.2193284539526799E-2</v>
      </c>
      <c r="P3" s="8">
        <f t="shared" si="10"/>
        <v>6.2845344707644468E-2</v>
      </c>
      <c r="Q3" s="8">
        <f t="shared" si="10"/>
        <v>0.12389652687801922</v>
      </c>
      <c r="R3" s="8">
        <f t="shared" si="10"/>
        <v>0.1124409553005381</v>
      </c>
      <c r="S3" s="28">
        <f>AVERAGE(P3:R3)</f>
        <v>9.9727608962067268E-2</v>
      </c>
      <c r="T3" s="4"/>
      <c r="U3" s="26">
        <f>F3/Profitability!F5</f>
        <v>0.68385118191161365</v>
      </c>
      <c r="V3" s="26">
        <f>G3/Profitability!G5</f>
        <v>0.60972878805535402</v>
      </c>
      <c r="W3" s="26">
        <f>H3/Profitability!H5</f>
        <v>0.62162464738862888</v>
      </c>
      <c r="X3" s="26">
        <f>I3/Profitability!I5</f>
        <v>0.52391162599586782</v>
      </c>
      <c r="Y3" s="26">
        <f>J3/Profitability!J5</f>
        <v>0.5146564100093437</v>
      </c>
      <c r="Z3" s="26">
        <f>K3/Profitability!K5</f>
        <v>0.50078289858158453</v>
      </c>
      <c r="AA3" s="28">
        <f>AVERAGE(X3:Z3)</f>
        <v>0.51311697819559865</v>
      </c>
    </row>
    <row r="4" spans="1:27" ht="17" x14ac:dyDescent="0.2">
      <c r="A4" s="6" t="s">
        <v>2</v>
      </c>
      <c r="B4" s="24">
        <f>'[2]Statement of Operations'!D$10/1000</f>
        <v>86.825000000000003</v>
      </c>
      <c r="C4" s="24">
        <f>'[2]Statement of Operations'!E$10/1000</f>
        <v>89.66</v>
      </c>
      <c r="D4" s="24">
        <f>'[2]Statement of Operations'!F$10/1000</f>
        <v>90.486999999999995</v>
      </c>
      <c r="E4" s="24">
        <f>'[2]Statement of Operations'!G$10/1000</f>
        <v>97.825000000000003</v>
      </c>
      <c r="F4" s="24">
        <f>'[2]Statement of Operations'!H$10/1000</f>
        <v>100.532</v>
      </c>
      <c r="G4" s="24">
        <f>'[2]Statement of Operations'!I$10/1000</f>
        <v>74.72</v>
      </c>
      <c r="H4" s="24">
        <f>'[2]Statement of Operations'!J$10/1000</f>
        <v>29.815999999999999</v>
      </c>
      <c r="I4" s="24">
        <f>'[2]Statement of Operations'!K$10/1000</f>
        <v>42.981999999999999</v>
      </c>
      <c r="J4" s="24">
        <f>'[2]Statement of Operations'!L$10/1000</f>
        <v>53.616999999999997</v>
      </c>
      <c r="K4" s="24">
        <f>'[2]Statement of Operations'!M$10/1000</f>
        <v>55.789000000000001</v>
      </c>
      <c r="L4" s="4"/>
      <c r="M4" s="4"/>
      <c r="N4" s="8">
        <f t="shared" ref="N4:N14" si="11">G4/F4-1</f>
        <v>-0.25675406835634429</v>
      </c>
      <c r="O4" s="8">
        <f t="shared" ref="O4:O14" si="12">H4/G4-1</f>
        <v>-0.60096359743040684</v>
      </c>
      <c r="P4" s="8">
        <f t="shared" ref="P4:P14" si="13">I4/H4-1</f>
        <v>0.44157499329219219</v>
      </c>
      <c r="Q4" s="8">
        <f t="shared" ref="Q4:Q14" si="14">J4/I4-1</f>
        <v>0.24742915639104734</v>
      </c>
      <c r="R4" s="8">
        <f t="shared" ref="R4:R14" si="15">K4/J4-1</f>
        <v>4.0509539884738155E-2</v>
      </c>
      <c r="S4" s="28">
        <f t="shared" ref="S4:S63" si="16">AVERAGE(P4:R4)</f>
        <v>0.24317122985599257</v>
      </c>
      <c r="T4" s="4"/>
      <c r="U4" s="26">
        <f>F4/Profitability!F6</f>
        <v>0.15952927660236219</v>
      </c>
      <c r="V4" s="26">
        <f>G4/Profitability!G6</f>
        <v>0.13801536418360918</v>
      </c>
      <c r="W4" s="26">
        <f>H4/Profitability!H6</f>
        <v>0.10331075345194989</v>
      </c>
      <c r="X4" s="26">
        <f>I4/Profitability!I6</f>
        <v>0.1079477816231095</v>
      </c>
      <c r="Y4" s="26">
        <f>J4/Profitability!J6</f>
        <v>0.11747062522320011</v>
      </c>
      <c r="Z4" s="26">
        <f>K4/Profitability!K6</f>
        <v>0.12025512909497717</v>
      </c>
      <c r="AA4" s="28">
        <f t="shared" ref="AA4:AA31" si="17">AVERAGE(X4:Z4)</f>
        <v>0.11522451198042892</v>
      </c>
    </row>
    <row r="5" spans="1:27" ht="17" x14ac:dyDescent="0.2">
      <c r="A5" s="6" t="s">
        <v>3</v>
      </c>
      <c r="B5" s="24"/>
      <c r="C5" s="24">
        <f>SUM('[3]Results of Operations'!B$7:B$9)</f>
        <v>5341.5</v>
      </c>
      <c r="D5" s="24">
        <f>SUM('[3]Results of Operations'!C$7:C$9)</f>
        <v>5392.4</v>
      </c>
      <c r="E5" s="24">
        <f>SUM('[3]Results of Operations'!D$7:D$9)</f>
        <v>5600.8</v>
      </c>
      <c r="F5" s="24">
        <f>SUM('[3]Results of Operations'!E$7:E$9)</f>
        <v>6334.7000000000007</v>
      </c>
      <c r="G5" s="24">
        <f>SUM('[3]Results of Operations'!F$7:F$9)</f>
        <v>6661.4000000000005</v>
      </c>
      <c r="H5" s="24">
        <f>SUM('[3]Results of Operations'!G$7:G$9)</f>
        <v>6398.5</v>
      </c>
      <c r="I5" s="24">
        <f>SUM('[3]Results of Operations'!H$7:H$9)</f>
        <v>5702.5999999999995</v>
      </c>
      <c r="J5" s="24">
        <f>SUM('[3]Results of Operations'!I$7:I$9)</f>
        <v>7635</v>
      </c>
      <c r="K5" s="24">
        <f>SUM('[3]Results of Operations'!J$7:J$9)</f>
        <v>8404.4000000000015</v>
      </c>
      <c r="L5" s="4"/>
      <c r="M5" s="4"/>
      <c r="N5" s="8">
        <f t="shared" si="11"/>
        <v>5.1573081598181414E-2</v>
      </c>
      <c r="O5" s="8">
        <f t="shared" si="12"/>
        <v>-3.9466178280841979E-2</v>
      </c>
      <c r="P5" s="8">
        <f t="shared" si="13"/>
        <v>-0.10875986559349859</v>
      </c>
      <c r="Q5" s="8">
        <f t="shared" si="14"/>
        <v>0.33886297478343219</v>
      </c>
      <c r="R5" s="8">
        <f t="shared" si="15"/>
        <v>0.1007727570399477</v>
      </c>
      <c r="S5" s="28">
        <f t="shared" si="16"/>
        <v>0.11029195540996044</v>
      </c>
      <c r="T5" s="4"/>
      <c r="U5" s="26">
        <f>F5/Profitability!F7</f>
        <v>0.78398782193289696</v>
      </c>
      <c r="V5" s="26">
        <f>G5/Profitability!G7</f>
        <v>0.78273641661966542</v>
      </c>
      <c r="W5" s="26">
        <f>H5/Profitability!H7</f>
        <v>0.81959548604439669</v>
      </c>
      <c r="X5" s="26">
        <f>I5/Profitability!I7</f>
        <v>0.79245702533316642</v>
      </c>
      <c r="Y5" s="26">
        <f>J5/Profitability!J7</f>
        <v>0.79283489096573212</v>
      </c>
      <c r="Z5" s="26">
        <f>K5/Profitability!K7</f>
        <v>0.80135014016285611</v>
      </c>
      <c r="AA5" s="28">
        <f t="shared" si="17"/>
        <v>0.79554735215391814</v>
      </c>
    </row>
    <row r="6" spans="1:27" ht="17" x14ac:dyDescent="0.2">
      <c r="A6" s="6" t="s">
        <v>4</v>
      </c>
      <c r="B6" s="24"/>
      <c r="C6" s="24"/>
      <c r="D6" s="24"/>
      <c r="E6" s="24"/>
      <c r="F6" s="24">
        <f>SUM('[4]Statement of Operations'!B$27:B$29)</f>
        <v>10425</v>
      </c>
      <c r="G6" s="24">
        <f>SUM('[4]Statement of Operations'!C$27:C$29)</f>
        <v>10186</v>
      </c>
      <c r="H6" s="24">
        <f>SUM('[4]Statement of Operations'!D$27:D$29)</f>
        <v>9456</v>
      </c>
      <c r="I6" s="24">
        <f>SUM('[4]Statement of Operations'!E$27:E$29)</f>
        <v>10642</v>
      </c>
      <c r="J6" s="24">
        <f>SUM('[4]Statement of Operations'!F$27:F$29)</f>
        <v>9976</v>
      </c>
      <c r="K6" s="24">
        <f>SUM('[4]Statement of Operations'!G$27:G$29)</f>
        <v>10931</v>
      </c>
      <c r="L6" s="4"/>
      <c r="M6" s="4"/>
      <c r="N6" s="8">
        <f t="shared" si="11"/>
        <v>-2.2925659472422089E-2</v>
      </c>
      <c r="O6" s="8">
        <f t="shared" si="12"/>
        <v>-7.1666993913214183E-2</v>
      </c>
      <c r="P6" s="8">
        <f t="shared" si="13"/>
        <v>0.12542301184433158</v>
      </c>
      <c r="Q6" s="8">
        <f t="shared" si="14"/>
        <v>-6.2582221386957348E-2</v>
      </c>
      <c r="R6" s="8">
        <f t="shared" si="15"/>
        <v>9.5729751403368146E-2</v>
      </c>
      <c r="S6" s="28">
        <f t="shared" si="16"/>
        <v>5.2856847286914123E-2</v>
      </c>
      <c r="T6" s="4"/>
      <c r="U6" s="26">
        <f>F6/Profitability!F8</f>
        <v>0.49040361275755012</v>
      </c>
      <c r="V6" s="26">
        <f>G6/Profitability!G8</f>
        <v>0.47676105780482098</v>
      </c>
      <c r="W6" s="26">
        <f>H6/Profitability!H8</f>
        <v>0.4922948771345273</v>
      </c>
      <c r="X6" s="26">
        <f>I6/Profitability!I8</f>
        <v>0.45825259441071353</v>
      </c>
      <c r="Y6" s="26">
        <f>J6/Profitability!J8</f>
        <v>0.43031531725833583</v>
      </c>
      <c r="Z6" s="26">
        <f>K6/Profitability!K8</f>
        <v>0.42876755314976073</v>
      </c>
      <c r="AA6" s="28">
        <f t="shared" si="17"/>
        <v>0.43911182160626999</v>
      </c>
    </row>
    <row r="7" spans="1:27" ht="17" x14ac:dyDescent="0.2">
      <c r="A7" s="6" t="s">
        <v>5</v>
      </c>
      <c r="B7" s="24"/>
      <c r="C7" s="24"/>
      <c r="D7" s="24"/>
      <c r="E7" s="24"/>
      <c r="F7" s="24">
        <f>'[5]Statement of Operations'!B$11</f>
        <v>1818</v>
      </c>
      <c r="G7" s="24">
        <f>'[5]Statement of Operations'!C$11</f>
        <v>1813</v>
      </c>
      <c r="H7" s="24">
        <f>'[5]Statement of Operations'!D$11</f>
        <v>1610</v>
      </c>
      <c r="I7" s="24">
        <f>'[5]Statement of Operations'!E$11</f>
        <v>1890</v>
      </c>
      <c r="J7" s="24">
        <f>'[5]Statement of Operations'!F$11</f>
        <v>2312</v>
      </c>
      <c r="K7" s="24">
        <f>'[5]Statement of Operations'!G$11</f>
        <v>2435</v>
      </c>
      <c r="L7" s="4"/>
      <c r="M7" s="4"/>
      <c r="N7" s="8">
        <f t="shared" si="11"/>
        <v>-2.7502750275028021E-3</v>
      </c>
      <c r="O7" s="8">
        <f t="shared" si="12"/>
        <v>-0.11196911196911197</v>
      </c>
      <c r="P7" s="8">
        <f t="shared" si="13"/>
        <v>0.17391304347826098</v>
      </c>
      <c r="Q7" s="8">
        <f t="shared" si="14"/>
        <v>0.2232804232804233</v>
      </c>
      <c r="R7" s="8">
        <f t="shared" si="15"/>
        <v>5.3200692041522446E-2</v>
      </c>
      <c r="S7" s="28">
        <f t="shared" si="16"/>
        <v>0.15013138626673558</v>
      </c>
      <c r="T7" s="4"/>
      <c r="U7" s="26">
        <f>F7/Profitability!F9</f>
        <v>0.3393690498413291</v>
      </c>
      <c r="V7" s="26">
        <f>G7/Profitability!G9</f>
        <v>0.3235766553631983</v>
      </c>
      <c r="W7" s="26">
        <f>H7/Profitability!H9</f>
        <v>0.32407407407407407</v>
      </c>
      <c r="X7" s="26">
        <f>I7/Profitability!I9</f>
        <v>0.32932566649242029</v>
      </c>
      <c r="Y7" s="26">
        <f>J7/Profitability!J9</f>
        <v>0.35541890853189856</v>
      </c>
      <c r="Z7" s="26">
        <f>K7/Profitability!K9</f>
        <v>0.34676730276274564</v>
      </c>
      <c r="AA7" s="28">
        <f t="shared" si="17"/>
        <v>0.34383729259568813</v>
      </c>
    </row>
    <row r="8" spans="1:27" ht="17" x14ac:dyDescent="0.2">
      <c r="A8" s="6" t="s">
        <v>6</v>
      </c>
      <c r="B8" s="24">
        <f>[6]SBUX!J$31+[6]SBUX!J$32</f>
        <v>11497</v>
      </c>
      <c r="C8" s="24">
        <f>[6]SBUX!K$31+[6]SBUX!K$32</f>
        <v>13198.6</v>
      </c>
      <c r="D8" s="24">
        <f>[6]SBUX!L$31+[6]SBUX!L$32</f>
        <v>14575.400000000001</v>
      </c>
      <c r="E8" s="24">
        <f>[6]SBUX!M$31+[6]SBUX!M$32</f>
        <v>15531.599999999999</v>
      </c>
      <c r="F8" s="24">
        <f>[6]SBUX!N$31+[6]SBUX!N$32</f>
        <v>17402.900000000001</v>
      </c>
      <c r="G8" s="24">
        <f>[6]SBUX!O$31+[6]SBUX!O$32</f>
        <v>19020.5</v>
      </c>
      <c r="H8" s="24">
        <f>[6]SBUX!P$31+[6]SBUX!P$32</f>
        <v>18458.900000000001</v>
      </c>
      <c r="I8" s="24">
        <f>[6]SBUX!Q$31+[6]SBUX!Q$32</f>
        <v>20668.699999999997</v>
      </c>
      <c r="J8" s="24">
        <f>[6]SBUX!R$31+[6]SBUX!R$32</f>
        <v>23879.199999999997</v>
      </c>
      <c r="K8" s="24">
        <f>[6]SBUX!S$31+[6]SBUX!S$32</f>
        <v>26129.4</v>
      </c>
      <c r="L8" s="4"/>
      <c r="M8" s="4"/>
      <c r="N8" s="8">
        <f t="shared" si="11"/>
        <v>9.2950025570450734E-2</v>
      </c>
      <c r="O8" s="8">
        <f t="shared" si="12"/>
        <v>-2.9526037696169793E-2</v>
      </c>
      <c r="P8" s="8">
        <f t="shared" si="13"/>
        <v>0.11971460921289978</v>
      </c>
      <c r="Q8" s="8">
        <f t="shared" si="14"/>
        <v>0.15533149157905424</v>
      </c>
      <c r="R8" s="8">
        <f t="shared" si="15"/>
        <v>9.423263760930034E-2</v>
      </c>
      <c r="S8" s="28">
        <f t="shared" si="16"/>
        <v>0.12309291280041812</v>
      </c>
      <c r="T8" s="4"/>
      <c r="U8" s="26">
        <f>F8/Profitability!F10</f>
        <v>0.59346951302687223</v>
      </c>
      <c r="V8" s="26">
        <f>G8/Profitability!G10</f>
        <v>0.60853916048118761</v>
      </c>
      <c r="W8" s="26">
        <f>H8/Profitability!H10</f>
        <v>0.56518371096142073</v>
      </c>
      <c r="X8" s="26">
        <f>I8/Profitability!I10</f>
        <v>0.61090355570005606</v>
      </c>
      <c r="Y8" s="26">
        <f>J8/Profitability!J10</f>
        <v>0.66867911847889994</v>
      </c>
      <c r="Z8" s="26">
        <f>K8/Profitability!K10</f>
        <v>0.68692886061307112</v>
      </c>
      <c r="AA8" s="28">
        <f t="shared" si="17"/>
        <v>0.65550384493067571</v>
      </c>
    </row>
    <row r="9" spans="1:27" ht="17" x14ac:dyDescent="0.2">
      <c r="A9" s="6" t="s">
        <v>7</v>
      </c>
      <c r="B9" s="24"/>
      <c r="C9" s="24"/>
      <c r="D9" s="24"/>
      <c r="E9" s="24"/>
      <c r="F9" s="24">
        <f>'[7]Statement of Income'!B$10+'[7]Statement of Income'!B$12+'[7]Statement of Income'!B$13</f>
        <v>3030</v>
      </c>
      <c r="G9" s="24">
        <f>'[7]Statement of Income'!C$10+'[7]Statement of Income'!C$12+'[7]Statement of Income'!C$13</f>
        <v>2783</v>
      </c>
      <c r="H9" s="24">
        <f>'[7]Statement of Income'!D$10+'[7]Statement of Income'!D$12+'[7]Statement of Income'!D$13</f>
        <v>2965</v>
      </c>
      <c r="I9" s="24">
        <f>'[7]Statement of Income'!E$10+'[7]Statement of Income'!E$12+'[7]Statement of Income'!E$13</f>
        <v>3418</v>
      </c>
      <c r="J9" s="24">
        <f>'[7]Statement of Income'!F$10+'[7]Statement of Income'!F$12+'[7]Statement of Income'!F$13</f>
        <v>3535</v>
      </c>
      <c r="K9" s="24">
        <f>'[7]Statement of Income'!G$10+'[7]Statement of Income'!G$12+'[7]Statement of Income'!G$13</f>
        <v>3580</v>
      </c>
      <c r="L9" s="4"/>
      <c r="M9" s="4"/>
      <c r="N9" s="8">
        <f t="shared" si="11"/>
        <v>-8.1518151815181517E-2</v>
      </c>
      <c r="O9" s="8">
        <f t="shared" si="12"/>
        <v>6.5397053539345995E-2</v>
      </c>
      <c r="P9" s="8">
        <f t="shared" si="13"/>
        <v>0.15278246205733548</v>
      </c>
      <c r="Q9" s="8">
        <f t="shared" si="14"/>
        <v>3.423054417788185E-2</v>
      </c>
      <c r="R9" s="8">
        <f t="shared" si="15"/>
        <v>1.2729844413012836E-2</v>
      </c>
      <c r="S9" s="28">
        <f t="shared" si="16"/>
        <v>6.6580950216076726E-2</v>
      </c>
      <c r="T9" s="4"/>
      <c r="U9" s="26">
        <f>F9/Profitability!F11</f>
        <v>0.53270042194092826</v>
      </c>
      <c r="V9" s="26">
        <f>G9/Profitability!G11</f>
        <v>0.49723065928175808</v>
      </c>
      <c r="W9" s="26">
        <f>H9/Profitability!H11</f>
        <v>0.52459306440198161</v>
      </c>
      <c r="X9" s="26">
        <f>I9/Profitability!I11</f>
        <v>0.51913730255164037</v>
      </c>
      <c r="Y9" s="26">
        <f>J9/Profitability!J11</f>
        <v>0.51666179479684304</v>
      </c>
      <c r="Z9" s="26">
        <f>K9/Profitability!K11</f>
        <v>0.50593555681175806</v>
      </c>
      <c r="AA9" s="28">
        <f t="shared" si="17"/>
        <v>0.51391155138674716</v>
      </c>
    </row>
    <row r="10" spans="1:27" ht="17" x14ac:dyDescent="0.2">
      <c r="A10" s="6" t="s">
        <v>34</v>
      </c>
      <c r="B10" s="24">
        <f>SUM('[8]Statement of Income'!B$9:B$12)/1000</f>
        <v>0</v>
      </c>
      <c r="C10" s="24">
        <f>SUM('[8]Statement of Income'!C$9:C$12)/1000</f>
        <v>130.345</v>
      </c>
      <c r="D10" s="24">
        <f>SUM('[8]Statement of Income'!D$9:D$12)/1000</f>
        <v>186.05799999999999</v>
      </c>
      <c r="E10" s="24">
        <f>SUM('[8]Statement of Income'!E$9:E$12)/1000</f>
        <v>254.07900000000001</v>
      </c>
      <c r="F10" s="24">
        <f>SUM('[8]Statement of Income'!F$9:F$12)/1000</f>
        <v>332.68299999999999</v>
      </c>
      <c r="G10" s="24">
        <f>SUM('[8]Statement of Income'!G$9:G$12)/1000</f>
        <v>446.60700000000003</v>
      </c>
      <c r="H10" s="24">
        <f>SUM('[8]Statement of Income'!H$9:H$12)/1000</f>
        <v>434.96100000000001</v>
      </c>
      <c r="I10" s="24">
        <f>SUM('[8]Statement of Income'!I$9:I$12)/1000</f>
        <v>594.63599999999997</v>
      </c>
      <c r="J10" s="24">
        <f>SUM('[8]Statement of Income'!J$9:J$12)/1000</f>
        <v>717.1</v>
      </c>
      <c r="K10" s="24">
        <f>SUM('[8]Statement of Income'!K$9:K$12)/1000</f>
        <v>838.59</v>
      </c>
      <c r="L10" s="4"/>
      <c r="M10" s="4"/>
      <c r="N10" s="8">
        <f t="shared" si="11"/>
        <v>0.34244010063634156</v>
      </c>
      <c r="O10" s="8">
        <f t="shared" si="12"/>
        <v>-2.6076617697438742E-2</v>
      </c>
      <c r="P10" s="8">
        <f t="shared" si="13"/>
        <v>0.36710187809941575</v>
      </c>
      <c r="Q10" s="8">
        <f t="shared" si="14"/>
        <v>0.20594784035948055</v>
      </c>
      <c r="R10" s="8">
        <f t="shared" si="15"/>
        <v>0.16941849114488905</v>
      </c>
      <c r="S10" s="28">
        <f t="shared" si="16"/>
        <v>0.24748940320126178</v>
      </c>
      <c r="T10" s="4"/>
      <c r="U10" s="26">
        <f>F10/Profitability!F12</f>
        <v>0.72431037861139536</v>
      </c>
      <c r="V10" s="26">
        <f>G10/Profitability!G12</f>
        <v>0.75120727848899704</v>
      </c>
      <c r="W10" s="26">
        <f>H10/Profitability!H12</f>
        <v>0.8318769400249012</v>
      </c>
      <c r="X10" s="26">
        <f>I10/Profitability!I12</f>
        <v>0.80367836971021478</v>
      </c>
      <c r="Y10" s="26">
        <f>J10/Profitability!J12</f>
        <v>0.79634774999278168</v>
      </c>
      <c r="Z10" s="26">
        <f>K10/Profitability!K12</f>
        <v>0.7710938426696019</v>
      </c>
      <c r="AA10" s="28">
        <f t="shared" si="17"/>
        <v>0.7903733207908662</v>
      </c>
    </row>
    <row r="11" spans="1:27" ht="17" x14ac:dyDescent="0.2">
      <c r="A11" s="6" t="s">
        <v>31</v>
      </c>
      <c r="B11" s="24"/>
      <c r="C11" s="24"/>
      <c r="D11" s="24"/>
      <c r="E11" s="24"/>
      <c r="F11" s="24">
        <f>'[9]Statement of Income'!B$15</f>
        <v>2130.1999999999998</v>
      </c>
      <c r="G11" s="24">
        <f>'[9]Statement of Income'!C$15</f>
        <v>2216.2999999999997</v>
      </c>
      <c r="H11" s="24">
        <f>'[9]Statement of Income'!D$15</f>
        <v>2522.9</v>
      </c>
      <c r="I11" s="24">
        <f>'[9]Statement of Income'!E$15</f>
        <v>2669.1</v>
      </c>
      <c r="J11" s="24">
        <f>'[9]Statement of Income'!F$15</f>
        <v>2888.5</v>
      </c>
      <c r="K11" s="24">
        <f>'[9]Statement of Income'!G$15</f>
        <v>2752</v>
      </c>
      <c r="L11" s="4"/>
      <c r="M11" s="4"/>
      <c r="N11" s="8">
        <f t="shared" si="11"/>
        <v>4.0418740024410704E-2</v>
      </c>
      <c r="O11" s="8">
        <f t="shared" si="12"/>
        <v>0.13833867256237897</v>
      </c>
      <c r="P11" s="8">
        <f t="shared" si="13"/>
        <v>5.7949185461175556E-2</v>
      </c>
      <c r="Q11" s="8">
        <f t="shared" si="14"/>
        <v>8.2199992506837516E-2</v>
      </c>
      <c r="R11" s="8">
        <f t="shared" si="15"/>
        <v>-4.7256361433269833E-2</v>
      </c>
      <c r="S11" s="28">
        <f t="shared" si="16"/>
        <v>3.0964272178247747E-2</v>
      </c>
      <c r="T11" s="4"/>
      <c r="U11" s="26">
        <f>F11/Profitability!F13</f>
        <v>0.62054299697040316</v>
      </c>
      <c r="V11" s="26">
        <f>G11/Profitability!G13</f>
        <v>0.61244058804023427</v>
      </c>
      <c r="W11" s="26">
        <f>H11/Profitability!H13</f>
        <v>0.61272616879174258</v>
      </c>
      <c r="X11" s="26">
        <f>I11/Profitability!I13</f>
        <v>0.61254417772065917</v>
      </c>
      <c r="Y11" s="26">
        <f>J11/Profitability!J13</f>
        <v>0.63664014458574869</v>
      </c>
      <c r="Z11" s="26">
        <f>K11/Profitability!K13</f>
        <v>0.61436799571371159</v>
      </c>
      <c r="AA11" s="28">
        <f t="shared" si="17"/>
        <v>0.62118410600670648</v>
      </c>
    </row>
    <row r="12" spans="1:27" ht="17" x14ac:dyDescent="0.2">
      <c r="A12" s="6" t="s">
        <v>33</v>
      </c>
      <c r="B12" s="24"/>
      <c r="C12" s="24"/>
      <c r="D12" s="24"/>
      <c r="E12" s="24"/>
      <c r="F12" s="24"/>
      <c r="G12" s="24"/>
      <c r="H12" s="24"/>
      <c r="I12" s="24">
        <f>'[10]Statement of Operations'!B$14/1000</f>
        <v>417.91899999999998</v>
      </c>
      <c r="J12" s="24">
        <f>'[10]Statement of Operations'!C$14/1000</f>
        <v>466.13499999999999</v>
      </c>
      <c r="K12" s="24">
        <f>'[10]Statement of Operations'!D$14/1000</f>
        <v>548.35400000000004</v>
      </c>
      <c r="L12" s="4"/>
      <c r="M12" s="4"/>
      <c r="N12" s="8"/>
      <c r="O12" s="8"/>
      <c r="P12" s="8"/>
      <c r="Q12" s="8">
        <f t="shared" si="14"/>
        <v>0.11537163900181624</v>
      </c>
      <c r="R12" s="8">
        <f t="shared" si="15"/>
        <v>0.17638452379675429</v>
      </c>
      <c r="S12" s="28">
        <f t="shared" si="16"/>
        <v>0.14587808139928526</v>
      </c>
      <c r="T12" s="4"/>
      <c r="U12" s="26"/>
      <c r="V12" s="26"/>
      <c r="W12" s="26"/>
      <c r="X12" s="26">
        <f>I12/Profitability!I14</f>
        <v>0.83571765665744124</v>
      </c>
      <c r="Y12" s="26">
        <f>J12/Profitability!J14</f>
        <v>0.8263061517162158</v>
      </c>
      <c r="Z12" s="26">
        <f>K12/Profitability!K14</f>
        <v>0.75250994922464665</v>
      </c>
      <c r="AA12" s="28">
        <f t="shared" si="17"/>
        <v>0.80484458586610119</v>
      </c>
    </row>
    <row r="13" spans="1:27" ht="17" x14ac:dyDescent="0.2">
      <c r="A13" s="6" t="s">
        <v>36</v>
      </c>
      <c r="B13" s="24">
        <f>SUM('[11]Statement of Operations'!B$11:B$14)/1000</f>
        <v>1291.7650000000001</v>
      </c>
      <c r="C13" s="24">
        <f>SUM('[11]Statement of Operations'!C$11:C$14)/1000</f>
        <v>1297.135</v>
      </c>
      <c r="D13" s="24">
        <f>SUM('[11]Statement of Operations'!D$11:D$14)/1000</f>
        <v>1360.1969999999999</v>
      </c>
      <c r="E13" s="24">
        <f>SUM('[11]Statement of Operations'!E$11:E$14)/1000</f>
        <v>1436.134</v>
      </c>
      <c r="F13" s="24">
        <f>SUM('[11]Statement of Operations'!F$11:F$14)/1000</f>
        <v>1391.0920000000001</v>
      </c>
      <c r="G13" s="24">
        <f>SUM('[11]Statement of Operations'!G$11:G$14)/1000</f>
        <v>1328.711</v>
      </c>
      <c r="H13" s="24">
        <f>SUM('[11]Statement of Operations'!H$11:H$14)/1000</f>
        <v>1469.0340000000001</v>
      </c>
      <c r="I13" s="24">
        <f>SUM('[11]Statement of Operations'!I$11:I$14)/1000</f>
        <v>1639.0989999999999</v>
      </c>
      <c r="J13" s="24">
        <f>SUM('[11]Statement of Operations'!J$11:J$14)/1000</f>
        <v>1711.5640000000001</v>
      </c>
      <c r="K13" s="24">
        <f>SUM('[11]Statement of Operations'!K$11:K$14)/1000</f>
        <v>1714.124</v>
      </c>
      <c r="L13" s="4"/>
      <c r="M13" s="4"/>
      <c r="N13" s="8">
        <f t="shared" si="11"/>
        <v>-4.4843187941559615E-2</v>
      </c>
      <c r="O13" s="8">
        <f t="shared" si="12"/>
        <v>0.10560836780910221</v>
      </c>
      <c r="P13" s="8">
        <f t="shared" si="13"/>
        <v>0.11576655135279368</v>
      </c>
      <c r="Q13" s="8">
        <f t="shared" si="14"/>
        <v>4.4210264297641633E-2</v>
      </c>
      <c r="R13" s="8">
        <f t="shared" si="15"/>
        <v>1.495708019098263E-3</v>
      </c>
      <c r="S13" s="28">
        <f t="shared" si="16"/>
        <v>5.3824174556511194E-2</v>
      </c>
      <c r="T13" s="4"/>
      <c r="U13" s="26">
        <f>F13/Profitability!F15</f>
        <v>0.83656038261536825</v>
      </c>
      <c r="V13" s="26">
        <f>G13/Profitability!G15</f>
        <v>0.8205728832149245</v>
      </c>
      <c r="W13" s="26">
        <f>H13/Profitability!H15</f>
        <v>0.81017342494129285</v>
      </c>
      <c r="X13" s="26">
        <f>I13/Profitability!I15</f>
        <v>0.79243974026564223</v>
      </c>
      <c r="Y13" s="26">
        <f>J13/Profitability!J15</f>
        <v>0.81421509792812252</v>
      </c>
      <c r="Z13" s="26">
        <f>K13/Profitability!K15</f>
        <v>0.80260034939151459</v>
      </c>
      <c r="AA13" s="28">
        <f t="shared" si="17"/>
        <v>0.8030850625284266</v>
      </c>
    </row>
    <row r="14" spans="1:27" ht="17" x14ac:dyDescent="0.2">
      <c r="A14" s="5" t="s">
        <v>8</v>
      </c>
      <c r="B14" s="25">
        <f t="shared" ref="B14:E14" si="18">SUM(B3:B13)</f>
        <v>14555.911</v>
      </c>
      <c r="C14" s="25">
        <f t="shared" si="18"/>
        <v>22048.124</v>
      </c>
      <c r="D14" s="25">
        <f t="shared" si="18"/>
        <v>23964.364000000001</v>
      </c>
      <c r="E14" s="25">
        <f t="shared" si="18"/>
        <v>25910.951000000001</v>
      </c>
      <c r="F14" s="25">
        <f t="shared" ref="F14:J14" si="19">SUM(F3:F13)</f>
        <v>46292.042999999991</v>
      </c>
      <c r="G14" s="25">
        <f t="shared" si="19"/>
        <v>47936.40800000001</v>
      </c>
      <c r="H14" s="25">
        <f t="shared" si="19"/>
        <v>47065.307000000001</v>
      </c>
      <c r="I14" s="25">
        <f t="shared" si="19"/>
        <v>51639.028999999995</v>
      </c>
      <c r="J14" s="25">
        <f t="shared" si="19"/>
        <v>57617.994999999995</v>
      </c>
      <c r="K14" s="25">
        <f>SUM(K3:K13)</f>
        <v>62332.210000000006</v>
      </c>
      <c r="L14" s="4"/>
      <c r="M14" s="4"/>
      <c r="N14" s="8">
        <f t="shared" si="11"/>
        <v>3.5521547407186604E-2</v>
      </c>
      <c r="O14" s="8">
        <f t="shared" si="12"/>
        <v>-1.817201238774524E-2</v>
      </c>
      <c r="P14" s="8">
        <f t="shared" si="13"/>
        <v>9.7178203894431103E-2</v>
      </c>
      <c r="Q14" s="8">
        <f t="shared" si="14"/>
        <v>0.1157838579807533</v>
      </c>
      <c r="R14" s="8">
        <f t="shared" si="15"/>
        <v>8.1818449253570957E-2</v>
      </c>
      <c r="S14" s="28">
        <f t="shared" si="16"/>
        <v>9.8260170376251788E-2</v>
      </c>
      <c r="T14" s="4"/>
      <c r="U14" s="26">
        <f>F14/Profitability!F16</f>
        <v>0.57322453733571432</v>
      </c>
      <c r="V14" s="26">
        <f>G14/Profitability!G16</f>
        <v>0.56869648829704234</v>
      </c>
      <c r="W14" s="26">
        <f>H14/Profitability!H16</f>
        <v>0.56690340385542393</v>
      </c>
      <c r="X14" s="26">
        <f>I14/Profitability!I16</f>
        <v>0.56016055822546218</v>
      </c>
      <c r="Y14" s="26">
        <f>J14/Profitability!J16</f>
        <v>0.58161285969987087</v>
      </c>
      <c r="Z14" s="26">
        <f>K14/Profitability!K16</f>
        <v>0.58317233510568223</v>
      </c>
      <c r="AA14" s="28">
        <f t="shared" si="17"/>
        <v>0.57498191767700513</v>
      </c>
    </row>
    <row r="15" spans="1:27" ht="17" x14ac:dyDescent="0.2">
      <c r="A15" s="10" t="s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4"/>
      <c r="M15" s="4"/>
      <c r="N15" s="4"/>
      <c r="O15" s="4"/>
      <c r="P15" s="4"/>
      <c r="Q15" s="4"/>
      <c r="R15" s="4"/>
      <c r="S15" s="28"/>
      <c r="T15" s="4"/>
      <c r="U15" s="4"/>
      <c r="V15" s="4"/>
      <c r="W15" s="4"/>
      <c r="X15" s="4"/>
      <c r="Y15" s="4"/>
      <c r="Z15" s="4"/>
      <c r="AA15" s="4"/>
    </row>
    <row r="16" spans="1:27" ht="17" x14ac:dyDescent="0.2">
      <c r="A16" s="6" t="s">
        <v>14</v>
      </c>
      <c r="B16" s="24">
        <f t="shared" ref="B16:E16" si="20">B3</f>
        <v>1680.3209999999999</v>
      </c>
      <c r="C16" s="24">
        <f t="shared" si="20"/>
        <v>1990.884</v>
      </c>
      <c r="D16" s="24">
        <f t="shared" si="20"/>
        <v>2359.8220000000001</v>
      </c>
      <c r="E16" s="24">
        <f t="shared" si="20"/>
        <v>2990.5129999999999</v>
      </c>
      <c r="F16" s="24">
        <f>F3</f>
        <v>3326.9360000000001</v>
      </c>
      <c r="G16" s="24">
        <f t="shared" ref="G16:K16" si="21">G3</f>
        <v>3406.17</v>
      </c>
      <c r="H16" s="24">
        <f t="shared" si="21"/>
        <v>3720.1959999999999</v>
      </c>
      <c r="I16" s="24">
        <f t="shared" si="21"/>
        <v>3953.9929999999999</v>
      </c>
      <c r="J16" s="24">
        <f t="shared" si="21"/>
        <v>4443.8789999999999</v>
      </c>
      <c r="K16" s="24">
        <f t="shared" si="21"/>
        <v>4943.5529999999999</v>
      </c>
      <c r="L16" s="4"/>
      <c r="M16" s="4"/>
      <c r="N16" s="8">
        <f>G16/F16-1</f>
        <v>2.3815907489654231E-2</v>
      </c>
      <c r="O16" s="8">
        <f t="shared" ref="O16" si="22">H16/G16-1</f>
        <v>9.2193284539526799E-2</v>
      </c>
      <c r="P16" s="8">
        <f t="shared" ref="P16" si="23">I16/H16-1</f>
        <v>6.2845344707644468E-2</v>
      </c>
      <c r="Q16" s="8">
        <f t="shared" ref="Q16" si="24">J16/I16-1</f>
        <v>0.12389652687801922</v>
      </c>
      <c r="R16" s="8">
        <f t="shared" ref="R16" si="25">K16/J16-1</f>
        <v>0.1124409553005381</v>
      </c>
      <c r="S16" s="28">
        <f t="shared" si="16"/>
        <v>9.9727608962067268E-2</v>
      </c>
      <c r="T16" s="4"/>
      <c r="U16" s="26">
        <f>F16/Profitability!F18</f>
        <v>0.68385118191161365</v>
      </c>
      <c r="V16" s="26">
        <f>G16/Profitability!G18</f>
        <v>0.60972878805535402</v>
      </c>
      <c r="W16" s="26">
        <f>H16/Profitability!H18</f>
        <v>0.62162464738862888</v>
      </c>
      <c r="X16" s="26">
        <f>I16/Profitability!I18</f>
        <v>0.52391162599586782</v>
      </c>
      <c r="Y16" s="26">
        <f>J16/Profitability!J18</f>
        <v>0.5146564100093437</v>
      </c>
      <c r="Z16" s="26">
        <f>K16/Profitability!K18</f>
        <v>0.50078289858158453</v>
      </c>
      <c r="AA16" s="28">
        <f t="shared" si="17"/>
        <v>0.51311697819559865</v>
      </c>
    </row>
    <row r="17" spans="1:27" ht="17" x14ac:dyDescent="0.2">
      <c r="A17" s="6" t="s">
        <v>15</v>
      </c>
      <c r="B17" s="24">
        <f t="shared" ref="B17:E17" si="26">B4</f>
        <v>86.825000000000003</v>
      </c>
      <c r="C17" s="24">
        <f t="shared" si="26"/>
        <v>89.66</v>
      </c>
      <c r="D17" s="24">
        <f t="shared" si="26"/>
        <v>90.486999999999995</v>
      </c>
      <c r="E17" s="24">
        <f t="shared" si="26"/>
        <v>97.825000000000003</v>
      </c>
      <c r="F17" s="24">
        <f>F4</f>
        <v>100.532</v>
      </c>
      <c r="G17" s="24">
        <f t="shared" ref="G17:K17" si="27">G4</f>
        <v>74.72</v>
      </c>
      <c r="H17" s="24">
        <f t="shared" si="27"/>
        <v>29.815999999999999</v>
      </c>
      <c r="I17" s="24">
        <f t="shared" si="27"/>
        <v>42.981999999999999</v>
      </c>
      <c r="J17" s="24">
        <f t="shared" si="27"/>
        <v>53.616999999999997</v>
      </c>
      <c r="K17" s="24">
        <f t="shared" si="27"/>
        <v>55.789000000000001</v>
      </c>
      <c r="L17" s="4"/>
      <c r="M17" s="4"/>
      <c r="N17" s="8">
        <f t="shared" ref="N17:N31" si="28">G17/F17-1</f>
        <v>-0.25675406835634429</v>
      </c>
      <c r="O17" s="8">
        <f t="shared" ref="O17:O31" si="29">H17/G17-1</f>
        <v>-0.60096359743040684</v>
      </c>
      <c r="P17" s="8">
        <f t="shared" ref="P17:P31" si="30">I17/H17-1</f>
        <v>0.44157499329219219</v>
      </c>
      <c r="Q17" s="8">
        <f t="shared" ref="Q17:Q31" si="31">J17/I17-1</f>
        <v>0.24742915639104734</v>
      </c>
      <c r="R17" s="8">
        <f t="shared" ref="R17:R31" si="32">K17/J17-1</f>
        <v>4.0509539884738155E-2</v>
      </c>
      <c r="S17" s="28">
        <f t="shared" si="16"/>
        <v>0.24317122985599257</v>
      </c>
      <c r="T17" s="4"/>
      <c r="U17" s="26">
        <f>F17/Profitability!F19</f>
        <v>0.15952927660236219</v>
      </c>
      <c r="V17" s="26">
        <f>G17/Profitability!G19</f>
        <v>0.13801536418360918</v>
      </c>
      <c r="W17" s="26">
        <f>H17/Profitability!H19</f>
        <v>0.10331075345194989</v>
      </c>
      <c r="X17" s="26">
        <f>I17/Profitability!I19</f>
        <v>0.1079477816231095</v>
      </c>
      <c r="Y17" s="26">
        <f>J17/Profitability!J19</f>
        <v>0.11747062522320011</v>
      </c>
      <c r="Z17" s="26">
        <f>K17/Profitability!K19</f>
        <v>0.12025512909497717</v>
      </c>
      <c r="AA17" s="28">
        <f t="shared" si="17"/>
        <v>0.11522451198042892</v>
      </c>
    </row>
    <row r="18" spans="1:27" ht="17" x14ac:dyDescent="0.2">
      <c r="A18" s="6" t="s">
        <v>16</v>
      </c>
      <c r="B18" s="24"/>
      <c r="C18" s="24"/>
      <c r="D18" s="24"/>
      <c r="E18" s="24"/>
      <c r="F18" s="24">
        <f>F6</f>
        <v>10425</v>
      </c>
      <c r="G18" s="24">
        <f t="shared" ref="G18:K18" si="33">G6</f>
        <v>10186</v>
      </c>
      <c r="H18" s="24">
        <f t="shared" si="33"/>
        <v>9456</v>
      </c>
      <c r="I18" s="24">
        <f t="shared" si="33"/>
        <v>10642</v>
      </c>
      <c r="J18" s="24">
        <f t="shared" si="33"/>
        <v>9976</v>
      </c>
      <c r="K18" s="24">
        <f t="shared" si="33"/>
        <v>10931</v>
      </c>
      <c r="L18" s="4"/>
      <c r="M18" s="4"/>
      <c r="N18" s="8">
        <f t="shared" si="28"/>
        <v>-2.2925659472422089E-2</v>
      </c>
      <c r="O18" s="8">
        <f t="shared" si="29"/>
        <v>-7.1666993913214183E-2</v>
      </c>
      <c r="P18" s="8">
        <f t="shared" si="30"/>
        <v>0.12542301184433158</v>
      </c>
      <c r="Q18" s="8">
        <f t="shared" si="31"/>
        <v>-6.2582221386957348E-2</v>
      </c>
      <c r="R18" s="8">
        <f t="shared" si="32"/>
        <v>9.5729751403368146E-2</v>
      </c>
      <c r="S18" s="28">
        <f t="shared" si="16"/>
        <v>5.2856847286914123E-2</v>
      </c>
      <c r="T18" s="4"/>
      <c r="U18" s="26">
        <f>F18/Profitability!F23</f>
        <v>0.49040361275755012</v>
      </c>
      <c r="V18" s="26">
        <f>G18/Profitability!G23</f>
        <v>0.47676105780482098</v>
      </c>
      <c r="W18" s="26">
        <f>H18/Profitability!H23</f>
        <v>0.4922948771345273</v>
      </c>
      <c r="X18" s="26">
        <f>I18/Profitability!I23</f>
        <v>0.45825259441071353</v>
      </c>
      <c r="Y18" s="26">
        <f>J18/Profitability!J23</f>
        <v>0.43031531725833583</v>
      </c>
      <c r="Z18" s="26">
        <f>K18/Profitability!K23</f>
        <v>0.42876755314976073</v>
      </c>
      <c r="AA18" s="28">
        <f t="shared" si="17"/>
        <v>0.43911182160626999</v>
      </c>
    </row>
    <row r="19" spans="1:27" ht="17" x14ac:dyDescent="0.2">
      <c r="A19" s="6" t="s">
        <v>17</v>
      </c>
      <c r="B19" s="24"/>
      <c r="C19" s="24"/>
      <c r="D19" s="24"/>
      <c r="E19" s="24"/>
      <c r="F19" s="24">
        <f>[5]TH!B$10</f>
        <v>1688</v>
      </c>
      <c r="G19" s="24">
        <f>[5]TH!C$10</f>
        <v>1677</v>
      </c>
      <c r="H19" s="24">
        <f>[5]TH!D$10</f>
        <v>1484</v>
      </c>
      <c r="I19" s="24">
        <f>[5]TH!E$10</f>
        <v>1765</v>
      </c>
      <c r="J19" s="24">
        <f>[5]TH!F$10</f>
        <v>2131</v>
      </c>
      <c r="K19" s="24">
        <f>[5]TH!G$10</f>
        <v>2231</v>
      </c>
      <c r="L19" s="4"/>
      <c r="M19" s="4"/>
      <c r="N19" s="8">
        <f t="shared" si="28"/>
        <v>-6.5165876777251164E-3</v>
      </c>
      <c r="O19" s="8">
        <f t="shared" si="29"/>
        <v>-0.11508646392367328</v>
      </c>
      <c r="P19" s="8">
        <f t="shared" si="30"/>
        <v>0.18935309973045822</v>
      </c>
      <c r="Q19" s="8">
        <f t="shared" si="31"/>
        <v>0.20736543909348448</v>
      </c>
      <c r="R19" s="8">
        <f t="shared" si="32"/>
        <v>4.6926325668700031E-2</v>
      </c>
      <c r="S19" s="28">
        <f t="shared" si="16"/>
        <v>0.14788162149754758</v>
      </c>
      <c r="T19" s="4"/>
      <c r="U19" s="26">
        <f>F19/Profitability!F24</f>
        <v>0.51275820170109354</v>
      </c>
      <c r="V19" s="26">
        <f>G19/Profitability!G24</f>
        <v>0.50149521531100483</v>
      </c>
      <c r="W19" s="26">
        <f>H19/Profitability!H24</f>
        <v>0.52811387900355877</v>
      </c>
      <c r="X19" s="26">
        <f>I19/Profitability!I24</f>
        <v>0.52987090963674577</v>
      </c>
      <c r="Y19" s="26">
        <f>J19/Profitability!J24</f>
        <v>0.56049447659126772</v>
      </c>
      <c r="Z19" s="26">
        <f>K19/Profitability!K24</f>
        <v>0.56168177240684791</v>
      </c>
      <c r="AA19" s="28">
        <f t="shared" si="17"/>
        <v>0.55068238621162047</v>
      </c>
    </row>
    <row r="20" spans="1:27" ht="17" x14ac:dyDescent="0.2">
      <c r="A20" s="6" t="s">
        <v>20</v>
      </c>
      <c r="B20" s="24"/>
      <c r="C20" s="24"/>
      <c r="D20" s="24"/>
      <c r="E20" s="24"/>
      <c r="F20" s="24">
        <f>[5]BK!B$10</f>
        <v>67</v>
      </c>
      <c r="G20" s="24">
        <f>[5]BK!C$10</f>
        <v>71</v>
      </c>
      <c r="H20" s="24">
        <f>[5]BK!D$10</f>
        <v>65</v>
      </c>
      <c r="I20" s="24">
        <f>[5]BK!E$10</f>
        <v>66</v>
      </c>
      <c r="J20" s="24">
        <f>[5]BK!F$10</f>
        <v>74</v>
      </c>
      <c r="K20" s="24">
        <f>[5]BK!G$10</f>
        <v>90</v>
      </c>
      <c r="L20" s="4"/>
      <c r="M20" s="4"/>
      <c r="N20" s="8">
        <f t="shared" si="28"/>
        <v>5.9701492537313383E-2</v>
      </c>
      <c r="O20" s="8">
        <f t="shared" si="29"/>
        <v>-8.4507042253521125E-2</v>
      </c>
      <c r="P20" s="8">
        <f t="shared" si="30"/>
        <v>1.538461538461533E-2</v>
      </c>
      <c r="Q20" s="8">
        <f t="shared" si="31"/>
        <v>0.1212121212121211</v>
      </c>
      <c r="R20" s="8">
        <f t="shared" si="32"/>
        <v>0.21621621621621623</v>
      </c>
      <c r="S20" s="28">
        <f t="shared" si="16"/>
        <v>0.11760431760431755</v>
      </c>
      <c r="T20" s="4"/>
      <c r="U20" s="26">
        <f>F20/Profitability!F25</f>
        <v>4.0581465778316173E-2</v>
      </c>
      <c r="V20" s="26">
        <f>G20/Profitability!G25</f>
        <v>3.9954980303882948E-2</v>
      </c>
      <c r="W20" s="26">
        <f>H20/Profitability!H25</f>
        <v>4.0574282147315857E-2</v>
      </c>
      <c r="X20" s="26">
        <f>I20/Profitability!I25</f>
        <v>5.7093425605536333E-2</v>
      </c>
      <c r="Y20" s="26">
        <f>J20/Profitability!J25</f>
        <v>6.1872909698996656E-2</v>
      </c>
      <c r="Z20" s="26">
        <f>K20/Profitability!K25</f>
        <v>6.9337442218798145E-2</v>
      </c>
      <c r="AA20" s="28">
        <f t="shared" si="17"/>
        <v>6.2767925841110378E-2</v>
      </c>
    </row>
    <row r="21" spans="1:27" ht="17" x14ac:dyDescent="0.2">
      <c r="A21" s="6" t="s">
        <v>18</v>
      </c>
      <c r="B21" s="24"/>
      <c r="C21" s="24"/>
      <c r="D21" s="24"/>
      <c r="E21" s="24"/>
      <c r="F21" s="24">
        <f>[5]PLK!B$10</f>
        <v>63</v>
      </c>
      <c r="G21" s="24">
        <f>[5]PLK!C$10</f>
        <v>65</v>
      </c>
      <c r="H21" s="24">
        <f>[5]PLK!D$10</f>
        <v>61</v>
      </c>
      <c r="I21" s="24">
        <f>[5]PLK!E$10</f>
        <v>58</v>
      </c>
      <c r="J21" s="24">
        <f>[5]PLK!F$10</f>
        <v>72</v>
      </c>
      <c r="K21" s="24">
        <f>[5]PLK!G$10</f>
        <v>80</v>
      </c>
      <c r="L21" s="4"/>
      <c r="M21" s="4"/>
      <c r="N21" s="8">
        <f t="shared" si="28"/>
        <v>3.1746031746031855E-2</v>
      </c>
      <c r="O21" s="8">
        <f t="shared" si="29"/>
        <v>-6.1538461538461542E-2</v>
      </c>
      <c r="P21" s="8">
        <f t="shared" si="30"/>
        <v>-4.9180327868852514E-2</v>
      </c>
      <c r="Q21" s="8">
        <f t="shared" si="31"/>
        <v>0.24137931034482762</v>
      </c>
      <c r="R21" s="8">
        <f t="shared" si="32"/>
        <v>0.11111111111111116</v>
      </c>
      <c r="S21" s="28">
        <f t="shared" si="16"/>
        <v>0.10110336452902875</v>
      </c>
      <c r="T21" s="4"/>
      <c r="U21" s="26">
        <f>F21/Profitability!F26</f>
        <v>0.15217391304347827</v>
      </c>
      <c r="V21" s="26">
        <f>G21/Profitability!G26</f>
        <v>0.13485477178423236</v>
      </c>
      <c r="W21" s="26">
        <f>H21/Profitability!H26</f>
        <v>0.10971223021582734</v>
      </c>
      <c r="X21" s="26">
        <f>I21/Profitability!I26</f>
        <v>0.1037567084078712</v>
      </c>
      <c r="Y21" s="26">
        <f>J21/Profitability!J26</f>
        <v>0.11650485436893204</v>
      </c>
      <c r="Z21" s="26">
        <f>K21/Profitability!K26</f>
        <v>0.11560693641618497</v>
      </c>
      <c r="AA21" s="28">
        <f t="shared" si="17"/>
        <v>0.11195616639766275</v>
      </c>
    </row>
    <row r="22" spans="1:27" ht="17" x14ac:dyDescent="0.2">
      <c r="A22" s="6" t="s">
        <v>19</v>
      </c>
      <c r="B22" s="24"/>
      <c r="C22" s="24"/>
      <c r="D22" s="24"/>
      <c r="E22" s="24"/>
      <c r="F22" s="24">
        <f>[5]FHS!B$10</f>
        <v>0</v>
      </c>
      <c r="G22" s="24">
        <f>[5]FHS!C$10</f>
        <v>0</v>
      </c>
      <c r="H22" s="24">
        <f>[5]FHS!D$10</f>
        <v>0</v>
      </c>
      <c r="I22" s="24">
        <f>[5]FHS!E$10</f>
        <v>1</v>
      </c>
      <c r="J22" s="24">
        <f>[5]FHS!F$10</f>
        <v>35</v>
      </c>
      <c r="K22" s="24">
        <f>[5]FHS!G$10</f>
        <v>34</v>
      </c>
      <c r="L22" s="4"/>
      <c r="M22" s="4"/>
      <c r="N22" s="8"/>
      <c r="O22" s="8"/>
      <c r="P22" s="8"/>
      <c r="Q22" s="8">
        <f t="shared" si="31"/>
        <v>34</v>
      </c>
      <c r="R22" s="8">
        <f t="shared" si="32"/>
        <v>-2.8571428571428581E-2</v>
      </c>
      <c r="S22" s="28">
        <f t="shared" si="16"/>
        <v>16.985714285714284</v>
      </c>
      <c r="T22" s="4"/>
      <c r="U22" s="26"/>
      <c r="V22" s="26"/>
      <c r="W22" s="26"/>
      <c r="X22" s="26">
        <f>I22/Profitability!I27</f>
        <v>0.2</v>
      </c>
      <c r="Y22" s="26">
        <f>J22/Profitability!J27</f>
        <v>0.25362318840579712</v>
      </c>
      <c r="Z22" s="26">
        <f>K22/Profitability!K27</f>
        <v>0.18279569892473119</v>
      </c>
      <c r="AA22" s="28">
        <f t="shared" si="17"/>
        <v>0.21213962911017611</v>
      </c>
    </row>
    <row r="23" spans="1:27" ht="17" x14ac:dyDescent="0.2">
      <c r="A23" s="6" t="s">
        <v>21</v>
      </c>
      <c r="B23" s="24">
        <f t="shared" ref="B23:E23" si="34">B8</f>
        <v>11497</v>
      </c>
      <c r="C23" s="24">
        <f t="shared" si="34"/>
        <v>13198.6</v>
      </c>
      <c r="D23" s="24">
        <f t="shared" si="34"/>
        <v>14575.400000000001</v>
      </c>
      <c r="E23" s="24">
        <f t="shared" si="34"/>
        <v>15531.599999999999</v>
      </c>
      <c r="F23" s="24">
        <f>F8</f>
        <v>17402.900000000001</v>
      </c>
      <c r="G23" s="24">
        <f t="shared" ref="G23:K23" si="35">G8</f>
        <v>19020.5</v>
      </c>
      <c r="H23" s="24">
        <f t="shared" si="35"/>
        <v>18458.900000000001</v>
      </c>
      <c r="I23" s="24">
        <f t="shared" si="35"/>
        <v>20668.699999999997</v>
      </c>
      <c r="J23" s="24">
        <f t="shared" si="35"/>
        <v>23879.199999999997</v>
      </c>
      <c r="K23" s="24">
        <f t="shared" si="35"/>
        <v>26129.4</v>
      </c>
      <c r="L23" s="4"/>
      <c r="M23" s="4"/>
      <c r="N23" s="8">
        <f t="shared" si="28"/>
        <v>9.2950025570450734E-2</v>
      </c>
      <c r="O23" s="8">
        <f t="shared" si="29"/>
        <v>-2.9526037696169793E-2</v>
      </c>
      <c r="P23" s="8">
        <f t="shared" si="30"/>
        <v>0.11971460921289978</v>
      </c>
      <c r="Q23" s="8">
        <f t="shared" si="31"/>
        <v>0.15533149157905424</v>
      </c>
      <c r="R23" s="8">
        <f t="shared" si="32"/>
        <v>9.423263760930034E-2</v>
      </c>
      <c r="S23" s="28">
        <f t="shared" si="16"/>
        <v>0.12309291280041812</v>
      </c>
      <c r="T23" s="4"/>
      <c r="U23" s="26">
        <f>F23/Profitability!F28</f>
        <v>0.59346951302687223</v>
      </c>
      <c r="V23" s="26">
        <f>G23/Profitability!G28</f>
        <v>0.60853916048118761</v>
      </c>
      <c r="W23" s="26">
        <f>H23/Profitability!H28</f>
        <v>0.56518371096142073</v>
      </c>
      <c r="X23" s="26">
        <f>I23/Profitability!I28</f>
        <v>0.61090355570005606</v>
      </c>
      <c r="Y23" s="26">
        <f>J23/Profitability!J28</f>
        <v>0.66867911847889994</v>
      </c>
      <c r="Z23" s="26">
        <f>K23/Profitability!K28</f>
        <v>0.68692886061307112</v>
      </c>
      <c r="AA23" s="28">
        <f t="shared" si="17"/>
        <v>0.65550384493067571</v>
      </c>
    </row>
    <row r="24" spans="1:27" ht="17" x14ac:dyDescent="0.2">
      <c r="A24" s="6" t="s">
        <v>22</v>
      </c>
      <c r="B24" s="24"/>
      <c r="C24" s="24"/>
      <c r="D24" s="24"/>
      <c r="E24" s="24"/>
      <c r="F24" s="24">
        <f>SUM([7]KFC!B$13:B$14)+[7]KFC!B$11</f>
        <v>1334</v>
      </c>
      <c r="G24" s="24">
        <f>SUM([7]KFC!C$13:C$14)+[7]KFC!C$11</f>
        <v>1093</v>
      </c>
      <c r="H24" s="24">
        <f>SUM([7]KFC!D$13:D$14)+[7]KFC!D$11</f>
        <v>995</v>
      </c>
      <c r="I24" s="24">
        <f>SUM([7]KFC!E$13:E$14)+[7]KFC!E$11</f>
        <v>1191</v>
      </c>
      <c r="J24" s="24">
        <f>SUM([7]KFC!F$13:F$14)+[7]KFC!F$11</f>
        <v>1179</v>
      </c>
      <c r="K24" s="24">
        <f>SUM([7]KFC!G$13:G$14)+[7]KFC!G$11</f>
        <v>1137</v>
      </c>
      <c r="L24" s="4"/>
      <c r="M24" s="4"/>
      <c r="N24" s="8">
        <f t="shared" si="28"/>
        <v>-0.18065967016491757</v>
      </c>
      <c r="O24" s="8">
        <f t="shared" si="29"/>
        <v>-8.9661482159194894E-2</v>
      </c>
      <c r="P24" s="8">
        <f t="shared" si="30"/>
        <v>0.19698492462311568</v>
      </c>
      <c r="Q24" s="8">
        <f t="shared" si="31"/>
        <v>-1.0075566750629705E-2</v>
      </c>
      <c r="R24" s="8">
        <f t="shared" si="32"/>
        <v>-3.5623409669211181E-2</v>
      </c>
      <c r="S24" s="28">
        <f t="shared" si="16"/>
        <v>5.0428649401091596E-2</v>
      </c>
      <c r="T24" s="4"/>
      <c r="U24" s="26">
        <f>F24/Profitability!F29</f>
        <v>0.5045385779122542</v>
      </c>
      <c r="V24" s="26">
        <f>G24/Profitability!G29</f>
        <v>0.4387796065837013</v>
      </c>
      <c r="W24" s="26">
        <f>H24/Profitability!H29</f>
        <v>0.43794014084507044</v>
      </c>
      <c r="X24" s="26">
        <f>I24/Profitability!I29</f>
        <v>0.42642320085929108</v>
      </c>
      <c r="Y24" s="26">
        <f>J24/Profitability!J29</f>
        <v>0.4160197600564573</v>
      </c>
      <c r="Z24" s="26">
        <f>K24/Profitability!K29</f>
        <v>0.4017667844522968</v>
      </c>
      <c r="AA24" s="28">
        <f t="shared" si="17"/>
        <v>0.41473658178934841</v>
      </c>
    </row>
    <row r="25" spans="1:27" ht="17" x14ac:dyDescent="0.2">
      <c r="A25" s="6" t="s">
        <v>23</v>
      </c>
      <c r="B25" s="24"/>
      <c r="C25" s="24"/>
      <c r="D25" s="24"/>
      <c r="E25" s="24"/>
      <c r="F25" s="24">
        <f>'[7]Taco Bell'!B$11+SUM('[7]Taco Bell'!B$13:B$14)</f>
        <v>1249</v>
      </c>
      <c r="G25" s="24">
        <f>'[7]Taco Bell'!C$11+SUM('[7]Taco Bell'!C$13:C$14)</f>
        <v>1219</v>
      </c>
      <c r="H25" s="24">
        <f>'[7]Taco Bell'!D$11+SUM('[7]Taco Bell'!D$13:D$14)</f>
        <v>1174</v>
      </c>
      <c r="I25" s="24">
        <f>'[7]Taco Bell'!E$11+SUM('[7]Taco Bell'!E$13:E$14)</f>
        <v>1305</v>
      </c>
      <c r="J25" s="24">
        <f>'[7]Taco Bell'!F$11+SUM('[7]Taco Bell'!F$13:F$14)</f>
        <v>1398</v>
      </c>
      <c r="K25" s="24">
        <f>'[7]Taco Bell'!G$11+SUM('[7]Taco Bell'!G$13:G$14)</f>
        <v>1493</v>
      </c>
      <c r="L25" s="4"/>
      <c r="M25" s="4"/>
      <c r="N25" s="8">
        <f t="shared" si="28"/>
        <v>-2.4019215372297786E-2</v>
      </c>
      <c r="O25" s="8">
        <f t="shared" si="29"/>
        <v>-3.6915504511894959E-2</v>
      </c>
      <c r="P25" s="8">
        <f t="shared" si="30"/>
        <v>0.11158432708688237</v>
      </c>
      <c r="Q25" s="8">
        <f t="shared" si="31"/>
        <v>7.1264367816092022E-2</v>
      </c>
      <c r="R25" s="8">
        <f t="shared" si="32"/>
        <v>6.7954220314735414E-2</v>
      </c>
      <c r="S25" s="28">
        <f t="shared" si="16"/>
        <v>8.3600971739236599E-2</v>
      </c>
      <c r="T25" s="4"/>
      <c r="U25" s="26">
        <f>F25/Profitability!F30</f>
        <v>0.60749027237354081</v>
      </c>
      <c r="V25" s="26">
        <f>G25/Profitability!G30</f>
        <v>0.58633958633958638</v>
      </c>
      <c r="W25" s="26">
        <f>H25/Profitability!H30</f>
        <v>0.57804037419990151</v>
      </c>
      <c r="X25" s="26">
        <f>I25/Profitability!I30</f>
        <v>0.58310991957104563</v>
      </c>
      <c r="Y25" s="26">
        <f>J25/Profitability!J30</f>
        <v>0.57365613459171116</v>
      </c>
      <c r="Z25" s="26">
        <f>K25/Profitability!K30</f>
        <v>0.56531616811813712</v>
      </c>
      <c r="AA25" s="28">
        <f t="shared" si="17"/>
        <v>0.57402740742696456</v>
      </c>
    </row>
    <row r="26" spans="1:27" ht="17" x14ac:dyDescent="0.2">
      <c r="A26" s="6" t="s">
        <v>24</v>
      </c>
      <c r="B26" s="24"/>
      <c r="C26" s="24"/>
      <c r="D26" s="24"/>
      <c r="E26" s="24"/>
      <c r="F26" s="24">
        <f>'[7]Pizza Hut'!B$11+SUM('[7]Pizza Hut'!B$13:B$14)</f>
        <v>442</v>
      </c>
      <c r="G26" s="24">
        <f>'[7]Pizza Hut'!C$11+SUM('[7]Pizza Hut'!C$13:C$14)</f>
        <v>457</v>
      </c>
      <c r="H26" s="24">
        <f>'[7]Pizza Hut'!D$11+SUM('[7]Pizza Hut'!D$13:D$14)</f>
        <v>455</v>
      </c>
      <c r="I26" s="24">
        <f>'[7]Pizza Hut'!E$11+SUM('[7]Pizza Hut'!E$13:E$14)</f>
        <v>452</v>
      </c>
      <c r="J26" s="24">
        <f>'[7]Pizza Hut'!F$11+SUM('[7]Pizza Hut'!F$13:F$14)</f>
        <v>416</v>
      </c>
      <c r="K26" s="24">
        <f>'[7]Pizza Hut'!G$11+SUM('[7]Pizza Hut'!G$13:G$14)</f>
        <v>418</v>
      </c>
      <c r="L26" s="4"/>
      <c r="M26" s="4"/>
      <c r="N26" s="8">
        <f t="shared" si="28"/>
        <v>3.3936651583710509E-2</v>
      </c>
      <c r="O26" s="8">
        <f t="shared" si="29"/>
        <v>-4.3763676148796948E-3</v>
      </c>
      <c r="P26" s="8">
        <f t="shared" si="30"/>
        <v>-6.59340659340657E-3</v>
      </c>
      <c r="Q26" s="8">
        <f t="shared" si="31"/>
        <v>-7.9646017699115057E-2</v>
      </c>
      <c r="R26" s="8">
        <f t="shared" si="32"/>
        <v>4.8076923076922906E-3</v>
      </c>
      <c r="S26" s="28">
        <f t="shared" si="16"/>
        <v>-2.7143910661609778E-2</v>
      </c>
      <c r="T26" s="4"/>
      <c r="U26" s="26">
        <f>F26/Profitability!F31</f>
        <v>0.44736842105263158</v>
      </c>
      <c r="V26" s="26">
        <f>G26/Profitability!G31</f>
        <v>0.44498539435248297</v>
      </c>
      <c r="W26" s="26">
        <f>H26/Profitability!H31</f>
        <v>0.45409181636726548</v>
      </c>
      <c r="X26" s="26">
        <f>I26/Profitability!I31</f>
        <v>0.43968871595330739</v>
      </c>
      <c r="Y26" s="26">
        <f>J26/Profitability!J31</f>
        <v>0.41434262948207173</v>
      </c>
      <c r="Z26" s="26">
        <f>K26/Profitability!K31</f>
        <v>0.41020608439646711</v>
      </c>
      <c r="AA26" s="28">
        <f t="shared" si="17"/>
        <v>0.42141247661061537</v>
      </c>
    </row>
    <row r="27" spans="1:27" ht="17" x14ac:dyDescent="0.2">
      <c r="A27" s="6" t="s">
        <v>29</v>
      </c>
      <c r="B27" s="24">
        <f t="shared" ref="B27:E27" si="36">B10</f>
        <v>0</v>
      </c>
      <c r="C27" s="24">
        <f t="shared" si="36"/>
        <v>130.345</v>
      </c>
      <c r="D27" s="24">
        <f t="shared" si="36"/>
        <v>186.05799999999999</v>
      </c>
      <c r="E27" s="24">
        <f t="shared" si="36"/>
        <v>254.07900000000001</v>
      </c>
      <c r="F27" s="24">
        <f t="shared" ref="F27:K28" si="37">F10</f>
        <v>332.68299999999999</v>
      </c>
      <c r="G27" s="24">
        <f t="shared" si="37"/>
        <v>446.60700000000003</v>
      </c>
      <c r="H27" s="24">
        <f t="shared" si="37"/>
        <v>434.96100000000001</v>
      </c>
      <c r="I27" s="24">
        <f t="shared" si="37"/>
        <v>594.63599999999997</v>
      </c>
      <c r="J27" s="24">
        <f t="shared" si="37"/>
        <v>717.1</v>
      </c>
      <c r="K27" s="24">
        <f t="shared" si="37"/>
        <v>838.59</v>
      </c>
      <c r="L27" s="4"/>
      <c r="M27" s="4"/>
      <c r="N27" s="8">
        <f t="shared" si="28"/>
        <v>0.34244010063634156</v>
      </c>
      <c r="O27" s="8">
        <f t="shared" si="29"/>
        <v>-2.6076617697438742E-2</v>
      </c>
      <c r="P27" s="8">
        <f t="shared" si="30"/>
        <v>0.36710187809941575</v>
      </c>
      <c r="Q27" s="8">
        <f t="shared" si="31"/>
        <v>0.20594784035948055</v>
      </c>
      <c r="R27" s="8">
        <f t="shared" si="32"/>
        <v>0.16941849114488905</v>
      </c>
      <c r="S27" s="28">
        <f t="shared" si="16"/>
        <v>0.24748940320126178</v>
      </c>
      <c r="T27" s="4"/>
      <c r="U27" s="26">
        <f>F27/Profitability!F33</f>
        <v>0.72431037861139536</v>
      </c>
      <c r="V27" s="26">
        <f>G27/Profitability!G33</f>
        <v>0.75120727848899704</v>
      </c>
      <c r="W27" s="26">
        <f>H27/Profitability!H33</f>
        <v>0.8318769400249012</v>
      </c>
      <c r="X27" s="26">
        <f>I27/Profitability!I33</f>
        <v>0.80367836971021478</v>
      </c>
      <c r="Y27" s="26">
        <f>J27/Profitability!J33</f>
        <v>0.79634774999278168</v>
      </c>
      <c r="Z27" s="26">
        <f>K27/Profitability!K33</f>
        <v>0.7710938426696019</v>
      </c>
      <c r="AA27" s="28">
        <f t="shared" si="17"/>
        <v>0.7903733207908662</v>
      </c>
    </row>
    <row r="28" spans="1:27" ht="17" x14ac:dyDescent="0.2">
      <c r="A28" s="6" t="s">
        <v>39</v>
      </c>
      <c r="B28" s="24">
        <f t="shared" ref="B28:E28" si="38">B11</f>
        <v>0</v>
      </c>
      <c r="C28" s="24">
        <f t="shared" si="38"/>
        <v>0</v>
      </c>
      <c r="D28" s="24">
        <f t="shared" si="38"/>
        <v>0</v>
      </c>
      <c r="E28" s="24">
        <f t="shared" si="38"/>
        <v>0</v>
      </c>
      <c r="F28" s="24">
        <f t="shared" si="37"/>
        <v>2130.1999999999998</v>
      </c>
      <c r="G28" s="24">
        <f t="shared" si="37"/>
        <v>2216.2999999999997</v>
      </c>
      <c r="H28" s="24">
        <f t="shared" si="37"/>
        <v>2522.9</v>
      </c>
      <c r="I28" s="24">
        <f t="shared" si="37"/>
        <v>2669.1</v>
      </c>
      <c r="J28" s="24">
        <f t="shared" si="37"/>
        <v>2888.5</v>
      </c>
      <c r="K28" s="24">
        <f t="shared" si="37"/>
        <v>2752</v>
      </c>
      <c r="L28" s="4"/>
      <c r="M28" s="4"/>
      <c r="N28" s="8">
        <f t="shared" si="28"/>
        <v>4.0418740024410704E-2</v>
      </c>
      <c r="O28" s="8">
        <f t="shared" si="29"/>
        <v>0.13833867256237897</v>
      </c>
      <c r="P28" s="8">
        <f t="shared" si="30"/>
        <v>5.7949185461175556E-2</v>
      </c>
      <c r="Q28" s="8">
        <f t="shared" si="31"/>
        <v>8.2199992506837516E-2</v>
      </c>
      <c r="R28" s="8">
        <f t="shared" si="32"/>
        <v>-4.7256361433269833E-2</v>
      </c>
      <c r="S28" s="28">
        <f t="shared" si="16"/>
        <v>3.0964272178247747E-2</v>
      </c>
      <c r="T28" s="4"/>
      <c r="U28" s="26">
        <f>F28/Profitability!F34</f>
        <v>0.62054299697040316</v>
      </c>
      <c r="V28" s="26">
        <f>G28/Profitability!G34</f>
        <v>0.61244058804023427</v>
      </c>
      <c r="W28" s="26">
        <f>H28/Profitability!H34</f>
        <v>0.61272616879174258</v>
      </c>
      <c r="X28" s="26">
        <f>I28/Profitability!I34</f>
        <v>0.61254417772065917</v>
      </c>
      <c r="Y28" s="26">
        <f>J28/Profitability!J34</f>
        <v>0.63664014458574869</v>
      </c>
      <c r="Z28" s="26">
        <f>K28/Profitability!K34</f>
        <v>0.61436799571371159</v>
      </c>
      <c r="AA28" s="28">
        <f t="shared" si="17"/>
        <v>0.62118410600670648</v>
      </c>
    </row>
    <row r="29" spans="1:27" ht="17" x14ac:dyDescent="0.2">
      <c r="A29" s="6" t="s">
        <v>35</v>
      </c>
      <c r="B29" s="24"/>
      <c r="C29" s="24"/>
      <c r="D29" s="24"/>
      <c r="E29" s="24"/>
      <c r="F29" s="24"/>
      <c r="G29" s="24"/>
      <c r="H29" s="24"/>
      <c r="I29" s="24">
        <f>I12</f>
        <v>417.91899999999998</v>
      </c>
      <c r="J29" s="24">
        <f t="shared" ref="J29:K29" si="39">J12</f>
        <v>466.13499999999999</v>
      </c>
      <c r="K29" s="24">
        <f t="shared" si="39"/>
        <v>548.35400000000004</v>
      </c>
      <c r="L29" s="4"/>
      <c r="M29" s="4"/>
      <c r="N29" s="8"/>
      <c r="O29" s="8"/>
      <c r="P29" s="8"/>
      <c r="Q29" s="8">
        <f t="shared" si="31"/>
        <v>0.11537163900181624</v>
      </c>
      <c r="R29" s="8">
        <f t="shared" si="32"/>
        <v>0.17638452379675429</v>
      </c>
      <c r="S29" s="28">
        <f t="shared" si="16"/>
        <v>0.14587808139928526</v>
      </c>
      <c r="T29" s="4"/>
      <c r="U29" s="26"/>
      <c r="V29" s="26"/>
      <c r="W29" s="26"/>
      <c r="X29" s="26">
        <f>I29/Profitability!I35</f>
        <v>0.83571765665744124</v>
      </c>
      <c r="Y29" s="26">
        <f>J29/Profitability!J35</f>
        <v>0.8263061517162158</v>
      </c>
      <c r="Z29" s="26">
        <f>K29/Profitability!K35</f>
        <v>0.75250994922464665</v>
      </c>
      <c r="AA29" s="28">
        <f t="shared" si="17"/>
        <v>0.80484458586610119</v>
      </c>
    </row>
    <row r="30" spans="1:27" ht="17" x14ac:dyDescent="0.2">
      <c r="A30" s="6" t="s">
        <v>38</v>
      </c>
      <c r="B30" s="24">
        <f>SUM('[11]Statement of Operations'!B$11:B$14)/1000</f>
        <v>1291.7650000000001</v>
      </c>
      <c r="C30" s="24">
        <f>SUM('[11]Statement of Operations'!C$11:C$14)/1000</f>
        <v>1297.135</v>
      </c>
      <c r="D30" s="24">
        <f>SUM('[11]Statement of Operations'!D$11:D$14)/1000</f>
        <v>1360.1969999999999</v>
      </c>
      <c r="E30" s="24">
        <f>SUM('[11]Statement of Operations'!E$11:E$14)/1000</f>
        <v>1436.134</v>
      </c>
      <c r="F30" s="24">
        <f>SUM('[11]Statement of Operations'!F$11:F$14)/1000</f>
        <v>1391.0920000000001</v>
      </c>
      <c r="G30" s="24">
        <f>SUM('[11]Statement of Operations'!G$11:G$14)/1000</f>
        <v>1328.711</v>
      </c>
      <c r="H30" s="24">
        <f>SUM('[11]Statement of Operations'!H$11:H$14)/1000</f>
        <v>1469.0340000000001</v>
      </c>
      <c r="I30" s="24">
        <f>SUM('[11]Statement of Operations'!I$11:I$14)/1000</f>
        <v>1639.0989999999999</v>
      </c>
      <c r="J30" s="24">
        <f>SUM('[11]Statement of Operations'!J$11:J$14)/1000</f>
        <v>1711.5640000000001</v>
      </c>
      <c r="K30" s="24">
        <f>SUM('[11]Statement of Operations'!K$11:K$14)/1000</f>
        <v>1714.124</v>
      </c>
      <c r="L30" s="4"/>
      <c r="M30" s="4"/>
      <c r="N30" s="8">
        <f t="shared" si="28"/>
        <v>-4.4843187941559615E-2</v>
      </c>
      <c r="O30" s="8">
        <f t="shared" si="29"/>
        <v>0.10560836780910221</v>
      </c>
      <c r="P30" s="8">
        <f t="shared" si="30"/>
        <v>0.11576655135279368</v>
      </c>
      <c r="Q30" s="8">
        <f t="shared" si="31"/>
        <v>4.4210264297641633E-2</v>
      </c>
      <c r="R30" s="8">
        <f t="shared" si="32"/>
        <v>1.495708019098263E-3</v>
      </c>
      <c r="S30" s="28">
        <f t="shared" si="16"/>
        <v>5.3824174556511194E-2</v>
      </c>
      <c r="T30" s="4"/>
      <c r="U30" s="26">
        <f>F30/Profitability!F36</f>
        <v>0.83656038261536825</v>
      </c>
      <c r="V30" s="26">
        <f>G30/Profitability!G36</f>
        <v>0.8205728832149245</v>
      </c>
      <c r="W30" s="26">
        <f>H30/Profitability!H36</f>
        <v>0.81017342494129285</v>
      </c>
      <c r="X30" s="26">
        <f>I30/Profitability!I36</f>
        <v>0.79243974026564223</v>
      </c>
      <c r="Y30" s="26">
        <f>J30/Profitability!J36</f>
        <v>0.81421509792812252</v>
      </c>
      <c r="Z30" s="26">
        <f>K30/Profitability!K36</f>
        <v>0.80260034939151459</v>
      </c>
      <c r="AA30" s="28">
        <f t="shared" si="17"/>
        <v>0.8030850625284266</v>
      </c>
    </row>
    <row r="31" spans="1:27" ht="17" x14ac:dyDescent="0.2">
      <c r="A31" s="5" t="s">
        <v>8</v>
      </c>
      <c r="B31" s="25">
        <f t="shared" ref="B31:E31" si="40">SUM(B16:B30)</f>
        <v>14555.911</v>
      </c>
      <c r="C31" s="25">
        <f t="shared" si="40"/>
        <v>16706.624</v>
      </c>
      <c r="D31" s="25">
        <f t="shared" si="40"/>
        <v>18571.964000000004</v>
      </c>
      <c r="E31" s="25">
        <f t="shared" si="40"/>
        <v>20310.150999999998</v>
      </c>
      <c r="F31" s="25">
        <f t="shared" ref="F31:J31" si="41">SUM(F16:F30)</f>
        <v>39952.342999999993</v>
      </c>
      <c r="G31" s="25">
        <f t="shared" si="41"/>
        <v>41261.008000000009</v>
      </c>
      <c r="H31" s="25">
        <f t="shared" si="41"/>
        <v>40325.807000000001</v>
      </c>
      <c r="I31" s="25">
        <f t="shared" si="41"/>
        <v>45466.428999999996</v>
      </c>
      <c r="J31" s="25">
        <f t="shared" si="41"/>
        <v>49440.994999999995</v>
      </c>
      <c r="K31" s="25">
        <f>SUM(K16:K30)</f>
        <v>53395.81</v>
      </c>
      <c r="L31" s="4"/>
      <c r="M31" s="4"/>
      <c r="N31" s="8">
        <f t="shared" si="28"/>
        <v>3.2755650901375555E-2</v>
      </c>
      <c r="O31" s="8">
        <f t="shared" si="29"/>
        <v>-2.2665490867310067E-2</v>
      </c>
      <c r="P31" s="8">
        <f t="shared" si="30"/>
        <v>0.12747722568825459</v>
      </c>
      <c r="Q31" s="8">
        <f t="shared" si="31"/>
        <v>8.7417597718087769E-2</v>
      </c>
      <c r="R31" s="8">
        <f t="shared" si="32"/>
        <v>7.9990602939928657E-2</v>
      </c>
      <c r="S31" s="28">
        <f t="shared" si="16"/>
        <v>9.8295142115423673E-2</v>
      </c>
      <c r="T31" s="4"/>
      <c r="U31" s="26">
        <f>F31/Profitability!F37</f>
        <v>0.50918795210880652</v>
      </c>
      <c r="V31" s="26">
        <f>G31/Profitability!G37</f>
        <v>0.50392523866707339</v>
      </c>
      <c r="W31" s="26">
        <f>H31/Profitability!H37</f>
        <v>0.49828168235805531</v>
      </c>
      <c r="X31" s="26">
        <f>I31/Profitability!I37</f>
        <v>0.50683922730053377</v>
      </c>
      <c r="Y31" s="26">
        <f>J31/Profitability!J37</f>
        <v>0.51726143786767353</v>
      </c>
      <c r="Z31" s="26">
        <f>K31/Profitability!K37</f>
        <v>0.51782711729915021</v>
      </c>
      <c r="AA31" s="28">
        <f t="shared" si="17"/>
        <v>0.51397592748911924</v>
      </c>
    </row>
    <row r="32" spans="1:27" x14ac:dyDescent="0.2">
      <c r="A32" s="29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4"/>
      <c r="M32" s="4"/>
      <c r="N32" s="4"/>
      <c r="O32" s="4"/>
      <c r="P32" s="4"/>
      <c r="Q32" s="4"/>
      <c r="R32" s="4"/>
      <c r="S32" s="28"/>
      <c r="T32" s="4"/>
      <c r="U32" s="4"/>
      <c r="V32" s="4"/>
      <c r="W32" s="4"/>
      <c r="X32" s="4"/>
      <c r="Y32" s="4"/>
      <c r="Z32" s="4"/>
      <c r="AA32" s="4"/>
    </row>
    <row r="33" spans="1:27" ht="17" x14ac:dyDescent="0.2">
      <c r="A33" s="10" t="s">
        <v>49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4"/>
      <c r="M33" s="4"/>
      <c r="N33" s="4"/>
      <c r="O33" s="4"/>
      <c r="P33" s="4"/>
      <c r="Q33" s="4"/>
      <c r="R33" s="4"/>
      <c r="S33" s="28"/>
      <c r="T33" s="4"/>
      <c r="U33" s="4"/>
      <c r="V33" s="4"/>
      <c r="W33" s="4"/>
      <c r="X33" s="4"/>
      <c r="Y33" s="4"/>
      <c r="Z33" s="4"/>
      <c r="AA33" s="4"/>
    </row>
    <row r="34" spans="1:27" ht="17" x14ac:dyDescent="0.2">
      <c r="A34" s="2" t="s">
        <v>28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4"/>
      <c r="M34" s="4"/>
      <c r="N34" s="4"/>
      <c r="O34" s="4"/>
      <c r="P34" s="4"/>
      <c r="Q34" s="4"/>
      <c r="R34" s="4"/>
      <c r="S34" s="28"/>
      <c r="T34" s="4"/>
      <c r="U34" s="4"/>
      <c r="V34" s="4"/>
      <c r="W34" s="4"/>
      <c r="X34" s="4"/>
      <c r="Y34" s="4"/>
      <c r="Z34" s="4"/>
      <c r="AA34" s="4"/>
    </row>
    <row r="35" spans="1:27" ht="17" x14ac:dyDescent="0.2">
      <c r="A35" s="6" t="s">
        <v>1</v>
      </c>
      <c r="B35" s="24">
        <f>SUM('[1]Statement of Income'!H$39:H$42)/1000</f>
        <v>238.66499999999999</v>
      </c>
      <c r="C35" s="24">
        <f>SUM('[1]Statement of Income'!I$39:I$42)/1000</f>
        <v>284.47500000000002</v>
      </c>
      <c r="D35" s="24">
        <f>SUM('[1]Statement of Income'!J$39:J$42)/1000</f>
        <v>322.04899999999998</v>
      </c>
      <c r="E35" s="24">
        <f>SUM('[1]Statement of Income'!K$39:K$42)/1000</f>
        <v>406.95600000000002</v>
      </c>
      <c r="F35" s="24">
        <f>SUM('[1]Statement of Income'!L$39:L$42)/1000</f>
        <v>410.69799999999998</v>
      </c>
      <c r="G35" s="24">
        <f>SUM('[1]Statement of Income'!M$39:M$42)/1000</f>
        <v>463.64699999999999</v>
      </c>
      <c r="H35" s="24">
        <f>SUM('[1]Statement of Income'!N$39:N$42)/1000</f>
        <v>485.42200000000003</v>
      </c>
      <c r="I35" s="24">
        <f>SUM('[1]Statement of Income'!O$39:O$42)/1000</f>
        <v>652.62400000000002</v>
      </c>
      <c r="J35" s="24">
        <f>SUM('[1]Statement of Income'!P$39:P$42)/1000</f>
        <v>698.53200000000004</v>
      </c>
      <c r="K35" s="24">
        <f>SUM('[1]Statement of Income'!Q$39:Q$42)/1000</f>
        <v>750.91700000000003</v>
      </c>
      <c r="L35" s="4"/>
      <c r="M35" s="4"/>
      <c r="N35" s="8">
        <f>G35/F35-1</f>
        <v>0.12892441648121</v>
      </c>
      <c r="O35" s="8">
        <f t="shared" ref="O35:R35" si="42">H35/G35-1</f>
        <v>4.6964608851130407E-2</v>
      </c>
      <c r="P35" s="8">
        <f t="shared" si="42"/>
        <v>0.34444668762437636</v>
      </c>
      <c r="Q35" s="8">
        <f t="shared" si="42"/>
        <v>7.0343720120620734E-2</v>
      </c>
      <c r="R35" s="8">
        <f t="shared" si="42"/>
        <v>7.4992985289149328E-2</v>
      </c>
      <c r="S35" s="28">
        <f t="shared" si="16"/>
        <v>0.16326113101138215</v>
      </c>
      <c r="T35" s="4"/>
      <c r="U35" s="26">
        <f>F35/Profitability!F5</f>
        <v>8.4418910585817061E-2</v>
      </c>
      <c r="V35" s="26">
        <f>G35/Profitability!G5</f>
        <v>8.2996128612341943E-2</v>
      </c>
      <c r="W35" s="26">
        <f>H35/Profitability!H5</f>
        <v>8.1111392943996247E-2</v>
      </c>
      <c r="X35" s="26">
        <f>I35/Profitability!I5</f>
        <v>8.6473926737838755E-2</v>
      </c>
      <c r="Y35" s="26">
        <f>J35/Profitability!J5</f>
        <v>8.0898685899559133E-2</v>
      </c>
      <c r="Z35" s="26">
        <f>K35/Profitability!K5</f>
        <v>7.6068040911908441E-2</v>
      </c>
      <c r="AA35" s="28">
        <f t="shared" ref="AA35:AA63" si="43">AVERAGE(X35:Z35)</f>
        <v>8.1146884516435439E-2</v>
      </c>
    </row>
    <row r="36" spans="1:27" ht="17" x14ac:dyDescent="0.2">
      <c r="A36" s="6" t="s">
        <v>2</v>
      </c>
      <c r="B36" s="24">
        <f>SUM('[2]Statement of Operations'!D$11:D$13)/1000</f>
        <v>201.983</v>
      </c>
      <c r="C36" s="24">
        <f>SUM('[2]Statement of Operations'!E$11:E$13)/1000</f>
        <v>204.697</v>
      </c>
      <c r="D36" s="24">
        <f>SUM('[2]Statement of Operations'!F$11:F$13)/1000</f>
        <v>211.60900000000001</v>
      </c>
      <c r="E36" s="24">
        <f>SUM('[2]Statement of Operations'!G$11:G$13)/1000</f>
        <v>226.88800000000001</v>
      </c>
      <c r="F36" s="24">
        <f>SUM('[2]Statement of Operations'!H$11:H$13)/1000</f>
        <v>248.25</v>
      </c>
      <c r="G36" s="24">
        <f>SUM('[2]Statement of Operations'!I$11:I$13)/1000</f>
        <v>183.67599999999999</v>
      </c>
      <c r="H36" s="24">
        <f>SUM('[2]Statement of Operations'!J$11:J$13)/1000</f>
        <v>84.753</v>
      </c>
      <c r="I36" s="24">
        <f>SUM('[2]Statement of Operations'!K$11:K$13)/1000</f>
        <v>103.95</v>
      </c>
      <c r="J36" s="24">
        <f>SUM('[2]Statement of Operations'!L$11:L$13)/1000</f>
        <v>125.84099999999999</v>
      </c>
      <c r="K36" s="24">
        <f>SUM('[2]Statement of Operations'!M$11:M$13)/1000</f>
        <v>131.81</v>
      </c>
      <c r="L36" s="4"/>
      <c r="M36" s="4"/>
      <c r="N36" s="8">
        <f t="shared" ref="N36:N46" si="44">G36/F36-1</f>
        <v>-0.26011681772406858</v>
      </c>
      <c r="O36" s="8">
        <f t="shared" ref="O36:O46" si="45">H36/G36-1</f>
        <v>-0.53857335743374202</v>
      </c>
      <c r="P36" s="8">
        <f t="shared" ref="P36:P46" si="46">I36/H36-1</f>
        <v>0.2265052564510992</v>
      </c>
      <c r="Q36" s="8">
        <f t="shared" ref="Q36:Q46" si="47">J36/I36-1</f>
        <v>0.21059163059163044</v>
      </c>
      <c r="R36" s="8">
        <f t="shared" ref="R36:R46" si="48">K36/J36-1</f>
        <v>4.7432871639608853E-2</v>
      </c>
      <c r="S36" s="28">
        <f t="shared" si="16"/>
        <v>0.16150991956077951</v>
      </c>
      <c r="T36" s="4"/>
      <c r="U36" s="26">
        <f>F36/Profitability!F6</f>
        <v>0.3939356912877135</v>
      </c>
      <c r="V36" s="26">
        <f>G36/Profitability!G6</f>
        <v>0.33926806787725644</v>
      </c>
      <c r="W36" s="26">
        <f>H36/Profitability!H6</f>
        <v>0.29366435092947107</v>
      </c>
      <c r="X36" s="26">
        <f>I36/Profitability!I6</f>
        <v>0.261066769804156</v>
      </c>
      <c r="Y36" s="26">
        <f>J36/Profitability!J6</f>
        <v>0.27570772234016683</v>
      </c>
      <c r="Z36" s="26">
        <f>K36/Profitability!K6</f>
        <v>0.28412103758821527</v>
      </c>
      <c r="AA36" s="28">
        <f t="shared" si="43"/>
        <v>0.27363184324417938</v>
      </c>
    </row>
    <row r="37" spans="1:27" ht="17" x14ac:dyDescent="0.2">
      <c r="A37" s="6" t="s">
        <v>3</v>
      </c>
      <c r="B37" s="24">
        <f>SUM('[3]Results of Operations'!A$10:A$12)</f>
        <v>0</v>
      </c>
      <c r="C37" s="24">
        <f>SUM('[3]Results of Operations'!B$10:B$12)</f>
        <v>992.8</v>
      </c>
      <c r="D37" s="24">
        <f>SUM('[3]Results of Operations'!C$10:C$12)</f>
        <v>913.09999999999991</v>
      </c>
      <c r="E37" s="24">
        <f>SUM('[3]Results of Operations'!D$10:D$12)</f>
        <v>900.3</v>
      </c>
      <c r="F37" s="24">
        <f>SUM('[3]Results of Operations'!E$10:E$12)</f>
        <v>975.2</v>
      </c>
      <c r="G37" s="24">
        <f>SUM('[3]Results of Operations'!F$10:F$12)</f>
        <v>997.5</v>
      </c>
      <c r="H37" s="24">
        <f>SUM('[3]Results of Operations'!G$10:G$12)</f>
        <v>970.3</v>
      </c>
      <c r="I37" s="24">
        <f>SUM('[3]Results of Operations'!H$10:H$12)</f>
        <v>838.19999999999993</v>
      </c>
      <c r="J37" s="24">
        <f>SUM('[3]Results of Operations'!I$10:I$12)</f>
        <v>834.8</v>
      </c>
      <c r="K37" s="24">
        <f>SUM('[3]Results of Operations'!J$10:J$12)</f>
        <v>892.2</v>
      </c>
      <c r="L37" s="4"/>
      <c r="M37" s="4"/>
      <c r="N37" s="8">
        <f t="shared" si="44"/>
        <v>2.2867104183757148E-2</v>
      </c>
      <c r="O37" s="8">
        <f t="shared" si="45"/>
        <v>-2.7268170426065219E-2</v>
      </c>
      <c r="P37" s="8">
        <f t="shared" si="46"/>
        <v>-0.13614346078532413</v>
      </c>
      <c r="Q37" s="8">
        <f t="shared" si="47"/>
        <v>-4.0563111429252618E-3</v>
      </c>
      <c r="R37" s="8">
        <f t="shared" si="48"/>
        <v>6.8758984187829553E-2</v>
      </c>
      <c r="S37" s="28">
        <f t="shared" si="16"/>
        <v>-2.381359591347328E-2</v>
      </c>
      <c r="T37" s="4"/>
      <c r="U37" s="26">
        <f>F37/Profitability!F7</f>
        <v>0.12069157559931189</v>
      </c>
      <c r="V37" s="26">
        <f>G37/Profitability!G7</f>
        <v>0.11720953186689227</v>
      </c>
      <c r="W37" s="26">
        <f>H37/Profitability!H7</f>
        <v>0.1242874892723104</v>
      </c>
      <c r="X37" s="26">
        <f>I37/Profitability!I7</f>
        <v>0.11647975986992953</v>
      </c>
      <c r="Y37" s="26">
        <f>J37/Profitability!J7</f>
        <v>8.6687435098650054E-2</v>
      </c>
      <c r="Z37" s="26">
        <f>K37/Profitability!K7</f>
        <v>8.5070272125707974E-2</v>
      </c>
      <c r="AA37" s="28">
        <f t="shared" si="43"/>
        <v>9.6079155698095844E-2</v>
      </c>
    </row>
    <row r="38" spans="1:27" ht="17" x14ac:dyDescent="0.2">
      <c r="A38" s="6" t="s">
        <v>4</v>
      </c>
      <c r="B38" s="24"/>
      <c r="C38" s="24"/>
      <c r="D38" s="24"/>
      <c r="E38" s="24"/>
      <c r="F38" s="24">
        <f>'[4]Statement of Operations'!B$30+'[4]Statement of Operations'!B$32</f>
        <v>4185</v>
      </c>
      <c r="G38" s="24">
        <f>'[4]Statement of Operations'!C$30+'[4]Statement of Operations'!C$32</f>
        <v>4196</v>
      </c>
      <c r="H38" s="24">
        <f>'[4]Statement of Operations'!D$30+'[4]Statement of Operations'!D$32</f>
        <v>4791</v>
      </c>
      <c r="I38" s="24">
        <f>'[4]Statement of Operations'!E$30+'[4]Statement of Operations'!E$32</f>
        <v>5086</v>
      </c>
      <c r="J38" s="24">
        <f>'[4]Statement of Operations'!F$30+'[4]Statement of Operations'!F$32</f>
        <v>5354</v>
      </c>
      <c r="K38" s="24">
        <f>'[4]Statement of Operations'!G$30+'[4]Statement of Operations'!G$32</f>
        <v>5252</v>
      </c>
      <c r="L38" s="4"/>
      <c r="M38" s="4"/>
      <c r="N38" s="8">
        <f t="shared" si="44"/>
        <v>2.6284348864993312E-3</v>
      </c>
      <c r="O38" s="8">
        <f t="shared" si="45"/>
        <v>0.14180171591992363</v>
      </c>
      <c r="P38" s="8">
        <f t="shared" si="46"/>
        <v>6.1573784178668323E-2</v>
      </c>
      <c r="Q38" s="8">
        <f t="shared" si="47"/>
        <v>5.269366889500593E-2</v>
      </c>
      <c r="R38" s="8">
        <f t="shared" si="48"/>
        <v>-1.9051176690324967E-2</v>
      </c>
      <c r="S38" s="28">
        <f t="shared" si="16"/>
        <v>3.1738758794449762E-2</v>
      </c>
      <c r="T38" s="4"/>
      <c r="U38" s="26">
        <f>F38/Profitability!F8</f>
        <v>0.19686706181202371</v>
      </c>
      <c r="V38" s="26">
        <f>G38/Profitability!G8</f>
        <v>0.19639597472501755</v>
      </c>
      <c r="W38" s="26">
        <f>H38/Profitability!H8</f>
        <v>0.24942732194918785</v>
      </c>
      <c r="X38" s="26">
        <f>I38/Profitability!I8</f>
        <v>0.21900701890367308</v>
      </c>
      <c r="Y38" s="26">
        <f>J38/Profitability!J8</f>
        <v>0.23094508907389036</v>
      </c>
      <c r="Z38" s="26">
        <f>K38/Profitability!K8</f>
        <v>0.20600925708009729</v>
      </c>
      <c r="AA38" s="28">
        <f t="shared" si="43"/>
        <v>0.21865378835255359</v>
      </c>
    </row>
    <row r="39" spans="1:27" ht="17" x14ac:dyDescent="0.2">
      <c r="A39" s="6" t="s">
        <v>5</v>
      </c>
      <c r="B39" s="24"/>
      <c r="C39" s="24"/>
      <c r="D39" s="24"/>
      <c r="E39" s="24"/>
      <c r="F39" s="24">
        <f>SUM('[5]Statement of Operations'!B$12:B$14) + '[5]Statement of Operations'!B$16</f>
        <v>1644</v>
      </c>
      <c r="G39" s="24">
        <f>SUM('[5]Statement of Operations'!C$12:C$14) + '[5]Statement of Operations'!C$16</f>
        <v>1794</v>
      </c>
      <c r="H39" s="24">
        <f>SUM('[5]Statement of Operations'!D$12:D$14) + '[5]Statement of Operations'!D$16</f>
        <v>1897</v>
      </c>
      <c r="I39" s="24">
        <f>SUM('[5]Statement of Operations'!E$12:E$14) + '[5]Statement of Operations'!E$16</f>
        <v>1966</v>
      </c>
      <c r="J39" s="24">
        <f>SUM('[5]Statement of Operations'!F$12:F$14) + '[5]Statement of Operations'!F$16</f>
        <v>2251</v>
      </c>
      <c r="K39" s="24">
        <f>SUM('[5]Statement of Operations'!G$12:G$14) + '[5]Statement of Operations'!G$16</f>
        <v>2544</v>
      </c>
      <c r="L39" s="4"/>
      <c r="M39" s="4"/>
      <c r="N39" s="8">
        <f t="shared" si="44"/>
        <v>9.1240875912408814E-2</v>
      </c>
      <c r="O39" s="8">
        <f t="shared" si="45"/>
        <v>5.741360089186176E-2</v>
      </c>
      <c r="P39" s="8">
        <f t="shared" si="46"/>
        <v>3.6373220875066004E-2</v>
      </c>
      <c r="Q39" s="8">
        <f t="shared" si="47"/>
        <v>0.14496439471007116</v>
      </c>
      <c r="R39" s="8">
        <f t="shared" si="48"/>
        <v>0.13016437139049319</v>
      </c>
      <c r="S39" s="28">
        <f t="shared" si="16"/>
        <v>0.10383399565854345</v>
      </c>
      <c r="T39" s="4"/>
      <c r="U39" s="26">
        <f>F39/Profitability!F9</f>
        <v>0.30688818368489829</v>
      </c>
      <c r="V39" s="26">
        <f>G39/Profitability!G9</f>
        <v>0.32018561484918795</v>
      </c>
      <c r="W39" s="26">
        <f>H39/Profitability!H9</f>
        <v>0.38184380032206117</v>
      </c>
      <c r="X39" s="26">
        <f>I39/Profitability!I9</f>
        <v>0.34256839170587211</v>
      </c>
      <c r="Y39" s="26">
        <f>J39/Profitability!J9</f>
        <v>0.34604150653343579</v>
      </c>
      <c r="Z39" s="26">
        <f>K39/Profitability!K9</f>
        <v>0.36228994588436342</v>
      </c>
      <c r="AA39" s="28">
        <f t="shared" si="43"/>
        <v>0.35029994804122372</v>
      </c>
    </row>
    <row r="40" spans="1:27" ht="17" x14ac:dyDescent="0.2">
      <c r="A40" s="6" t="s">
        <v>6</v>
      </c>
      <c r="B40" s="24">
        <f>[6]SBUX!J$38+[6]SBUX!J$36</f>
        <v>709.88430466938212</v>
      </c>
      <c r="C40" s="24">
        <f>[6]SBUX!K$38+[6]SBUX!K$36</f>
        <v>894.19862019116533</v>
      </c>
      <c r="D40" s="24">
        <f>[6]SBUX!L$38+[6]SBUX!L$36</f>
        <v>981.10949032514759</v>
      </c>
      <c r="E40" s="24">
        <f>[6]SBUX!M$38+[6]SBUX!M$36</f>
        <v>1011.711227765903</v>
      </c>
      <c r="F40" s="24">
        <f>[6]SBUX!N$38+[6]SBUX!N$36</f>
        <v>1247.3061473153127</v>
      </c>
      <c r="G40" s="24">
        <f>[6]SBUX!O$38+[6]SBUX!O$36</f>
        <v>1377.5948958016702</v>
      </c>
      <c r="H40" s="24">
        <f>[6]SBUX!P$38+[6]SBUX!P$36</f>
        <v>1431.5645279158321</v>
      </c>
      <c r="I40" s="24">
        <f>[6]SBUX!Q$38+[6]SBUX!Q$36</f>
        <v>1441.9621200774243</v>
      </c>
      <c r="J40" s="24">
        <f>[6]SBUX!R$38+[6]SBUX!R$36</f>
        <v>1448.1544789267793</v>
      </c>
      <c r="K40" s="24">
        <f>[6]SBUX!S$38+[6]SBUX!S$36</f>
        <v>1362.8740101814251</v>
      </c>
      <c r="L40" s="4"/>
      <c r="M40" s="4"/>
      <c r="N40" s="8">
        <f t="shared" si="44"/>
        <v>0.10445611028759005</v>
      </c>
      <c r="O40" s="8">
        <f t="shared" si="45"/>
        <v>3.9176707375033537E-2</v>
      </c>
      <c r="P40" s="8">
        <f t="shared" si="46"/>
        <v>7.2630970933107442E-3</v>
      </c>
      <c r="Q40" s="8">
        <f t="shared" si="47"/>
        <v>4.2943977259419785E-3</v>
      </c>
      <c r="R40" s="8">
        <f t="shared" si="48"/>
        <v>-5.8889068801938338E-2</v>
      </c>
      <c r="S40" s="28">
        <f t="shared" si="16"/>
        <v>-1.5777191327561873E-2</v>
      </c>
      <c r="T40" s="4"/>
      <c r="U40" s="26">
        <f>F40/Profitability!F10</f>
        <v>4.2535334446709615E-2</v>
      </c>
      <c r="V40" s="26">
        <f>G40/Profitability!G10</f>
        <v>4.4074574347378749E-2</v>
      </c>
      <c r="W40" s="26">
        <f>H40/Profitability!H10</f>
        <v>4.3832349293197549E-2</v>
      </c>
      <c r="X40" s="26">
        <f>I40/Profitability!I10</f>
        <v>4.261998995292833E-2</v>
      </c>
      <c r="Y40" s="26">
        <f>J40/Profitability!J10</f>
        <v>4.055205619912014E-2</v>
      </c>
      <c r="Z40" s="26">
        <f>K40/Profitability!K10</f>
        <v>3.5829276254835299E-2</v>
      </c>
      <c r="AA40" s="28">
        <f t="shared" si="43"/>
        <v>3.9667107468961259E-2</v>
      </c>
    </row>
    <row r="41" spans="1:27" ht="17" x14ac:dyDescent="0.2">
      <c r="A41" s="6" t="s">
        <v>7</v>
      </c>
      <c r="B41" s="24"/>
      <c r="C41" s="24"/>
      <c r="D41" s="24"/>
      <c r="E41" s="24"/>
      <c r="F41" s="24">
        <f>'[7]Statement of Income'!B$11+'[7]Statement of Income'!B$15</f>
        <v>902</v>
      </c>
      <c r="G41" s="24">
        <f>'[7]Statement of Income'!C$11+'[7]Statement of Income'!C$15</f>
        <v>921</v>
      </c>
      <c r="H41" s="24">
        <f>'[7]Statement of Income'!D$11+'[7]Statement of Income'!D$15</f>
        <v>1218</v>
      </c>
      <c r="I41" s="24">
        <f>'[7]Statement of Income'!E$11+'[7]Statement of Income'!E$15</f>
        <v>1062</v>
      </c>
      <c r="J41" s="24">
        <f>'[7]Statement of Income'!F$11+'[7]Statement of Income'!F$15</f>
        <v>1147</v>
      </c>
      <c r="K41" s="24">
        <f>'[7]Statement of Income'!G$11+'[7]Statement of Income'!G$15</f>
        <v>1207</v>
      </c>
      <c r="L41" s="4"/>
      <c r="M41" s="4"/>
      <c r="N41" s="8">
        <f t="shared" si="44"/>
        <v>2.1064301552106368E-2</v>
      </c>
      <c r="O41" s="8">
        <f t="shared" si="45"/>
        <v>0.32247557003257321</v>
      </c>
      <c r="P41" s="8">
        <f t="shared" si="46"/>
        <v>-0.1280788177339901</v>
      </c>
      <c r="Q41" s="8">
        <f t="shared" si="47"/>
        <v>8.0037664783427553E-2</v>
      </c>
      <c r="R41" s="8">
        <f t="shared" si="48"/>
        <v>5.2310374891020084E-2</v>
      </c>
      <c r="S41" s="28">
        <f t="shared" si="16"/>
        <v>1.4230739801525116E-3</v>
      </c>
      <c r="T41" s="4"/>
      <c r="U41" s="26">
        <f>F41/Profitability!F11</f>
        <v>0.15857946554149085</v>
      </c>
      <c r="V41" s="26">
        <f>G41/Profitability!G11</f>
        <v>0.16455243880650347</v>
      </c>
      <c r="W41" s="26">
        <f>H41/Profitability!H11</f>
        <v>0.21549893842887474</v>
      </c>
      <c r="X41" s="26">
        <f>I41/Profitability!I11</f>
        <v>0.16130012150668288</v>
      </c>
      <c r="Y41" s="26">
        <f>J41/Profitability!J11</f>
        <v>0.16764104063139432</v>
      </c>
      <c r="Z41" s="26">
        <f>K41/Profitability!K11</f>
        <v>0.17057659694742794</v>
      </c>
      <c r="AA41" s="28">
        <f t="shared" si="43"/>
        <v>0.1665059196951684</v>
      </c>
    </row>
    <row r="42" spans="1:27" ht="17" x14ac:dyDescent="0.2">
      <c r="A42" s="6" t="s">
        <v>34</v>
      </c>
      <c r="B42" s="24"/>
      <c r="C42" s="24"/>
      <c r="D42" s="24"/>
      <c r="E42" s="24"/>
      <c r="F42" s="24">
        <f>('[8]Statement of Income'!C$15+'[8]Statement of Income'!C$13)/1000</f>
        <v>43.255000000000003</v>
      </c>
      <c r="G42" s="24">
        <f>('[8]Statement of Income'!D$15+'[8]Statement of Income'!D$13)/1000</f>
        <v>40.076000000000001</v>
      </c>
      <c r="H42" s="24">
        <f>('[8]Statement of Income'!E$15+'[8]Statement of Income'!E$13)/1000</f>
        <v>48.606000000000002</v>
      </c>
      <c r="I42" s="24">
        <f>('[8]Statement of Income'!F$15+'[8]Statement of Income'!F$13)/1000</f>
        <v>64.998999999999995</v>
      </c>
      <c r="J42" s="24">
        <f>('[8]Statement of Income'!G$15+'[8]Statement of Income'!G$13)/1000</f>
        <v>80.483000000000004</v>
      </c>
      <c r="K42" s="24">
        <f>('[8]Statement of Income'!H$15+'[8]Statement of Income'!H$13)/1000</f>
        <v>72.83</v>
      </c>
      <c r="L42" s="4"/>
      <c r="M42" s="4"/>
      <c r="N42" s="8">
        <f t="shared" si="44"/>
        <v>-7.3494393711709627E-2</v>
      </c>
      <c r="O42" s="8">
        <f t="shared" si="45"/>
        <v>0.21284559337259212</v>
      </c>
      <c r="P42" s="8">
        <f t="shared" si="46"/>
        <v>0.33726288935522342</v>
      </c>
      <c r="Q42" s="8">
        <f t="shared" si="47"/>
        <v>0.23821904952383899</v>
      </c>
      <c r="R42" s="8">
        <f t="shared" si="48"/>
        <v>-9.5088403762285223E-2</v>
      </c>
      <c r="S42" s="28">
        <f t="shared" si="16"/>
        <v>0.16013117837225907</v>
      </c>
      <c r="T42" s="4"/>
      <c r="U42" s="26">
        <f>F42/Profitability!F12</f>
        <v>9.417386949990203E-2</v>
      </c>
      <c r="V42" s="26">
        <f>G42/Profitability!G12</f>
        <v>6.7409115604379344E-2</v>
      </c>
      <c r="W42" s="26">
        <f>H42/Profitability!H12</f>
        <v>9.2960542547148708E-2</v>
      </c>
      <c r="X42" s="26">
        <f>I42/Profitability!I12</f>
        <v>8.7849189004356024E-2</v>
      </c>
      <c r="Y42" s="26">
        <f>J42/Profitability!J12</f>
        <v>8.9377291817973853E-2</v>
      </c>
      <c r="Z42" s="26">
        <f>K42/Profitability!K12</f>
        <v>6.6968082807602164E-2</v>
      </c>
      <c r="AA42" s="28">
        <f t="shared" si="43"/>
        <v>8.1398187876644018E-2</v>
      </c>
    </row>
    <row r="43" spans="1:27" ht="17" x14ac:dyDescent="0.2">
      <c r="A43" s="6" t="s">
        <v>31</v>
      </c>
      <c r="B43" s="24"/>
      <c r="C43" s="24"/>
      <c r="D43" s="24"/>
      <c r="E43" s="24"/>
      <c r="F43" s="24">
        <f>SUM('[9]Statement of Income'!B$17:B$19)</f>
        <v>731</v>
      </c>
      <c r="G43" s="24">
        <f>SUM('[9]Statement of Income'!C$17:C$19)</f>
        <v>773.1</v>
      </c>
      <c r="H43" s="24">
        <f>SUM('[9]Statement of Income'!D$17:D$19)</f>
        <v>868.8</v>
      </c>
      <c r="I43" s="24">
        <f>SUM('[9]Statement of Income'!E$17:E$19)</f>
        <v>907.8</v>
      </c>
      <c r="J43" s="24">
        <f>SUM('[9]Statement of Income'!F$17:F$19)</f>
        <v>880.59999999999991</v>
      </c>
      <c r="K43" s="24">
        <f>SUM('[9]Statement of Income'!G$17:G$19)</f>
        <v>907.9</v>
      </c>
      <c r="L43" s="4"/>
      <c r="M43" s="4"/>
      <c r="N43" s="8">
        <f t="shared" si="44"/>
        <v>5.7592339261286041E-2</v>
      </c>
      <c r="O43" s="8">
        <f t="shared" si="45"/>
        <v>0.12378734963135418</v>
      </c>
      <c r="P43" s="8">
        <f t="shared" si="46"/>
        <v>4.4889502762430977E-2</v>
      </c>
      <c r="Q43" s="8">
        <f t="shared" si="47"/>
        <v>-2.9962546816479474E-2</v>
      </c>
      <c r="R43" s="8">
        <f t="shared" si="48"/>
        <v>3.1001589825119247E-2</v>
      </c>
      <c r="S43" s="28">
        <f t="shared" si="16"/>
        <v>1.5309515257023584E-2</v>
      </c>
      <c r="T43" s="4"/>
      <c r="U43" s="26">
        <f>F43/Profitability!F13</f>
        <v>0.2129457003029597</v>
      </c>
      <c r="V43" s="26">
        <f>G43/Profitability!G13</f>
        <v>0.21363435392947938</v>
      </c>
      <c r="W43" s="26">
        <f>H43/Profitability!H13</f>
        <v>0.21100182149362476</v>
      </c>
      <c r="X43" s="26">
        <f>I43/Profitability!I13</f>
        <v>0.20833524578877313</v>
      </c>
      <c r="Y43" s="26">
        <f>J43/Profitability!J13</f>
        <v>0.1940887350951048</v>
      </c>
      <c r="Z43" s="26">
        <f>K43/Profitability!K13</f>
        <v>0.20268339509755767</v>
      </c>
      <c r="AA43" s="28">
        <f t="shared" si="43"/>
        <v>0.20170245866047853</v>
      </c>
    </row>
    <row r="44" spans="1:27" ht="17" x14ac:dyDescent="0.2">
      <c r="A44" s="6" t="s">
        <v>33</v>
      </c>
      <c r="B44" s="24"/>
      <c r="C44" s="24"/>
      <c r="D44" s="24"/>
      <c r="E44" s="24"/>
      <c r="F44" s="24"/>
      <c r="G44" s="24"/>
      <c r="H44" s="24"/>
      <c r="I44" s="24">
        <f>(SUM('[10]Statement of Operations'!B$23:B$24)+'[10]Statement of Operations'!$B$21)/1000</f>
        <v>79.825000000000003</v>
      </c>
      <c r="J44" s="24">
        <f>(SUM('[10]Statement of Operations'!C$23:C$24)+'[10]Statement of Operations'!$B$21)/1000</f>
        <v>90.028000000000006</v>
      </c>
      <c r="K44" s="24">
        <f>(SUM('[10]Statement of Operations'!D$23:D$24)+'[10]Statement of Operations'!$B$21)/1000</f>
        <v>86.59</v>
      </c>
      <c r="L44" s="4"/>
      <c r="M44" s="4"/>
      <c r="N44" s="8"/>
      <c r="O44" s="8"/>
      <c r="P44" s="8"/>
      <c r="Q44" s="8">
        <f t="shared" si="47"/>
        <v>0.1278170999060444</v>
      </c>
      <c r="R44" s="8">
        <f t="shared" si="48"/>
        <v>-3.8188119251788333E-2</v>
      </c>
      <c r="S44" s="28">
        <f t="shared" si="16"/>
        <v>4.4814490327128031E-2</v>
      </c>
      <c r="T44" s="4"/>
      <c r="U44" s="26"/>
      <c r="V44" s="26"/>
      <c r="W44" s="26"/>
      <c r="X44" s="26">
        <f>I44/Profitability!I14</f>
        <v>0.15962701371002577</v>
      </c>
      <c r="Y44" s="26">
        <f>J44/Profitability!J14</f>
        <v>0.15959044102396835</v>
      </c>
      <c r="Z44" s="26">
        <f>K44/Profitability!K14</f>
        <v>0.11882804995196926</v>
      </c>
      <c r="AA44" s="28">
        <f t="shared" si="43"/>
        <v>0.14601516822865446</v>
      </c>
    </row>
    <row r="45" spans="1:27" ht="17" x14ac:dyDescent="0.2">
      <c r="A45" s="6" t="s">
        <v>36</v>
      </c>
      <c r="B45" s="24"/>
      <c r="C45" s="24">
        <f>('[11]Statement of Operations'!B$15)/1000</f>
        <v>147.81</v>
      </c>
      <c r="D45" s="24">
        <f>('[11]Statement of Operations'!C$15)/1000</f>
        <v>163.626</v>
      </c>
      <c r="E45" s="24">
        <f>('[11]Statement of Operations'!D$15)/1000</f>
        <v>158.13499999999999</v>
      </c>
      <c r="F45" s="24">
        <f>('[11]Statement of Operations'!E$15)/1000</f>
        <v>150.86600000000001</v>
      </c>
      <c r="G45" s="24">
        <f>('[11]Statement of Operations'!F$15)/1000</f>
        <v>193.53399999999999</v>
      </c>
      <c r="H45" s="24">
        <f>('[11]Statement of Operations'!G$15)/1000</f>
        <v>223.46</v>
      </c>
      <c r="I45" s="24">
        <f>('[11]Statement of Operations'!H$15)/1000</f>
        <v>204.24199999999999</v>
      </c>
      <c r="J45" s="24">
        <f>('[11]Statement of Operations'!I$15)/1000</f>
        <v>212.26499999999999</v>
      </c>
      <c r="K45" s="24">
        <f>('[11]Statement of Operations'!J$15)/1000</f>
        <v>217.41200000000001</v>
      </c>
      <c r="L45" s="4"/>
      <c r="M45" s="4"/>
      <c r="N45" s="8">
        <f t="shared" si="44"/>
        <v>0.28282051621969151</v>
      </c>
      <c r="O45" s="8">
        <f t="shared" si="45"/>
        <v>0.15462916076761712</v>
      </c>
      <c r="P45" s="8">
        <f t="shared" si="46"/>
        <v>-8.6001969032489134E-2</v>
      </c>
      <c r="Q45" s="8">
        <f t="shared" si="47"/>
        <v>3.9281832336150346E-2</v>
      </c>
      <c r="R45" s="8">
        <f t="shared" si="48"/>
        <v>2.4247991896921395E-2</v>
      </c>
      <c r="S45" s="28">
        <f t="shared" si="16"/>
        <v>-7.4907149331391309E-3</v>
      </c>
      <c r="T45" s="4"/>
      <c r="U45" s="26">
        <f>F45/Profitability!F15</f>
        <v>9.0726219893184745E-2</v>
      </c>
      <c r="V45" s="26">
        <f>G45/Profitability!G15</f>
        <v>0.11952091341165774</v>
      </c>
      <c r="W45" s="26">
        <f>H45/Profitability!H15</f>
        <v>0.12323836857239608</v>
      </c>
      <c r="X45" s="26">
        <f>I45/Profitability!I15</f>
        <v>9.8742954166487387E-2</v>
      </c>
      <c r="Y45" s="26">
        <f>J45/Profitability!J15</f>
        <v>0.10097744972534646</v>
      </c>
      <c r="Z45" s="26">
        <f>K45/Profitability!K15</f>
        <v>0.10179832215283607</v>
      </c>
      <c r="AA45" s="28">
        <f t="shared" si="43"/>
        <v>0.10050624201488996</v>
      </c>
    </row>
    <row r="46" spans="1:27" ht="17" x14ac:dyDescent="0.2">
      <c r="A46" s="5" t="s">
        <v>8</v>
      </c>
      <c r="B46" s="25">
        <f t="shared" ref="B46:E46" si="49">SUM(B35:B45)</f>
        <v>1150.532304669382</v>
      </c>
      <c r="C46" s="25">
        <f t="shared" si="49"/>
        <v>2523.9806201911651</v>
      </c>
      <c r="D46" s="25">
        <f t="shared" si="49"/>
        <v>2591.4934903251478</v>
      </c>
      <c r="E46" s="25">
        <f t="shared" si="49"/>
        <v>2703.990227765903</v>
      </c>
      <c r="F46" s="25">
        <f t="shared" ref="F46:J46" si="50">SUM(F35:F45)</f>
        <v>10537.575147315312</v>
      </c>
      <c r="G46" s="25">
        <f t="shared" si="50"/>
        <v>10940.12789580167</v>
      </c>
      <c r="H46" s="25">
        <f t="shared" si="50"/>
        <v>12018.905527915831</v>
      </c>
      <c r="I46" s="25">
        <f t="shared" si="50"/>
        <v>12407.602120077423</v>
      </c>
      <c r="J46" s="25">
        <f t="shared" si="50"/>
        <v>13122.703478926778</v>
      </c>
      <c r="K46" s="25">
        <f>SUM(K35:K45)</f>
        <v>13425.533010181425</v>
      </c>
      <c r="L46" s="4"/>
      <c r="M46" s="4"/>
      <c r="N46" s="8">
        <f t="shared" si="44"/>
        <v>3.8201649132620252E-2</v>
      </c>
      <c r="O46" s="8">
        <f t="shared" si="45"/>
        <v>9.8607405908677448E-2</v>
      </c>
      <c r="P46" s="8">
        <f t="shared" si="46"/>
        <v>3.2340431602426944E-2</v>
      </c>
      <c r="Q46" s="8">
        <f t="shared" si="47"/>
        <v>5.7634130424944141E-2</v>
      </c>
      <c r="R46" s="8">
        <f t="shared" si="48"/>
        <v>2.3076764002246009E-2</v>
      </c>
      <c r="S46" s="28">
        <f t="shared" si="16"/>
        <v>3.7683775343205696E-2</v>
      </c>
      <c r="T46" s="4"/>
      <c r="U46" s="26">
        <f>F46/Profitability!F16</f>
        <v>0.1304845551634034</v>
      </c>
      <c r="V46" s="26">
        <f>G46/Profitability!G16</f>
        <v>0.12978887187089444</v>
      </c>
      <c r="W46" s="26">
        <f>H46/Profitability!H16</f>
        <v>0.14476817190191185</v>
      </c>
      <c r="X46" s="26">
        <f>I46/Profitability!I16</f>
        <v>0.13459295157974405</v>
      </c>
      <c r="Y46" s="26">
        <f>J46/Profitability!J16</f>
        <v>0.13246439931434698</v>
      </c>
      <c r="Z46" s="26">
        <f>K46/Profitability!K16</f>
        <v>0.1256076021624441</v>
      </c>
      <c r="AA46" s="28">
        <f t="shared" si="43"/>
        <v>0.13088831768551171</v>
      </c>
    </row>
    <row r="47" spans="1:27" ht="17" x14ac:dyDescent="0.2">
      <c r="A47" s="10" t="s">
        <v>10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4"/>
      <c r="M47" s="4"/>
      <c r="N47" s="4"/>
      <c r="O47" s="4"/>
      <c r="P47" s="4"/>
      <c r="Q47" s="4"/>
      <c r="R47" s="4"/>
      <c r="S47" s="28"/>
      <c r="T47" s="4"/>
      <c r="U47" s="4"/>
      <c r="V47" s="4"/>
      <c r="W47" s="4"/>
      <c r="X47" s="4"/>
      <c r="Y47" s="4"/>
      <c r="Z47" s="4"/>
      <c r="AA47" s="4"/>
    </row>
    <row r="48" spans="1:27" ht="17" x14ac:dyDescent="0.2">
      <c r="A48" s="6" t="s">
        <v>14</v>
      </c>
      <c r="B48" s="24">
        <f t="shared" ref="B48:E48" si="51">B35</f>
        <v>238.66499999999999</v>
      </c>
      <c r="C48" s="24">
        <f t="shared" si="51"/>
        <v>284.47500000000002</v>
      </c>
      <c r="D48" s="24">
        <f t="shared" si="51"/>
        <v>322.04899999999998</v>
      </c>
      <c r="E48" s="24">
        <f t="shared" si="51"/>
        <v>406.95600000000002</v>
      </c>
      <c r="F48" s="24">
        <f>F35</f>
        <v>410.69799999999998</v>
      </c>
      <c r="G48" s="24">
        <f t="shared" ref="G48:K48" si="52">G35</f>
        <v>463.64699999999999</v>
      </c>
      <c r="H48" s="24">
        <f t="shared" si="52"/>
        <v>485.42200000000003</v>
      </c>
      <c r="I48" s="24">
        <f t="shared" si="52"/>
        <v>652.62400000000002</v>
      </c>
      <c r="J48" s="24">
        <f t="shared" si="52"/>
        <v>698.53200000000004</v>
      </c>
      <c r="K48" s="24">
        <f t="shared" si="52"/>
        <v>750.91700000000003</v>
      </c>
      <c r="L48" s="4"/>
      <c r="M48" s="4"/>
      <c r="N48" s="8">
        <f t="shared" ref="N48" si="53">G48/F48-1</f>
        <v>0.12892441648121</v>
      </c>
      <c r="O48" s="8">
        <f t="shared" ref="O48" si="54">H48/G48-1</f>
        <v>4.6964608851130407E-2</v>
      </c>
      <c r="P48" s="8">
        <f t="shared" ref="P48" si="55">I48/H48-1</f>
        <v>0.34444668762437636</v>
      </c>
      <c r="Q48" s="8">
        <f t="shared" ref="Q48" si="56">J48/I48-1</f>
        <v>7.0343720120620734E-2</v>
      </c>
      <c r="R48" s="8">
        <f t="shared" ref="R48" si="57">K48/J48-1</f>
        <v>7.4992985289149328E-2</v>
      </c>
      <c r="S48" s="28">
        <f t="shared" si="16"/>
        <v>0.16326113101138215</v>
      </c>
      <c r="T48" s="4"/>
      <c r="U48" s="26">
        <f>F48/Profitability!F18</f>
        <v>8.4418910585817061E-2</v>
      </c>
      <c r="V48" s="26">
        <f>G48/Profitability!G18</f>
        <v>8.2996128612341943E-2</v>
      </c>
      <c r="W48" s="26">
        <f>H48/Profitability!H18</f>
        <v>8.1111392943996247E-2</v>
      </c>
      <c r="X48" s="26">
        <f>I48/Profitability!I18</f>
        <v>8.6473926737838755E-2</v>
      </c>
      <c r="Y48" s="26">
        <f>J48/Profitability!J18</f>
        <v>8.0898685899559133E-2</v>
      </c>
      <c r="Z48" s="26">
        <f>K48/Profitability!K18</f>
        <v>7.6068040911908441E-2</v>
      </c>
      <c r="AA48" s="28">
        <f>AVERAGE(X48:Z48)</f>
        <v>8.1146884516435439E-2</v>
      </c>
    </row>
    <row r="49" spans="1:27" ht="17" x14ac:dyDescent="0.2">
      <c r="A49" s="6" t="s">
        <v>15</v>
      </c>
      <c r="B49" s="24">
        <f t="shared" ref="B49:E49" si="58">B36</f>
        <v>201.983</v>
      </c>
      <c r="C49" s="24">
        <f t="shared" si="58"/>
        <v>204.697</v>
      </c>
      <c r="D49" s="24">
        <f t="shared" si="58"/>
        <v>211.60900000000001</v>
      </c>
      <c r="E49" s="24">
        <f t="shared" si="58"/>
        <v>226.88800000000001</v>
      </c>
      <c r="F49" s="24">
        <f>F36</f>
        <v>248.25</v>
      </c>
      <c r="G49" s="24">
        <f t="shared" ref="G49:K49" si="59">G36</f>
        <v>183.67599999999999</v>
      </c>
      <c r="H49" s="24">
        <f t="shared" si="59"/>
        <v>84.753</v>
      </c>
      <c r="I49" s="24">
        <f t="shared" si="59"/>
        <v>103.95</v>
      </c>
      <c r="J49" s="24">
        <f t="shared" si="59"/>
        <v>125.84099999999999</v>
      </c>
      <c r="K49" s="24">
        <f t="shared" si="59"/>
        <v>131.81</v>
      </c>
      <c r="L49" s="4"/>
      <c r="M49" s="4"/>
      <c r="N49" s="8">
        <f t="shared" ref="N49:N63" si="60">G49/F49-1</f>
        <v>-0.26011681772406858</v>
      </c>
      <c r="O49" s="8">
        <f t="shared" ref="O49:O63" si="61">H49/G49-1</f>
        <v>-0.53857335743374202</v>
      </c>
      <c r="P49" s="8">
        <f t="shared" ref="P49:P63" si="62">I49/H49-1</f>
        <v>0.2265052564510992</v>
      </c>
      <c r="Q49" s="8">
        <f t="shared" ref="Q49:Q63" si="63">J49/I49-1</f>
        <v>0.21059163059163044</v>
      </c>
      <c r="R49" s="8">
        <f t="shared" ref="R49:R63" si="64">K49/J49-1</f>
        <v>4.7432871639608853E-2</v>
      </c>
      <c r="S49" s="28">
        <f t="shared" si="16"/>
        <v>0.16150991956077951</v>
      </c>
      <c r="T49" s="4"/>
      <c r="U49" s="26">
        <f>F49/Profitability!F19</f>
        <v>0.3939356912877135</v>
      </c>
      <c r="V49" s="26">
        <f>G49/Profitability!G19</f>
        <v>0.33926806787725644</v>
      </c>
      <c r="W49" s="26">
        <f>H49/Profitability!H19</f>
        <v>0.29366435092947107</v>
      </c>
      <c r="X49" s="26">
        <f>I49/Profitability!I19</f>
        <v>0.261066769804156</v>
      </c>
      <c r="Y49" s="26">
        <f>J49/Profitability!J19</f>
        <v>0.27570772234016683</v>
      </c>
      <c r="Z49" s="26">
        <f>K49/Profitability!K19</f>
        <v>0.28412103758821527</v>
      </c>
      <c r="AA49" s="28">
        <f t="shared" si="43"/>
        <v>0.27363184324417938</v>
      </c>
    </row>
    <row r="50" spans="1:27" ht="17" x14ac:dyDescent="0.2">
      <c r="A50" s="6" t="s">
        <v>16</v>
      </c>
      <c r="B50" s="24"/>
      <c r="C50" s="24"/>
      <c r="D50" s="24"/>
      <c r="E50" s="24">
        <f t="shared" ref="E50" si="65">E38</f>
        <v>0</v>
      </c>
      <c r="F50" s="24">
        <f>F38</f>
        <v>4185</v>
      </c>
      <c r="G50" s="24">
        <f t="shared" ref="G50:K50" si="66">G38</f>
        <v>4196</v>
      </c>
      <c r="H50" s="24">
        <f t="shared" si="66"/>
        <v>4791</v>
      </c>
      <c r="I50" s="24">
        <f t="shared" si="66"/>
        <v>5086</v>
      </c>
      <c r="J50" s="24">
        <f t="shared" si="66"/>
        <v>5354</v>
      </c>
      <c r="K50" s="24">
        <f t="shared" si="66"/>
        <v>5252</v>
      </c>
      <c r="L50" s="4"/>
      <c r="M50" s="4"/>
      <c r="N50" s="8">
        <f t="shared" si="60"/>
        <v>2.6284348864993312E-3</v>
      </c>
      <c r="O50" s="8">
        <f t="shared" si="61"/>
        <v>0.14180171591992363</v>
      </c>
      <c r="P50" s="8">
        <f t="shared" si="62"/>
        <v>6.1573784178668323E-2</v>
      </c>
      <c r="Q50" s="8">
        <f t="shared" si="63"/>
        <v>5.269366889500593E-2</v>
      </c>
      <c r="R50" s="8">
        <f t="shared" si="64"/>
        <v>-1.9051176690324967E-2</v>
      </c>
      <c r="S50" s="28">
        <f t="shared" si="16"/>
        <v>3.1738758794449762E-2</v>
      </c>
      <c r="T50" s="4"/>
      <c r="U50" s="26">
        <f>F50/Profitability!F23</f>
        <v>0.19686706181202371</v>
      </c>
      <c r="V50" s="26">
        <f>G50/Profitability!G23</f>
        <v>0.19639597472501755</v>
      </c>
      <c r="W50" s="26">
        <f>H50/Profitability!H23</f>
        <v>0.24942732194918785</v>
      </c>
      <c r="X50" s="26">
        <f>I50/Profitability!I23</f>
        <v>0.21900701890367308</v>
      </c>
      <c r="Y50" s="26">
        <f>J50/Profitability!J23</f>
        <v>0.23094508907389036</v>
      </c>
      <c r="Z50" s="26">
        <f>K50/Profitability!K23</f>
        <v>0.20600925708009729</v>
      </c>
      <c r="AA50" s="28">
        <f t="shared" si="43"/>
        <v>0.21865378835255359</v>
      </c>
    </row>
    <row r="51" spans="1:27" ht="17" x14ac:dyDescent="0.2">
      <c r="A51" s="6" t="s">
        <v>17</v>
      </c>
      <c r="B51" s="24"/>
      <c r="C51" s="24"/>
      <c r="D51" s="24"/>
      <c r="E51" s="24">
        <f>SUM([5]TH!A$11:A$13)</f>
        <v>0</v>
      </c>
      <c r="F51" s="24">
        <f>SUM([5]TH!B$11:B$13)</f>
        <v>593</v>
      </c>
      <c r="G51" s="24">
        <f>SUM([5]TH!C$11:C$13)</f>
        <v>667</v>
      </c>
      <c r="H51" s="24">
        <f>SUM([5]TH!D$11:D$13)</f>
        <v>625</v>
      </c>
      <c r="I51" s="24">
        <f>SUM([5]TH!E$11:E$13)</f>
        <v>746</v>
      </c>
      <c r="J51" s="24">
        <f>SUM([5]TH!F$11:F$13)</f>
        <v>765</v>
      </c>
      <c r="K51" s="24">
        <f>SUM([5]TH!G$11:G$13)</f>
        <v>802</v>
      </c>
      <c r="L51" s="4"/>
      <c r="M51" s="4"/>
      <c r="N51" s="8">
        <f t="shared" si="60"/>
        <v>0.12478920741989885</v>
      </c>
      <c r="O51" s="8">
        <f t="shared" si="61"/>
        <v>-6.2968515742128917E-2</v>
      </c>
      <c r="P51" s="8">
        <f t="shared" si="62"/>
        <v>0.19359999999999999</v>
      </c>
      <c r="Q51" s="8">
        <f t="shared" si="63"/>
        <v>2.5469168900804195E-2</v>
      </c>
      <c r="R51" s="8">
        <f t="shared" si="64"/>
        <v>4.8366013071895475E-2</v>
      </c>
      <c r="S51" s="28">
        <f t="shared" si="16"/>
        <v>8.9145060657566555E-2</v>
      </c>
      <c r="T51" s="4"/>
      <c r="U51" s="26">
        <f>F51/Profitability!F24</f>
        <v>0.1801336573511543</v>
      </c>
      <c r="V51" s="26">
        <f>G51/Profitability!G24</f>
        <v>0.19946172248803828</v>
      </c>
      <c r="W51" s="26">
        <f>H51/Profitability!H24</f>
        <v>0.22241992882562278</v>
      </c>
      <c r="X51" s="26">
        <f>I51/Profitability!I24</f>
        <v>0.22395676973881717</v>
      </c>
      <c r="Y51" s="26">
        <f>J51/Profitability!J24</f>
        <v>0.20120988953182536</v>
      </c>
      <c r="Z51" s="26">
        <f>K51/Profitability!K24</f>
        <v>0.20191339375629405</v>
      </c>
      <c r="AA51" s="28">
        <f t="shared" si="43"/>
        <v>0.2090266843423122</v>
      </c>
    </row>
    <row r="52" spans="1:27" ht="17" x14ac:dyDescent="0.2">
      <c r="A52" s="6" t="s">
        <v>20</v>
      </c>
      <c r="B52" s="24"/>
      <c r="C52" s="24"/>
      <c r="D52" s="24"/>
      <c r="E52" s="24">
        <f>SUM([5]BK!A$11:A$13)</f>
        <v>0</v>
      </c>
      <c r="F52" s="24">
        <f>SUM([5]BK!B$11:B$13)</f>
        <v>708</v>
      </c>
      <c r="G52" s="24">
        <f>SUM([5]BK!C$11:C$13)</f>
        <v>768</v>
      </c>
      <c r="H52" s="24">
        <f>SUM([5]BK!D$11:D$13)</f>
        <v>764</v>
      </c>
      <c r="I52" s="24">
        <f>SUM([5]BK!E$11:E$13)</f>
        <v>680</v>
      </c>
      <c r="J52" s="24">
        <f>SUM([5]BK!F$11:F$13)</f>
        <v>737</v>
      </c>
      <c r="K52" s="24">
        <f>SUM([5]BK!G$11:G$13)</f>
        <v>832</v>
      </c>
      <c r="L52" s="4"/>
      <c r="M52" s="4"/>
      <c r="N52" s="8">
        <f t="shared" si="60"/>
        <v>8.4745762711864403E-2</v>
      </c>
      <c r="O52" s="8">
        <f t="shared" si="61"/>
        <v>-5.2083333333333703E-3</v>
      </c>
      <c r="P52" s="8">
        <f t="shared" si="62"/>
        <v>-0.10994764397905754</v>
      </c>
      <c r="Q52" s="8">
        <f t="shared" si="63"/>
        <v>8.382352941176463E-2</v>
      </c>
      <c r="R52" s="8">
        <f t="shared" si="64"/>
        <v>0.12890094979647215</v>
      </c>
      <c r="S52" s="28">
        <f t="shared" si="16"/>
        <v>3.4258945076393078E-2</v>
      </c>
      <c r="T52" s="4"/>
      <c r="U52" s="26">
        <f>F52/Profitability!F25</f>
        <v>0.42883101150817687</v>
      </c>
      <c r="V52" s="26">
        <f>G52/Profitability!G25</f>
        <v>0.43218908272369161</v>
      </c>
      <c r="W52" s="26">
        <f>H52/Profitability!H25</f>
        <v>0.47690387016229713</v>
      </c>
      <c r="X52" s="26">
        <f>I52/Profitability!I25</f>
        <v>0.58823529411764708</v>
      </c>
      <c r="Y52" s="26">
        <f>J52/Profitability!J25</f>
        <v>0.61622073578595316</v>
      </c>
      <c r="Z52" s="26">
        <f>K52/Profitability!K25</f>
        <v>0.64098613251155623</v>
      </c>
      <c r="AA52" s="28">
        <f t="shared" si="43"/>
        <v>0.61514738747171882</v>
      </c>
    </row>
    <row r="53" spans="1:27" ht="17" x14ac:dyDescent="0.2">
      <c r="A53" s="6" t="s">
        <v>18</v>
      </c>
      <c r="B53" s="24"/>
      <c r="C53" s="24"/>
      <c r="D53" s="24"/>
      <c r="E53" s="24">
        <f>SUM([5]PLK!A$11:A$13)</f>
        <v>0</v>
      </c>
      <c r="F53" s="24">
        <f>SUM([5]PLK!B$11:B$13)</f>
        <v>205</v>
      </c>
      <c r="G53" s="24">
        <f>SUM([5]PLK!C$11:C$13)</f>
        <v>239</v>
      </c>
      <c r="H53" s="24">
        <f>SUM([5]PLK!D$11:D$13)</f>
        <v>284</v>
      </c>
      <c r="I53" s="24">
        <f>SUM([5]PLK!E$11:E$13)</f>
        <v>305</v>
      </c>
      <c r="J53" s="24">
        <f>SUM([5]PLK!F$11:F$13)</f>
        <v>344</v>
      </c>
      <c r="K53" s="24">
        <f>SUM([5]PLK!G$11:G$13)</f>
        <v>393</v>
      </c>
      <c r="L53" s="4"/>
      <c r="M53" s="4"/>
      <c r="N53" s="8">
        <f t="shared" si="60"/>
        <v>0.16585365853658529</v>
      </c>
      <c r="O53" s="8">
        <f t="shared" si="61"/>
        <v>0.18828451882845187</v>
      </c>
      <c r="P53" s="8">
        <f t="shared" si="62"/>
        <v>7.3943661971830998E-2</v>
      </c>
      <c r="Q53" s="8">
        <f t="shared" si="63"/>
        <v>0.12786885245901636</v>
      </c>
      <c r="R53" s="8">
        <f t="shared" si="64"/>
        <v>0.14244186046511631</v>
      </c>
      <c r="S53" s="28">
        <f t="shared" si="16"/>
        <v>0.11475145829865456</v>
      </c>
      <c r="T53" s="4"/>
      <c r="U53" s="26">
        <f>F53/Profitability!F26</f>
        <v>0.49516908212560384</v>
      </c>
      <c r="V53" s="26">
        <f>G53/Profitability!G26</f>
        <v>0.49585062240663902</v>
      </c>
      <c r="W53" s="26">
        <f>H53/Profitability!H26</f>
        <v>0.51079136690647486</v>
      </c>
      <c r="X53" s="26">
        <f>I53/Profitability!I26</f>
        <v>0.54561717352415029</v>
      </c>
      <c r="Y53" s="26">
        <f>J53/Profitability!J26</f>
        <v>0.55663430420711979</v>
      </c>
      <c r="Z53" s="26">
        <f>K53/Profitability!K26</f>
        <v>0.56791907514450868</v>
      </c>
      <c r="AA53" s="28">
        <f t="shared" si="43"/>
        <v>0.55672351762525951</v>
      </c>
    </row>
    <row r="54" spans="1:27" ht="17" x14ac:dyDescent="0.2">
      <c r="A54" s="6" t="s">
        <v>19</v>
      </c>
      <c r="B54" s="24"/>
      <c r="C54" s="24"/>
      <c r="D54" s="24"/>
      <c r="E54" s="24">
        <f>SUM([5]FHS!A$11:A$13)</f>
        <v>0</v>
      </c>
      <c r="F54" s="24">
        <f>SUM([5]FHS!B$11:B$13)</f>
        <v>0</v>
      </c>
      <c r="G54" s="24">
        <f>SUM([5]FHS!C$11:C$13)</f>
        <v>0</v>
      </c>
      <c r="H54" s="24">
        <f>SUM([5]FHS!D$11:D$13)</f>
        <v>0</v>
      </c>
      <c r="I54" s="24">
        <f>SUM([5]FHS!E$11:E$13)</f>
        <v>2</v>
      </c>
      <c r="J54" s="24">
        <f>SUM([5]FHS!F$11:F$13)</f>
        <v>71</v>
      </c>
      <c r="K54" s="24">
        <f>SUM([5]FHS!G$11:G$13)</f>
        <v>116</v>
      </c>
      <c r="L54" s="4"/>
      <c r="M54" s="4"/>
      <c r="N54" s="8"/>
      <c r="O54" s="8"/>
      <c r="P54" s="8"/>
      <c r="Q54" s="8">
        <f t="shared" si="63"/>
        <v>34.5</v>
      </c>
      <c r="R54" s="8">
        <f t="shared" si="64"/>
        <v>0.63380281690140849</v>
      </c>
      <c r="S54" s="28">
        <f t="shared" si="16"/>
        <v>17.566901408450704</v>
      </c>
      <c r="T54" s="4"/>
      <c r="U54" s="26"/>
      <c r="V54" s="26"/>
      <c r="W54" s="26"/>
      <c r="X54" s="26">
        <f>I54/Profitability!I27</f>
        <v>0.4</v>
      </c>
      <c r="Y54" s="26">
        <f>J54/Profitability!J27</f>
        <v>0.51449275362318836</v>
      </c>
      <c r="Z54" s="26">
        <f>K54/Profitability!K27</f>
        <v>0.62365591397849462</v>
      </c>
      <c r="AA54" s="28">
        <f t="shared" si="43"/>
        <v>0.51271622253389426</v>
      </c>
    </row>
    <row r="55" spans="1:27" ht="17" x14ac:dyDescent="0.2">
      <c r="A55" s="6" t="s">
        <v>21</v>
      </c>
      <c r="B55" s="24">
        <f t="shared" ref="B55:E55" si="67">B40</f>
        <v>709.88430466938212</v>
      </c>
      <c r="C55" s="24">
        <f t="shared" si="67"/>
        <v>894.19862019116533</v>
      </c>
      <c r="D55" s="24">
        <f t="shared" si="67"/>
        <v>981.10949032514759</v>
      </c>
      <c r="E55" s="24">
        <f t="shared" si="67"/>
        <v>1011.711227765903</v>
      </c>
      <c r="F55" s="24">
        <f>F40</f>
        <v>1247.3061473153127</v>
      </c>
      <c r="G55" s="24">
        <f t="shared" ref="G55:K55" si="68">G40</f>
        <v>1377.5948958016702</v>
      </c>
      <c r="H55" s="24">
        <f t="shared" si="68"/>
        <v>1431.5645279158321</v>
      </c>
      <c r="I55" s="24">
        <f t="shared" si="68"/>
        <v>1441.9621200774243</v>
      </c>
      <c r="J55" s="24">
        <f t="shared" si="68"/>
        <v>1448.1544789267793</v>
      </c>
      <c r="K55" s="24">
        <f t="shared" si="68"/>
        <v>1362.8740101814251</v>
      </c>
      <c r="L55" s="4"/>
      <c r="M55" s="4"/>
      <c r="N55" s="8">
        <f t="shared" si="60"/>
        <v>0.10445611028759005</v>
      </c>
      <c r="O55" s="8">
        <f t="shared" si="61"/>
        <v>3.9176707375033537E-2</v>
      </c>
      <c r="P55" s="8">
        <f t="shared" si="62"/>
        <v>7.2630970933107442E-3</v>
      </c>
      <c r="Q55" s="8">
        <f t="shared" si="63"/>
        <v>4.2943977259419785E-3</v>
      </c>
      <c r="R55" s="8">
        <f t="shared" si="64"/>
        <v>-5.8889068801938338E-2</v>
      </c>
      <c r="S55" s="28">
        <f t="shared" si="16"/>
        <v>-1.5777191327561873E-2</v>
      </c>
      <c r="T55" s="4"/>
      <c r="U55" s="26">
        <f>F55/Profitability!F28</f>
        <v>4.2535334446709615E-2</v>
      </c>
      <c r="V55" s="26">
        <f>G55/Profitability!G28</f>
        <v>4.4074574347378749E-2</v>
      </c>
      <c r="W55" s="26">
        <f>H55/Profitability!H28</f>
        <v>4.3832349293197549E-2</v>
      </c>
      <c r="X55" s="26">
        <f>I55/Profitability!I28</f>
        <v>4.261998995292833E-2</v>
      </c>
      <c r="Y55" s="26">
        <f>J55/Profitability!J28</f>
        <v>4.055205619912014E-2</v>
      </c>
      <c r="Z55" s="26">
        <f>K55/Profitability!K28</f>
        <v>3.5829276254835299E-2</v>
      </c>
      <c r="AA55" s="28">
        <f t="shared" si="43"/>
        <v>3.9667107468961259E-2</v>
      </c>
    </row>
    <row r="56" spans="1:27" ht="17" x14ac:dyDescent="0.2">
      <c r="A56" s="6" t="s">
        <v>22</v>
      </c>
      <c r="B56" s="24"/>
      <c r="C56" s="24"/>
      <c r="D56" s="24"/>
      <c r="E56" s="24"/>
      <c r="F56" s="24">
        <f>[7]KFC!B$12</f>
        <v>350</v>
      </c>
      <c r="G56" s="24">
        <f>[7]KFC!C$12</f>
        <v>346</v>
      </c>
      <c r="H56" s="24">
        <f>[7]KFC!D$12</f>
        <v>346</v>
      </c>
      <c r="I56" s="24">
        <f>[7]KFC!E$12</f>
        <v>377</v>
      </c>
      <c r="J56" s="24">
        <f>[7]KFC!F$12</f>
        <v>390</v>
      </c>
      <c r="K56" s="24">
        <f>[7]KFC!G$12</f>
        <v>383</v>
      </c>
      <c r="L56" s="4"/>
      <c r="M56" s="4"/>
      <c r="N56" s="8">
        <f t="shared" si="60"/>
        <v>-1.1428571428571455E-2</v>
      </c>
      <c r="O56" s="8">
        <f t="shared" si="61"/>
        <v>0</v>
      </c>
      <c r="P56" s="8">
        <f t="shared" si="62"/>
        <v>8.9595375722543391E-2</v>
      </c>
      <c r="Q56" s="8">
        <f t="shared" si="63"/>
        <v>3.4482758620689724E-2</v>
      </c>
      <c r="R56" s="8">
        <f t="shared" si="64"/>
        <v>-1.7948717948717996E-2</v>
      </c>
      <c r="S56" s="28">
        <f t="shared" si="16"/>
        <v>3.5376472131505042E-2</v>
      </c>
      <c r="T56" s="4"/>
      <c r="U56" s="26">
        <f>F56/Profitability!F29</f>
        <v>0.132375189107413</v>
      </c>
      <c r="V56" s="26">
        <f>G56/Profitability!G29</f>
        <v>0.13890004014452026</v>
      </c>
      <c r="W56" s="26">
        <f>H56/Profitability!H29</f>
        <v>0.15228873239436619</v>
      </c>
      <c r="X56" s="26">
        <f>I56/Profitability!I29</f>
        <v>0.13498030791263874</v>
      </c>
      <c r="Y56" s="26">
        <f>J56/Profitability!J29</f>
        <v>0.13761467889908258</v>
      </c>
      <c r="Z56" s="26">
        <f>K56/Profitability!K29</f>
        <v>0.1353356890459364</v>
      </c>
      <c r="AA56" s="28">
        <f t="shared" si="43"/>
        <v>0.13597689195255258</v>
      </c>
    </row>
    <row r="57" spans="1:27" ht="17" x14ac:dyDescent="0.2">
      <c r="A57" s="6" t="s">
        <v>23</v>
      </c>
      <c r="B57" s="24"/>
      <c r="C57" s="24"/>
      <c r="D57" s="24"/>
      <c r="E57" s="24"/>
      <c r="F57" s="24">
        <f>'[7]Taco Bell'!B$12</f>
        <v>177</v>
      </c>
      <c r="G57" s="24">
        <f>'[7]Taco Bell'!C$12</f>
        <v>181</v>
      </c>
      <c r="H57" s="24">
        <f>'[7]Taco Bell'!D$12</f>
        <v>158</v>
      </c>
      <c r="I57" s="24">
        <f>'[7]Taco Bell'!E$12</f>
        <v>174</v>
      </c>
      <c r="J57" s="24">
        <f>'[7]Taco Bell'!F$12</f>
        <v>191</v>
      </c>
      <c r="K57" s="24">
        <f>'[7]Taco Bell'!G$12</f>
        <v>204</v>
      </c>
      <c r="L57" s="4"/>
      <c r="M57" s="4"/>
      <c r="N57" s="8">
        <f t="shared" si="60"/>
        <v>2.2598870056497189E-2</v>
      </c>
      <c r="O57" s="8">
        <f t="shared" si="61"/>
        <v>-0.1270718232044199</v>
      </c>
      <c r="P57" s="8">
        <f t="shared" si="62"/>
        <v>0.10126582278481022</v>
      </c>
      <c r="Q57" s="8">
        <f t="shared" si="63"/>
        <v>9.7701149425287293E-2</v>
      </c>
      <c r="R57" s="8">
        <f t="shared" si="64"/>
        <v>6.8062827225130906E-2</v>
      </c>
      <c r="S57" s="28">
        <f t="shared" si="16"/>
        <v>8.9009933145076145E-2</v>
      </c>
      <c r="T57" s="4"/>
      <c r="U57" s="26">
        <f>F57/Profitability!F30</f>
        <v>8.6089494163424124E-2</v>
      </c>
      <c r="V57" s="26">
        <f>G57/Profitability!G30</f>
        <v>8.7061087061087061E-2</v>
      </c>
      <c r="W57" s="26">
        <f>H57/Profitability!H30</f>
        <v>7.7794190054160509E-2</v>
      </c>
      <c r="X57" s="26">
        <f>I57/Profitability!I30</f>
        <v>7.7747989276139406E-2</v>
      </c>
      <c r="Y57" s="26">
        <f>J57/Profitability!J30</f>
        <v>7.8375051292572842E-2</v>
      </c>
      <c r="Z57" s="26">
        <f>K57/Profitability!K30</f>
        <v>7.7243468383188185E-2</v>
      </c>
      <c r="AA57" s="28">
        <f t="shared" si="43"/>
        <v>7.7788836317300145E-2</v>
      </c>
    </row>
    <row r="58" spans="1:27" ht="17" x14ac:dyDescent="0.2">
      <c r="A58" s="6" t="s">
        <v>24</v>
      </c>
      <c r="B58" s="24">
        <f>'[7]Pizza Hut'!$B$12</f>
        <v>197</v>
      </c>
      <c r="C58" s="24">
        <f>'[7]Pizza Hut'!$B$12</f>
        <v>197</v>
      </c>
      <c r="D58" s="24">
        <f>'[7]Pizza Hut'!$B$12</f>
        <v>197</v>
      </c>
      <c r="E58" s="24">
        <f>'[7]Pizza Hut'!$B$12</f>
        <v>197</v>
      </c>
      <c r="F58" s="24">
        <f>'[7]Pizza Hut'!$B$12</f>
        <v>197</v>
      </c>
      <c r="G58" s="24">
        <f>'[7]Pizza Hut'!$B$12</f>
        <v>197</v>
      </c>
      <c r="H58" s="24">
        <f>'[7]Pizza Hut'!$B$12</f>
        <v>197</v>
      </c>
      <c r="I58" s="24">
        <f>'[7]Pizza Hut'!$B$12</f>
        <v>197</v>
      </c>
      <c r="J58" s="24">
        <f>'[7]Pizza Hut'!$B$12</f>
        <v>197</v>
      </c>
      <c r="K58" s="24">
        <f>'[7]Pizza Hut'!$B$12</f>
        <v>197</v>
      </c>
      <c r="L58" s="4"/>
      <c r="M58" s="4"/>
      <c r="N58" s="8">
        <f t="shared" si="60"/>
        <v>0</v>
      </c>
      <c r="O58" s="8">
        <f t="shared" si="61"/>
        <v>0</v>
      </c>
      <c r="P58" s="8">
        <f t="shared" si="62"/>
        <v>0</v>
      </c>
      <c r="Q58" s="8">
        <f t="shared" si="63"/>
        <v>0</v>
      </c>
      <c r="R58" s="8">
        <f t="shared" si="64"/>
        <v>0</v>
      </c>
      <c r="S58" s="28">
        <f t="shared" si="16"/>
        <v>0</v>
      </c>
      <c r="T58" s="4"/>
      <c r="U58" s="26">
        <f>F58/Profitability!F31</f>
        <v>0.19939271255060728</v>
      </c>
      <c r="V58" s="26">
        <f>G58/Profitability!G31</f>
        <v>0.19182083739045763</v>
      </c>
      <c r="W58" s="26">
        <f>H58/Profitability!H31</f>
        <v>0.19660678642714571</v>
      </c>
      <c r="X58" s="26">
        <f>I58/Profitability!I31</f>
        <v>0.1916342412451362</v>
      </c>
      <c r="Y58" s="26">
        <f>J58/Profitability!J31</f>
        <v>0.19621513944223107</v>
      </c>
      <c r="Z58" s="26">
        <f>K58/Profitability!K31</f>
        <v>0.19332679097154074</v>
      </c>
      <c r="AA58" s="28">
        <f t="shared" si="43"/>
        <v>0.19372539055296933</v>
      </c>
    </row>
    <row r="59" spans="1:27" ht="17" x14ac:dyDescent="0.2">
      <c r="A59" s="6" t="s">
        <v>29</v>
      </c>
      <c r="B59" s="24"/>
      <c r="C59" s="24"/>
      <c r="D59" s="24"/>
      <c r="E59" s="24">
        <f t="shared" ref="E59" si="69">E42</f>
        <v>0</v>
      </c>
      <c r="F59" s="24">
        <f>F42</f>
        <v>43.255000000000003</v>
      </c>
      <c r="G59" s="24">
        <f t="shared" ref="G59:K59" si="70">G42</f>
        <v>40.076000000000001</v>
      </c>
      <c r="H59" s="24">
        <f t="shared" si="70"/>
        <v>48.606000000000002</v>
      </c>
      <c r="I59" s="24">
        <f t="shared" si="70"/>
        <v>64.998999999999995</v>
      </c>
      <c r="J59" s="24">
        <f t="shared" si="70"/>
        <v>80.483000000000004</v>
      </c>
      <c r="K59" s="24">
        <f t="shared" si="70"/>
        <v>72.83</v>
      </c>
      <c r="L59" s="4"/>
      <c r="M59" s="4"/>
      <c r="N59" s="8">
        <f t="shared" si="60"/>
        <v>-7.3494393711709627E-2</v>
      </c>
      <c r="O59" s="8">
        <f t="shared" si="61"/>
        <v>0.21284559337259212</v>
      </c>
      <c r="P59" s="8">
        <f t="shared" si="62"/>
        <v>0.33726288935522342</v>
      </c>
      <c r="Q59" s="8">
        <f t="shared" si="63"/>
        <v>0.23821904952383899</v>
      </c>
      <c r="R59" s="8">
        <f t="shared" si="64"/>
        <v>-9.5088403762285223E-2</v>
      </c>
      <c r="S59" s="28">
        <f t="shared" si="16"/>
        <v>0.16013117837225907</v>
      </c>
      <c r="T59" s="4"/>
      <c r="U59" s="26">
        <f>F59/Profitability!F33</f>
        <v>9.417386949990203E-2</v>
      </c>
      <c r="V59" s="26">
        <f>G59/Profitability!G33</f>
        <v>6.7409115604379344E-2</v>
      </c>
      <c r="W59" s="26">
        <f>H59/Profitability!H33</f>
        <v>9.2960542547148708E-2</v>
      </c>
      <c r="X59" s="26">
        <f>I59/Profitability!I33</f>
        <v>8.7849189004356024E-2</v>
      </c>
      <c r="Y59" s="26">
        <f>J59/Profitability!J33</f>
        <v>8.9377291817973853E-2</v>
      </c>
      <c r="Z59" s="26">
        <f>K59/Profitability!K33</f>
        <v>6.6968082807602164E-2</v>
      </c>
      <c r="AA59" s="28">
        <f t="shared" si="43"/>
        <v>8.1398187876644018E-2</v>
      </c>
    </row>
    <row r="60" spans="1:27" ht="17" x14ac:dyDescent="0.2">
      <c r="A60" s="6" t="s">
        <v>39</v>
      </c>
      <c r="B60" s="24"/>
      <c r="C60" s="24"/>
      <c r="D60" s="24"/>
      <c r="E60" s="24">
        <f t="shared" ref="E60" si="71">E43</f>
        <v>0</v>
      </c>
      <c r="F60" s="24">
        <f>F43</f>
        <v>731</v>
      </c>
      <c r="G60" s="24">
        <f t="shared" ref="G60:K60" si="72">G43</f>
        <v>773.1</v>
      </c>
      <c r="H60" s="24">
        <f t="shared" si="72"/>
        <v>868.8</v>
      </c>
      <c r="I60" s="24">
        <f t="shared" si="72"/>
        <v>907.8</v>
      </c>
      <c r="J60" s="24">
        <f t="shared" si="72"/>
        <v>880.59999999999991</v>
      </c>
      <c r="K60" s="24">
        <f t="shared" si="72"/>
        <v>907.9</v>
      </c>
      <c r="L60" s="4"/>
      <c r="M60" s="4"/>
      <c r="N60" s="8">
        <f t="shared" si="60"/>
        <v>5.7592339261286041E-2</v>
      </c>
      <c r="O60" s="8">
        <f t="shared" si="61"/>
        <v>0.12378734963135418</v>
      </c>
      <c r="P60" s="8">
        <f t="shared" si="62"/>
        <v>4.4889502762430977E-2</v>
      </c>
      <c r="Q60" s="8">
        <f t="shared" si="63"/>
        <v>-2.9962546816479474E-2</v>
      </c>
      <c r="R60" s="8">
        <f t="shared" si="64"/>
        <v>3.1001589825119247E-2</v>
      </c>
      <c r="S60" s="28">
        <f t="shared" si="16"/>
        <v>1.5309515257023584E-2</v>
      </c>
      <c r="T60" s="4"/>
      <c r="U60" s="26">
        <f>F60/Profitability!F34</f>
        <v>0.2129457003029597</v>
      </c>
      <c r="V60" s="26">
        <f>G60/Profitability!G34</f>
        <v>0.21363435392947938</v>
      </c>
      <c r="W60" s="26">
        <f>H60/Profitability!H34</f>
        <v>0.21100182149362476</v>
      </c>
      <c r="X60" s="26">
        <f>I60/Profitability!I34</f>
        <v>0.20833524578877313</v>
      </c>
      <c r="Y60" s="26">
        <f>J60/Profitability!J34</f>
        <v>0.1940887350951048</v>
      </c>
      <c r="Z60" s="26">
        <f>K60/Profitability!K34</f>
        <v>0.20268339509755767</v>
      </c>
      <c r="AA60" s="28">
        <f t="shared" si="43"/>
        <v>0.20170245866047853</v>
      </c>
    </row>
    <row r="61" spans="1:27" ht="17" x14ac:dyDescent="0.2">
      <c r="A61" s="6" t="s">
        <v>35</v>
      </c>
      <c r="B61" s="24"/>
      <c r="C61" s="24"/>
      <c r="D61" s="24"/>
      <c r="E61" s="24"/>
      <c r="F61" s="24"/>
      <c r="G61" s="24"/>
      <c r="H61" s="24"/>
      <c r="I61" s="24">
        <f>I44</f>
        <v>79.825000000000003</v>
      </c>
      <c r="J61" s="24">
        <f t="shared" ref="J61:K61" si="73">J44</f>
        <v>90.028000000000006</v>
      </c>
      <c r="K61" s="24">
        <f t="shared" si="73"/>
        <v>86.59</v>
      </c>
      <c r="L61" s="4"/>
      <c r="M61" s="4"/>
      <c r="N61" s="8"/>
      <c r="O61" s="8"/>
      <c r="P61" s="8"/>
      <c r="Q61" s="8">
        <f t="shared" si="63"/>
        <v>0.1278170999060444</v>
      </c>
      <c r="R61" s="8">
        <f t="shared" si="64"/>
        <v>-3.8188119251788333E-2</v>
      </c>
      <c r="S61" s="28">
        <f t="shared" si="16"/>
        <v>4.4814490327128031E-2</v>
      </c>
      <c r="T61" s="4"/>
      <c r="U61" s="26"/>
      <c r="V61" s="26"/>
      <c r="W61" s="26"/>
      <c r="X61" s="26">
        <f>I61/Profitability!I35</f>
        <v>0.15962701371002577</v>
      </c>
      <c r="Y61" s="26">
        <f>J61/Profitability!J35</f>
        <v>0.15959044102396835</v>
      </c>
      <c r="Z61" s="26">
        <f>K61/Profitability!K35</f>
        <v>0.11882804995196926</v>
      </c>
      <c r="AA61" s="28">
        <f t="shared" si="43"/>
        <v>0.14601516822865446</v>
      </c>
    </row>
    <row r="62" spans="1:27" ht="17" x14ac:dyDescent="0.2">
      <c r="A62" s="6" t="s">
        <v>38</v>
      </c>
      <c r="B62" s="24">
        <f t="shared" ref="B62:E62" si="74">B45</f>
        <v>0</v>
      </c>
      <c r="C62" s="24">
        <f t="shared" si="74"/>
        <v>147.81</v>
      </c>
      <c r="D62" s="24">
        <f t="shared" si="74"/>
        <v>163.626</v>
      </c>
      <c r="E62" s="24">
        <f t="shared" si="74"/>
        <v>158.13499999999999</v>
      </c>
      <c r="F62" s="24">
        <f>F45</f>
        <v>150.86600000000001</v>
      </c>
      <c r="G62" s="24">
        <f t="shared" ref="G62:K62" si="75">G45</f>
        <v>193.53399999999999</v>
      </c>
      <c r="H62" s="24">
        <f t="shared" si="75"/>
        <v>223.46</v>
      </c>
      <c r="I62" s="24">
        <f t="shared" si="75"/>
        <v>204.24199999999999</v>
      </c>
      <c r="J62" s="24">
        <f t="shared" si="75"/>
        <v>212.26499999999999</v>
      </c>
      <c r="K62" s="24">
        <f t="shared" si="75"/>
        <v>217.41200000000001</v>
      </c>
      <c r="L62" s="4"/>
      <c r="M62" s="4"/>
      <c r="N62" s="8">
        <f t="shared" si="60"/>
        <v>0.28282051621969151</v>
      </c>
      <c r="O62" s="8">
        <f t="shared" si="61"/>
        <v>0.15462916076761712</v>
      </c>
      <c r="P62" s="8">
        <f t="shared" si="62"/>
        <v>-8.6001969032489134E-2</v>
      </c>
      <c r="Q62" s="8">
        <f t="shared" si="63"/>
        <v>3.9281832336150346E-2</v>
      </c>
      <c r="R62" s="8">
        <f t="shared" si="64"/>
        <v>2.4247991896921395E-2</v>
      </c>
      <c r="S62" s="28">
        <f t="shared" si="16"/>
        <v>-7.4907149331391309E-3</v>
      </c>
      <c r="T62" s="4"/>
      <c r="U62" s="26">
        <f>F62/Profitability!F36</f>
        <v>9.0726219893184745E-2</v>
      </c>
      <c r="V62" s="26">
        <f>G62/Profitability!G36</f>
        <v>0.11952091341165774</v>
      </c>
      <c r="W62" s="26">
        <f>H62/Profitability!H36</f>
        <v>0.12323836857239608</v>
      </c>
      <c r="X62" s="26">
        <f>I62/Profitability!I36</f>
        <v>9.8742954166487387E-2</v>
      </c>
      <c r="Y62" s="26">
        <f>J62/Profitability!J36</f>
        <v>0.10097744972534646</v>
      </c>
      <c r="Z62" s="26">
        <f>K62/Profitability!K36</f>
        <v>0.10179832215283607</v>
      </c>
      <c r="AA62" s="28">
        <f t="shared" si="43"/>
        <v>0.10050624201488996</v>
      </c>
    </row>
    <row r="63" spans="1:27" ht="17" x14ac:dyDescent="0.2">
      <c r="A63" s="5" t="s">
        <v>8</v>
      </c>
      <c r="B63" s="25">
        <f t="shared" ref="B63:E63" si="76">SUM(B48:B62)</f>
        <v>1347.532304669382</v>
      </c>
      <c r="C63" s="25">
        <f t="shared" si="76"/>
        <v>1728.1806201911654</v>
      </c>
      <c r="D63" s="25">
        <f t="shared" si="76"/>
        <v>1875.3934903251477</v>
      </c>
      <c r="E63" s="25">
        <f t="shared" si="76"/>
        <v>2000.690227765903</v>
      </c>
      <c r="F63" s="25">
        <f t="shared" ref="F63:J63" si="77">SUM(F48:F62)</f>
        <v>9246.3751473153134</v>
      </c>
      <c r="G63" s="25">
        <f t="shared" si="77"/>
        <v>9625.6278958016701</v>
      </c>
      <c r="H63" s="25">
        <f t="shared" si="77"/>
        <v>10307.60552791583</v>
      </c>
      <c r="I63" s="25">
        <f t="shared" si="77"/>
        <v>11022.402120077424</v>
      </c>
      <c r="J63" s="25">
        <f t="shared" si="77"/>
        <v>11584.903478926779</v>
      </c>
      <c r="K63" s="25">
        <f>SUM(K48:K62)</f>
        <v>11709.333010181424</v>
      </c>
      <c r="L63" s="4"/>
      <c r="M63" s="4"/>
      <c r="N63" s="8">
        <f t="shared" si="60"/>
        <v>4.1016370463453855E-2</v>
      </c>
      <c r="O63" s="8">
        <f t="shared" si="61"/>
        <v>7.0850196942644272E-2</v>
      </c>
      <c r="P63" s="8">
        <f t="shared" si="62"/>
        <v>6.9346521869286581E-2</v>
      </c>
      <c r="Q63" s="8">
        <f t="shared" si="63"/>
        <v>5.103255649009153E-2</v>
      </c>
      <c r="R63" s="8">
        <f t="shared" si="64"/>
        <v>1.074066188647893E-2</v>
      </c>
      <c r="S63" s="28">
        <f t="shared" si="16"/>
        <v>4.370658008195235E-2</v>
      </c>
      <c r="T63" s="4"/>
      <c r="U63" s="26">
        <f>F63/Profitability!F37</f>
        <v>0.11784397289769087</v>
      </c>
      <c r="V63" s="26">
        <f>G63/Profitability!G37</f>
        <v>0.11755885446890428</v>
      </c>
      <c r="W63" s="26">
        <f>H63/Profitability!H37</f>
        <v>0.12736486646214148</v>
      </c>
      <c r="X63" s="26">
        <f>I63/Profitability!I37</f>
        <v>0.12287276340826783</v>
      </c>
      <c r="Y63" s="26">
        <f>J63/Profitability!J37</f>
        <v>0.12120354436774339</v>
      </c>
      <c r="Z63" s="26">
        <f>K63/Profitability!K37</f>
        <v>0.1135559168061694</v>
      </c>
      <c r="AA63" s="28">
        <f t="shared" si="43"/>
        <v>0.11921074152739354</v>
      </c>
    </row>
    <row r="64" spans="1:27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28"/>
      <c r="T64" s="4"/>
      <c r="U64" s="4"/>
      <c r="V64" s="4"/>
      <c r="W64" s="4"/>
      <c r="X64" s="4"/>
      <c r="Y64" s="4"/>
      <c r="Z64" s="4"/>
      <c r="AA64" s="4"/>
    </row>
    <row r="65" spans="1:27" x14ac:dyDescent="0.2">
      <c r="A65" s="29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28"/>
      <c r="T65" s="4"/>
      <c r="U65" s="4"/>
      <c r="V65" s="4"/>
      <c r="W65" s="4"/>
      <c r="X65" s="4"/>
      <c r="Y65" s="4"/>
      <c r="Z65" s="4"/>
      <c r="AA65" s="4"/>
    </row>
    <row r="66" spans="1:27" ht="34" x14ac:dyDescent="0.2">
      <c r="A66" s="2" t="s">
        <v>51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28"/>
      <c r="T66" s="4"/>
      <c r="U66" s="4"/>
      <c r="V66" s="4"/>
      <c r="W66" s="4"/>
      <c r="X66" s="4"/>
      <c r="Y66" s="4"/>
      <c r="Z66" s="4"/>
      <c r="AA66" s="4"/>
    </row>
    <row r="67" spans="1:27" ht="17" x14ac:dyDescent="0.2">
      <c r="A67" s="2" t="s">
        <v>28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28"/>
      <c r="T67" s="4"/>
      <c r="U67" s="4"/>
      <c r="V67" s="4"/>
      <c r="W67" s="4"/>
      <c r="X67" s="4"/>
      <c r="Y67" s="4"/>
      <c r="Z67" s="4"/>
      <c r="AA67" s="4"/>
    </row>
    <row r="68" spans="1:27" ht="17" x14ac:dyDescent="0.2">
      <c r="A68" s="6" t="s">
        <v>1</v>
      </c>
      <c r="B68" s="24">
        <f>(SUM('[1]Statement of Income'!H$35:H$39)+'[1]Statement of Income'!H$41)/1000</f>
        <v>1838.242</v>
      </c>
      <c r="C68" s="24">
        <f>(SUM('[1]Statement of Income'!I$35:I$39)+'[1]Statement of Income'!I$41)/1000</f>
        <v>2186.2020000000002</v>
      </c>
      <c r="D68" s="24">
        <f>(SUM('[1]Statement of Income'!J$35:J$39)+'[1]Statement of Income'!J$41)/1000</f>
        <v>2579.0659999999998</v>
      </c>
      <c r="E68" s="24">
        <f>(SUM('[1]Statement of Income'!K$35:K$39)+'[1]Statement of Income'!K$41)/1000</f>
        <v>3280.0189999999998</v>
      </c>
      <c r="F68" s="24">
        <f>(SUM('[1]Statement of Income'!L$35:L$39)+'[1]Statement of Income'!L$41)/1000</f>
        <v>3594.0720000000001</v>
      </c>
      <c r="G68" s="24">
        <f>(SUM('[1]Statement of Income'!M$35:M$39)+'[1]Statement of Income'!M$41)/1000</f>
        <v>3699.5720000000001</v>
      </c>
      <c r="H68" s="24">
        <f>(SUM('[1]Statement of Income'!N$35:N$39)+'[1]Statement of Income'!N$41)/1000</f>
        <v>4028.9250000000002</v>
      </c>
      <c r="I68" s="24">
        <f>(SUM('[1]Statement of Income'!O$35:O$39)+'[1]Statement of Income'!O$41)/1000</f>
        <v>4337.9989999999998</v>
      </c>
      <c r="J68" s="24">
        <f>(SUM('[1]Statement of Income'!P$35:P$39)+'[1]Statement of Income'!P$41)/1000</f>
        <v>4906.5389999999998</v>
      </c>
      <c r="K68" s="24">
        <f>(SUM('[1]Statement of Income'!Q$35:Q$39)+'[1]Statement of Income'!Q$41)/1000</f>
        <v>5425.3590000000004</v>
      </c>
      <c r="L68" s="82">
        <f>K68/B68-1</f>
        <v>1.9513845293492373</v>
      </c>
      <c r="M68" s="4"/>
      <c r="N68" s="8">
        <f>G68/F68-1</f>
        <v>2.9353891630440332E-2</v>
      </c>
      <c r="O68" s="8">
        <f t="shared" ref="O68:O76" si="78">H68/G68-1</f>
        <v>8.9024622307661616E-2</v>
      </c>
      <c r="P68" s="8">
        <f t="shared" ref="P68:P76" si="79">I68/H68-1</f>
        <v>7.6713763596989226E-2</v>
      </c>
      <c r="Q68" s="8">
        <f t="shared" ref="Q68:Q79" si="80">J68/I68-1</f>
        <v>0.1310604267082589</v>
      </c>
      <c r="R68" s="8">
        <f t="shared" ref="R68:R79" si="81">K68/J68-1</f>
        <v>0.10574052300409731</v>
      </c>
      <c r="S68" s="28">
        <f t="shared" ref="S68:S99" si="82">AVERAGE(P68:R68)</f>
        <v>0.10450490443644848</v>
      </c>
      <c r="T68" s="4"/>
      <c r="U68" s="26">
        <f>F68/Profitability!F5</f>
        <v>0.73876094552929084</v>
      </c>
      <c r="V68" s="26">
        <f>G68/Profitability!G5</f>
        <v>0.66224984421902677</v>
      </c>
      <c r="W68" s="26">
        <f>H68/Profitability!H5</f>
        <v>0.67321159489452487</v>
      </c>
      <c r="X68" s="26">
        <f>I68/Profitability!I5</f>
        <v>0.57479315458030611</v>
      </c>
      <c r="Y68" s="26">
        <f>J68/Profitability!J5</f>
        <v>0.56823818724831066</v>
      </c>
      <c r="Z68" s="26">
        <f>K68/Profitability!K5</f>
        <v>0.5495899418628033</v>
      </c>
      <c r="AA68" s="28">
        <f t="shared" ref="AA68:AA79" si="83">AVERAGE(X68:Z68)</f>
        <v>0.56420709456380669</v>
      </c>
    </row>
    <row r="69" spans="1:27" ht="17" x14ac:dyDescent="0.2">
      <c r="A69" s="6" t="s">
        <v>2</v>
      </c>
      <c r="B69" s="24"/>
      <c r="C69" s="24"/>
      <c r="D69" s="24"/>
      <c r="E69" s="24">
        <f>SUM('[2]Statement of Operations'!A$14:A$16)/1000</f>
        <v>0</v>
      </c>
      <c r="F69" s="24">
        <f>SUM('[2]Statement of Operations'!B$14:B$16)/1000</f>
        <v>409.18799999999999</v>
      </c>
      <c r="G69" s="24">
        <f>SUM('[2]Statement of Operations'!C$14:C$16)/1000</f>
        <v>386.5</v>
      </c>
      <c r="H69" s="24">
        <f>SUM('[2]Statement of Operations'!D$14:D$16)/1000</f>
        <v>392.476</v>
      </c>
      <c r="I69" s="24">
        <f>SUM('[2]Statement of Operations'!E$14:E$16)/1000</f>
        <v>404.30399999999997</v>
      </c>
      <c r="J69" s="24">
        <f>SUM('[2]Statement of Operations'!F$14:F$16)/1000</f>
        <v>410.86099999999999</v>
      </c>
      <c r="K69" s="24">
        <f>SUM('[2]Statement of Operations'!G$14:G$16)/1000</f>
        <v>430.42200000000003</v>
      </c>
      <c r="L69" s="82">
        <f>K69/F69-1</f>
        <v>5.189301739053942E-2</v>
      </c>
      <c r="M69" s="4"/>
      <c r="N69" s="8">
        <f t="shared" ref="N69:N76" si="84">G69/F69-1</f>
        <v>-5.5446396277505694E-2</v>
      </c>
      <c r="O69" s="8">
        <f t="shared" si="78"/>
        <v>1.5461836998706291E-2</v>
      </c>
      <c r="P69" s="8">
        <f t="shared" si="79"/>
        <v>3.0136874611441211E-2</v>
      </c>
      <c r="Q69" s="8">
        <f t="shared" si="80"/>
        <v>1.6217994380466116E-2</v>
      </c>
      <c r="R69" s="8">
        <f t="shared" si="81"/>
        <v>4.7609775568866475E-2</v>
      </c>
      <c r="S69" s="28">
        <f t="shared" si="82"/>
        <v>3.1321548186924598E-2</v>
      </c>
      <c r="T69" s="4"/>
      <c r="U69" s="26">
        <f>F69/Profitability!F6</f>
        <v>0.6493202724940057</v>
      </c>
      <c r="V69" s="26">
        <f>G69/Profitability!G6</f>
        <v>0.71390441992726117</v>
      </c>
      <c r="W69" s="26">
        <f>H69/Profitability!H6</f>
        <v>1.3599071395159472</v>
      </c>
      <c r="X69" s="26">
        <f>I69/Profitability!I6</f>
        <v>1.0153952794506924</v>
      </c>
      <c r="Y69" s="26">
        <f>J69/Profitability!J6</f>
        <v>0.90016410000241009</v>
      </c>
      <c r="Z69" s="26">
        <f>K69/Profitability!K6</f>
        <v>0.92778958531822164</v>
      </c>
      <c r="AA69" s="28">
        <f t="shared" si="83"/>
        <v>0.94778298825710794</v>
      </c>
    </row>
    <row r="70" spans="1:27" ht="17" x14ac:dyDescent="0.2">
      <c r="A70" s="6" t="s">
        <v>3</v>
      </c>
      <c r="B70" s="24"/>
      <c r="C70" s="24"/>
      <c r="D70" s="24"/>
      <c r="E70" s="24">
        <f>SUM('[3]Results of Operations'!A$7:A$11)</f>
        <v>0</v>
      </c>
      <c r="F70" s="24">
        <f>SUM('[3]Results of Operations'!B$7:B$11)</f>
        <v>6015</v>
      </c>
      <c r="G70" s="24">
        <f>SUM('[3]Results of Operations'!C$7:C$11)</f>
        <v>6015.2999999999993</v>
      </c>
      <c r="H70" s="24">
        <f>SUM('[3]Results of Operations'!D$7:D$11)</f>
        <v>6228.2</v>
      </c>
      <c r="I70" s="24">
        <f>SUM('[3]Results of Operations'!E$7:E$11)</f>
        <v>6996.8000000000011</v>
      </c>
      <c r="J70" s="24">
        <f>SUM('[3]Results of Operations'!F$7:F$11)</f>
        <v>7322.2000000000007</v>
      </c>
      <c r="K70" s="24">
        <f>SUM('[3]Results of Operations'!G$7:G$11)</f>
        <v>7012.9</v>
      </c>
      <c r="L70" s="82">
        <f t="shared" ref="L70:L76" si="85">K70/F70-1</f>
        <v>0.16590191188694914</v>
      </c>
      <c r="M70" s="4"/>
      <c r="N70" s="8">
        <f t="shared" si="84"/>
        <v>4.9875311720626314E-5</v>
      </c>
      <c r="O70" s="8">
        <f t="shared" si="78"/>
        <v>3.5393080976842572E-2</v>
      </c>
      <c r="P70" s="8">
        <f t="shared" si="79"/>
        <v>0.12340644166854009</v>
      </c>
      <c r="Q70" s="8">
        <f t="shared" si="80"/>
        <v>4.6506974616967733E-2</v>
      </c>
      <c r="R70" s="8">
        <f t="shared" si="81"/>
        <v>-4.2241402857065014E-2</v>
      </c>
      <c r="S70" s="28">
        <f t="shared" si="82"/>
        <v>4.2557337809480934E-2</v>
      </c>
      <c r="T70" s="4"/>
      <c r="U70" s="26">
        <f>F70/Profitability!F7</f>
        <v>0.744421479932179</v>
      </c>
      <c r="V70" s="26">
        <f>G70/Profitability!G7</f>
        <v>0.7068175408911449</v>
      </c>
      <c r="W70" s="26">
        <f>H70/Profitability!H7</f>
        <v>0.79778144974317589</v>
      </c>
      <c r="X70" s="26">
        <f>I70/Profitability!I7</f>
        <v>0.97230444268423188</v>
      </c>
      <c r="Y70" s="26">
        <f>J70/Profitability!J7</f>
        <v>0.76035306334371766</v>
      </c>
      <c r="Z70" s="26">
        <f>K70/Profitability!K7</f>
        <v>0.66867217147542857</v>
      </c>
      <c r="AA70" s="28">
        <f t="shared" si="83"/>
        <v>0.80044322583445926</v>
      </c>
    </row>
    <row r="71" spans="1:27" ht="17" x14ac:dyDescent="0.2">
      <c r="A71" s="6" t="s">
        <v>4</v>
      </c>
      <c r="B71" s="24"/>
      <c r="C71" s="24"/>
      <c r="D71" s="24"/>
      <c r="E71" s="24"/>
      <c r="F71" s="24">
        <f>(SUM('[4]Statement of Operations'!B$27:B$30)+'[4]Statement of Operations'!B$32)</f>
        <v>14610</v>
      </c>
      <c r="G71" s="24">
        <f>(SUM('[4]Statement of Operations'!C$27:C$30)+'[4]Statement of Operations'!C$32)</f>
        <v>14382</v>
      </c>
      <c r="H71" s="24">
        <f>(SUM('[4]Statement of Operations'!D$27:D$30)+'[4]Statement of Operations'!D$32)</f>
        <v>14247</v>
      </c>
      <c r="I71" s="24">
        <f>(SUM('[4]Statement of Operations'!E$27:E$30)+'[4]Statement of Operations'!E$32)</f>
        <v>15728</v>
      </c>
      <c r="J71" s="24">
        <f>(SUM('[4]Statement of Operations'!F$27:F$30)+'[4]Statement of Operations'!F$32)</f>
        <v>15330</v>
      </c>
      <c r="K71" s="24">
        <f>(SUM('[4]Statement of Operations'!G$27:G$30)+'[4]Statement of Operations'!G$32)</f>
        <v>16183</v>
      </c>
      <c r="L71" s="82">
        <f t="shared" si="85"/>
        <v>0.10766598220396983</v>
      </c>
      <c r="M71" s="4"/>
      <c r="N71" s="8">
        <f t="shared" si="84"/>
        <v>-1.5605749486652942E-2</v>
      </c>
      <c r="O71" s="8">
        <f t="shared" si="78"/>
        <v>-9.386733416770987E-3</v>
      </c>
      <c r="P71" s="8">
        <f t="shared" si="79"/>
        <v>0.10395170913174701</v>
      </c>
      <c r="Q71" s="8">
        <f t="shared" si="80"/>
        <v>-2.530518819938965E-2</v>
      </c>
      <c r="R71" s="8">
        <f t="shared" si="81"/>
        <v>5.564253098499683E-2</v>
      </c>
      <c r="S71" s="28">
        <f t="shared" si="82"/>
        <v>4.4763017305784726E-2</v>
      </c>
      <c r="T71" s="4"/>
      <c r="U71" s="26">
        <f>F71/Profitability!F8</f>
        <v>0.6872706745695738</v>
      </c>
      <c r="V71" s="26">
        <f>G71/Profitability!G8</f>
        <v>0.67315703252983849</v>
      </c>
      <c r="W71" s="26">
        <f>H71/Profitability!H8</f>
        <v>0.74172219908371517</v>
      </c>
      <c r="X71" s="26">
        <f>I71/Profitability!I8</f>
        <v>0.67725961331438655</v>
      </c>
      <c r="Y71" s="26">
        <f>J71/Profitability!J8</f>
        <v>0.66126040633222616</v>
      </c>
      <c r="Z71" s="26">
        <f>K71/Profitability!K8</f>
        <v>0.63477681022985799</v>
      </c>
      <c r="AA71" s="28">
        <f t="shared" si="83"/>
        <v>0.65776560995882349</v>
      </c>
    </row>
    <row r="72" spans="1:27" ht="17" x14ac:dyDescent="0.2">
      <c r="A72" s="6" t="s">
        <v>5</v>
      </c>
      <c r="B72" s="24"/>
      <c r="C72" s="24"/>
      <c r="D72" s="24"/>
      <c r="E72" s="24">
        <f>SUM('[5]Statement of Operations'!A$11:A$14)</f>
        <v>0</v>
      </c>
      <c r="F72" s="24">
        <f>SUM('[5]Statement of Operations'!B$11:B$14)</f>
        <v>3454</v>
      </c>
      <c r="G72" s="24">
        <f>SUM('[5]Statement of Operations'!C$11:C$14)</f>
        <v>3617</v>
      </c>
      <c r="H72" s="24">
        <f>SUM('[5]Statement of Operations'!D$11:D$14)</f>
        <v>3402</v>
      </c>
      <c r="I72" s="24">
        <f>SUM('[5]Statement of Operations'!E$11:E$14)</f>
        <v>3849</v>
      </c>
      <c r="J72" s="24">
        <f>SUM('[5]Statement of Operations'!F$11:F$14)</f>
        <v>4538</v>
      </c>
      <c r="K72" s="24">
        <f>SUM('[5]Statement of Operations'!G$11:G$14)</f>
        <v>4924</v>
      </c>
      <c r="L72" s="82">
        <f t="shared" si="85"/>
        <v>0.42559351476548923</v>
      </c>
      <c r="M72" s="4"/>
      <c r="N72" s="8">
        <f t="shared" si="84"/>
        <v>4.7191661841343269E-2</v>
      </c>
      <c r="O72" s="8">
        <f t="shared" si="78"/>
        <v>-5.9441526126624233E-2</v>
      </c>
      <c r="P72" s="8">
        <f t="shared" si="79"/>
        <v>0.1313932980599648</v>
      </c>
      <c r="Q72" s="8">
        <f t="shared" si="80"/>
        <v>0.17900753442452588</v>
      </c>
      <c r="R72" s="8">
        <f t="shared" si="81"/>
        <v>8.5059497576024601E-2</v>
      </c>
      <c r="S72" s="28">
        <f t="shared" si="82"/>
        <v>0.13182011002017177</v>
      </c>
      <c r="T72" s="4"/>
      <c r="U72" s="26">
        <f>F72/Profitability!F9</f>
        <v>0.64476386036960986</v>
      </c>
      <c r="V72" s="26">
        <f>G72/Profitability!G9</f>
        <v>0.64554702837765487</v>
      </c>
      <c r="W72" s="26">
        <f>H72/Profitability!H9</f>
        <v>0.68478260869565222</v>
      </c>
      <c r="X72" s="26">
        <f>I72/Profitability!I9</f>
        <v>0.67067433350757977</v>
      </c>
      <c r="Y72" s="26">
        <f>J72/Profitability!J9</f>
        <v>0.69761721752498074</v>
      </c>
      <c r="Z72" s="26">
        <f>K72/Profitability!K9</f>
        <v>0.7012247223013387</v>
      </c>
      <c r="AA72" s="28">
        <f t="shared" si="83"/>
        <v>0.68983875777796644</v>
      </c>
    </row>
    <row r="73" spans="1:27" ht="17" x14ac:dyDescent="0.2">
      <c r="A73" s="6" t="s">
        <v>6</v>
      </c>
      <c r="B73" s="24">
        <f>([6]SBUX!J$33+[6]SBUX!J$36+[6]SBUX!J$38)</f>
        <v>12206.884304669382</v>
      </c>
      <c r="C73" s="24">
        <f>([6]SBUX!K$33+[6]SBUX!K$36+[6]SBUX!K$38)</f>
        <v>14092.798620191164</v>
      </c>
      <c r="D73" s="24">
        <f>([6]SBUX!L$33+[6]SBUX!L$36+[6]SBUX!L$38)</f>
        <v>15556.509490325148</v>
      </c>
      <c r="E73" s="24">
        <f>([6]SBUX!M$33+[6]SBUX!M$36+[6]SBUX!M$38)</f>
        <v>16543.311227765902</v>
      </c>
      <c r="F73" s="24">
        <f>([6]SBUX!N$33+[6]SBUX!N$36+[6]SBUX!N$38)</f>
        <v>18650.206147315315</v>
      </c>
      <c r="G73" s="24">
        <f>([6]SBUX!O$33+[6]SBUX!O$36+[6]SBUX!O$38)</f>
        <v>20398.094895801671</v>
      </c>
      <c r="H73" s="24">
        <f>([6]SBUX!P$33+[6]SBUX!P$36+[6]SBUX!P$38)</f>
        <v>19890.464527915832</v>
      </c>
      <c r="I73" s="24">
        <f>([6]SBUX!Q$33+[6]SBUX!Q$36+[6]SBUX!Q$38)</f>
        <v>22110.662120077421</v>
      </c>
      <c r="J73" s="24">
        <f>([6]SBUX!R$33+[6]SBUX!R$36+[6]SBUX!R$38)</f>
        <v>25327.354478926776</v>
      </c>
      <c r="K73" s="24">
        <f>([6]SBUX!S$33+[6]SBUX!S$36+[6]SBUX!S$38)</f>
        <v>27492.274010181423</v>
      </c>
      <c r="L73" s="82">
        <f t="shared" ref="L73:L79" si="86">K73/B73-1</f>
        <v>1.2521941982906375</v>
      </c>
      <c r="M73" s="4"/>
      <c r="N73" s="8">
        <f t="shared" si="84"/>
        <v>9.3719540399716417E-2</v>
      </c>
      <c r="O73" s="8">
        <f t="shared" si="78"/>
        <v>-2.4886165618845046E-2</v>
      </c>
      <c r="P73" s="8">
        <f t="shared" si="79"/>
        <v>0.11162120367000927</v>
      </c>
      <c r="Q73" s="8">
        <f t="shared" si="80"/>
        <v>0.14548150305858387</v>
      </c>
      <c r="R73" s="8">
        <f t="shared" si="81"/>
        <v>8.5477523246888509E-2</v>
      </c>
      <c r="S73" s="28">
        <f t="shared" si="82"/>
        <v>0.11419340999182721</v>
      </c>
      <c r="T73" s="4"/>
      <c r="U73" s="26">
        <f>F73/Profitability!F10</f>
        <v>0.63600484747358188</v>
      </c>
      <c r="V73" s="26">
        <f>G73/Profitability!G10</f>
        <v>0.65261373482856633</v>
      </c>
      <c r="W73" s="26">
        <f>H73/Profitability!H10</f>
        <v>0.6090160602546183</v>
      </c>
      <c r="X73" s="26">
        <f>I73/Profitability!I10</f>
        <v>0.65352354565298443</v>
      </c>
      <c r="Y73" s="26">
        <f>J73/Profitability!J10</f>
        <v>0.7092311746780201</v>
      </c>
      <c r="Z73" s="26">
        <f>K73/Profitability!K10</f>
        <v>0.72275813686790635</v>
      </c>
      <c r="AA73" s="28">
        <f t="shared" si="83"/>
        <v>0.69517095239963689</v>
      </c>
    </row>
    <row r="74" spans="1:27" ht="17" x14ac:dyDescent="0.2">
      <c r="A74" s="6" t="s">
        <v>7</v>
      </c>
      <c r="B74" s="24"/>
      <c r="C74" s="24"/>
      <c r="D74" s="24"/>
      <c r="E74" s="24">
        <f>SUM('[7]Statement of Income'!A$10:A$13)</f>
        <v>0</v>
      </c>
      <c r="F74" s="24">
        <f>SUM('[7]Statement of Income'!B$10:B$13)</f>
        <v>3925</v>
      </c>
      <c r="G74" s="24">
        <f>SUM('[7]Statement of Income'!C$10:C$13)</f>
        <v>3700</v>
      </c>
      <c r="H74" s="24">
        <f>SUM('[7]Statement of Income'!D$10:D$13)</f>
        <v>4029</v>
      </c>
      <c r="I74" s="24">
        <f>SUM('[7]Statement of Income'!E$10:E$13)</f>
        <v>4478</v>
      </c>
      <c r="J74" s="24">
        <f>SUM('[7]Statement of Income'!F$10:F$13)</f>
        <v>4675</v>
      </c>
      <c r="K74" s="24">
        <f>SUM('[7]Statement of Income'!G$10:G$13)</f>
        <v>4773</v>
      </c>
      <c r="L74" s="82">
        <f t="shared" si="85"/>
        <v>0.21605095541401265</v>
      </c>
      <c r="M74" s="4"/>
      <c r="N74" s="8">
        <f t="shared" si="84"/>
        <v>-5.7324840764331197E-2</v>
      </c>
      <c r="O74" s="8">
        <f t="shared" si="78"/>
        <v>8.891891891891901E-2</v>
      </c>
      <c r="P74" s="8">
        <f t="shared" si="79"/>
        <v>0.11144204517249934</v>
      </c>
      <c r="Q74" s="8">
        <f t="shared" si="80"/>
        <v>4.3992853952657507E-2</v>
      </c>
      <c r="R74" s="8">
        <f t="shared" si="81"/>
        <v>2.0962566844919817E-2</v>
      </c>
      <c r="S74" s="28">
        <f t="shared" si="82"/>
        <v>5.8799155323358887E-2</v>
      </c>
      <c r="T74" s="4"/>
      <c r="U74" s="26">
        <f>F74/Profitability!F11</f>
        <v>0.69004922644163147</v>
      </c>
      <c r="V74" s="26">
        <f>G74/Profitability!G11</f>
        <v>0.66106842951581202</v>
      </c>
      <c r="W74" s="26">
        <f>H74/Profitability!H11</f>
        <v>0.71284501061571126</v>
      </c>
      <c r="X74" s="26">
        <f>I74/Profitability!I11</f>
        <v>0.68013365735115427</v>
      </c>
      <c r="Y74" s="26">
        <f>J74/Profitability!J11</f>
        <v>0.68327974276527326</v>
      </c>
      <c r="Z74" s="26">
        <f>K74/Profitability!K11</f>
        <v>0.67453363482193329</v>
      </c>
      <c r="AA74" s="28">
        <f t="shared" si="83"/>
        <v>0.67931567831278683</v>
      </c>
    </row>
    <row r="75" spans="1:27" ht="17" x14ac:dyDescent="0.2">
      <c r="A75" s="6" t="s">
        <v>34</v>
      </c>
      <c r="B75" s="24">
        <f>(SUM('[8]Statement of Income'!B$9:B$13)+'[8]Statement of Income'!B$15)/1000</f>
        <v>0</v>
      </c>
      <c r="C75" s="24">
        <f>(SUM('[8]Statement of Income'!C$9:C$13)+'[8]Statement of Income'!C$15)/1000</f>
        <v>173.6</v>
      </c>
      <c r="D75" s="24">
        <f>(SUM('[8]Statement of Income'!D$9:D$13)+'[8]Statement of Income'!D$15)/1000</f>
        <v>226.13399999999999</v>
      </c>
      <c r="E75" s="24">
        <f>(SUM('[8]Statement of Income'!E$9:E$13)+'[8]Statement of Income'!E$15)/1000</f>
        <v>302.685</v>
      </c>
      <c r="F75" s="24">
        <f>(SUM('[8]Statement of Income'!F$9:F$13)+'[8]Statement of Income'!F$15)/1000</f>
        <v>397.68200000000002</v>
      </c>
      <c r="G75" s="24">
        <f>(SUM('[8]Statement of Income'!G$9:G$13)+'[8]Statement of Income'!G$15)/1000</f>
        <v>527.09</v>
      </c>
      <c r="H75" s="24">
        <f>(SUM('[8]Statement of Income'!H$9:H$13)+'[8]Statement of Income'!H$15)/1000</f>
        <v>507.791</v>
      </c>
      <c r="I75" s="24">
        <f>(SUM('[8]Statement of Income'!I$9:I$13)+'[8]Statement of Income'!I$15)/1000</f>
        <v>695.12300000000005</v>
      </c>
      <c r="J75" s="24">
        <f>(SUM('[8]Statement of Income'!J$9:J$13)+'[8]Statement of Income'!J$15)/1000</f>
        <v>852.15899999999999</v>
      </c>
      <c r="K75" s="24">
        <f>(SUM('[8]Statement of Income'!K$9:K$13)+'[8]Statement of Income'!K$15)/1000</f>
        <v>987.36300000000006</v>
      </c>
      <c r="L75" s="82">
        <f>K75/C75-1</f>
        <v>4.6875748847926273</v>
      </c>
      <c r="M75" s="4"/>
      <c r="N75" s="8">
        <f t="shared" si="84"/>
        <v>0.32540572618323194</v>
      </c>
      <c r="O75" s="8">
        <f t="shared" si="78"/>
        <v>-3.6614240452294777E-2</v>
      </c>
      <c r="P75" s="8">
        <f t="shared" si="79"/>
        <v>0.36891555777869245</v>
      </c>
      <c r="Q75" s="8">
        <f t="shared" si="80"/>
        <v>0.2259110977481682</v>
      </c>
      <c r="R75" s="8">
        <f t="shared" si="81"/>
        <v>0.15866053166134497</v>
      </c>
      <c r="S75" s="28">
        <f t="shared" si="82"/>
        <v>0.25116239572940185</v>
      </c>
      <c r="T75" s="4"/>
      <c r="U75" s="26">
        <f>F75/Profitability!F12</f>
        <v>0.86582482419281104</v>
      </c>
      <c r="V75" s="26">
        <f>G75/Profitability!G12</f>
        <v>0.88658226229943871</v>
      </c>
      <c r="W75" s="26">
        <f>H75/Profitability!H12</f>
        <v>0.97116666379786831</v>
      </c>
      <c r="X75" s="26">
        <f>I75/Profitability!I12</f>
        <v>0.93949125076193452</v>
      </c>
      <c r="Y75" s="26">
        <f>J75/Profitability!J12</f>
        <v>0.9463323138838361</v>
      </c>
      <c r="Z75" s="26">
        <f>K75/Profitability!K12</f>
        <v>0.9078924501601332</v>
      </c>
      <c r="AA75" s="28">
        <f t="shared" si="83"/>
        <v>0.93123867160196794</v>
      </c>
    </row>
    <row r="76" spans="1:27" ht="17" x14ac:dyDescent="0.2">
      <c r="A76" s="6" t="s">
        <v>31</v>
      </c>
      <c r="B76" s="24"/>
      <c r="C76" s="24"/>
      <c r="D76" s="24"/>
      <c r="E76" s="24"/>
      <c r="F76" s="24">
        <f>('[9]Statement of Income'!B$15+SUM('[9]Statement of Income'!B$17:B$18))</f>
        <v>2861.2</v>
      </c>
      <c r="G76" s="24">
        <f>('[9]Statement of Income'!C$15+SUM('[9]Statement of Income'!C$17:C$18))</f>
        <v>2989.3999999999996</v>
      </c>
      <c r="H76" s="24">
        <f>('[9]Statement of Income'!D$15+SUM('[9]Statement of Income'!D$17:D$18))</f>
        <v>3391.7</v>
      </c>
      <c r="I76" s="24">
        <f>('[9]Statement of Income'!E$15+SUM('[9]Statement of Income'!E$17:E$18))</f>
        <v>3576.8999999999996</v>
      </c>
      <c r="J76" s="24">
        <f>('[9]Statement of Income'!F$15+SUM('[9]Statement of Income'!F$17:F$18))</f>
        <v>3790.3</v>
      </c>
      <c r="K76" s="24">
        <f>('[9]Statement of Income'!G$15+SUM('[9]Statement of Income'!G$17:G$18))</f>
        <v>3659.8</v>
      </c>
      <c r="L76" s="82">
        <f t="shared" si="85"/>
        <v>0.27911365860478132</v>
      </c>
      <c r="M76" s="4"/>
      <c r="N76" s="8">
        <f t="shared" si="84"/>
        <v>4.4806374947574445E-2</v>
      </c>
      <c r="O76" s="8">
        <f t="shared" si="78"/>
        <v>0.13457550010035457</v>
      </c>
      <c r="P76" s="8">
        <f t="shared" si="79"/>
        <v>5.4603885956894693E-2</v>
      </c>
      <c r="Q76" s="8">
        <f t="shared" si="80"/>
        <v>5.966059996086015E-2</v>
      </c>
      <c r="R76" s="8">
        <f t="shared" si="81"/>
        <v>-3.4429992348890548E-2</v>
      </c>
      <c r="S76" s="28">
        <f t="shared" si="82"/>
        <v>2.6611497856288097E-2</v>
      </c>
      <c r="T76" s="4"/>
      <c r="U76" s="26">
        <f>F76/Profitability!F13</f>
        <v>0.83348869727336283</v>
      </c>
      <c r="V76" s="26">
        <f>G76/Profitability!G13</f>
        <v>0.82607494196971354</v>
      </c>
      <c r="W76" s="26">
        <f>H76/Profitability!H13</f>
        <v>0.82372799028536725</v>
      </c>
      <c r="X76" s="26">
        <f>I76/Profitability!I13</f>
        <v>0.82087942350943222</v>
      </c>
      <c r="Y76" s="26">
        <f>J76/Profitability!J13</f>
        <v>0.83540146789799663</v>
      </c>
      <c r="Z76" s="26">
        <f>K76/Profitability!K13</f>
        <v>0.81702906639282036</v>
      </c>
      <c r="AA76" s="28">
        <f t="shared" si="83"/>
        <v>0.82443665260008314</v>
      </c>
    </row>
    <row r="77" spans="1:27" ht="17" x14ac:dyDescent="0.2">
      <c r="A77" s="6" t="s">
        <v>33</v>
      </c>
      <c r="B77" s="24"/>
      <c r="C77" s="24"/>
      <c r="D77" s="24"/>
      <c r="E77" s="24"/>
      <c r="F77" s="24"/>
      <c r="G77" s="24"/>
      <c r="H77" s="24"/>
      <c r="I77" s="24">
        <f>('[10]Statement of Operations'!B$14+'[10]Statement of Operations'!B$21+SUM('[10]Statement of Operations'!B$23:B$24))/1000</f>
        <v>497.74400000000003</v>
      </c>
      <c r="J77" s="24">
        <f>('[10]Statement of Operations'!C$14+'[10]Statement of Operations'!C$21+SUM('[10]Statement of Operations'!C$23:C$24))/1000</f>
        <v>561.40800000000002</v>
      </c>
      <c r="K77" s="24">
        <f>('[10]Statement of Operations'!D$14+'[10]Statement of Operations'!D$21+SUM('[10]Statement of Operations'!D$23:D$24))/1000</f>
        <v>671.64300000000003</v>
      </c>
      <c r="L77" s="82">
        <f>K77/I77-1</f>
        <v>0.34937437718988074</v>
      </c>
      <c r="M77" s="4"/>
      <c r="N77" s="8"/>
      <c r="O77" s="8"/>
      <c r="P77" s="8"/>
      <c r="Q77" s="8">
        <f t="shared" si="80"/>
        <v>0.1279051078466038</v>
      </c>
      <c r="R77" s="8">
        <f t="shared" si="81"/>
        <v>0.19635452291381661</v>
      </c>
      <c r="S77" s="28">
        <f t="shared" si="82"/>
        <v>0.16212981538021021</v>
      </c>
      <c r="T77" s="4"/>
      <c r="U77" s="26"/>
      <c r="V77" s="26"/>
      <c r="W77" s="26"/>
      <c r="X77" s="26">
        <f>I77/Profitability!I14</f>
        <v>0.9953446703674671</v>
      </c>
      <c r="Y77" s="26">
        <f>J77/Profitability!J14</f>
        <v>0.99519427638494717</v>
      </c>
      <c r="Z77" s="26">
        <f>K77/Profitability!K14</f>
        <v>0.92170028818443805</v>
      </c>
      <c r="AA77" s="28">
        <f t="shared" si="83"/>
        <v>0.97074641164561737</v>
      </c>
    </row>
    <row r="78" spans="1:27" ht="17" x14ac:dyDescent="0.2">
      <c r="A78" s="6" t="s">
        <v>36</v>
      </c>
      <c r="B78" s="24">
        <f>SUM('[11]Statement of Operations'!B$11:B$15)/1000</f>
        <v>1439.575</v>
      </c>
      <c r="C78" s="24">
        <f>SUM('[11]Statement of Operations'!C$11:C$15)/1000</f>
        <v>1460.761</v>
      </c>
      <c r="D78" s="24">
        <f>SUM('[11]Statement of Operations'!D$11:D$15)/1000</f>
        <v>1518.3320000000001</v>
      </c>
      <c r="E78" s="24">
        <f>SUM('[11]Statement of Operations'!E$11:E$15)/1000</f>
        <v>1587</v>
      </c>
      <c r="F78" s="24">
        <f>SUM('[11]Statement of Operations'!F$11:F$15)/1000</f>
        <v>1584.626</v>
      </c>
      <c r="G78" s="24">
        <f>SUM('[11]Statement of Operations'!G$11:G$15)/1000</f>
        <v>1552.171</v>
      </c>
      <c r="H78" s="24">
        <f>SUM('[11]Statement of Operations'!H$11:H$15)/1000</f>
        <v>1673.2760000000001</v>
      </c>
      <c r="I78" s="24">
        <f>SUM('[11]Statement of Operations'!I$11:I$15)/1000</f>
        <v>1851.364</v>
      </c>
      <c r="J78" s="24">
        <f>SUM('[11]Statement of Operations'!J$11:J$15)/1000</f>
        <v>1928.9760000000001</v>
      </c>
      <c r="K78" s="24">
        <f>SUM('[11]Statement of Operations'!K$11:K$15)/1000</f>
        <v>1924.481</v>
      </c>
      <c r="L78" s="82">
        <f t="shared" si="86"/>
        <v>0.33683969227028809</v>
      </c>
      <c r="M78" s="4"/>
      <c r="N78" s="8">
        <f t="shared" ref="N78:N79" si="87">G78/F78-1</f>
        <v>-2.048117347563394E-2</v>
      </c>
      <c r="O78" s="8">
        <f t="shared" ref="O78:O79" si="88">H78/G78-1</f>
        <v>7.8022975561326646E-2</v>
      </c>
      <c r="P78" s="8">
        <f t="shared" ref="P78:P79" si="89">I78/H78-1</f>
        <v>0.10643073826433902</v>
      </c>
      <c r="Q78" s="8">
        <f t="shared" si="80"/>
        <v>4.1921523806231598E-2</v>
      </c>
      <c r="R78" s="8">
        <f t="shared" si="81"/>
        <v>-2.3302519056743742E-3</v>
      </c>
      <c r="S78" s="28">
        <f t="shared" si="82"/>
        <v>4.8674003388298748E-2</v>
      </c>
      <c r="T78" s="4"/>
      <c r="U78" s="26">
        <f>F78/Profitability!F15</f>
        <v>0.95294583885340467</v>
      </c>
      <c r="V78" s="26">
        <f>G78/Profitability!G15</f>
        <v>0.95857521516160593</v>
      </c>
      <c r="W78" s="26">
        <f>H78/Profitability!H15</f>
        <v>0.92281305115611123</v>
      </c>
      <c r="X78" s="26">
        <f>I78/Profitability!I15</f>
        <v>0.89506149860207385</v>
      </c>
      <c r="Y78" s="26">
        <f>J78/Profitability!J15</f>
        <v>0.91764104803618096</v>
      </c>
      <c r="Z78" s="26">
        <f>K78/Profitability!K15</f>
        <v>0.90109532507410861</v>
      </c>
      <c r="AA78" s="28">
        <f t="shared" si="83"/>
        <v>0.90459929057078792</v>
      </c>
    </row>
    <row r="79" spans="1:27" ht="17" x14ac:dyDescent="0.2">
      <c r="A79" s="5" t="s">
        <v>8</v>
      </c>
      <c r="B79" s="25">
        <f t="shared" ref="B79:E79" si="90">SUM(B68:B78)</f>
        <v>15484.701304669383</v>
      </c>
      <c r="C79" s="25">
        <f t="shared" si="90"/>
        <v>17913.361620191161</v>
      </c>
      <c r="D79" s="25">
        <f t="shared" si="90"/>
        <v>19880.041490325144</v>
      </c>
      <c r="E79" s="25">
        <f t="shared" si="90"/>
        <v>21713.015227765904</v>
      </c>
      <c r="F79" s="25">
        <f t="shared" ref="F79:J79" si="91">SUM(F68:F78)</f>
        <v>55500.974147315312</v>
      </c>
      <c r="G79" s="25">
        <f t="shared" si="91"/>
        <v>57267.12789580167</v>
      </c>
      <c r="H79" s="25">
        <f t="shared" si="91"/>
        <v>57790.832527915823</v>
      </c>
      <c r="I79" s="25">
        <f t="shared" si="91"/>
        <v>64525.896120077428</v>
      </c>
      <c r="J79" s="25">
        <f t="shared" si="91"/>
        <v>69642.797478926761</v>
      </c>
      <c r="K79" s="25">
        <f>SUM(K68:K78)</f>
        <v>73484.24201018142</v>
      </c>
      <c r="L79" s="82">
        <f t="shared" si="86"/>
        <v>3.7456028091431373</v>
      </c>
      <c r="M79" s="4"/>
      <c r="N79" s="8">
        <f t="shared" si="87"/>
        <v>3.1822031516032245E-2</v>
      </c>
      <c r="O79" s="8">
        <f t="shared" si="88"/>
        <v>9.1449432048877899E-3</v>
      </c>
      <c r="P79" s="8">
        <f t="shared" si="89"/>
        <v>0.1165420759236897</v>
      </c>
      <c r="Q79" s="8">
        <f t="shared" si="80"/>
        <v>7.9299965851341137E-2</v>
      </c>
      <c r="R79" s="8">
        <f t="shared" si="81"/>
        <v>5.5159250781346758E-2</v>
      </c>
      <c r="S79" s="28">
        <f t="shared" si="82"/>
        <v>8.3667097518792533E-2</v>
      </c>
      <c r="T79" s="4"/>
      <c r="U79" s="26">
        <f>F79/Profitability!F16</f>
        <v>0.6872567760138879</v>
      </c>
      <c r="V79" s="26">
        <f>G79/Profitability!G16</f>
        <v>0.67939205059336094</v>
      </c>
      <c r="W79" s="26">
        <f>H79/Profitability!H16</f>
        <v>0.6960927647133851</v>
      </c>
      <c r="X79" s="26">
        <f>I79/Profitability!I16</f>
        <v>0.69995239435313084</v>
      </c>
      <c r="Y79" s="26">
        <f>J79/Profitability!J16</f>
        <v>0.70299472585287903</v>
      </c>
      <c r="Z79" s="26">
        <f>K79/Profitability!K16</f>
        <v>0.68750934719864043</v>
      </c>
      <c r="AA79" s="28">
        <f t="shared" si="83"/>
        <v>0.69681882246821669</v>
      </c>
    </row>
    <row r="80" spans="1:27" ht="17" x14ac:dyDescent="0.2">
      <c r="A80" s="10" t="s">
        <v>10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4"/>
      <c r="M80" s="4"/>
      <c r="N80" s="4"/>
      <c r="O80" s="4"/>
      <c r="P80" s="4"/>
      <c r="Q80" s="4"/>
      <c r="R80" s="4"/>
      <c r="S80" s="28"/>
      <c r="T80" s="4"/>
      <c r="U80" s="4"/>
      <c r="V80" s="4"/>
      <c r="W80" s="4"/>
      <c r="X80" s="4"/>
      <c r="Y80" s="4"/>
      <c r="Z80" s="4"/>
      <c r="AA80" s="4"/>
    </row>
    <row r="81" spans="1:27" ht="17" x14ac:dyDescent="0.2">
      <c r="A81" s="6" t="s">
        <v>14</v>
      </c>
      <c r="B81" s="24">
        <f t="shared" ref="B81:E81" si="92">B68</f>
        <v>1838.242</v>
      </c>
      <c r="C81" s="24">
        <f t="shared" si="92"/>
        <v>2186.2020000000002</v>
      </c>
      <c r="D81" s="24">
        <f t="shared" si="92"/>
        <v>2579.0659999999998</v>
      </c>
      <c r="E81" s="24">
        <f t="shared" si="92"/>
        <v>3280.0189999999998</v>
      </c>
      <c r="F81" s="24">
        <f>F68</f>
        <v>3594.0720000000001</v>
      </c>
      <c r="G81" s="24">
        <f t="shared" ref="G81:K81" si="93">G68</f>
        <v>3699.5720000000001</v>
      </c>
      <c r="H81" s="24">
        <f t="shared" si="93"/>
        <v>4028.9250000000002</v>
      </c>
      <c r="I81" s="24">
        <f t="shared" si="93"/>
        <v>4337.9989999999998</v>
      </c>
      <c r="J81" s="24">
        <f t="shared" si="93"/>
        <v>4906.5389999999998</v>
      </c>
      <c r="K81" s="24">
        <f t="shared" si="93"/>
        <v>5425.3590000000004</v>
      </c>
      <c r="L81" s="4"/>
      <c r="M81" s="4"/>
      <c r="N81" s="8">
        <f>G81/F81-1</f>
        <v>2.9353891630440332E-2</v>
      </c>
      <c r="O81" s="8">
        <f t="shared" ref="O81:O86" si="94">H81/G81-1</f>
        <v>8.9024622307661616E-2</v>
      </c>
      <c r="P81" s="8">
        <f t="shared" ref="P81:P86" si="95">I81/H81-1</f>
        <v>7.6713763596989226E-2</v>
      </c>
      <c r="Q81" s="8">
        <f t="shared" ref="Q81:Q96" si="96">J81/I81-1</f>
        <v>0.1310604267082589</v>
      </c>
      <c r="R81" s="8">
        <f t="shared" ref="R81:R96" si="97">K81/J81-1</f>
        <v>0.10574052300409731</v>
      </c>
      <c r="S81" s="28">
        <f t="shared" si="82"/>
        <v>0.10450490443644848</v>
      </c>
      <c r="T81" s="4"/>
      <c r="U81" s="26">
        <f>F81/Profitability!F18</f>
        <v>0.73876094552929084</v>
      </c>
      <c r="V81" s="26">
        <f>G81/Profitability!G18</f>
        <v>0.66224984421902677</v>
      </c>
      <c r="W81" s="26">
        <f>H81/Profitability!H18</f>
        <v>0.67321159489452487</v>
      </c>
      <c r="X81" s="26">
        <f>I81/Profitability!I18</f>
        <v>0.57479315458030611</v>
      </c>
      <c r="Y81" s="26">
        <f>J81/Profitability!J18</f>
        <v>0.56823818724831066</v>
      </c>
      <c r="Z81" s="26">
        <f>K81/Profitability!K18</f>
        <v>0.5495899418628033</v>
      </c>
      <c r="AA81" s="28">
        <f t="shared" ref="AA81:AA99" si="98">AVERAGE(X81:Z81)</f>
        <v>0.56420709456380669</v>
      </c>
    </row>
    <row r="82" spans="1:27" ht="17" x14ac:dyDescent="0.2">
      <c r="A82" s="6" t="s">
        <v>15</v>
      </c>
      <c r="B82" s="24">
        <f t="shared" ref="B82:E82" si="99">B69</f>
        <v>0</v>
      </c>
      <c r="C82" s="24">
        <f t="shared" si="99"/>
        <v>0</v>
      </c>
      <c r="D82" s="24">
        <f t="shared" si="99"/>
        <v>0</v>
      </c>
      <c r="E82" s="24">
        <f t="shared" si="99"/>
        <v>0</v>
      </c>
      <c r="F82" s="24">
        <f>F69</f>
        <v>409.18799999999999</v>
      </c>
      <c r="G82" s="24">
        <f t="shared" ref="G82:K82" si="100">G69</f>
        <v>386.5</v>
      </c>
      <c r="H82" s="24">
        <f t="shared" si="100"/>
        <v>392.476</v>
      </c>
      <c r="I82" s="24">
        <f t="shared" si="100"/>
        <v>404.30399999999997</v>
      </c>
      <c r="J82" s="24">
        <f t="shared" si="100"/>
        <v>410.86099999999999</v>
      </c>
      <c r="K82" s="24">
        <f t="shared" si="100"/>
        <v>430.42200000000003</v>
      </c>
      <c r="L82" s="4"/>
      <c r="M82" s="4"/>
      <c r="N82" s="8">
        <f t="shared" ref="N82:N86" si="101">G82/F82-1</f>
        <v>-5.5446396277505694E-2</v>
      </c>
      <c r="O82" s="8">
        <f t="shared" si="94"/>
        <v>1.5461836998706291E-2</v>
      </c>
      <c r="P82" s="8">
        <f t="shared" si="95"/>
        <v>3.0136874611441211E-2</v>
      </c>
      <c r="Q82" s="8">
        <f t="shared" si="96"/>
        <v>1.6217994380466116E-2</v>
      </c>
      <c r="R82" s="8">
        <f t="shared" si="97"/>
        <v>4.7609775568866475E-2</v>
      </c>
      <c r="S82" s="28">
        <f t="shared" si="82"/>
        <v>3.1321548186924598E-2</v>
      </c>
      <c r="T82" s="4"/>
      <c r="U82" s="26">
        <f>F82/Profitability!F6</f>
        <v>0.6493202724940057</v>
      </c>
      <c r="V82" s="26">
        <f>G82/Profitability!G6</f>
        <v>0.71390441992726117</v>
      </c>
      <c r="W82" s="26">
        <f>H82/Profitability!H6</f>
        <v>1.3599071395159472</v>
      </c>
      <c r="X82" s="26">
        <f>I82/Profitability!I6</f>
        <v>1.0153952794506924</v>
      </c>
      <c r="Y82" s="26">
        <f>J82/Profitability!J6</f>
        <v>0.90016410000241009</v>
      </c>
      <c r="Z82" s="26">
        <f>K82/Profitability!K6</f>
        <v>0.92778958531822164</v>
      </c>
      <c r="AA82" s="28">
        <f t="shared" si="98"/>
        <v>0.94778298825710794</v>
      </c>
    </row>
    <row r="83" spans="1:27" ht="17" x14ac:dyDescent="0.2">
      <c r="A83" s="6" t="s">
        <v>12</v>
      </c>
      <c r="B83" s="24"/>
      <c r="C83" s="24"/>
      <c r="D83" s="24"/>
      <c r="E83" s="24"/>
      <c r="F83" s="24">
        <f>'[3]Olive Garden'!B$4</f>
        <v>3266.9</v>
      </c>
      <c r="G83" s="24">
        <f>'[3]Olive Garden'!C$4</f>
        <v>3408.3</v>
      </c>
      <c r="H83" s="24">
        <f>'[3]Olive Garden'!D$4</f>
        <v>3281</v>
      </c>
      <c r="I83" s="24">
        <f>'[3]Olive Garden'!E$4</f>
        <v>2760.5</v>
      </c>
      <c r="J83" s="24">
        <f>'[3]Olive Garden'!F$4</f>
        <v>3510.2</v>
      </c>
      <c r="K83" s="24">
        <f>'[3]Olive Garden'!G$4</f>
        <v>3852</v>
      </c>
      <c r="L83" s="4"/>
      <c r="M83" s="4"/>
      <c r="N83" s="8">
        <f t="shared" si="101"/>
        <v>4.3282622669809312E-2</v>
      </c>
      <c r="O83" s="8">
        <f t="shared" si="94"/>
        <v>-3.7349998532993034E-2</v>
      </c>
      <c r="P83" s="8">
        <f t="shared" si="95"/>
        <v>-0.15864065833587326</v>
      </c>
      <c r="Q83" s="8">
        <f t="shared" si="96"/>
        <v>0.27158123528346301</v>
      </c>
      <c r="R83" s="8">
        <f t="shared" si="97"/>
        <v>9.7373369038801227E-2</v>
      </c>
      <c r="S83" s="28">
        <f t="shared" si="82"/>
        <v>7.0104648662130328E-2</v>
      </c>
      <c r="T83" s="4"/>
      <c r="U83" s="26">
        <f>F83/Profitability!F21</f>
        <v>0.80022045315370482</v>
      </c>
      <c r="V83" s="26">
        <f>G83/Profitability!G21</f>
        <v>0.79497585893219513</v>
      </c>
      <c r="W83" s="26">
        <f>H83/Profitability!H21</f>
        <v>0.81742986695899145</v>
      </c>
      <c r="X83" s="26">
        <f>I83/Profitability!I21</f>
        <v>0.76821394779317631</v>
      </c>
      <c r="Y83" s="26">
        <f>J83/Profitability!J21</f>
        <v>0.77936899131863502</v>
      </c>
      <c r="Z83" s="26">
        <f>K83/Profitability!K21</f>
        <v>0.78970027471401039</v>
      </c>
      <c r="AA83" s="28">
        <f t="shared" si="98"/>
        <v>0.77909440460860724</v>
      </c>
    </row>
    <row r="84" spans="1:27" ht="17" x14ac:dyDescent="0.2">
      <c r="A84" s="6" t="s">
        <v>13</v>
      </c>
      <c r="B84" s="24"/>
      <c r="C84" s="24"/>
      <c r="D84" s="24"/>
      <c r="E84" s="24"/>
      <c r="F84" s="24">
        <f>'[3]LongHorn Steakhouse'!B$4</f>
        <v>1396</v>
      </c>
      <c r="G84" s="24">
        <f>'[3]LongHorn Steakhouse'!C$4</f>
        <v>1481.8</v>
      </c>
      <c r="H84" s="24">
        <f>'[3]LongHorn Steakhouse'!D$4</f>
        <v>1439.2</v>
      </c>
      <c r="I84" s="24">
        <f>'[3]LongHorn Steakhouse'!E$4</f>
        <v>1486.9</v>
      </c>
      <c r="J84" s="24">
        <f>'[3]LongHorn Steakhouse'!F$4</f>
        <v>1955.9</v>
      </c>
      <c r="K84" s="24">
        <f>'[3]LongHorn Steakhouse'!G$4</f>
        <v>2181.4</v>
      </c>
      <c r="L84" s="4"/>
      <c r="M84" s="4"/>
      <c r="N84" s="8">
        <f t="shared" si="101"/>
        <v>6.1461318051575953E-2</v>
      </c>
      <c r="O84" s="8">
        <f t="shared" si="94"/>
        <v>-2.8748819003914128E-2</v>
      </c>
      <c r="P84" s="8">
        <f t="shared" si="95"/>
        <v>3.3143413007226341E-2</v>
      </c>
      <c r="Q84" s="8">
        <f t="shared" si="96"/>
        <v>0.31542134642544895</v>
      </c>
      <c r="R84" s="8">
        <f t="shared" si="97"/>
        <v>0.11529219285239534</v>
      </c>
      <c r="S84" s="28">
        <f t="shared" si="82"/>
        <v>0.15461898409502353</v>
      </c>
      <c r="T84" s="4"/>
      <c r="U84" s="26">
        <f>F84/Profitability!F22</f>
        <v>0.819633630812588</v>
      </c>
      <c r="V84" s="26">
        <f>G84/Profitability!G22</f>
        <v>0.81840273942339559</v>
      </c>
      <c r="W84" s="26">
        <f>H84/Profitability!H22</f>
        <v>0.84604079713126812</v>
      </c>
      <c r="X84" s="26">
        <f>I84/Profitability!I22</f>
        <v>0.8213102076889085</v>
      </c>
      <c r="Y84" s="26">
        <f>J84/Profitability!J22</f>
        <v>0.82377964031504025</v>
      </c>
      <c r="Z84" s="26">
        <f>K84/Profitability!K22</f>
        <v>0.83504957317306583</v>
      </c>
      <c r="AA84" s="28">
        <f t="shared" si="98"/>
        <v>0.82671314039233812</v>
      </c>
    </row>
    <row r="85" spans="1:27" ht="17" x14ac:dyDescent="0.2">
      <c r="A85" s="6" t="s">
        <v>16</v>
      </c>
      <c r="B85" s="24">
        <f t="shared" ref="B85:E85" si="102">B71</f>
        <v>0</v>
      </c>
      <c r="C85" s="24">
        <f t="shared" si="102"/>
        <v>0</v>
      </c>
      <c r="D85" s="24">
        <f t="shared" si="102"/>
        <v>0</v>
      </c>
      <c r="E85" s="24">
        <f t="shared" si="102"/>
        <v>0</v>
      </c>
      <c r="F85" s="24">
        <f>F71</f>
        <v>14610</v>
      </c>
      <c r="G85" s="24">
        <f t="shared" ref="G85:K85" si="103">G71</f>
        <v>14382</v>
      </c>
      <c r="H85" s="24">
        <f t="shared" si="103"/>
        <v>14247</v>
      </c>
      <c r="I85" s="24">
        <f t="shared" si="103"/>
        <v>15728</v>
      </c>
      <c r="J85" s="24">
        <f t="shared" si="103"/>
        <v>15330</v>
      </c>
      <c r="K85" s="24">
        <f t="shared" si="103"/>
        <v>16183</v>
      </c>
      <c r="L85" s="4"/>
      <c r="M85" s="4"/>
      <c r="N85" s="8">
        <f t="shared" si="101"/>
        <v>-1.5605749486652942E-2</v>
      </c>
      <c r="O85" s="8">
        <f t="shared" si="94"/>
        <v>-9.386733416770987E-3</v>
      </c>
      <c r="P85" s="8">
        <f t="shared" si="95"/>
        <v>0.10395170913174701</v>
      </c>
      <c r="Q85" s="8">
        <f t="shared" si="96"/>
        <v>-2.530518819938965E-2</v>
      </c>
      <c r="R85" s="8">
        <f t="shared" si="97"/>
        <v>5.564253098499683E-2</v>
      </c>
      <c r="S85" s="28">
        <f t="shared" si="82"/>
        <v>4.4763017305784726E-2</v>
      </c>
      <c r="T85" s="4"/>
      <c r="U85" s="26">
        <f>F85/Profitability!F23</f>
        <v>0.6872706745695738</v>
      </c>
      <c r="V85" s="26">
        <f>G85/Profitability!G23</f>
        <v>0.67315703252983849</v>
      </c>
      <c r="W85" s="26">
        <f>H85/Profitability!H23</f>
        <v>0.74172219908371517</v>
      </c>
      <c r="X85" s="26">
        <f>I85/Profitability!I23</f>
        <v>0.67725961331438655</v>
      </c>
      <c r="Y85" s="26">
        <f>J85/Profitability!J23</f>
        <v>0.66126040633222616</v>
      </c>
      <c r="Z85" s="26">
        <f>K85/Profitability!K23</f>
        <v>0.63477681022985799</v>
      </c>
      <c r="AA85" s="28">
        <f t="shared" si="98"/>
        <v>0.65776560995882349</v>
      </c>
    </row>
    <row r="86" spans="1:27" ht="17" x14ac:dyDescent="0.2">
      <c r="A86" s="6" t="s">
        <v>17</v>
      </c>
      <c r="B86" s="24"/>
      <c r="C86" s="24"/>
      <c r="D86" s="24"/>
      <c r="E86" s="24">
        <f>SUM([5]TH!A$10:A$13)</f>
        <v>0</v>
      </c>
      <c r="F86" s="24">
        <f>SUM([5]TH!B$10:B$13)</f>
        <v>2281</v>
      </c>
      <c r="G86" s="24">
        <f>SUM([5]TH!C$10:C$13)</f>
        <v>2344</v>
      </c>
      <c r="H86" s="24">
        <f>SUM([5]TH!D$10:D$13)</f>
        <v>2109</v>
      </c>
      <c r="I86" s="24">
        <f>SUM([5]TH!E$10:E$13)</f>
        <v>2511</v>
      </c>
      <c r="J86" s="24">
        <f>SUM([5]TH!F$10:F$13)</f>
        <v>2896</v>
      </c>
      <c r="K86" s="24">
        <f>SUM([5]TH!G$10:G$13)</f>
        <v>3033</v>
      </c>
      <c r="L86" s="4"/>
      <c r="M86" s="4"/>
      <c r="N86" s="8">
        <f t="shared" si="101"/>
        <v>2.7619465146865307E-2</v>
      </c>
      <c r="O86" s="8">
        <f t="shared" si="94"/>
        <v>-0.10025597269624575</v>
      </c>
      <c r="P86" s="8">
        <f t="shared" si="95"/>
        <v>0.19061166429587484</v>
      </c>
      <c r="Q86" s="8">
        <f t="shared" si="96"/>
        <v>0.1533253683791318</v>
      </c>
      <c r="R86" s="8">
        <f t="shared" si="97"/>
        <v>4.7306629834254155E-2</v>
      </c>
      <c r="S86" s="28">
        <f t="shared" si="82"/>
        <v>0.13041455416975359</v>
      </c>
      <c r="T86" s="4"/>
      <c r="U86" s="26">
        <f>F86/Profitability!F24</f>
        <v>0.69289185905224793</v>
      </c>
      <c r="V86" s="26">
        <f>G86/Profitability!G24</f>
        <v>0.70095693779904311</v>
      </c>
      <c r="W86" s="26">
        <f>H86/Profitability!H24</f>
        <v>0.75053380782918144</v>
      </c>
      <c r="X86" s="26">
        <f>I86/Profitability!I24</f>
        <v>0.75382767937556294</v>
      </c>
      <c r="Y86" s="26">
        <f>J86/Profitability!J24</f>
        <v>0.76170436612309311</v>
      </c>
      <c r="Z86" s="26">
        <f>K86/Profitability!K24</f>
        <v>0.76359516616314205</v>
      </c>
      <c r="AA86" s="28">
        <f t="shared" si="98"/>
        <v>0.75970907055393277</v>
      </c>
    </row>
    <row r="87" spans="1:27" ht="17" x14ac:dyDescent="0.2">
      <c r="A87" s="6" t="s">
        <v>20</v>
      </c>
      <c r="B87" s="24"/>
      <c r="C87" s="24"/>
      <c r="D87" s="24"/>
      <c r="E87" s="24">
        <f>SUM([5]BK!A$10:A$13)</f>
        <v>0</v>
      </c>
      <c r="F87" s="24">
        <f>SUM([5]BK!B$10:B$13)</f>
        <v>775</v>
      </c>
      <c r="G87" s="24">
        <f>SUM([5]BK!C$10:C$13)</f>
        <v>839</v>
      </c>
      <c r="H87" s="24">
        <f>SUM([5]BK!D$10:D$13)</f>
        <v>829</v>
      </c>
      <c r="I87" s="24">
        <f>SUM([5]BK!E$10:E$13)</f>
        <v>746</v>
      </c>
      <c r="J87" s="24">
        <f>SUM([5]BK!F$10:F$13)</f>
        <v>811</v>
      </c>
      <c r="K87" s="24">
        <f>SUM([5]BK!G$10:G$13)</f>
        <v>922</v>
      </c>
      <c r="L87" s="4"/>
      <c r="M87" s="4"/>
      <c r="N87" s="8"/>
      <c r="O87" s="8"/>
      <c r="P87" s="8"/>
      <c r="Q87" s="8">
        <f t="shared" si="96"/>
        <v>8.7131367292225148E-2</v>
      </c>
      <c r="R87" s="8">
        <f t="shared" si="97"/>
        <v>0.13686806411837238</v>
      </c>
      <c r="S87" s="28">
        <f t="shared" si="82"/>
        <v>0.11199971570529876</v>
      </c>
      <c r="T87" s="4"/>
      <c r="U87" s="26">
        <f>F87/Profitability!F25</f>
        <v>0.46941247728649305</v>
      </c>
      <c r="V87" s="26">
        <f>G87/Profitability!G25</f>
        <v>0.47214406302757456</v>
      </c>
      <c r="W87" s="26">
        <f>H87/Profitability!H25</f>
        <v>0.51747815230961303</v>
      </c>
      <c r="X87" s="26">
        <f>I87/Profitability!I25</f>
        <v>0.6453287197231834</v>
      </c>
      <c r="Y87" s="26">
        <f>J87/Profitability!J25</f>
        <v>0.67809364548494988</v>
      </c>
      <c r="Z87" s="26">
        <f>K87/Profitability!K25</f>
        <v>0.71032357473035435</v>
      </c>
      <c r="AA87" s="28">
        <f t="shared" si="98"/>
        <v>0.67791531331282917</v>
      </c>
    </row>
    <row r="88" spans="1:27" ht="17" x14ac:dyDescent="0.2">
      <c r="A88" s="6" t="s">
        <v>18</v>
      </c>
      <c r="B88" s="24"/>
      <c r="C88" s="24"/>
      <c r="D88" s="24"/>
      <c r="E88" s="24">
        <f>SUM([5]PLK!A$10:A$13)</f>
        <v>0</v>
      </c>
      <c r="F88" s="24">
        <f>SUM([5]PLK!B$10:B$13)</f>
        <v>268</v>
      </c>
      <c r="G88" s="24">
        <f>SUM([5]PLK!C$10:C$13)</f>
        <v>304</v>
      </c>
      <c r="H88" s="24">
        <f>SUM([5]PLK!D$10:D$13)</f>
        <v>345</v>
      </c>
      <c r="I88" s="24">
        <f>SUM([5]PLK!E$10:E$13)</f>
        <v>363</v>
      </c>
      <c r="J88" s="24">
        <f>SUM([5]PLK!F$10:F$13)</f>
        <v>416</v>
      </c>
      <c r="K88" s="24">
        <f>SUM([5]PLK!G$10:G$13)</f>
        <v>473</v>
      </c>
      <c r="L88" s="4"/>
      <c r="M88" s="4"/>
      <c r="N88" s="8">
        <f t="shared" ref="N88:N93" si="104">G88/F88-1</f>
        <v>0.13432835820895517</v>
      </c>
      <c r="O88" s="8">
        <f t="shared" ref="O88:O93" si="105">H88/G88-1</f>
        <v>0.13486842105263164</v>
      </c>
      <c r="P88" s="8">
        <f t="shared" ref="P88:P93" si="106">I88/H88-1</f>
        <v>5.2173913043478182E-2</v>
      </c>
      <c r="Q88" s="8">
        <f t="shared" si="96"/>
        <v>0.14600550964187331</v>
      </c>
      <c r="R88" s="8">
        <f t="shared" si="97"/>
        <v>0.13701923076923084</v>
      </c>
      <c r="S88" s="28">
        <f t="shared" si="82"/>
        <v>0.11173288448486078</v>
      </c>
      <c r="T88" s="4"/>
      <c r="U88" s="26">
        <f>F88/Profitability!F26</f>
        <v>0.64734299516908211</v>
      </c>
      <c r="V88" s="26">
        <f>G88/Profitability!G26</f>
        <v>0.63070539419087135</v>
      </c>
      <c r="W88" s="26">
        <f>H88/Profitability!H26</f>
        <v>0.62050359712230219</v>
      </c>
      <c r="X88" s="26">
        <f>I88/Profitability!I26</f>
        <v>0.6493738819320215</v>
      </c>
      <c r="Y88" s="26">
        <f>J88/Profitability!J26</f>
        <v>0.67313915857605178</v>
      </c>
      <c r="Z88" s="26">
        <f>K88/Profitability!K26</f>
        <v>0.68352601156069359</v>
      </c>
      <c r="AA88" s="28">
        <f t="shared" si="98"/>
        <v>0.66867968402292222</v>
      </c>
    </row>
    <row r="89" spans="1:27" ht="17" x14ac:dyDescent="0.2">
      <c r="A89" s="6" t="s">
        <v>19</v>
      </c>
      <c r="B89" s="24"/>
      <c r="C89" s="24"/>
      <c r="D89" s="24"/>
      <c r="E89" s="24">
        <f>SUM([5]FHS!A$10:A$13)</f>
        <v>0</v>
      </c>
      <c r="F89" s="24">
        <f>SUM([5]FHS!B$10:B$13)</f>
        <v>0</v>
      </c>
      <c r="G89" s="24">
        <f>SUM([5]FHS!C$10:C$13)</f>
        <v>0</v>
      </c>
      <c r="H89" s="24">
        <f>SUM([5]FHS!D$10:D$13)</f>
        <v>0</v>
      </c>
      <c r="I89" s="24">
        <f>SUM([5]FHS!E$10:E$13)</f>
        <v>3</v>
      </c>
      <c r="J89" s="24">
        <f>SUM([5]FHS!F$10:F$13)</f>
        <v>106</v>
      </c>
      <c r="K89" s="24">
        <f>SUM([5]FHS!G$10:G$13)</f>
        <v>150</v>
      </c>
      <c r="L89" s="4"/>
      <c r="M89" s="4"/>
      <c r="N89" s="8"/>
      <c r="O89" s="8"/>
      <c r="P89" s="8"/>
      <c r="Q89" s="8">
        <f t="shared" si="96"/>
        <v>34.333333333333336</v>
      </c>
      <c r="R89" s="8">
        <f t="shared" si="97"/>
        <v>0.41509433962264142</v>
      </c>
      <c r="S89" s="28">
        <f t="shared" si="82"/>
        <v>17.374213836477988</v>
      </c>
      <c r="T89" s="4"/>
      <c r="U89" s="26"/>
      <c r="V89" s="26"/>
      <c r="W89" s="26"/>
      <c r="X89" s="26">
        <f>I89/Profitability!I27</f>
        <v>0.6</v>
      </c>
      <c r="Y89" s="26">
        <f>J89/Profitability!J27</f>
        <v>0.76811594202898548</v>
      </c>
      <c r="Z89" s="26">
        <f>K89/Profitability!K27</f>
        <v>0.80645161290322576</v>
      </c>
      <c r="AA89" s="28">
        <f t="shared" si="98"/>
        <v>0.72485585164407029</v>
      </c>
    </row>
    <row r="90" spans="1:27" ht="17" x14ac:dyDescent="0.2">
      <c r="A90" s="6" t="s">
        <v>21</v>
      </c>
      <c r="B90" s="24">
        <f>([6]SBUX!J$33+[6]SBUX!J$36+[6]SBUX!J$38)</f>
        <v>12206.884304669382</v>
      </c>
      <c r="C90" s="24">
        <f>([6]SBUX!K$33+[6]SBUX!K$36+[6]SBUX!K$38)</f>
        <v>14092.798620191164</v>
      </c>
      <c r="D90" s="24">
        <f>([6]SBUX!L$33+[6]SBUX!L$36+[6]SBUX!L$38)</f>
        <v>15556.509490325148</v>
      </c>
      <c r="E90" s="24">
        <f>([6]SBUX!M$33+[6]SBUX!M$36+[6]SBUX!M$38)</f>
        <v>16543.311227765902</v>
      </c>
      <c r="F90" s="24">
        <f>([6]SBUX!N$33+[6]SBUX!N$36+[6]SBUX!N$38)</f>
        <v>18650.206147315315</v>
      </c>
      <c r="G90" s="24">
        <f>([6]SBUX!O$33+[6]SBUX!O$36+[6]SBUX!O$38)</f>
        <v>20398.094895801671</v>
      </c>
      <c r="H90" s="24">
        <f>([6]SBUX!P$33+[6]SBUX!P$36+[6]SBUX!P$38)</f>
        <v>19890.464527915832</v>
      </c>
      <c r="I90" s="24">
        <f>([6]SBUX!Q$33+[6]SBUX!Q$36+[6]SBUX!Q$38)</f>
        <v>22110.662120077421</v>
      </c>
      <c r="J90" s="24">
        <f>([6]SBUX!R$33+[6]SBUX!R$36+[6]SBUX!R$38)</f>
        <v>25327.354478926776</v>
      </c>
      <c r="K90" s="24">
        <f>([6]SBUX!S$33+[6]SBUX!S$36+[6]SBUX!S$38)</f>
        <v>27492.274010181423</v>
      </c>
      <c r="L90" s="4"/>
      <c r="M90" s="4"/>
      <c r="N90" s="8">
        <f t="shared" si="104"/>
        <v>9.3719540399716417E-2</v>
      </c>
      <c r="O90" s="8">
        <f t="shared" si="105"/>
        <v>-2.4886165618845046E-2</v>
      </c>
      <c r="P90" s="8">
        <f t="shared" si="106"/>
        <v>0.11162120367000927</v>
      </c>
      <c r="Q90" s="8">
        <f t="shared" si="96"/>
        <v>0.14548150305858387</v>
      </c>
      <c r="R90" s="8">
        <f t="shared" si="97"/>
        <v>8.5477523246888509E-2</v>
      </c>
      <c r="S90" s="28">
        <f t="shared" si="82"/>
        <v>0.11419340999182721</v>
      </c>
      <c r="T90" s="4"/>
      <c r="U90" s="26">
        <f>F90/Profitability!F28</f>
        <v>0.63600484747358188</v>
      </c>
      <c r="V90" s="26">
        <f>G90/Profitability!G28</f>
        <v>0.65261373482856633</v>
      </c>
      <c r="W90" s="26">
        <f>H90/Profitability!H28</f>
        <v>0.6090160602546183</v>
      </c>
      <c r="X90" s="26">
        <f>I90/Profitability!I28</f>
        <v>0.65352354565298443</v>
      </c>
      <c r="Y90" s="26">
        <f>J90/Profitability!J28</f>
        <v>0.7092311746780201</v>
      </c>
      <c r="Z90" s="26">
        <f>K90/Profitability!K28</f>
        <v>0.72275813686790635</v>
      </c>
      <c r="AA90" s="28">
        <f t="shared" si="98"/>
        <v>0.69517095239963689</v>
      </c>
    </row>
    <row r="91" spans="1:27" ht="17" x14ac:dyDescent="0.2">
      <c r="A91" s="6" t="s">
        <v>22</v>
      </c>
      <c r="B91" s="24"/>
      <c r="C91" s="24"/>
      <c r="D91" s="24"/>
      <c r="E91" s="24">
        <f>SUM([7]KFC!A$11:A$14)</f>
        <v>0</v>
      </c>
      <c r="F91" s="24">
        <f>SUM([7]KFC!B$11:B$14)</f>
        <v>1684</v>
      </c>
      <c r="G91" s="24">
        <f>SUM([7]KFC!C$11:C$14)</f>
        <v>1439</v>
      </c>
      <c r="H91" s="24">
        <f>SUM([7]KFC!D$11:D$14)</f>
        <v>1341</v>
      </c>
      <c r="I91" s="24">
        <f>SUM([7]KFC!E$11:E$14)</f>
        <v>1568</v>
      </c>
      <c r="J91" s="24">
        <f>SUM([7]KFC!F$11:F$14)</f>
        <v>1569</v>
      </c>
      <c r="K91" s="24">
        <f>SUM([7]KFC!G$11:G$14)</f>
        <v>1520</v>
      </c>
      <c r="L91" s="4"/>
      <c r="M91" s="4"/>
      <c r="N91" s="8">
        <f t="shared" si="104"/>
        <v>-0.14548693586698336</v>
      </c>
      <c r="O91" s="8">
        <f t="shared" si="105"/>
        <v>-6.810284920083387E-2</v>
      </c>
      <c r="P91" s="8">
        <f t="shared" si="106"/>
        <v>0.16927665920954515</v>
      </c>
      <c r="Q91" s="8">
        <f t="shared" si="96"/>
        <v>6.3775510204089336E-4</v>
      </c>
      <c r="R91" s="8">
        <f t="shared" si="97"/>
        <v>-3.1230082855321806E-2</v>
      </c>
      <c r="S91" s="28">
        <f t="shared" si="82"/>
        <v>4.6228110485421414E-2</v>
      </c>
      <c r="T91" s="4"/>
      <c r="U91" s="26">
        <f>F91/Profitability!F29</f>
        <v>0.63691376701966718</v>
      </c>
      <c r="V91" s="26">
        <f>G91/Profitability!G29</f>
        <v>0.57767964672822159</v>
      </c>
      <c r="W91" s="26">
        <f>H91/Profitability!H29</f>
        <v>0.59022887323943662</v>
      </c>
      <c r="X91" s="26">
        <f>I91/Profitability!I29</f>
        <v>0.56140350877192979</v>
      </c>
      <c r="Y91" s="26">
        <f>J91/Profitability!J29</f>
        <v>0.55363443895553988</v>
      </c>
      <c r="Z91" s="26">
        <f>K91/Profitability!K29</f>
        <v>0.53710247349823326</v>
      </c>
      <c r="AA91" s="28">
        <f t="shared" si="98"/>
        <v>0.55071347374190094</v>
      </c>
    </row>
    <row r="92" spans="1:27" ht="17" x14ac:dyDescent="0.2">
      <c r="A92" s="6" t="s">
        <v>23</v>
      </c>
      <c r="B92" s="24"/>
      <c r="C92" s="24"/>
      <c r="D92" s="24"/>
      <c r="E92" s="24">
        <f>SUM('[7]Taco Bell'!A$11:A$14)</f>
        <v>0</v>
      </c>
      <c r="F92" s="24">
        <f>SUM('[7]Taco Bell'!B$11:B$14)</f>
        <v>1426</v>
      </c>
      <c r="G92" s="24">
        <f>SUM('[7]Taco Bell'!C$11:C$14)</f>
        <v>1400</v>
      </c>
      <c r="H92" s="24">
        <f>SUM('[7]Taco Bell'!D$11:D$14)</f>
        <v>1332</v>
      </c>
      <c r="I92" s="24">
        <f>SUM('[7]Taco Bell'!E$11:E$14)</f>
        <v>1479</v>
      </c>
      <c r="J92" s="24">
        <f>SUM('[7]Taco Bell'!F$11:F$14)</f>
        <v>1589</v>
      </c>
      <c r="K92" s="24">
        <f>SUM('[7]Taco Bell'!G$11:G$14)</f>
        <v>1697</v>
      </c>
      <c r="L92" s="4"/>
      <c r="M92" s="4"/>
      <c r="N92" s="8">
        <f t="shared" si="104"/>
        <v>-1.8232819074333828E-2</v>
      </c>
      <c r="O92" s="8">
        <f t="shared" si="105"/>
        <v>-4.8571428571428599E-2</v>
      </c>
      <c r="P92" s="8">
        <f t="shared" si="106"/>
        <v>0.11036036036036045</v>
      </c>
      <c r="Q92" s="8">
        <f t="shared" si="96"/>
        <v>7.4374577417173793E-2</v>
      </c>
      <c r="R92" s="8">
        <f t="shared" si="97"/>
        <v>6.7967275015733186E-2</v>
      </c>
      <c r="S92" s="28">
        <f t="shared" si="82"/>
        <v>8.4234070931089144E-2</v>
      </c>
      <c r="T92" s="4"/>
      <c r="U92" s="26">
        <f>F92/Profitability!F30</f>
        <v>0.69357976653696496</v>
      </c>
      <c r="V92" s="26">
        <f>G92/Profitability!G30</f>
        <v>0.67340067340067344</v>
      </c>
      <c r="W92" s="26">
        <f>H92/Profitability!H30</f>
        <v>0.65583456425406206</v>
      </c>
      <c r="X92" s="26">
        <f>I92/Profitability!I30</f>
        <v>0.66085790884718498</v>
      </c>
      <c r="Y92" s="26">
        <f>J92/Profitability!J30</f>
        <v>0.65203118588428399</v>
      </c>
      <c r="Z92" s="26">
        <f>K92/Profitability!K30</f>
        <v>0.6425596365013253</v>
      </c>
      <c r="AA92" s="28">
        <f t="shared" si="98"/>
        <v>0.65181624374426483</v>
      </c>
    </row>
    <row r="93" spans="1:27" ht="17" x14ac:dyDescent="0.2">
      <c r="A93" s="6" t="s">
        <v>24</v>
      </c>
      <c r="B93" s="24"/>
      <c r="C93" s="24"/>
      <c r="D93" s="24"/>
      <c r="E93" s="24">
        <f>SUM('[7]Pizza Hut'!A$11:A$14)</f>
        <v>0</v>
      </c>
      <c r="F93" s="24">
        <f>SUM('[7]Pizza Hut'!B$11:B$14)</f>
        <v>639</v>
      </c>
      <c r="G93" s="24">
        <f>SUM('[7]Pizza Hut'!C$11:C$14)</f>
        <v>659</v>
      </c>
      <c r="H93" s="24">
        <f>SUM('[7]Pizza Hut'!D$11:D$14)</f>
        <v>670</v>
      </c>
      <c r="I93" s="24">
        <f>SUM('[7]Pizza Hut'!E$11:E$14)</f>
        <v>653</v>
      </c>
      <c r="J93" s="24">
        <f>SUM('[7]Pizza Hut'!F$11:F$14)</f>
        <v>627</v>
      </c>
      <c r="K93" s="24">
        <f>SUM('[7]Pizza Hut'!G$11:G$14)</f>
        <v>639</v>
      </c>
      <c r="L93" s="4"/>
      <c r="M93" s="4"/>
      <c r="N93" s="8">
        <f t="shared" si="104"/>
        <v>3.1298904538341166E-2</v>
      </c>
      <c r="O93" s="8">
        <f t="shared" si="105"/>
        <v>1.6691957511380862E-2</v>
      </c>
      <c r="P93" s="8">
        <f t="shared" si="106"/>
        <v>-2.5373134328358193E-2</v>
      </c>
      <c r="Q93" s="8">
        <f t="shared" si="96"/>
        <v>-3.9816232771822335E-2</v>
      </c>
      <c r="R93" s="8">
        <f t="shared" si="97"/>
        <v>1.9138755980861344E-2</v>
      </c>
      <c r="S93" s="28">
        <f t="shared" si="82"/>
        <v>-1.5350203706439728E-2</v>
      </c>
      <c r="T93" s="4"/>
      <c r="U93" s="26">
        <f>F93/Profitability!F31</f>
        <v>0.64676113360323884</v>
      </c>
      <c r="V93" s="26">
        <f>G93/Profitability!G31</f>
        <v>0.64167478091528729</v>
      </c>
      <c r="W93" s="26">
        <f>H93/Profitability!H31</f>
        <v>0.66866267465069862</v>
      </c>
      <c r="X93" s="26">
        <f>I93/Profitability!I31</f>
        <v>0.63521400778210113</v>
      </c>
      <c r="Y93" s="26">
        <f>J93/Profitability!J31</f>
        <v>0.62450199203187251</v>
      </c>
      <c r="Z93" s="26">
        <f>K93/Profitability!K31</f>
        <v>0.62708537782139351</v>
      </c>
      <c r="AA93" s="28">
        <f t="shared" si="98"/>
        <v>0.62893379254512238</v>
      </c>
    </row>
    <row r="94" spans="1:27" ht="17" x14ac:dyDescent="0.2">
      <c r="A94" s="6" t="s">
        <v>25</v>
      </c>
      <c r="B94" s="24"/>
      <c r="C94" s="24"/>
      <c r="D94" s="24"/>
      <c r="E94" s="24"/>
      <c r="F94" s="24">
        <f>'[7]Habit Burger Grill '!B$7</f>
        <v>0</v>
      </c>
      <c r="G94" s="24">
        <f>'[7]Habit Burger Grill '!C$7</f>
        <v>0</v>
      </c>
      <c r="H94" s="24">
        <f>'[7]Habit Burger Grill '!D$7</f>
        <v>369</v>
      </c>
      <c r="I94" s="24">
        <f>'[7]Habit Burger Grill '!E$7</f>
        <v>523</v>
      </c>
      <c r="J94" s="24">
        <f>'[7]Habit Burger Grill '!F$7</f>
        <v>591</v>
      </c>
      <c r="K94" s="24">
        <f>'[7]Habit Burger Grill '!G$7</f>
        <v>600</v>
      </c>
      <c r="L94" s="4"/>
      <c r="M94" s="4"/>
      <c r="N94" s="8"/>
      <c r="O94" s="8"/>
      <c r="P94" s="8"/>
      <c r="Q94" s="8">
        <f t="shared" si="96"/>
        <v>0.13001912045889097</v>
      </c>
      <c r="R94" s="8">
        <f t="shared" si="97"/>
        <v>1.5228426395939021E-2</v>
      </c>
      <c r="S94" s="28">
        <f t="shared" si="82"/>
        <v>7.2623773427414995E-2</v>
      </c>
      <c r="T94" s="4"/>
      <c r="U94" s="26"/>
      <c r="V94" s="26"/>
      <c r="W94" s="26">
        <f>H94/Profitability!H32</f>
        <v>1.0634005763688761</v>
      </c>
      <c r="X94" s="26">
        <f>I94/Profitability!I32</f>
        <v>0.99619047619047618</v>
      </c>
      <c r="Y94" s="26">
        <f>J94/Profitability!J32</f>
        <v>1.0423280423280423</v>
      </c>
      <c r="Z94" s="26">
        <f>K94/Profitability!K32</f>
        <v>1.0238907849829351</v>
      </c>
      <c r="AA94" s="28">
        <f t="shared" si="98"/>
        <v>1.0208031011671512</v>
      </c>
    </row>
    <row r="95" spans="1:27" ht="17" x14ac:dyDescent="0.2">
      <c r="A95" s="6" t="s">
        <v>29</v>
      </c>
      <c r="B95" s="24">
        <f>(SUM('[8]Statement of Income'!B$9:B$13)+'[8]Statement of Income'!B$15)/1000</f>
        <v>0</v>
      </c>
      <c r="C95" s="24">
        <f>(SUM('[8]Statement of Income'!C$9:C$13)+'[8]Statement of Income'!C$15)/1000</f>
        <v>173.6</v>
      </c>
      <c r="D95" s="24">
        <f>(SUM('[8]Statement of Income'!D$9:D$13)+'[8]Statement of Income'!D$15)/1000</f>
        <v>226.13399999999999</v>
      </c>
      <c r="E95" s="24">
        <f>(SUM('[8]Statement of Income'!E$9:E$13)+'[8]Statement of Income'!E$15)/1000</f>
        <v>302.685</v>
      </c>
      <c r="F95" s="24">
        <f>(SUM('[8]Statement of Income'!F$9:F$13)+'[8]Statement of Income'!F$15)/1000</f>
        <v>397.68200000000002</v>
      </c>
      <c r="G95" s="24">
        <f>(SUM('[8]Statement of Income'!G$9:G$13)+'[8]Statement of Income'!G$15)/1000</f>
        <v>527.09</v>
      </c>
      <c r="H95" s="24">
        <f>(SUM('[8]Statement of Income'!H$9:H$13)+'[8]Statement of Income'!H$15)/1000</f>
        <v>507.791</v>
      </c>
      <c r="I95" s="24">
        <f>(SUM('[8]Statement of Income'!I$9:I$13)+'[8]Statement of Income'!I$15)/1000</f>
        <v>695.12300000000005</v>
      </c>
      <c r="J95" s="24">
        <f>(SUM('[8]Statement of Income'!J$9:J$13)+'[8]Statement of Income'!J$15)/1000</f>
        <v>852.15899999999999</v>
      </c>
      <c r="K95" s="24">
        <f>(SUM('[8]Statement of Income'!K$9:K$13)+'[8]Statement of Income'!K$15)/1000</f>
        <v>987.36300000000006</v>
      </c>
      <c r="L95" s="4"/>
      <c r="M95" s="4"/>
      <c r="N95" s="8">
        <f t="shared" ref="N95" si="107">G95/F95-1</f>
        <v>0.32540572618323194</v>
      </c>
      <c r="O95" s="8">
        <f t="shared" ref="O95:O96" si="108">H95/G95-1</f>
        <v>-3.6614240452294777E-2</v>
      </c>
      <c r="P95" s="8">
        <f t="shared" ref="P95:P96" si="109">I95/H95-1</f>
        <v>0.36891555777869245</v>
      </c>
      <c r="Q95" s="8">
        <f t="shared" si="96"/>
        <v>0.2259110977481682</v>
      </c>
      <c r="R95" s="8">
        <f t="shared" si="97"/>
        <v>0.15866053166134497</v>
      </c>
      <c r="S95" s="28">
        <f t="shared" si="82"/>
        <v>0.25116239572940185</v>
      </c>
      <c r="T95" s="4"/>
      <c r="U95" s="26">
        <f>F95/Profitability!F33</f>
        <v>0.86582482419281104</v>
      </c>
      <c r="V95" s="26">
        <f>G95/Profitability!G33</f>
        <v>0.88658226229943871</v>
      </c>
      <c r="W95" s="26">
        <f>H95/Profitability!H33</f>
        <v>0.97116666379786831</v>
      </c>
      <c r="X95" s="26">
        <f>I95/Profitability!I33</f>
        <v>0.93949125076193452</v>
      </c>
      <c r="Y95" s="26">
        <f>J95/Profitability!J33</f>
        <v>0.9463323138838361</v>
      </c>
      <c r="Z95" s="26">
        <f>K95/Profitability!K33</f>
        <v>0.9078924501601332</v>
      </c>
      <c r="AA95" s="28">
        <f t="shared" si="98"/>
        <v>0.93123867160196794</v>
      </c>
    </row>
    <row r="96" spans="1:27" ht="17" x14ac:dyDescent="0.2">
      <c r="A96" s="6" t="s">
        <v>39</v>
      </c>
      <c r="B96" s="24"/>
      <c r="C96" s="24"/>
      <c r="D96" s="24"/>
      <c r="E96" s="24"/>
      <c r="F96" s="24">
        <f>('[9]Statement of Income'!B$15+SUM('[9]Statement of Income'!B$17:B$18))</f>
        <v>2861.2</v>
      </c>
      <c r="G96" s="24">
        <f>('[9]Statement of Income'!C$15+SUM('[9]Statement of Income'!C$17:C$18))</f>
        <v>2989.3999999999996</v>
      </c>
      <c r="H96" s="24">
        <f>('[9]Statement of Income'!D$15+SUM('[9]Statement of Income'!D$17:D$18))</f>
        <v>3391.7</v>
      </c>
      <c r="I96" s="24">
        <f>('[9]Statement of Income'!E$15+SUM('[9]Statement of Income'!E$17:E$18))</f>
        <v>3576.8999999999996</v>
      </c>
      <c r="J96" s="24">
        <f>('[9]Statement of Income'!F$15+SUM('[9]Statement of Income'!F$17:F$18))</f>
        <v>3790.3</v>
      </c>
      <c r="K96" s="24">
        <f>('[9]Statement of Income'!G$15+SUM('[9]Statement of Income'!G$17:G$18))</f>
        <v>3659.8</v>
      </c>
      <c r="L96" s="4"/>
      <c r="M96" s="4"/>
      <c r="N96" s="8">
        <f>G96/F96-1</f>
        <v>4.4806374947574445E-2</v>
      </c>
      <c r="O96" s="8">
        <f t="shared" si="108"/>
        <v>0.13457550010035457</v>
      </c>
      <c r="P96" s="8">
        <f t="shared" si="109"/>
        <v>5.4603885956894693E-2</v>
      </c>
      <c r="Q96" s="8">
        <f t="shared" si="96"/>
        <v>5.966059996086015E-2</v>
      </c>
      <c r="R96" s="8">
        <f t="shared" si="97"/>
        <v>-3.4429992348890548E-2</v>
      </c>
      <c r="S96" s="28">
        <f t="shared" si="82"/>
        <v>2.6611497856288097E-2</v>
      </c>
      <c r="T96" s="4"/>
      <c r="U96" s="26">
        <f>F96/Profitability!F34</f>
        <v>0.83348869727336283</v>
      </c>
      <c r="V96" s="26">
        <f>G96/Profitability!G34</f>
        <v>0.82607494196971354</v>
      </c>
      <c r="W96" s="26">
        <f>H96/Profitability!H34</f>
        <v>0.82372799028536725</v>
      </c>
      <c r="X96" s="26">
        <f>I96/Profitability!I34</f>
        <v>0.82087942350943222</v>
      </c>
      <c r="Y96" s="26">
        <f>J96/Profitability!J34</f>
        <v>0.83540146789799663</v>
      </c>
      <c r="Z96" s="26">
        <f>K96/Profitability!K34</f>
        <v>0.81702906639282036</v>
      </c>
      <c r="AA96" s="28">
        <f t="shared" si="98"/>
        <v>0.82443665260008314</v>
      </c>
    </row>
    <row r="97" spans="1:27" ht="17" x14ac:dyDescent="0.2">
      <c r="A97" s="6" t="s">
        <v>35</v>
      </c>
      <c r="B97" s="24"/>
      <c r="C97" s="24"/>
      <c r="D97" s="24"/>
      <c r="E97" s="24"/>
      <c r="F97" s="24"/>
      <c r="G97" s="24"/>
      <c r="H97" s="24"/>
      <c r="I97" s="24">
        <f>('[10]Statement of Operations'!B$14+'[10]Statement of Operations'!B$21+SUM('[10]Statement of Operations'!B$23:B$24))/1000</f>
        <v>497.74400000000003</v>
      </c>
      <c r="J97" s="24">
        <f>('[10]Statement of Operations'!C$14+'[10]Statement of Operations'!C$21+SUM('[10]Statement of Operations'!C$23:C$24))/1000</f>
        <v>561.40800000000002</v>
      </c>
      <c r="K97" s="24">
        <f>('[10]Statement of Operations'!D$14+'[10]Statement of Operations'!D$21+SUM('[10]Statement of Operations'!D$23:D$24))/1000</f>
        <v>671.64300000000003</v>
      </c>
      <c r="L97" s="4"/>
      <c r="M97" s="4"/>
      <c r="N97" s="8"/>
      <c r="O97" s="8"/>
      <c r="P97" s="8"/>
      <c r="Q97" s="8">
        <f t="shared" ref="Q97:Q99" si="110">J97/I97-1</f>
        <v>0.1279051078466038</v>
      </c>
      <c r="R97" s="8">
        <f t="shared" ref="R97:R99" si="111">K97/J97-1</f>
        <v>0.19635452291381661</v>
      </c>
      <c r="S97" s="28">
        <f t="shared" si="82"/>
        <v>0.16212981538021021</v>
      </c>
      <c r="T97" s="4"/>
      <c r="U97" s="26"/>
      <c r="V97" s="26"/>
      <c r="W97" s="26"/>
      <c r="X97" s="26">
        <f>I97/Profitability!I35</f>
        <v>0.9953446703674671</v>
      </c>
      <c r="Y97" s="26">
        <f>J97/Profitability!J35</f>
        <v>0.99519427638494717</v>
      </c>
      <c r="Z97" s="26">
        <f>K97/Profitability!K35</f>
        <v>0.92170028818443805</v>
      </c>
      <c r="AA97" s="28">
        <f t="shared" si="98"/>
        <v>0.97074641164561737</v>
      </c>
    </row>
    <row r="98" spans="1:27" ht="17" x14ac:dyDescent="0.2">
      <c r="A98" s="6" t="s">
        <v>38</v>
      </c>
      <c r="B98" s="24">
        <f>SUM('[11]Statement of Operations'!B$11:B$15)/1000</f>
        <v>1439.575</v>
      </c>
      <c r="C98" s="24">
        <f>SUM('[11]Statement of Operations'!C$11:C$15)/1000</f>
        <v>1460.761</v>
      </c>
      <c r="D98" s="24">
        <f>SUM('[11]Statement of Operations'!D$11:D$15)/1000</f>
        <v>1518.3320000000001</v>
      </c>
      <c r="E98" s="24">
        <f>SUM('[11]Statement of Operations'!E$11:E$15)/1000</f>
        <v>1587</v>
      </c>
      <c r="F98" s="24">
        <f>SUM('[11]Statement of Operations'!F$11:F$15)/1000</f>
        <v>1584.626</v>
      </c>
      <c r="G98" s="24">
        <f>SUM('[11]Statement of Operations'!G$11:G$15)/1000</f>
        <v>1552.171</v>
      </c>
      <c r="H98" s="24">
        <f>SUM('[11]Statement of Operations'!H$11:H$15)/1000</f>
        <v>1673.2760000000001</v>
      </c>
      <c r="I98" s="24">
        <f>SUM('[11]Statement of Operations'!I$11:I$15)/1000</f>
        <v>1851.364</v>
      </c>
      <c r="J98" s="24">
        <f>SUM('[11]Statement of Operations'!J$11:J$15)/1000</f>
        <v>1928.9760000000001</v>
      </c>
      <c r="K98" s="24">
        <f>SUM('[11]Statement of Operations'!K$11:K$15)/1000</f>
        <v>1924.481</v>
      </c>
      <c r="L98" s="4"/>
      <c r="M98" s="4"/>
      <c r="N98" s="8">
        <f t="shared" ref="N98:N99" si="112">G98/F98-1</f>
        <v>-2.048117347563394E-2</v>
      </c>
      <c r="O98" s="8">
        <f t="shared" ref="O98:O99" si="113">H98/G98-1</f>
        <v>7.8022975561326646E-2</v>
      </c>
      <c r="P98" s="8">
        <f t="shared" ref="P98:P99" si="114">I98/H98-1</f>
        <v>0.10643073826433902</v>
      </c>
      <c r="Q98" s="8">
        <f t="shared" si="110"/>
        <v>4.1921523806231598E-2</v>
      </c>
      <c r="R98" s="8">
        <f t="shared" si="111"/>
        <v>-2.3302519056743742E-3</v>
      </c>
      <c r="S98" s="28">
        <f t="shared" si="82"/>
        <v>4.8674003388298748E-2</v>
      </c>
      <c r="T98" s="4"/>
      <c r="U98" s="26">
        <f>F98/Profitability!F36</f>
        <v>0.95294583885340467</v>
      </c>
      <c r="V98" s="26">
        <f>G98/Profitability!G36</f>
        <v>0.95857521516160593</v>
      </c>
      <c r="W98" s="26">
        <f>H98/Profitability!H36</f>
        <v>0.92281305115611123</v>
      </c>
      <c r="X98" s="26">
        <f>I98/Profitability!I36</f>
        <v>0.89506149860207385</v>
      </c>
      <c r="Y98" s="26">
        <f>J98/Profitability!J36</f>
        <v>0.91764104803618096</v>
      </c>
      <c r="Z98" s="26">
        <f>K98/Profitability!K36</f>
        <v>0.90109532507410861</v>
      </c>
      <c r="AA98" s="28">
        <f t="shared" si="98"/>
        <v>0.90459929057078792</v>
      </c>
    </row>
    <row r="99" spans="1:27" ht="17" x14ac:dyDescent="0.2">
      <c r="A99" s="5" t="s">
        <v>8</v>
      </c>
      <c r="B99" s="25">
        <f t="shared" ref="B99:E99" si="115">SUM(B81:B98)</f>
        <v>15484.701304669383</v>
      </c>
      <c r="C99" s="25">
        <f t="shared" si="115"/>
        <v>17913.361620191161</v>
      </c>
      <c r="D99" s="25">
        <f t="shared" si="115"/>
        <v>19880.041490325144</v>
      </c>
      <c r="E99" s="25">
        <f t="shared" si="115"/>
        <v>21713.015227765904</v>
      </c>
      <c r="F99" s="25">
        <f t="shared" ref="F99:J99" si="116">SUM(F81:F98)</f>
        <v>53842.874147315313</v>
      </c>
      <c r="G99" s="25">
        <f t="shared" si="116"/>
        <v>55809.927895801673</v>
      </c>
      <c r="H99" s="25">
        <f t="shared" si="116"/>
        <v>55846.832527915831</v>
      </c>
      <c r="I99" s="25">
        <f t="shared" si="116"/>
        <v>61295.49612007742</v>
      </c>
      <c r="J99" s="25">
        <f t="shared" si="116"/>
        <v>67178.697478926784</v>
      </c>
      <c r="K99" s="25">
        <f>SUM(K81:K98)</f>
        <v>71841.74201018142</v>
      </c>
      <c r="L99" s="4"/>
      <c r="M99" s="4"/>
      <c r="N99" s="8">
        <f t="shared" si="112"/>
        <v>3.6533223377051893E-2</v>
      </c>
      <c r="O99" s="8">
        <f t="shared" si="113"/>
        <v>6.6125568524411094E-4</v>
      </c>
      <c r="P99" s="8">
        <f t="shared" si="114"/>
        <v>9.756441584109532E-2</v>
      </c>
      <c r="Q99" s="8">
        <f t="shared" si="110"/>
        <v>9.5980973011854154E-2</v>
      </c>
      <c r="R99" s="8">
        <f t="shared" si="111"/>
        <v>6.9412547522484713E-2</v>
      </c>
      <c r="S99" s="28">
        <f t="shared" si="82"/>
        <v>8.7652645458478062E-2</v>
      </c>
      <c r="T99" s="4"/>
      <c r="U99" s="26">
        <f>F99/Profitability!F37</f>
        <v>0.68622115160364172</v>
      </c>
      <c r="V99" s="26">
        <f>G99/Profitability!G37</f>
        <v>0.68161280099807575</v>
      </c>
      <c r="W99" s="26">
        <f>H99/Profitability!H37</f>
        <v>0.69006563629039008</v>
      </c>
      <c r="X99" s="26">
        <f>I99/Profitability!I37</f>
        <v>0.68329452243770694</v>
      </c>
      <c r="Y99" s="26">
        <f>J99/Profitability!J37</f>
        <v>0.70283677850793913</v>
      </c>
      <c r="Z99" s="26">
        <f>K99/Profitability!K37</f>
        <v>0.69671388385870547</v>
      </c>
      <c r="AA99" s="28">
        <f t="shared" si="98"/>
        <v>0.69428172826811707</v>
      </c>
    </row>
    <row r="100" spans="1:27" x14ac:dyDescent="0.2">
      <c r="U100" s="31"/>
      <c r="V100" s="31"/>
      <c r="W100" s="31"/>
      <c r="X100" s="31"/>
      <c r="Y100" s="31"/>
      <c r="Z100" s="31"/>
      <c r="AA100" s="31"/>
    </row>
  </sheetData>
  <mergeCells count="2">
    <mergeCell ref="U2:AA2"/>
    <mergeCell ref="M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DA34-0E5D-1F40-9C2A-29B7A26FB66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DA0F-153C-EA4B-BFD7-F055EDFFACD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8EF3-2DAC-AC42-9E3C-174210D7BB5E}">
  <dimension ref="A1:AA85"/>
  <sheetViews>
    <sheetView zoomScale="9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T11" sqref="T11"/>
    </sheetView>
  </sheetViews>
  <sheetFormatPr baseColWidth="10" defaultRowHeight="16" x14ac:dyDescent="0.2"/>
  <cols>
    <col min="1" max="1" width="23" style="1" bestFit="1" customWidth="1"/>
    <col min="2" max="12" width="8.5" bestFit="1" customWidth="1"/>
    <col min="13" max="13" width="9.6640625" bestFit="1" customWidth="1"/>
    <col min="14" max="14" width="12.33203125" bestFit="1" customWidth="1"/>
    <col min="15" max="15" width="13.5" bestFit="1" customWidth="1"/>
    <col min="16" max="16" width="12.33203125" bestFit="1" customWidth="1"/>
    <col min="17" max="19" width="13.5" bestFit="1" customWidth="1"/>
    <col min="21" max="21" width="4" bestFit="1" customWidth="1"/>
    <col min="27" max="27" width="4.6640625" bestFit="1" customWidth="1"/>
  </cols>
  <sheetData>
    <row r="1" spans="1:19" ht="34" x14ac:dyDescent="0.2">
      <c r="A1" s="32" t="s">
        <v>62</v>
      </c>
      <c r="B1" s="16">
        <f t="shared" ref="B1:F1" si="0">C1-1</f>
        <v>2012</v>
      </c>
      <c r="C1" s="16">
        <f t="shared" si="0"/>
        <v>2013</v>
      </c>
      <c r="D1" s="16">
        <f t="shared" si="0"/>
        <v>2014</v>
      </c>
      <c r="E1" s="16">
        <f t="shared" si="0"/>
        <v>2015</v>
      </c>
      <c r="F1" s="16">
        <f t="shared" si="0"/>
        <v>2016</v>
      </c>
      <c r="G1" s="16">
        <f>H1-1</f>
        <v>2017</v>
      </c>
      <c r="H1" s="16">
        <v>2018</v>
      </c>
      <c r="I1" s="16">
        <f>H1+1</f>
        <v>2019</v>
      </c>
      <c r="J1" s="16">
        <f t="shared" ref="J1:M1" si="1">I1+1</f>
        <v>2020</v>
      </c>
      <c r="K1" s="16">
        <f t="shared" si="1"/>
        <v>2021</v>
      </c>
      <c r="L1" s="16">
        <f t="shared" si="1"/>
        <v>2022</v>
      </c>
      <c r="M1" s="16">
        <f t="shared" si="1"/>
        <v>2023</v>
      </c>
      <c r="N1" s="16" t="s">
        <v>91</v>
      </c>
      <c r="O1" s="16" t="s">
        <v>92</v>
      </c>
      <c r="P1" s="16" t="s">
        <v>93</v>
      </c>
      <c r="Q1" s="16" t="s">
        <v>94</v>
      </c>
      <c r="R1" s="16" t="s">
        <v>95</v>
      </c>
      <c r="S1" s="16" t="s">
        <v>96</v>
      </c>
    </row>
    <row r="3" spans="1:19" ht="17" x14ac:dyDescent="0.2">
      <c r="A3" s="39" t="s">
        <v>41</v>
      </c>
    </row>
    <row r="4" spans="1:19" ht="17" x14ac:dyDescent="0.2">
      <c r="A4" s="36" t="s">
        <v>55</v>
      </c>
      <c r="B4" s="17">
        <f>'[1]Statement of Income'!I$32/1000</f>
        <v>2731.2240000000002</v>
      </c>
      <c r="C4" s="17">
        <f>'[1]Statement of Income'!J$32/1000</f>
        <v>3214.5909999999999</v>
      </c>
      <c r="D4" s="17">
        <f>'[1]Statement of Income'!K$32/1000</f>
        <v>4108.2690000000002</v>
      </c>
      <c r="E4" s="17">
        <f>'[1]Statement of Income'!L$32/1000</f>
        <v>4501.223</v>
      </c>
      <c r="F4" s="17">
        <f>'[1]Statement of Income'!M$32/1000</f>
        <v>3904.384</v>
      </c>
      <c r="G4" s="17">
        <f>'[1]Statement of Income'!N$32/1000</f>
        <v>4476.3999999999996</v>
      </c>
      <c r="H4" s="17">
        <f>'[1]Statement of Income'!O$32/1000</f>
        <v>4865</v>
      </c>
      <c r="I4" s="17">
        <f>'[1]Statement of Income'!P$32/1000</f>
        <v>5586.3689999999997</v>
      </c>
      <c r="J4" s="17">
        <f>'[1]Statement of Income'!Q$32/1000</f>
        <v>5984.634</v>
      </c>
      <c r="K4" s="17">
        <f>'[1]Statement of Income'!R$32/1000</f>
        <v>7547.0609999999997</v>
      </c>
      <c r="L4" s="17">
        <f>'[1]Statement of Income'!S$32/1000</f>
        <v>8634.652</v>
      </c>
      <c r="M4" s="17">
        <f>'[1]Statement of Income'!T$32/1000</f>
        <v>9871.6489999999994</v>
      </c>
      <c r="N4" s="17">
        <f>'[1]Valuation &amp; Forecasting'!$U$32/1000</f>
        <v>11276.830588320003</v>
      </c>
      <c r="O4" s="17">
        <f>'[1]Valuation &amp; Forecasting'!$U$32/1000</f>
        <v>11276.830588320003</v>
      </c>
      <c r="P4" s="17">
        <f>'[1]Valuation &amp; Forecasting'!$U$32/1000</f>
        <v>11276.830588320003</v>
      </c>
      <c r="Q4" s="17">
        <f>'[1]Valuation &amp; Forecasting'!$U$32/1000</f>
        <v>11276.830588320003</v>
      </c>
      <c r="R4" s="17">
        <f>'[1]Valuation &amp; Forecasting'!$U$32/1000</f>
        <v>11276.830588320003</v>
      </c>
      <c r="S4" s="17">
        <f>'[1]Valuation &amp; Forecasting'!$U$32/1000</f>
        <v>11276.830588320003</v>
      </c>
    </row>
    <row r="5" spans="1:19" ht="17" x14ac:dyDescent="0.2">
      <c r="A5" s="36" t="s">
        <v>33</v>
      </c>
      <c r="B5" s="17"/>
      <c r="C5" s="17"/>
      <c r="D5" s="17"/>
      <c r="E5" s="17"/>
      <c r="F5" s="17"/>
      <c r="G5" s="17"/>
      <c r="H5" s="17"/>
      <c r="I5" s="17"/>
      <c r="J5" s="17"/>
      <c r="K5" s="17">
        <f>'[10]Statement of Operations'!B$9/1000</f>
        <v>500.072</v>
      </c>
      <c r="L5" s="17">
        <f>'[10]Statement of Operations'!C$9/1000</f>
        <v>564.11900000000003</v>
      </c>
      <c r="M5" s="17">
        <f>'[10]Statement of Operations'!D$9/1000</f>
        <v>728.7</v>
      </c>
      <c r="N5" s="17">
        <f>[10]Valuation!E$9/1000</f>
        <v>908.3130000000001</v>
      </c>
      <c r="O5" s="17">
        <f>[10]Valuation!F$9/1000</f>
        <v>1193.4120600000006</v>
      </c>
      <c r="P5" s="17">
        <f>[10]Valuation!G$9/1000</f>
        <v>1553.0817636000006</v>
      </c>
      <c r="Q5" s="17">
        <f>[10]Valuation!H$9/1000</f>
        <v>2028.1420677600013</v>
      </c>
      <c r="R5" s="17">
        <f>[10]Valuation!I$9/1000</f>
        <v>2532.6424071153015</v>
      </c>
      <c r="S5" s="17">
        <f>[10]Valuation!J$9/1000</f>
        <v>3123.5923021088729</v>
      </c>
    </row>
    <row r="6" spans="1:19" ht="17" x14ac:dyDescent="0.2">
      <c r="A6" s="37" t="s">
        <v>8</v>
      </c>
      <c r="B6" s="21">
        <f t="shared" ref="B6:D6" si="2">SUM(B4:B5)</f>
        <v>2731.2240000000002</v>
      </c>
      <c r="C6" s="21">
        <f t="shared" si="2"/>
        <v>3214.5909999999999</v>
      </c>
      <c r="D6" s="21">
        <f t="shared" si="2"/>
        <v>4108.2690000000002</v>
      </c>
      <c r="E6" s="21">
        <f t="shared" ref="E6:L6" si="3">SUM(E4:E5)</f>
        <v>4501.223</v>
      </c>
      <c r="F6" s="21">
        <f t="shared" si="3"/>
        <v>3904.384</v>
      </c>
      <c r="G6" s="21">
        <f t="shared" si="3"/>
        <v>4476.3999999999996</v>
      </c>
      <c r="H6" s="21">
        <f t="shared" si="3"/>
        <v>4865</v>
      </c>
      <c r="I6" s="21">
        <f t="shared" si="3"/>
        <v>5586.3689999999997</v>
      </c>
      <c r="J6" s="21">
        <f t="shared" si="3"/>
        <v>5984.634</v>
      </c>
      <c r="K6" s="21">
        <f t="shared" si="3"/>
        <v>8047.1329999999998</v>
      </c>
      <c r="L6" s="21">
        <f t="shared" si="3"/>
        <v>9198.7710000000006</v>
      </c>
      <c r="M6" s="21">
        <f>SUM(M4:M5)</f>
        <v>10600.349</v>
      </c>
      <c r="N6" s="21">
        <f t="shared" ref="N6:S6" si="4">SUM(N4:N5)</f>
        <v>12185.143588320003</v>
      </c>
      <c r="O6" s="21">
        <f t="shared" si="4"/>
        <v>12470.242648320003</v>
      </c>
      <c r="P6" s="21">
        <f t="shared" si="4"/>
        <v>12829.912351920004</v>
      </c>
      <c r="Q6" s="21">
        <f t="shared" si="4"/>
        <v>13304.972656080005</v>
      </c>
      <c r="R6" s="21">
        <f t="shared" si="4"/>
        <v>13809.472995435304</v>
      </c>
      <c r="S6" s="21">
        <f t="shared" si="4"/>
        <v>14400.422890428876</v>
      </c>
    </row>
    <row r="7" spans="1:19" ht="17" x14ac:dyDescent="0.2">
      <c r="A7" s="37" t="s">
        <v>60</v>
      </c>
    </row>
    <row r="8" spans="1:19" ht="17" x14ac:dyDescent="0.2">
      <c r="A8" s="36" t="s">
        <v>55</v>
      </c>
      <c r="B8" s="23">
        <f>B4/B$6</f>
        <v>1</v>
      </c>
      <c r="C8" s="23">
        <f t="shared" ref="C8:M8" si="5">C4/C$6</f>
        <v>1</v>
      </c>
      <c r="D8" s="23">
        <f t="shared" si="5"/>
        <v>1</v>
      </c>
      <c r="E8" s="23">
        <f t="shared" si="5"/>
        <v>1</v>
      </c>
      <c r="F8" s="23">
        <f t="shared" si="5"/>
        <v>1</v>
      </c>
      <c r="G8" s="23">
        <f t="shared" si="5"/>
        <v>1</v>
      </c>
      <c r="H8" s="23">
        <f t="shared" si="5"/>
        <v>1</v>
      </c>
      <c r="I8" s="23">
        <f t="shared" si="5"/>
        <v>1</v>
      </c>
      <c r="J8" s="23">
        <f t="shared" si="5"/>
        <v>1</v>
      </c>
      <c r="K8" s="23">
        <f t="shared" si="5"/>
        <v>0.93785712253047138</v>
      </c>
      <c r="L8" s="23">
        <f t="shared" si="5"/>
        <v>0.93867452510775617</v>
      </c>
      <c r="M8" s="23">
        <f t="shared" si="5"/>
        <v>0.93125698031262927</v>
      </c>
      <c r="N8" s="23">
        <f t="shared" ref="N8:S8" si="6">N4/N$6</f>
        <v>0.92545734127658064</v>
      </c>
      <c r="O8" s="23">
        <f t="shared" si="6"/>
        <v>0.90429921103734279</v>
      </c>
      <c r="P8" s="23">
        <f t="shared" si="6"/>
        <v>0.87894837306760076</v>
      </c>
      <c r="Q8" s="23">
        <f t="shared" si="6"/>
        <v>0.84756510816027897</v>
      </c>
      <c r="R8" s="23">
        <f t="shared" si="6"/>
        <v>0.81660108188397473</v>
      </c>
      <c r="S8" s="23">
        <f t="shared" si="6"/>
        <v>0.78309023798287591</v>
      </c>
    </row>
    <row r="9" spans="1:19" ht="17" x14ac:dyDescent="0.2">
      <c r="A9" s="36" t="s">
        <v>33</v>
      </c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M9" si="7">K5/K$6</f>
        <v>6.2142877469528589E-2</v>
      </c>
      <c r="L9" s="23">
        <f t="shared" si="7"/>
        <v>6.1325474892243756E-2</v>
      </c>
      <c r="M9" s="23">
        <f t="shared" si="7"/>
        <v>6.8743019687370677E-2</v>
      </c>
      <c r="N9" s="23">
        <f t="shared" ref="N9:S9" si="8">N5/N$6</f>
        <v>7.4542658723419405E-2</v>
      </c>
      <c r="O9" s="23">
        <f t="shared" si="8"/>
        <v>9.5700788962657241E-2</v>
      </c>
      <c r="P9" s="23">
        <f t="shared" si="8"/>
        <v>0.1210516269323992</v>
      </c>
      <c r="Q9" s="23">
        <f t="shared" si="8"/>
        <v>0.15243489183972103</v>
      </c>
      <c r="R9" s="23">
        <f t="shared" si="8"/>
        <v>0.18339891811602527</v>
      </c>
      <c r="S9" s="23">
        <f t="shared" si="8"/>
        <v>0.21690976201712403</v>
      </c>
    </row>
    <row r="10" spans="1:19" ht="17" x14ac:dyDescent="0.2">
      <c r="A10" s="38" t="s">
        <v>52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ht="17" x14ac:dyDescent="0.2">
      <c r="A11" s="36" t="s">
        <v>55</v>
      </c>
      <c r="B11" s="17">
        <f>SUM('[1]Statement of Income'!I$35:I$38)/1000</f>
        <v>1990.884</v>
      </c>
      <c r="C11" s="17">
        <f>SUM('[1]Statement of Income'!J$35:J$38)/1000</f>
        <v>2359.8220000000001</v>
      </c>
      <c r="D11" s="17">
        <f>SUM('[1]Statement of Income'!K$35:K$38)/1000</f>
        <v>2990.5129999999999</v>
      </c>
      <c r="E11" s="17">
        <f>SUM('[1]Statement of Income'!L$35:L$38)/1000</f>
        <v>3326.9360000000001</v>
      </c>
      <c r="F11" s="17">
        <f>SUM('[1]Statement of Income'!M$35:M$38)/1000</f>
        <v>3406.17</v>
      </c>
      <c r="G11" s="17">
        <f>SUM('[1]Statement of Income'!N$35:N$38)/1000</f>
        <v>3720.1959999999999</v>
      </c>
      <c r="H11" s="17">
        <f>SUM('[1]Statement of Income'!O$35:O$38)/1000</f>
        <v>3953.9929999999999</v>
      </c>
      <c r="I11" s="17">
        <f>SUM('[1]Statement of Income'!P$35:P$38)/1000</f>
        <v>4443.8789999999999</v>
      </c>
      <c r="J11" s="17">
        <f>SUM('[1]Statement of Income'!Q$35:Q$38)/1000</f>
        <v>4943.5529999999999</v>
      </c>
      <c r="K11" s="17">
        <f>SUM('[1]Statement of Income'!R$35:R$38)/1000</f>
        <v>5840.0519999999997</v>
      </c>
      <c r="L11" s="17">
        <f>SUM('[1]Statement of Income'!S$35:S$38)/1000</f>
        <v>6572.5330000000004</v>
      </c>
      <c r="M11" s="17">
        <f>SUM('[1]Statement of Income'!T$35:T$38)/1000</f>
        <v>7285.5569999999998</v>
      </c>
      <c r="N11" s="17"/>
      <c r="O11" s="17"/>
      <c r="P11" s="17"/>
      <c r="Q11" s="17"/>
      <c r="R11" s="17"/>
      <c r="S11" s="17"/>
    </row>
    <row r="12" spans="1:19" ht="17" x14ac:dyDescent="0.2">
      <c r="A12" s="36" t="s">
        <v>33</v>
      </c>
      <c r="B12" s="17"/>
      <c r="C12" s="17"/>
      <c r="D12" s="17"/>
      <c r="E12" s="17"/>
      <c r="F12" s="17"/>
      <c r="G12" s="17"/>
      <c r="H12" s="17"/>
      <c r="I12" s="17"/>
      <c r="J12" s="17"/>
      <c r="K12" s="17">
        <f>'[10]Statement of Operations'!B$14/1000</f>
        <v>417.91899999999998</v>
      </c>
      <c r="L12" s="17">
        <f>'[10]Statement of Operations'!C$14/1000</f>
        <v>466.13499999999999</v>
      </c>
      <c r="M12" s="17">
        <f>'[10]Statement of Operations'!D$14/1000</f>
        <v>548.35400000000004</v>
      </c>
      <c r="N12" s="17"/>
      <c r="O12" s="17"/>
      <c r="P12" s="17"/>
      <c r="Q12" s="17"/>
      <c r="R12" s="17"/>
      <c r="S12" s="17"/>
    </row>
    <row r="13" spans="1:19" ht="17" x14ac:dyDescent="0.2">
      <c r="A13" s="37" t="s">
        <v>8</v>
      </c>
      <c r="B13" s="21">
        <f t="shared" ref="B13:D13" si="9">SUM(B11:B12)</f>
        <v>1990.884</v>
      </c>
      <c r="C13" s="21">
        <f t="shared" si="9"/>
        <v>2359.8220000000001</v>
      </c>
      <c r="D13" s="21">
        <f t="shared" si="9"/>
        <v>2990.5129999999999</v>
      </c>
      <c r="E13" s="21">
        <f t="shared" ref="E13" si="10">SUM(E11:E12)</f>
        <v>3326.9360000000001</v>
      </c>
      <c r="F13" s="21">
        <f t="shared" ref="F13" si="11">SUM(F11:F12)</f>
        <v>3406.17</v>
      </c>
      <c r="G13" s="21">
        <f t="shared" ref="G13" si="12">SUM(G11:G12)</f>
        <v>3720.1959999999999</v>
      </c>
      <c r="H13" s="21">
        <f t="shared" ref="H13" si="13">SUM(H11:H12)</f>
        <v>3953.9929999999999</v>
      </c>
      <c r="I13" s="21">
        <f t="shared" ref="I13" si="14">SUM(I11:I12)</f>
        <v>4443.8789999999999</v>
      </c>
      <c r="J13" s="21">
        <f t="shared" ref="J13" si="15">SUM(J11:J12)</f>
        <v>4943.5529999999999</v>
      </c>
      <c r="K13" s="21">
        <f t="shared" ref="K13" si="16">SUM(K11:K12)</f>
        <v>6257.9709999999995</v>
      </c>
      <c r="L13" s="21">
        <f t="shared" ref="L13" si="17">SUM(L11:L12)</f>
        <v>7038.6680000000006</v>
      </c>
      <c r="M13" s="21">
        <f>SUM(M11:M12)</f>
        <v>7833.9110000000001</v>
      </c>
      <c r="N13" s="21"/>
      <c r="O13" s="21"/>
      <c r="P13" s="21"/>
      <c r="Q13" s="21"/>
      <c r="R13" s="21"/>
      <c r="S13" s="21"/>
    </row>
    <row r="14" spans="1:19" ht="17" x14ac:dyDescent="0.2">
      <c r="A14" s="37" t="s">
        <v>59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ht="17" x14ac:dyDescent="0.2">
      <c r="A15" s="36" t="s">
        <v>55</v>
      </c>
      <c r="B15" s="19"/>
      <c r="C15" s="18">
        <f>C11/B11-1</f>
        <v>0.18531365966073365</v>
      </c>
      <c r="D15" s="18">
        <f t="shared" ref="D15:L15" si="18">D11/C11-1</f>
        <v>0.26726210705722719</v>
      </c>
      <c r="E15" s="18">
        <f t="shared" si="18"/>
        <v>0.11249675222946709</v>
      </c>
      <c r="F15" s="18">
        <f t="shared" si="18"/>
        <v>2.3815907489654231E-2</v>
      </c>
      <c r="G15" s="18">
        <f t="shared" si="18"/>
        <v>9.2193284539526799E-2</v>
      </c>
      <c r="H15" s="18">
        <f t="shared" si="18"/>
        <v>6.2845344707644468E-2</v>
      </c>
      <c r="I15" s="18">
        <f t="shared" si="18"/>
        <v>0.12389652687801922</v>
      </c>
      <c r="J15" s="18">
        <f t="shared" si="18"/>
        <v>0.1124409553005381</v>
      </c>
      <c r="K15" s="18">
        <f t="shared" si="18"/>
        <v>0.18134709995017739</v>
      </c>
      <c r="L15" s="18">
        <f t="shared" si="18"/>
        <v>0.12542371198064695</v>
      </c>
      <c r="M15" s="18">
        <f>M11/L11-1</f>
        <v>0.10848541954829272</v>
      </c>
      <c r="N15" s="18"/>
      <c r="O15" s="18"/>
      <c r="P15" s="18"/>
      <c r="Q15" s="18"/>
      <c r="R15" s="18"/>
      <c r="S15" s="18"/>
    </row>
    <row r="16" spans="1:19" ht="17" x14ac:dyDescent="0.2">
      <c r="A16" s="36" t="s">
        <v>33</v>
      </c>
      <c r="B16" s="19"/>
      <c r="C16" s="18"/>
      <c r="D16" s="18"/>
      <c r="E16" s="18"/>
      <c r="F16" s="18"/>
      <c r="G16" s="18"/>
      <c r="H16" s="18"/>
      <c r="I16" s="18"/>
      <c r="J16" s="18"/>
      <c r="K16" s="18"/>
      <c r="L16" s="18">
        <f t="shared" ref="L16:M16" si="19">L12/K12-1</f>
        <v>0.11537163900181624</v>
      </c>
      <c r="M16" s="18">
        <f t="shared" si="19"/>
        <v>0.17638452379675429</v>
      </c>
      <c r="N16" s="18"/>
      <c r="O16" s="18"/>
      <c r="P16" s="18"/>
      <c r="Q16" s="18"/>
      <c r="R16" s="18"/>
      <c r="S16" s="18"/>
    </row>
    <row r="17" spans="1:19" ht="34" x14ac:dyDescent="0.2">
      <c r="A17" s="37" t="s">
        <v>61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7" x14ac:dyDescent="0.2">
      <c r="A18" s="36" t="s">
        <v>55</v>
      </c>
      <c r="B18" s="19">
        <f t="shared" ref="B18:M18" si="20">B11/B37</f>
        <v>0.91065875888870274</v>
      </c>
      <c r="C18" s="19">
        <f t="shared" si="20"/>
        <v>0.91499093082534544</v>
      </c>
      <c r="D18" s="19">
        <f>D11/D37</f>
        <v>0.91173648689230158</v>
      </c>
      <c r="E18" s="19">
        <f t="shared" si="20"/>
        <v>0.9256731640323288</v>
      </c>
      <c r="F18" s="19">
        <f t="shared" si="20"/>
        <v>0.92069298826999446</v>
      </c>
      <c r="G18" s="19">
        <f t="shared" si="20"/>
        <v>0.92337186718541542</v>
      </c>
      <c r="H18" s="19">
        <f t="shared" si="20"/>
        <v>0.91147854114304783</v>
      </c>
      <c r="I18" s="19">
        <f t="shared" si="20"/>
        <v>0.90570542698223744</v>
      </c>
      <c r="J18" s="19">
        <f t="shared" si="20"/>
        <v>0.91119371086779688</v>
      </c>
      <c r="K18" s="19">
        <f t="shared" si="20"/>
        <v>0.90289092587238728</v>
      </c>
      <c r="L18" s="19">
        <f t="shared" si="20"/>
        <v>0.91714659926957964</v>
      </c>
      <c r="M18" s="19">
        <f t="shared" si="20"/>
        <v>0.91572285921997687</v>
      </c>
      <c r="N18" s="19"/>
      <c r="O18" s="19"/>
      <c r="P18" s="19"/>
      <c r="Q18" s="19"/>
      <c r="R18" s="19"/>
      <c r="S18" s="19"/>
    </row>
    <row r="19" spans="1:19" ht="17" x14ac:dyDescent="0.2">
      <c r="A19" s="36" t="s">
        <v>33</v>
      </c>
      <c r="B19" s="19"/>
      <c r="C19" s="19"/>
      <c r="D19" s="19"/>
      <c r="E19" s="19"/>
      <c r="F19" s="19"/>
      <c r="G19" s="19"/>
      <c r="H19" s="19"/>
      <c r="I19" s="19"/>
      <c r="J19" s="19"/>
      <c r="K19" s="19">
        <f>K12/K38</f>
        <v>0.83962639429104113</v>
      </c>
      <c r="L19" s="19">
        <f>L12/L38</f>
        <v>0.83029632637938888</v>
      </c>
      <c r="M19" s="19">
        <f>M12/M38</f>
        <v>0.81643670819170311</v>
      </c>
      <c r="N19" s="19"/>
      <c r="O19" s="19"/>
      <c r="P19" s="19"/>
      <c r="Q19" s="19"/>
      <c r="R19" s="19"/>
      <c r="S19" s="19"/>
    </row>
    <row r="20" spans="1:19" ht="17" x14ac:dyDescent="0.2">
      <c r="A20" s="37" t="s">
        <v>58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17" x14ac:dyDescent="0.2">
      <c r="A21" s="36" t="s">
        <v>55</v>
      </c>
      <c r="B21" s="19">
        <f>B11/B4</f>
        <v>0.72893471937856424</v>
      </c>
      <c r="C21" s="19">
        <f t="shared" ref="C21:M21" si="21">C11/C4</f>
        <v>0.73409712153116846</v>
      </c>
      <c r="D21" s="19">
        <f t="shared" si="21"/>
        <v>0.72792531355663415</v>
      </c>
      <c r="E21" s="19">
        <f t="shared" si="21"/>
        <v>0.7391182351996336</v>
      </c>
      <c r="F21" s="19">
        <f t="shared" si="21"/>
        <v>0.87239626020391436</v>
      </c>
      <c r="G21" s="19">
        <f t="shared" si="21"/>
        <v>0.8310687159324458</v>
      </c>
      <c r="H21" s="19">
        <f t="shared" si="21"/>
        <v>0.81274265159301129</v>
      </c>
      <c r="I21" s="19">
        <f t="shared" si="21"/>
        <v>0.79548611987500295</v>
      </c>
      <c r="J21" s="19">
        <f t="shared" si="21"/>
        <v>0.82604099097789441</v>
      </c>
      <c r="K21" s="19">
        <f t="shared" si="21"/>
        <v>0.77381804652168573</v>
      </c>
      <c r="L21" s="19">
        <f t="shared" si="21"/>
        <v>0.76118099490286351</v>
      </c>
      <c r="M21" s="19">
        <f t="shared" si="21"/>
        <v>0.73802836790489612</v>
      </c>
      <c r="N21" s="19"/>
      <c r="O21" s="19"/>
      <c r="P21" s="19"/>
      <c r="Q21" s="19"/>
      <c r="R21" s="19"/>
      <c r="S21" s="19"/>
    </row>
    <row r="22" spans="1:19" ht="17" x14ac:dyDescent="0.2">
      <c r="A22" s="36" t="s">
        <v>33</v>
      </c>
      <c r="B22" s="19"/>
      <c r="C22" s="19"/>
      <c r="D22" s="19"/>
      <c r="E22" s="19"/>
      <c r="F22" s="19"/>
      <c r="G22" s="19"/>
      <c r="H22" s="19"/>
      <c r="I22" s="19"/>
      <c r="J22" s="19"/>
      <c r="K22" s="19">
        <f>K12/K5</f>
        <v>0.83571765665744124</v>
      </c>
      <c r="L22" s="19">
        <f>L12/L5</f>
        <v>0.8263061517162158</v>
      </c>
      <c r="M22" s="19">
        <f>M12/M5</f>
        <v>0.75250994922464665</v>
      </c>
      <c r="N22" s="19"/>
      <c r="O22" s="19"/>
      <c r="P22" s="19"/>
      <c r="Q22" s="19"/>
      <c r="R22" s="19"/>
      <c r="S22" s="19"/>
    </row>
    <row r="23" spans="1:19" ht="17" x14ac:dyDescent="0.2">
      <c r="A23" s="38" t="s">
        <v>56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ht="17" x14ac:dyDescent="0.2">
      <c r="A24" s="36" t="s">
        <v>55</v>
      </c>
      <c r="B24" s="17">
        <f t="shared" ref="B24:D24" si="22">B37-B11</f>
        <v>195.31800000000021</v>
      </c>
      <c r="C24" s="17">
        <f t="shared" si="22"/>
        <v>219.24399999999969</v>
      </c>
      <c r="D24" s="17">
        <f t="shared" si="22"/>
        <v>289.50599999999986</v>
      </c>
      <c r="E24" s="17">
        <f t="shared" ref="E24:M24" si="23">E37-E11</f>
        <v>267.13599999999997</v>
      </c>
      <c r="F24" s="17">
        <f t="shared" si="23"/>
        <v>293.40200000000004</v>
      </c>
      <c r="G24" s="17">
        <f t="shared" si="23"/>
        <v>308.72900000000027</v>
      </c>
      <c r="H24" s="17">
        <f t="shared" si="23"/>
        <v>384.00599999999986</v>
      </c>
      <c r="I24" s="17">
        <f t="shared" si="23"/>
        <v>462.65999999999985</v>
      </c>
      <c r="J24" s="17">
        <f t="shared" si="23"/>
        <v>481.80600000000049</v>
      </c>
      <c r="K24" s="17">
        <f t="shared" si="23"/>
        <v>628.11800000000039</v>
      </c>
      <c r="L24" s="17">
        <f t="shared" si="23"/>
        <v>593.75099999999929</v>
      </c>
      <c r="M24" s="17">
        <f t="shared" si="23"/>
        <v>670.51500000000033</v>
      </c>
      <c r="N24" s="17"/>
      <c r="O24" s="17"/>
      <c r="P24" s="17"/>
      <c r="Q24" s="17"/>
      <c r="R24" s="17"/>
      <c r="S24" s="17"/>
    </row>
    <row r="25" spans="1:19" ht="17" x14ac:dyDescent="0.2">
      <c r="A25" s="36" t="s">
        <v>33</v>
      </c>
      <c r="B25" s="17"/>
      <c r="C25" s="17"/>
      <c r="D25" s="17"/>
      <c r="E25" s="17"/>
      <c r="F25" s="17"/>
      <c r="G25" s="17"/>
      <c r="H25" s="17"/>
      <c r="I25" s="17"/>
      <c r="J25" s="17"/>
      <c r="K25" s="17">
        <f>K38-K12</f>
        <v>79.825000000000045</v>
      </c>
      <c r="L25" s="17">
        <f>L38-L12</f>
        <v>95.273000000000025</v>
      </c>
      <c r="M25" s="17">
        <f>M38-M12</f>
        <v>123.28899999999999</v>
      </c>
      <c r="N25" s="17"/>
      <c r="O25" s="17"/>
      <c r="P25" s="17"/>
      <c r="Q25" s="17"/>
      <c r="R25" s="17"/>
      <c r="S25" s="17"/>
    </row>
    <row r="26" spans="1:19" ht="17" x14ac:dyDescent="0.2">
      <c r="A26" s="37" t="s">
        <v>8</v>
      </c>
      <c r="B26" s="21">
        <f t="shared" ref="B26:D26" si="24">SUM(B24:B25)</f>
        <v>195.31800000000021</v>
      </c>
      <c r="C26" s="21">
        <f t="shared" si="24"/>
        <v>219.24399999999969</v>
      </c>
      <c r="D26" s="21">
        <f t="shared" si="24"/>
        <v>289.50599999999986</v>
      </c>
      <c r="E26" s="21">
        <f t="shared" ref="E26" si="25">SUM(E24:E25)</f>
        <v>267.13599999999997</v>
      </c>
      <c r="F26" s="21">
        <f t="shared" ref="F26" si="26">SUM(F24:F25)</f>
        <v>293.40200000000004</v>
      </c>
      <c r="G26" s="21">
        <f t="shared" ref="G26" si="27">SUM(G24:G25)</f>
        <v>308.72900000000027</v>
      </c>
      <c r="H26" s="21">
        <f t="shared" ref="H26" si="28">SUM(H24:H25)</f>
        <v>384.00599999999986</v>
      </c>
      <c r="I26" s="21">
        <f t="shared" ref="I26" si="29">SUM(I24:I25)</f>
        <v>462.65999999999985</v>
      </c>
      <c r="J26" s="21">
        <f t="shared" ref="J26" si="30">SUM(J24:J25)</f>
        <v>481.80600000000049</v>
      </c>
      <c r="K26" s="21">
        <f t="shared" ref="K26" si="31">SUM(K24:K25)</f>
        <v>707.94300000000044</v>
      </c>
      <c r="L26" s="21">
        <f t="shared" ref="L26" si="32">SUM(L24:L25)</f>
        <v>689.02399999999932</v>
      </c>
      <c r="M26" s="21">
        <f>SUM(M24:M25)</f>
        <v>793.80400000000031</v>
      </c>
      <c r="N26" s="21"/>
      <c r="O26" s="21"/>
      <c r="P26" s="21"/>
      <c r="Q26" s="21"/>
      <c r="R26" s="21"/>
      <c r="S26" s="21"/>
    </row>
    <row r="27" spans="1:19" ht="17" x14ac:dyDescent="0.2">
      <c r="A27" s="37" t="s">
        <v>59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1:19" ht="17" x14ac:dyDescent="0.2">
      <c r="A28" s="36" t="s">
        <v>55</v>
      </c>
      <c r="B28" s="19"/>
      <c r="C28" s="18">
        <f>C24/B24-1</f>
        <v>0.1224976704655969</v>
      </c>
      <c r="D28" s="18">
        <f t="shared" ref="D28:M28" si="33">D24/C24-1</f>
        <v>0.32047399244677277</v>
      </c>
      <c r="E28" s="18">
        <f t="shared" si="33"/>
        <v>-7.7269555725960393E-2</v>
      </c>
      <c r="F28" s="18">
        <f t="shared" si="33"/>
        <v>9.8324448969813405E-2</v>
      </c>
      <c r="G28" s="18">
        <f t="shared" si="33"/>
        <v>5.2238907710241422E-2</v>
      </c>
      <c r="H28" s="18">
        <f t="shared" si="33"/>
        <v>0.24382873005127315</v>
      </c>
      <c r="I28" s="18">
        <f t="shared" si="33"/>
        <v>0.20482492461055313</v>
      </c>
      <c r="J28" s="18">
        <f t="shared" si="33"/>
        <v>4.1382440669175402E-2</v>
      </c>
      <c r="K28" s="18">
        <f t="shared" si="33"/>
        <v>0.3036740928921593</v>
      </c>
      <c r="L28" s="18">
        <f t="shared" si="33"/>
        <v>-5.4714241591549806E-2</v>
      </c>
      <c r="M28" s="18">
        <f t="shared" si="33"/>
        <v>0.12928651909639077</v>
      </c>
      <c r="N28" s="18"/>
      <c r="O28" s="18"/>
      <c r="P28" s="18"/>
      <c r="Q28" s="18"/>
      <c r="R28" s="18"/>
      <c r="S28" s="18"/>
    </row>
    <row r="29" spans="1:19" ht="17" x14ac:dyDescent="0.2">
      <c r="A29" s="36" t="s">
        <v>33</v>
      </c>
      <c r="B29" s="19"/>
      <c r="C29" s="18"/>
      <c r="D29" s="18"/>
      <c r="E29" s="18"/>
      <c r="F29" s="18"/>
      <c r="G29" s="18"/>
      <c r="H29" s="18"/>
      <c r="I29" s="18"/>
      <c r="J29" s="18"/>
      <c r="K29" s="18"/>
      <c r="L29" s="18">
        <f t="shared" ref="L29:M29" si="34">L25/K25-1</f>
        <v>0.19352333228938257</v>
      </c>
      <c r="M29" s="18">
        <f t="shared" si="34"/>
        <v>0.29406022692683087</v>
      </c>
      <c r="N29" s="18"/>
      <c r="O29" s="18"/>
      <c r="P29" s="18"/>
      <c r="Q29" s="18"/>
      <c r="R29" s="18"/>
      <c r="S29" s="18"/>
    </row>
    <row r="30" spans="1:19" ht="34" x14ac:dyDescent="0.2">
      <c r="A30" s="37" t="s">
        <v>61</v>
      </c>
    </row>
    <row r="31" spans="1:19" ht="17" x14ac:dyDescent="0.2">
      <c r="A31" s="36" t="s">
        <v>55</v>
      </c>
      <c r="B31" s="19">
        <f>B24/B37</f>
        <v>8.9341241111297209E-2</v>
      </c>
      <c r="C31" s="19">
        <f t="shared" ref="C31:M31" si="35">C24/C37</f>
        <v>8.5009069174654589E-2</v>
      </c>
      <c r="D31" s="19">
        <f t="shared" si="35"/>
        <v>8.8263513107698421E-2</v>
      </c>
      <c r="E31" s="19">
        <f t="shared" si="35"/>
        <v>7.4326835967671201E-2</v>
      </c>
      <c r="F31" s="19">
        <f t="shared" si="35"/>
        <v>7.9307011730005539E-2</v>
      </c>
      <c r="G31" s="19">
        <f t="shared" si="35"/>
        <v>7.6628132814584596E-2</v>
      </c>
      <c r="H31" s="19">
        <f t="shared" si="35"/>
        <v>8.8521458856952215E-2</v>
      </c>
      <c r="I31" s="19">
        <f t="shared" si="35"/>
        <v>9.4294573017762603E-2</v>
      </c>
      <c r="J31" s="19">
        <f t="shared" si="35"/>
        <v>8.8806289132203134E-2</v>
      </c>
      <c r="K31" s="19">
        <f t="shared" si="35"/>
        <v>9.710907412761266E-2</v>
      </c>
      <c r="L31" s="19">
        <f t="shared" si="35"/>
        <v>8.2853400730420301E-2</v>
      </c>
      <c r="M31" s="19">
        <f t="shared" si="35"/>
        <v>8.4277140780023144E-2</v>
      </c>
      <c r="N31" s="19"/>
      <c r="O31" s="19"/>
      <c r="P31" s="19"/>
      <c r="Q31" s="19"/>
      <c r="R31" s="19"/>
      <c r="S31" s="19"/>
    </row>
    <row r="32" spans="1:19" ht="17" x14ac:dyDescent="0.2">
      <c r="A32" s="36" t="s">
        <v>33</v>
      </c>
      <c r="B32" s="19"/>
      <c r="C32" s="19"/>
      <c r="D32" s="19"/>
      <c r="E32" s="19"/>
      <c r="F32" s="19"/>
      <c r="G32" s="19"/>
      <c r="H32" s="19"/>
      <c r="I32" s="19"/>
      <c r="J32" s="19"/>
      <c r="K32" s="19">
        <f t="shared" ref="K32:M32" si="36">K25/K38</f>
        <v>0.16037360570895889</v>
      </c>
      <c r="L32" s="19">
        <f t="shared" si="36"/>
        <v>0.16970367362061106</v>
      </c>
      <c r="M32" s="19">
        <f t="shared" si="36"/>
        <v>0.18356329180829695</v>
      </c>
      <c r="N32" s="19"/>
      <c r="O32" s="19"/>
      <c r="P32" s="19"/>
      <c r="Q32" s="19"/>
      <c r="R32" s="19"/>
      <c r="S32" s="19"/>
    </row>
    <row r="33" spans="1:19" ht="17" x14ac:dyDescent="0.2">
      <c r="A33" s="37" t="s">
        <v>58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ht="17" x14ac:dyDescent="0.2">
      <c r="A34" s="36" t="s">
        <v>55</v>
      </c>
      <c r="B34" s="19">
        <f t="shared" ref="B34:M34" si="37">B24/B4</f>
        <v>7.1512991977223467E-2</v>
      </c>
      <c r="C34" s="19">
        <f t="shared" si="37"/>
        <v>6.8202766697225151E-2</v>
      </c>
      <c r="D34" s="19">
        <f t="shared" si="37"/>
        <v>7.0469095378126373E-2</v>
      </c>
      <c r="E34" s="19">
        <f t="shared" si="37"/>
        <v>5.9347426243934139E-2</v>
      </c>
      <c r="F34" s="19">
        <f t="shared" si="37"/>
        <v>7.5146809330229825E-2</v>
      </c>
      <c r="G34" s="19">
        <f t="shared" si="37"/>
        <v>6.8968144044321389E-2</v>
      </c>
      <c r="H34" s="19">
        <f t="shared" si="37"/>
        <v>7.8932374100719391E-2</v>
      </c>
      <c r="I34" s="19">
        <f t="shared" si="37"/>
        <v>8.2819448554150271E-2</v>
      </c>
      <c r="J34" s="19">
        <f t="shared" si="37"/>
        <v>8.0507178885124889E-2</v>
      </c>
      <c r="K34" s="19">
        <f t="shared" si="37"/>
        <v>8.3226834922892554E-2</v>
      </c>
      <c r="L34" s="19">
        <f t="shared" si="37"/>
        <v>6.8763744039713387E-2</v>
      </c>
      <c r="M34" s="19">
        <f t="shared" si="37"/>
        <v>6.7923302378356476E-2</v>
      </c>
      <c r="N34" s="19"/>
      <c r="O34" s="19"/>
      <c r="P34" s="19"/>
      <c r="Q34" s="19"/>
      <c r="R34" s="19"/>
      <c r="S34" s="19"/>
    </row>
    <row r="35" spans="1:19" ht="17" x14ac:dyDescent="0.2">
      <c r="A35" s="36" t="s">
        <v>33</v>
      </c>
      <c r="B35" s="19"/>
      <c r="C35" s="19"/>
      <c r="D35" s="19"/>
      <c r="E35" s="19"/>
      <c r="F35" s="19"/>
      <c r="G35" s="19"/>
      <c r="H35" s="19"/>
      <c r="I35" s="19"/>
      <c r="J35" s="19"/>
      <c r="K35" s="19">
        <f>K25/K5</f>
        <v>0.15962701371002586</v>
      </c>
      <c r="L35" s="19">
        <f>L25/L5</f>
        <v>0.16888812466873127</v>
      </c>
      <c r="M35" s="19">
        <f>M25/M5</f>
        <v>0.16919033895979138</v>
      </c>
      <c r="N35" s="19"/>
      <c r="O35" s="19"/>
      <c r="P35" s="19"/>
      <c r="Q35" s="19"/>
      <c r="R35" s="19"/>
      <c r="S35" s="19"/>
    </row>
    <row r="36" spans="1:19" ht="34" x14ac:dyDescent="0.2">
      <c r="A36" s="39" t="s">
        <v>57</v>
      </c>
    </row>
    <row r="37" spans="1:19" ht="17" x14ac:dyDescent="0.2">
      <c r="A37" s="36" t="s">
        <v>55</v>
      </c>
      <c r="B37" s="17">
        <f>('[1]Statement of Income'!I$43-'[1]Statement of Income'!I$42-'[1]Statement of Income'!I$40)/1000</f>
        <v>2186.2020000000002</v>
      </c>
      <c r="C37" s="17">
        <f>('[1]Statement of Income'!J$43-'[1]Statement of Income'!J$42-'[1]Statement of Income'!J$40)/1000</f>
        <v>2579.0659999999998</v>
      </c>
      <c r="D37" s="17">
        <f>('[1]Statement of Income'!K$43-'[1]Statement of Income'!K$42-'[1]Statement of Income'!K$40)/1000</f>
        <v>3280.0189999999998</v>
      </c>
      <c r="E37" s="17">
        <f>('[1]Statement of Income'!L$43-'[1]Statement of Income'!L$42-'[1]Statement of Income'!L$40)/1000</f>
        <v>3594.0720000000001</v>
      </c>
      <c r="F37" s="17">
        <f>('[1]Statement of Income'!M$43-'[1]Statement of Income'!M$42-'[1]Statement of Income'!M$40)/1000</f>
        <v>3699.5720000000001</v>
      </c>
      <c r="G37" s="17">
        <f>('[1]Statement of Income'!N$43-'[1]Statement of Income'!N$42-'[1]Statement of Income'!N$40)/1000</f>
        <v>4028.9250000000002</v>
      </c>
      <c r="H37" s="17">
        <f>('[1]Statement of Income'!O$43-'[1]Statement of Income'!O$42-'[1]Statement of Income'!O$40)/1000</f>
        <v>4337.9989999999998</v>
      </c>
      <c r="I37" s="17">
        <f>('[1]Statement of Income'!P$43-'[1]Statement of Income'!P$42-'[1]Statement of Income'!P$40)/1000</f>
        <v>4906.5389999999998</v>
      </c>
      <c r="J37" s="17">
        <f>('[1]Statement of Income'!Q$43-'[1]Statement of Income'!Q$42-'[1]Statement of Income'!Q$40)/1000</f>
        <v>5425.3590000000004</v>
      </c>
      <c r="K37" s="17">
        <f>('[1]Statement of Income'!R$43-'[1]Statement of Income'!R$42-'[1]Statement of Income'!R$40)/1000</f>
        <v>6468.17</v>
      </c>
      <c r="L37" s="17">
        <f>('[1]Statement of Income'!S$43-'[1]Statement of Income'!S$42-'[1]Statement of Income'!S$40)/1000</f>
        <v>7166.2839999999997</v>
      </c>
      <c r="M37" s="17">
        <f>('[1]Statement of Income'!T$43-'[1]Statement of Income'!T$42-'[1]Statement of Income'!T$40)/1000</f>
        <v>7956.0720000000001</v>
      </c>
      <c r="N37" s="17"/>
      <c r="O37" s="17"/>
      <c r="P37" s="17"/>
      <c r="Q37" s="17"/>
      <c r="R37" s="17"/>
      <c r="S37" s="17"/>
    </row>
    <row r="38" spans="1:19" ht="17" x14ac:dyDescent="0.2">
      <c r="A38" s="36" t="s">
        <v>33</v>
      </c>
      <c r="B38" s="17"/>
      <c r="C38" s="17"/>
      <c r="D38" s="17"/>
      <c r="E38" s="17"/>
      <c r="F38" s="17"/>
      <c r="G38" s="17"/>
      <c r="H38" s="17"/>
      <c r="I38" s="17"/>
      <c r="J38" s="17"/>
      <c r="K38" s="17">
        <f>('[10]Statement of Operations'!B$26-'[10]Statement of Operations'!B$25-'[10]Statement of Operations'!B$22)/1000</f>
        <v>497.74400000000003</v>
      </c>
      <c r="L38" s="17">
        <f>('[10]Statement of Operations'!C$26-'[10]Statement of Operations'!C$25-'[10]Statement of Operations'!C$22)/1000</f>
        <v>561.40800000000002</v>
      </c>
      <c r="M38" s="17">
        <f>('[10]Statement of Operations'!D$26-'[10]Statement of Operations'!D$25-'[10]Statement of Operations'!D$22)/1000</f>
        <v>671.64300000000003</v>
      </c>
      <c r="N38" s="17"/>
      <c r="O38" s="17"/>
      <c r="P38" s="17"/>
      <c r="Q38" s="17"/>
      <c r="R38" s="17"/>
      <c r="S38" s="17"/>
    </row>
    <row r="39" spans="1:19" ht="17" x14ac:dyDescent="0.2">
      <c r="A39" s="37" t="s">
        <v>8</v>
      </c>
      <c r="B39" s="21">
        <f t="shared" ref="B39:D39" si="38">SUM(B37:B38)</f>
        <v>2186.2020000000002</v>
      </c>
      <c r="C39" s="21">
        <f t="shared" si="38"/>
        <v>2579.0659999999998</v>
      </c>
      <c r="D39" s="21">
        <f t="shared" si="38"/>
        <v>3280.0189999999998</v>
      </c>
      <c r="E39" s="21">
        <f t="shared" ref="E39" si="39">SUM(E37:E38)</f>
        <v>3594.0720000000001</v>
      </c>
      <c r="F39" s="21">
        <f t="shared" ref="F39" si="40">SUM(F37:F38)</f>
        <v>3699.5720000000001</v>
      </c>
      <c r="G39" s="21">
        <f t="shared" ref="G39" si="41">SUM(G37:G38)</f>
        <v>4028.9250000000002</v>
      </c>
      <c r="H39" s="21">
        <f t="shared" ref="H39" si="42">SUM(H37:H38)</f>
        <v>4337.9989999999998</v>
      </c>
      <c r="I39" s="21">
        <f t="shared" ref="I39" si="43">SUM(I37:I38)</f>
        <v>4906.5389999999998</v>
      </c>
      <c r="J39" s="21">
        <f t="shared" ref="J39" si="44">SUM(J37:J38)</f>
        <v>5425.3590000000004</v>
      </c>
      <c r="K39" s="21">
        <f t="shared" ref="K39" si="45">SUM(K37:K38)</f>
        <v>6965.9139999999998</v>
      </c>
      <c r="L39" s="21">
        <f t="shared" ref="L39" si="46">SUM(L37:L38)</f>
        <v>7727.692</v>
      </c>
      <c r="M39" s="21">
        <f>SUM(M37:M38)</f>
        <v>8627.7150000000001</v>
      </c>
      <c r="N39" s="21"/>
      <c r="O39" s="21"/>
      <c r="P39" s="21"/>
      <c r="Q39" s="21"/>
      <c r="R39" s="21"/>
      <c r="S39" s="21"/>
    </row>
    <row r="40" spans="1:19" ht="17" x14ac:dyDescent="0.2">
      <c r="A40" s="37" t="s">
        <v>59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 ht="17" x14ac:dyDescent="0.2">
      <c r="A41" s="36" t="s">
        <v>55</v>
      </c>
      <c r="B41" s="19"/>
      <c r="C41" s="18">
        <f>C37/B37-1</f>
        <v>0.17970160122440637</v>
      </c>
      <c r="D41" s="18">
        <f t="shared" ref="D41:M41" si="47">D37/C37-1</f>
        <v>0.27178559990322082</v>
      </c>
      <c r="E41" s="18">
        <f t="shared" si="47"/>
        <v>9.57473112198437E-2</v>
      </c>
      <c r="F41" s="18">
        <f t="shared" si="47"/>
        <v>2.9353891630440332E-2</v>
      </c>
      <c r="G41" s="18">
        <f t="shared" si="47"/>
        <v>8.9024622307661616E-2</v>
      </c>
      <c r="H41" s="18">
        <f t="shared" si="47"/>
        <v>7.6713763596989226E-2</v>
      </c>
      <c r="I41" s="18">
        <f t="shared" si="47"/>
        <v>0.1310604267082589</v>
      </c>
      <c r="J41" s="18">
        <f t="shared" si="47"/>
        <v>0.10574052300409731</v>
      </c>
      <c r="K41" s="18">
        <f t="shared" si="47"/>
        <v>0.19221050625405622</v>
      </c>
      <c r="L41" s="18">
        <f t="shared" si="47"/>
        <v>0.10793068209400802</v>
      </c>
      <c r="M41" s="18">
        <f t="shared" si="47"/>
        <v>0.1102088613847847</v>
      </c>
      <c r="N41" s="18"/>
      <c r="O41" s="18"/>
      <c r="P41" s="18"/>
      <c r="Q41" s="18"/>
      <c r="R41" s="18"/>
      <c r="S41" s="18"/>
    </row>
    <row r="42" spans="1:19" ht="17" x14ac:dyDescent="0.2">
      <c r="A42" s="36" t="s">
        <v>33</v>
      </c>
      <c r="B42" s="19"/>
      <c r="C42" s="18"/>
      <c r="D42" s="18"/>
      <c r="E42" s="18"/>
      <c r="F42" s="18"/>
      <c r="G42" s="18"/>
      <c r="H42" s="18"/>
      <c r="I42" s="18"/>
      <c r="J42" s="18"/>
      <c r="K42" s="18"/>
      <c r="L42" s="18">
        <f t="shared" ref="L42:M42" si="48">L38/K38-1</f>
        <v>0.1279051078466038</v>
      </c>
      <c r="M42" s="18">
        <f t="shared" si="48"/>
        <v>0.19635452291381661</v>
      </c>
      <c r="N42" s="18"/>
      <c r="O42" s="18"/>
      <c r="P42" s="18"/>
      <c r="Q42" s="18"/>
      <c r="R42" s="18"/>
      <c r="S42" s="18"/>
    </row>
    <row r="43" spans="1:19" ht="17" x14ac:dyDescent="0.2">
      <c r="A43" s="37" t="s">
        <v>58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 ht="17" x14ac:dyDescent="0.2">
      <c r="A44" s="36" t="s">
        <v>55</v>
      </c>
      <c r="B44" s="19">
        <f>B37/B4</f>
        <v>0.80044771135578774</v>
      </c>
      <c r="C44" s="19">
        <f t="shared" ref="C44:M45" si="49">C37/C4</f>
        <v>0.8022998882283936</v>
      </c>
      <c r="D44" s="19">
        <f t="shared" si="49"/>
        <v>0.79839440893476055</v>
      </c>
      <c r="E44" s="19">
        <f t="shared" si="49"/>
        <v>0.79846566144356768</v>
      </c>
      <c r="F44" s="19">
        <f t="shared" si="49"/>
        <v>0.94754306953414424</v>
      </c>
      <c r="G44" s="19">
        <f t="shared" si="49"/>
        <v>0.90003685997676719</v>
      </c>
      <c r="H44" s="19">
        <f t="shared" si="49"/>
        <v>0.89167502569373069</v>
      </c>
      <c r="I44" s="19">
        <f t="shared" si="49"/>
        <v>0.87830556842915319</v>
      </c>
      <c r="J44" s="19">
        <f t="shared" si="49"/>
        <v>0.90654816986301923</v>
      </c>
      <c r="K44" s="19">
        <f t="shared" si="49"/>
        <v>0.85704488144457824</v>
      </c>
      <c r="L44" s="19">
        <f t="shared" si="49"/>
        <v>0.82994473894257692</v>
      </c>
      <c r="M44" s="19">
        <f t="shared" si="49"/>
        <v>0.80595167028325265</v>
      </c>
      <c r="N44" s="19"/>
      <c r="O44" s="19"/>
      <c r="P44" s="19"/>
      <c r="Q44" s="19"/>
      <c r="R44" s="19"/>
      <c r="S44" s="19"/>
    </row>
    <row r="45" spans="1:19" ht="17" x14ac:dyDescent="0.2">
      <c r="A45" s="36" t="s">
        <v>33</v>
      </c>
      <c r="B45" s="19"/>
      <c r="C45" s="19"/>
      <c r="D45" s="19"/>
      <c r="E45" s="19"/>
      <c r="F45" s="19"/>
      <c r="G45" s="19"/>
      <c r="H45" s="19"/>
      <c r="I45" s="19"/>
      <c r="J45" s="19"/>
      <c r="K45" s="19">
        <f t="shared" si="49"/>
        <v>0.9953446703674671</v>
      </c>
      <c r="L45" s="19">
        <f t="shared" si="49"/>
        <v>0.99519427638494717</v>
      </c>
      <c r="M45" s="19">
        <f>M38/M5</f>
        <v>0.92170028818443805</v>
      </c>
      <c r="N45" s="19"/>
      <c r="O45" s="19"/>
      <c r="P45" s="19"/>
      <c r="Q45" s="19"/>
      <c r="R45" s="19"/>
      <c r="S45" s="19"/>
    </row>
    <row r="46" spans="1:19" ht="17" x14ac:dyDescent="0.2">
      <c r="A46" s="39" t="s">
        <v>76</v>
      </c>
    </row>
    <row r="47" spans="1:19" ht="17" x14ac:dyDescent="0.2">
      <c r="A47" s="36" t="s">
        <v>55</v>
      </c>
      <c r="B47" s="31">
        <f>'[1]Statement of Income'!I59/1000</f>
        <v>1.9370382978723406</v>
      </c>
      <c r="C47" s="31">
        <f>'[1]Statement of Income'!J59/1000</f>
        <v>2.0154175548589341</v>
      </c>
      <c r="D47" s="31">
        <f>'[1]Statement of Income'!K59/1000</f>
        <v>2.3041329220415032</v>
      </c>
      <c r="E47" s="31">
        <f>'[1]Statement of Income'!L59/1000</f>
        <v>2.2394144278606962</v>
      </c>
      <c r="F47" s="31">
        <f>'[1]Statement of Income'!M59/1000</f>
        <v>1.7352817777777778</v>
      </c>
      <c r="G47" s="31">
        <f>'[1]Statement of Income'!N59/1000</f>
        <v>1.8474618241848948</v>
      </c>
      <c r="H47" s="31">
        <f>'[1]Statement of Income'!O59/1000</f>
        <v>1.9483380056067281</v>
      </c>
      <c r="I47" s="31">
        <f>'[1]Statement of Income'!P59/1000</f>
        <v>2.1305755148741419</v>
      </c>
      <c r="J47" s="31">
        <f>'[1]Statement of Income'!Q59/1000</f>
        <v>2.1620787572254336</v>
      </c>
      <c r="K47" s="31">
        <f>'[1]Statement of Income'!R59/1000</f>
        <v>2.5445249494268372</v>
      </c>
      <c r="L47" s="31">
        <f>'[1]Statement of Income'!S59/1000</f>
        <v>2.7093354251647317</v>
      </c>
      <c r="M47" s="31">
        <f>'[1]Statement of Income'!T59/1000</f>
        <v>2.8721702065755021</v>
      </c>
      <c r="N47" s="31"/>
      <c r="O47" s="31"/>
      <c r="P47" s="31"/>
      <c r="Q47" s="31"/>
      <c r="R47" s="31"/>
      <c r="S47" s="31"/>
    </row>
    <row r="48" spans="1:19" ht="17" x14ac:dyDescent="0.2">
      <c r="A48" s="36" t="s">
        <v>33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>
        <f>[10]Valuation!C44/1000</f>
        <v>1.5468758620689655</v>
      </c>
      <c r="M48" s="31">
        <f>[10]Valuation!D44/1000</f>
        <v>2.3205825242718445</v>
      </c>
      <c r="N48" s="31">
        <f>[10]Valuation!E44/1000</f>
        <v>2.4417016129032265</v>
      </c>
      <c r="O48" s="31">
        <f>[10]Valuation!F44/1000</f>
        <v>2.7434760000000011</v>
      </c>
      <c r="P48" s="31">
        <f>[10]Valuation!G44/1000</f>
        <v>3.1186380795180737</v>
      </c>
      <c r="Q48" s="31">
        <f>[10]Valuation!H44/1000</f>
        <v>3.6152265022459913</v>
      </c>
      <c r="R48" s="31">
        <f>[10]Valuation!I44/1000</f>
        <v>4.0587218062745221</v>
      </c>
      <c r="S48" s="31">
        <f>[10]Valuation!J44/1000</f>
        <v>4.5467136857479957</v>
      </c>
    </row>
    <row r="49" spans="1:21" ht="17" x14ac:dyDescent="0.2">
      <c r="A49" s="39" t="s">
        <v>77</v>
      </c>
    </row>
    <row r="50" spans="1:21" ht="17" x14ac:dyDescent="0.2">
      <c r="A50" s="37" t="s">
        <v>55</v>
      </c>
    </row>
    <row r="51" spans="1:21" ht="17" x14ac:dyDescent="0.2">
      <c r="A51" s="36" t="s">
        <v>78</v>
      </c>
      <c r="B51">
        <f>'[1]Statement of Income'!I7</f>
        <v>183</v>
      </c>
      <c r="C51">
        <f>'[1]Statement of Income'!J7</f>
        <v>185</v>
      </c>
      <c r="D51">
        <f>'[1]Statement of Income'!K7</f>
        <v>192</v>
      </c>
      <c r="E51">
        <f>'[1]Statement of Income'!L7</f>
        <v>229</v>
      </c>
      <c r="F51">
        <f>'[1]Statement of Income'!M7</f>
        <v>243</v>
      </c>
      <c r="G51">
        <f>'[1]Statement of Income'!N7</f>
        <v>183</v>
      </c>
      <c r="H51">
        <f>'[1]Statement of Income'!O7</f>
        <v>137</v>
      </c>
      <c r="I51">
        <f>'[1]Statement of Income'!P7</f>
        <v>140</v>
      </c>
      <c r="J51">
        <f>'[1]Statement of Income'!Q7</f>
        <v>160</v>
      </c>
      <c r="K51">
        <f>'[1]Statement of Income'!R7</f>
        <v>215</v>
      </c>
      <c r="L51">
        <f>'[1]Statement of Income'!S7</f>
        <v>235</v>
      </c>
      <c r="M51">
        <f>'[1]Statement of Income'!T7</f>
        <v>210</v>
      </c>
    </row>
    <row r="52" spans="1:21" ht="17" x14ac:dyDescent="0.2">
      <c r="A52" s="36" t="s">
        <v>79</v>
      </c>
      <c r="B52">
        <f>'[1]Statement of Income'!I10</f>
        <v>1410</v>
      </c>
      <c r="C52">
        <f>'[1]Statement of Income'!J10</f>
        <v>1595</v>
      </c>
      <c r="D52">
        <f>'[1]Statement of Income'!K10</f>
        <v>1783</v>
      </c>
      <c r="E52">
        <f>'[1]Statement of Income'!L10</f>
        <v>2010</v>
      </c>
      <c r="F52">
        <f>'[1]Statement of Income'!M10</f>
        <v>2250</v>
      </c>
      <c r="G52">
        <f>'[1]Statement of Income'!N10</f>
        <v>2423</v>
      </c>
      <c r="H52">
        <f>'[1]Statement of Income'!O10</f>
        <v>2497</v>
      </c>
      <c r="I52">
        <f>'[1]Statement of Income'!P10</f>
        <v>2622</v>
      </c>
      <c r="J52">
        <f>'[1]Statement of Income'!Q10</f>
        <v>2768</v>
      </c>
      <c r="K52">
        <f>'[1]Statement of Income'!R10</f>
        <v>2966</v>
      </c>
      <c r="L52">
        <f>'[1]Statement of Income'!S10</f>
        <v>3187</v>
      </c>
      <c r="M52">
        <f>'[1]Statement of Income'!T10</f>
        <v>3437</v>
      </c>
    </row>
    <row r="53" spans="1:21" ht="17" x14ac:dyDescent="0.2">
      <c r="A53" s="37" t="s">
        <v>33</v>
      </c>
    </row>
    <row r="54" spans="1:21" ht="17" x14ac:dyDescent="0.2">
      <c r="A54" s="36" t="s">
        <v>78</v>
      </c>
      <c r="L54">
        <f>L55-K55</f>
        <v>157</v>
      </c>
      <c r="M54">
        <f>M55-L55</f>
        <v>19</v>
      </c>
      <c r="N54">
        <f t="shared" ref="N54:S54" si="50">N55-M55</f>
        <v>63</v>
      </c>
      <c r="O54">
        <f t="shared" si="50"/>
        <v>63</v>
      </c>
      <c r="P54">
        <f t="shared" si="50"/>
        <v>63</v>
      </c>
      <c r="Q54">
        <f t="shared" si="50"/>
        <v>63</v>
      </c>
      <c r="R54">
        <f t="shared" si="50"/>
        <v>63</v>
      </c>
      <c r="S54">
        <f t="shared" si="50"/>
        <v>63</v>
      </c>
    </row>
    <row r="55" spans="1:21" ht="17" x14ac:dyDescent="0.2">
      <c r="A55" s="36" t="s">
        <v>79</v>
      </c>
      <c r="K55">
        <v>133</v>
      </c>
      <c r="L55">
        <f>[10]Valuation!C43</f>
        <v>290</v>
      </c>
      <c r="M55">
        <f>[10]Valuation!D43</f>
        <v>309</v>
      </c>
      <c r="N55">
        <f>[10]Valuation!E43</f>
        <v>372</v>
      </c>
      <c r="O55">
        <f>[10]Valuation!F43</f>
        <v>435</v>
      </c>
      <c r="P55">
        <f>[10]Valuation!G43</f>
        <v>498</v>
      </c>
      <c r="Q55">
        <f>[10]Valuation!H43</f>
        <v>561</v>
      </c>
      <c r="R55">
        <f>[10]Valuation!I43</f>
        <v>624</v>
      </c>
      <c r="S55">
        <f>[10]Valuation!J43</f>
        <v>687</v>
      </c>
    </row>
    <row r="56" spans="1:21" ht="17" x14ac:dyDescent="0.2">
      <c r="A56" s="39" t="s">
        <v>80</v>
      </c>
    </row>
    <row r="57" spans="1:21" ht="17" x14ac:dyDescent="0.2">
      <c r="A57" s="36" t="s">
        <v>55</v>
      </c>
      <c r="B57" s="59">
        <f>'[1]Statement of Income'!I44/1000/B52</f>
        <v>0.32330851063829785</v>
      </c>
      <c r="C57" s="59">
        <f>'[1]Statement of Income'!J44/1000/C52</f>
        <v>0.3339937304075235</v>
      </c>
      <c r="D57" s="59">
        <f>'[1]Statement of Income'!K44/1000/D52</f>
        <v>0.39865395401009535</v>
      </c>
      <c r="E57" s="59">
        <f>'[1]Statement of Income'!L44/1000/E52</f>
        <v>0.37989502487562193</v>
      </c>
      <c r="F57" s="59">
        <f>'[1]Statement of Income'!M44/1000/F52</f>
        <v>1.536311111111111E-2</v>
      </c>
      <c r="G57" s="59">
        <f>'[1]Statement of Income'!N44/1000/G52</f>
        <v>0.11175484936029714</v>
      </c>
      <c r="H57" s="59">
        <f>'[1]Statement of Income'!O44/1000/H52</f>
        <v>0.1034773728474169</v>
      </c>
      <c r="I57" s="59">
        <f>'[1]Statement of Income'!P44/1000/I52</f>
        <v>0.16932036613272311</v>
      </c>
      <c r="J57" s="59">
        <f>'[1]Statement of Income'!Q44/1000/J52</f>
        <v>0.10482803468208092</v>
      </c>
      <c r="K57" s="59">
        <f>'[1]Statement of Income'!R44/1000/K52</f>
        <v>0.27139008766014833</v>
      </c>
      <c r="L57" s="59">
        <f>'[1]Statement of Income'!S44/1000/L52</f>
        <v>0.36410511452776906</v>
      </c>
      <c r="M57" s="59">
        <f>'[1]Statement of Income'!T44/1000/M52</f>
        <v>0.45324789060226944</v>
      </c>
      <c r="N57" s="59"/>
      <c r="O57" s="59"/>
      <c r="P57" s="59"/>
      <c r="Q57" s="59"/>
      <c r="R57" s="59"/>
      <c r="S57" s="59"/>
    </row>
    <row r="58" spans="1:21" ht="17" x14ac:dyDescent="0.2">
      <c r="A58" s="36" t="s">
        <v>33</v>
      </c>
      <c r="B58" s="59"/>
      <c r="C58" s="59"/>
      <c r="D58" s="59"/>
      <c r="E58" s="59"/>
      <c r="F58" s="59"/>
      <c r="G58" s="59"/>
      <c r="H58" s="59"/>
      <c r="I58" s="59"/>
      <c r="J58" s="59"/>
      <c r="K58" s="59">
        <f>'[10]Statement of Operations'!B27/1000/'[10]Statement of Operations'!B37</f>
        <v>-0.39663157894736845</v>
      </c>
      <c r="L58" s="59">
        <f>'[10]Statement of Operations'!C27/1000/'[10]Statement of Operations'!C37</f>
        <v>-0.20608965517241379</v>
      </c>
      <c r="M58" s="59">
        <f>'[10]Statement of Operations'!D27/1000/'[10]Statement of Operations'!D37</f>
        <v>1.5291262135922329E-2</v>
      </c>
      <c r="N58" s="59"/>
      <c r="O58" s="59"/>
      <c r="P58" s="59"/>
      <c r="Q58" s="59"/>
      <c r="R58" s="59"/>
      <c r="S58" s="59"/>
    </row>
    <row r="60" spans="1:21" ht="34" x14ac:dyDescent="0.2">
      <c r="A60" s="30" t="s">
        <v>81</v>
      </c>
      <c r="B60" s="1"/>
    </row>
    <row r="61" spans="1:21" x14ac:dyDescent="0.2">
      <c r="B61" s="30">
        <v>2012</v>
      </c>
      <c r="C61" s="16">
        <f>B61+1</f>
        <v>2013</v>
      </c>
      <c r="D61" s="16">
        <f t="shared" ref="D61:K61" si="51">C61+1</f>
        <v>2014</v>
      </c>
      <c r="E61" s="16">
        <f t="shared" si="51"/>
        <v>2015</v>
      </c>
      <c r="F61" s="16">
        <f t="shared" si="51"/>
        <v>2016</v>
      </c>
      <c r="G61" s="16">
        <f t="shared" si="51"/>
        <v>2017</v>
      </c>
      <c r="H61" s="16">
        <f t="shared" si="51"/>
        <v>2018</v>
      </c>
      <c r="I61" s="16">
        <f t="shared" si="51"/>
        <v>2019</v>
      </c>
      <c r="J61" s="16">
        <f t="shared" si="51"/>
        <v>2020</v>
      </c>
      <c r="K61" s="16">
        <f t="shared" si="51"/>
        <v>2021</v>
      </c>
      <c r="L61" s="16">
        <f>K61+1</f>
        <v>2022</v>
      </c>
      <c r="M61" s="16">
        <v>2023</v>
      </c>
      <c r="N61" s="16" t="s">
        <v>91</v>
      </c>
      <c r="O61" s="16" t="s">
        <v>92</v>
      </c>
      <c r="P61" s="16" t="s">
        <v>93</v>
      </c>
      <c r="Q61" s="16" t="s">
        <v>94</v>
      </c>
      <c r="R61" s="16" t="s">
        <v>95</v>
      </c>
      <c r="S61" s="16" t="s">
        <v>96</v>
      </c>
      <c r="T61" s="16"/>
      <c r="U61" s="16"/>
    </row>
    <row r="62" spans="1:21" ht="17" x14ac:dyDescent="0.2">
      <c r="A62" s="1" t="s">
        <v>1</v>
      </c>
      <c r="B62" s="68">
        <f>'[1]Statement of Income'!I$32/1000000</f>
        <v>2.7312240000000001</v>
      </c>
      <c r="C62" s="68">
        <f>'[1]Statement of Income'!J$32/1000000</f>
        <v>3.214591</v>
      </c>
      <c r="D62" s="68">
        <f>'[1]Statement of Income'!K$32/1000000</f>
        <v>4.1082689999999999</v>
      </c>
      <c r="E62" s="68">
        <f>'[1]Statement of Income'!L$32/1000000</f>
        <v>4.5012230000000004</v>
      </c>
      <c r="F62" s="68">
        <f>'[1]Statement of Income'!M$32/1000000</f>
        <v>3.9043839999999999</v>
      </c>
      <c r="G62" s="68">
        <f>'[1]Statement of Income'!N$32/1000000</f>
        <v>4.4763999999999999</v>
      </c>
      <c r="H62" s="68">
        <f>'[1]Statement of Income'!O$32/1000000</f>
        <v>4.8650000000000002</v>
      </c>
      <c r="I62" s="68">
        <f>'[1]Statement of Income'!P$32/1000000</f>
        <v>5.5863690000000004</v>
      </c>
      <c r="J62" s="68">
        <f>'[1]Statement of Income'!Q$32/1000000</f>
        <v>5.9846339999999998</v>
      </c>
      <c r="K62" s="68">
        <f>'[1]Statement of Income'!R$32/1000000</f>
        <v>7.5470610000000002</v>
      </c>
      <c r="L62" s="68">
        <f>'[1]Statement of Income'!S$32/1000000</f>
        <v>8.6346520000000009</v>
      </c>
      <c r="M62" s="68">
        <f>'[1]Statement of Income'!T$32/1000000</f>
        <v>9.8716489999999997</v>
      </c>
      <c r="N62" s="31">
        <f>N64*N65</f>
        <v>10.441509804000001</v>
      </c>
      <c r="O62" s="31">
        <f t="shared" ref="O62:S62" si="52">O64*O65</f>
        <v>11.0353469433984</v>
      </c>
      <c r="P62" s="31">
        <f t="shared" si="52"/>
        <v>11.761512184227387</v>
      </c>
      <c r="Q62" s="31">
        <f t="shared" si="52"/>
        <v>12.473850726515591</v>
      </c>
      <c r="R62" s="31">
        <f t="shared" si="52"/>
        <v>13.223343374423678</v>
      </c>
      <c r="S62" s="31">
        <f t="shared" si="52"/>
        <v>13.725830422651779</v>
      </c>
    </row>
    <row r="63" spans="1:21" x14ac:dyDescent="0.2">
      <c r="B63" s="64"/>
      <c r="C63" s="69">
        <f>C62/B62-1</f>
        <v>0.17697816070743366</v>
      </c>
      <c r="D63" s="69">
        <f t="shared" ref="D63:S63" si="53">D62/C62-1</f>
        <v>0.27800675109212958</v>
      </c>
      <c r="E63" s="69">
        <f t="shared" si="53"/>
        <v>9.5649530252279069E-2</v>
      </c>
      <c r="F63" s="69">
        <f t="shared" si="53"/>
        <v>-0.13259485255451697</v>
      </c>
      <c r="G63" s="69">
        <f t="shared" si="53"/>
        <v>0.14650608136904575</v>
      </c>
      <c r="H63" s="69">
        <f t="shared" si="53"/>
        <v>8.681083013135571E-2</v>
      </c>
      <c r="I63" s="69">
        <f t="shared" si="53"/>
        <v>0.148277286742035</v>
      </c>
      <c r="J63" s="69">
        <f t="shared" si="53"/>
        <v>7.1292283055415684E-2</v>
      </c>
      <c r="K63" s="69">
        <f t="shared" si="53"/>
        <v>0.2610731082301776</v>
      </c>
      <c r="L63" s="69">
        <f t="shared" si="53"/>
        <v>0.14410788517543449</v>
      </c>
      <c r="M63" s="69">
        <f t="shared" si="53"/>
        <v>0.14325962412845339</v>
      </c>
      <c r="N63" s="69">
        <f t="shared" si="53"/>
        <v>5.7727012376554532E-2</v>
      </c>
      <c r="O63" s="69">
        <f t="shared" si="53"/>
        <v>5.6872727272727186E-2</v>
      </c>
      <c r="P63" s="69">
        <f t="shared" si="53"/>
        <v>6.5803571428571628E-2</v>
      </c>
      <c r="Q63" s="69">
        <f t="shared" si="53"/>
        <v>6.0565217391304271E-2</v>
      </c>
      <c r="R63" s="69">
        <f t="shared" si="53"/>
        <v>6.0085106382978815E-2</v>
      </c>
      <c r="S63" s="69">
        <f t="shared" si="53"/>
        <v>3.8000000000000034E-2</v>
      </c>
    </row>
    <row r="64" spans="1:21" ht="34" x14ac:dyDescent="0.2">
      <c r="A64" s="1" t="s">
        <v>82</v>
      </c>
      <c r="B64" s="1">
        <v>45.4</v>
      </c>
      <c r="C64">
        <v>48.17</v>
      </c>
      <c r="D64">
        <v>51.37</v>
      </c>
      <c r="E64">
        <v>56.42</v>
      </c>
      <c r="F64">
        <v>60.13</v>
      </c>
      <c r="G64">
        <v>63.65</v>
      </c>
      <c r="H64">
        <v>67.08</v>
      </c>
      <c r="I64">
        <v>70.91</v>
      </c>
      <c r="J64">
        <v>63.46</v>
      </c>
      <c r="K64">
        <v>71.66</v>
      </c>
      <c r="L64">
        <v>88.1</v>
      </c>
      <c r="M64">
        <f>L64*1.038</f>
        <v>91.447800000000001</v>
      </c>
      <c r="N64">
        <f t="shared" ref="N64:S64" si="54">M64*1.038</f>
        <v>94.922816400000002</v>
      </c>
      <c r="O64">
        <f t="shared" si="54"/>
        <v>98.529883423200005</v>
      </c>
      <c r="P64">
        <f t="shared" si="54"/>
        <v>102.27401899328162</v>
      </c>
      <c r="Q64">
        <f t="shared" si="54"/>
        <v>106.16043171502632</v>
      </c>
      <c r="R64">
        <f t="shared" si="54"/>
        <v>110.19452812019732</v>
      </c>
      <c r="S64">
        <f t="shared" si="54"/>
        <v>114.38192018876482</v>
      </c>
    </row>
    <row r="65" spans="1:27" ht="17" x14ac:dyDescent="0.2">
      <c r="A65" s="1" t="s">
        <v>83</v>
      </c>
      <c r="B65" s="60">
        <f>B62/B64</f>
        <v>6.0159118942731279E-2</v>
      </c>
      <c r="C65" s="60">
        <f t="shared" ref="C65:M65" si="55">C62/C64</f>
        <v>6.6734295204484109E-2</v>
      </c>
      <c r="D65" s="60">
        <f t="shared" si="55"/>
        <v>7.9974089935760176E-2</v>
      </c>
      <c r="E65" s="60">
        <f t="shared" si="55"/>
        <v>7.978062743707906E-2</v>
      </c>
      <c r="F65" s="60">
        <f t="shared" si="55"/>
        <v>6.4932379843672033E-2</v>
      </c>
      <c r="G65" s="60">
        <f t="shared" si="55"/>
        <v>7.0328358208955222E-2</v>
      </c>
      <c r="H65" s="60">
        <f t="shared" si="55"/>
        <v>7.2525342874180082E-2</v>
      </c>
      <c r="I65" s="60">
        <f t="shared" si="55"/>
        <v>7.8781116908757595E-2</v>
      </c>
      <c r="J65" s="67">
        <f t="shared" si="55"/>
        <v>9.4305609832965639E-2</v>
      </c>
      <c r="K65" s="67">
        <f t="shared" si="55"/>
        <v>0.10531762489533911</v>
      </c>
      <c r="L65" s="67">
        <f t="shared" si="55"/>
        <v>9.8009670828603873E-2</v>
      </c>
      <c r="M65" s="67">
        <f t="shared" si="55"/>
        <v>0.1079484580274211</v>
      </c>
      <c r="N65" s="65">
        <v>0.11</v>
      </c>
      <c r="O65" s="63">
        <v>0.112</v>
      </c>
      <c r="P65" s="63">
        <v>0.115</v>
      </c>
      <c r="Q65" s="63">
        <v>0.11749999999999999</v>
      </c>
      <c r="R65" s="65">
        <v>0.12</v>
      </c>
      <c r="S65" s="65">
        <v>0.12</v>
      </c>
    </row>
    <row r="66" spans="1:27" x14ac:dyDescent="0.2">
      <c r="B66" s="1"/>
    </row>
    <row r="67" spans="1:27" ht="34" x14ac:dyDescent="0.2">
      <c r="A67" s="30" t="s">
        <v>84</v>
      </c>
      <c r="B67" s="1"/>
    </row>
    <row r="68" spans="1:27" ht="17" x14ac:dyDescent="0.2">
      <c r="A68" s="30" t="s">
        <v>88</v>
      </c>
      <c r="B68" s="1"/>
      <c r="AA68" t="s">
        <v>97</v>
      </c>
    </row>
    <row r="69" spans="1:27" ht="17" x14ac:dyDescent="0.2">
      <c r="A69" s="36" t="s">
        <v>85</v>
      </c>
      <c r="B69" s="1"/>
      <c r="K69" s="56">
        <f>Profitability!I$14/1000</f>
        <v>0.50007199999999996</v>
      </c>
      <c r="L69" s="56">
        <f>Profitability!J$14/1000</f>
        <v>0.56411900000000004</v>
      </c>
      <c r="M69" s="56">
        <f>Profitability!K$14/1000</f>
        <v>0.72870000000000001</v>
      </c>
      <c r="N69" s="59">
        <f t="shared" ref="N69:S69" si="56">N71*N72</f>
        <v>0.92685000000000017</v>
      </c>
      <c r="O69" s="56">
        <f t="shared" si="56"/>
        <v>1.1934120600000004</v>
      </c>
      <c r="P69" s="56">
        <f t="shared" si="56"/>
        <v>1.5530817636000007</v>
      </c>
      <c r="Q69" s="56">
        <f t="shared" si="56"/>
        <v>2.0281420677600011</v>
      </c>
      <c r="R69" s="56">
        <f t="shared" si="56"/>
        <v>2.5326424071153015</v>
      </c>
      <c r="S69" s="56">
        <f t="shared" si="56"/>
        <v>3.1235923021088725</v>
      </c>
      <c r="U69" s="56">
        <f>S69/M69</f>
        <v>4.2865271059542644</v>
      </c>
    </row>
    <row r="70" spans="1:27" x14ac:dyDescent="0.2">
      <c r="A70" s="36"/>
      <c r="B70" s="1"/>
      <c r="K70" s="56"/>
      <c r="L70" s="66">
        <f>L69/K69-1</f>
        <v>0.12807555711977492</v>
      </c>
      <c r="M70" s="66">
        <f t="shared" ref="M70" si="57">M69/L69-1</f>
        <v>0.29174872677573349</v>
      </c>
      <c r="N70" s="66">
        <f t="shared" ref="N70" si="58">N69/M69-1</f>
        <v>0.2719226018937837</v>
      </c>
      <c r="O70" s="66">
        <f t="shared" ref="O70" si="59">O69/N69-1</f>
        <v>0.2876000000000003</v>
      </c>
      <c r="P70" s="66">
        <f t="shared" ref="P70" si="60">P69/O69-1</f>
        <v>0.30137931034482768</v>
      </c>
      <c r="Q70" s="66">
        <f t="shared" ref="Q70" si="61">Q69/P69-1</f>
        <v>0.30588235294117649</v>
      </c>
      <c r="R70" s="66">
        <f t="shared" ref="R70" si="62">R69/Q69-1</f>
        <v>0.24875000000000003</v>
      </c>
      <c r="S70" s="66">
        <f t="shared" ref="S70" si="63">S69/R69-1</f>
        <v>0.23333333333333361</v>
      </c>
      <c r="T70" s="61"/>
      <c r="U70" s="61"/>
    </row>
    <row r="71" spans="1:27" ht="34" x14ac:dyDescent="0.2">
      <c r="A71" s="36" t="s">
        <v>86</v>
      </c>
      <c r="B71" s="1"/>
      <c r="I71" s="59">
        <f t="shared" ref="I71:J71" si="64">J71*0.957</f>
        <v>29.186367516899992</v>
      </c>
      <c r="J71" s="59">
        <f t="shared" si="64"/>
        <v>30.497771699999994</v>
      </c>
      <c r="K71" s="59">
        <f>L71*0.957</f>
        <v>31.868099999999995</v>
      </c>
      <c r="L71" s="59">
        <v>33.299999999999997</v>
      </c>
      <c r="M71" s="59">
        <v>33.4</v>
      </c>
      <c r="N71" s="59">
        <f>M71*1.11</f>
        <v>37.074000000000005</v>
      </c>
      <c r="O71" s="59">
        <f t="shared" ref="O71:S71" si="65">N71*1.11</f>
        <v>41.15214000000001</v>
      </c>
      <c r="P71" s="59">
        <f t="shared" si="65"/>
        <v>45.678875400000017</v>
      </c>
      <c r="Q71" s="59">
        <f t="shared" si="65"/>
        <v>50.703551694000026</v>
      </c>
      <c r="R71" s="59">
        <f t="shared" si="65"/>
        <v>56.280942380340036</v>
      </c>
      <c r="S71" s="59">
        <f t="shared" si="65"/>
        <v>62.471846042177447</v>
      </c>
    </row>
    <row r="72" spans="1:27" ht="17" x14ac:dyDescent="0.2">
      <c r="A72" s="36" t="s">
        <v>87</v>
      </c>
      <c r="B72" s="1"/>
      <c r="K72" s="62">
        <f>K69/K71</f>
        <v>1.5691930174688798E-2</v>
      </c>
      <c r="L72" s="62">
        <f>L69/L71</f>
        <v>1.6940510510510515E-2</v>
      </c>
      <c r="M72" s="62">
        <f>M69/M71</f>
        <v>2.181736526946108E-2</v>
      </c>
      <c r="N72" s="62">
        <v>2.5000000000000001E-2</v>
      </c>
      <c r="O72" s="62">
        <v>2.9000000000000001E-2</v>
      </c>
      <c r="P72" s="62">
        <v>3.4000000000000002E-2</v>
      </c>
      <c r="Q72" s="62">
        <v>0.04</v>
      </c>
      <c r="R72" s="62">
        <v>4.4999999999999998E-2</v>
      </c>
      <c r="S72" s="62">
        <v>0.05</v>
      </c>
    </row>
    <row r="73" spans="1:27" x14ac:dyDescent="0.2">
      <c r="A73" s="30"/>
      <c r="B73" s="1"/>
      <c r="L73" s="63">
        <f>L72/K72-1</f>
        <v>7.9568308163624479E-2</v>
      </c>
      <c r="M73" s="63">
        <f t="shared" ref="M73:S73" si="66">M72/L72-1</f>
        <v>0.28788121561772217</v>
      </c>
      <c r="N73" s="63">
        <f t="shared" si="66"/>
        <v>0.14587621792232741</v>
      </c>
      <c r="O73" s="63">
        <f t="shared" si="66"/>
        <v>0.15999999999999992</v>
      </c>
      <c r="P73" s="63">
        <f t="shared" si="66"/>
        <v>0.1724137931034484</v>
      </c>
      <c r="Q73" s="63">
        <f t="shared" si="66"/>
        <v>0.17647058823529416</v>
      </c>
      <c r="R73" s="63">
        <f t="shared" si="66"/>
        <v>0.125</v>
      </c>
      <c r="S73" s="63">
        <f t="shared" si="66"/>
        <v>0.11111111111111116</v>
      </c>
    </row>
    <row r="74" spans="1:27" ht="17" x14ac:dyDescent="0.2">
      <c r="A74" s="30" t="s">
        <v>89</v>
      </c>
      <c r="B74" s="1"/>
      <c r="L74" s="63"/>
      <c r="M74" s="63"/>
      <c r="N74" s="63"/>
      <c r="O74" s="63"/>
      <c r="P74" s="63"/>
      <c r="Q74" s="63"/>
      <c r="R74" s="63"/>
      <c r="S74" s="63"/>
    </row>
    <row r="75" spans="1:27" ht="17" x14ac:dyDescent="0.2">
      <c r="A75" s="36" t="s">
        <v>85</v>
      </c>
      <c r="B75" s="1"/>
      <c r="K75" s="56">
        <f t="shared" ref="K75:R75" si="67">K77*K78</f>
        <v>0.50007199999999996</v>
      </c>
      <c r="L75" s="56">
        <f t="shared" si="67"/>
        <v>0.56411900000000004</v>
      </c>
      <c r="M75" s="56">
        <f t="shared" si="67"/>
        <v>0.72870000000000001</v>
      </c>
      <c r="N75" s="56">
        <f t="shared" si="67"/>
        <v>1.0195350000000001</v>
      </c>
      <c r="O75" s="56">
        <f t="shared" si="67"/>
        <v>1.4403249000000005</v>
      </c>
      <c r="P75" s="56">
        <f t="shared" si="67"/>
        <v>1.9413522045000005</v>
      </c>
      <c r="Q75" s="56">
        <f t="shared" si="67"/>
        <v>2.5858811363940015</v>
      </c>
      <c r="R75" s="56">
        <f t="shared" si="67"/>
        <v>3.348716071630232</v>
      </c>
      <c r="S75" s="56">
        <f>S77*S78</f>
        <v>4.3105573769102445</v>
      </c>
      <c r="U75" s="56">
        <f>S75/M75</f>
        <v>5.9154074062168851</v>
      </c>
    </row>
    <row r="76" spans="1:27" x14ac:dyDescent="0.2">
      <c r="A76" s="36"/>
      <c r="B76" s="1"/>
      <c r="K76" s="61"/>
      <c r="L76" s="66">
        <f>L75/K75-1</f>
        <v>0.12807555711977492</v>
      </c>
      <c r="M76" s="66">
        <f t="shared" ref="M76" si="68">M75/L75-1</f>
        <v>0.29174872677573349</v>
      </c>
      <c r="N76" s="66">
        <f t="shared" ref="N76" si="69">N75/M75-1</f>
        <v>0.39911486208316194</v>
      </c>
      <c r="O76" s="66">
        <f t="shared" ref="O76" si="70">O75/N75-1</f>
        <v>0.41272727272727305</v>
      </c>
      <c r="P76" s="66">
        <f t="shared" ref="P76" si="71">P75/O75-1</f>
        <v>0.34785714285714264</v>
      </c>
      <c r="Q76" s="66">
        <f t="shared" ref="Q76" si="72">Q75/P75-1</f>
        <v>0.33200000000000052</v>
      </c>
      <c r="R76" s="66">
        <f t="shared" ref="R76" si="73">R75/Q75-1</f>
        <v>0.29499999999999993</v>
      </c>
      <c r="S76" s="66">
        <f t="shared" ref="S76" si="74">S75/R75-1</f>
        <v>0.28722689075630292</v>
      </c>
    </row>
    <row r="77" spans="1:27" ht="34" x14ac:dyDescent="0.2">
      <c r="A77" s="36" t="s">
        <v>86</v>
      </c>
      <c r="B77" s="1"/>
      <c r="I77" s="59">
        <f t="shared" ref="I77:J77" si="75">J77*0.957</f>
        <v>29.186367516899992</v>
      </c>
      <c r="J77" s="59">
        <f t="shared" si="75"/>
        <v>30.497771699999994</v>
      </c>
      <c r="K77" s="59">
        <f>L77*0.957</f>
        <v>31.868099999999995</v>
      </c>
      <c r="L77" s="59">
        <v>33.299999999999997</v>
      </c>
      <c r="M77" s="59">
        <v>33.4</v>
      </c>
      <c r="N77" s="59">
        <f>M77*1.11</f>
        <v>37.074000000000005</v>
      </c>
      <c r="O77" s="59">
        <f t="shared" ref="O77:S77" si="76">N77*1.11</f>
        <v>41.15214000000001</v>
      </c>
      <c r="P77" s="59">
        <f t="shared" si="76"/>
        <v>45.678875400000017</v>
      </c>
      <c r="Q77" s="59">
        <f t="shared" si="76"/>
        <v>50.703551694000026</v>
      </c>
      <c r="R77" s="59">
        <f t="shared" si="76"/>
        <v>56.280942380340036</v>
      </c>
      <c r="S77" s="59">
        <f t="shared" si="76"/>
        <v>62.471846042177447</v>
      </c>
    </row>
    <row r="78" spans="1:27" ht="17" x14ac:dyDescent="0.2">
      <c r="A78" s="36" t="s">
        <v>87</v>
      </c>
      <c r="B78" s="1"/>
      <c r="K78" s="62">
        <v>1.5691930174688798E-2</v>
      </c>
      <c r="L78" s="62">
        <v>1.6940510510510515E-2</v>
      </c>
      <c r="M78" s="62">
        <v>2.181736526946108E-2</v>
      </c>
      <c r="N78" s="62">
        <f t="shared" ref="N78:R78" si="77">(N72+N84)/2</f>
        <v>2.75E-2</v>
      </c>
      <c r="O78" s="62">
        <f t="shared" si="77"/>
        <v>3.5000000000000003E-2</v>
      </c>
      <c r="P78" s="62">
        <f t="shared" si="77"/>
        <v>4.2499999999999996E-2</v>
      </c>
      <c r="Q78" s="62">
        <f t="shared" si="77"/>
        <v>5.1000000000000004E-2</v>
      </c>
      <c r="R78" s="62">
        <f t="shared" si="77"/>
        <v>5.9499999999999997E-2</v>
      </c>
      <c r="S78" s="62">
        <f>(S72+S84)/2</f>
        <v>6.9000000000000006E-2</v>
      </c>
    </row>
    <row r="79" spans="1:27" x14ac:dyDescent="0.2">
      <c r="A79" s="36"/>
      <c r="B79" s="1"/>
      <c r="L79" s="66">
        <f>L78/K78-1</f>
        <v>7.9568308163624479E-2</v>
      </c>
      <c r="M79" s="66">
        <f t="shared" ref="M79" si="78">M78/L78-1</f>
        <v>0.28788121561772217</v>
      </c>
      <c r="N79" s="66">
        <f t="shared" ref="N79" si="79">N78/M78-1</f>
        <v>0.26046383971456</v>
      </c>
      <c r="O79" s="66">
        <f t="shared" ref="O79" si="80">O78/N78-1</f>
        <v>0.27272727272727293</v>
      </c>
      <c r="P79" s="66">
        <f t="shared" ref="P79" si="81">P78/O78-1</f>
        <v>0.21428571428571397</v>
      </c>
      <c r="Q79" s="66">
        <f t="shared" ref="Q79" si="82">Q78/P78-1</f>
        <v>0.20000000000000018</v>
      </c>
      <c r="R79" s="66">
        <f t="shared" ref="R79" si="83">R78/Q78-1</f>
        <v>0.16666666666666652</v>
      </c>
      <c r="S79" s="66">
        <f t="shared" ref="S79" si="84">S78/R78-1</f>
        <v>0.15966386554621859</v>
      </c>
    </row>
    <row r="80" spans="1:27" ht="17" x14ac:dyDescent="0.2">
      <c r="A80" s="30" t="s">
        <v>90</v>
      </c>
      <c r="B80" s="1"/>
    </row>
    <row r="81" spans="1:21" ht="17" x14ac:dyDescent="0.2">
      <c r="A81" s="36" t="s">
        <v>85</v>
      </c>
      <c r="K81" s="56">
        <f t="shared" ref="K81:R81" si="85">K83*K84</f>
        <v>0.50007199999999996</v>
      </c>
      <c r="L81" s="56">
        <f t="shared" si="85"/>
        <v>0.56411900000000004</v>
      </c>
      <c r="M81" s="56">
        <f t="shared" si="85"/>
        <v>0.72870000000000001</v>
      </c>
      <c r="N81" s="56">
        <f t="shared" si="85"/>
        <v>1.1122200000000002</v>
      </c>
      <c r="O81" s="56">
        <f t="shared" si="85"/>
        <v>1.6872377400000005</v>
      </c>
      <c r="P81" s="56">
        <f t="shared" si="85"/>
        <v>2.3296226454000006</v>
      </c>
      <c r="Q81" s="56">
        <f t="shared" si="85"/>
        <v>3.1436202050280015</v>
      </c>
      <c r="R81" s="56">
        <f t="shared" si="85"/>
        <v>4.1647897361451625</v>
      </c>
      <c r="S81" s="56">
        <f>S83*S84</f>
        <v>5.4975224517116148</v>
      </c>
      <c r="U81" s="56">
        <f>S81/M81</f>
        <v>7.544287706479504</v>
      </c>
    </row>
    <row r="82" spans="1:21" x14ac:dyDescent="0.2">
      <c r="A82" s="36"/>
      <c r="K82" s="61"/>
      <c r="L82" s="66">
        <f>L81/K81-1</f>
        <v>0.12807555711977492</v>
      </c>
      <c r="M82" s="66">
        <f t="shared" ref="M82" si="86">M81/L81-1</f>
        <v>0.29174872677573349</v>
      </c>
      <c r="N82" s="66">
        <f t="shared" ref="N82" si="87">N81/M81-1</f>
        <v>0.5263071222725404</v>
      </c>
      <c r="O82" s="66">
        <f t="shared" ref="O82" si="88">O81/N81-1</f>
        <v>0.51700000000000013</v>
      </c>
      <c r="P82" s="66">
        <f t="shared" ref="P82" si="89">P81/O81-1</f>
        <v>0.38073170731707306</v>
      </c>
      <c r="Q82" s="66">
        <f t="shared" ref="Q82" si="90">Q81/P81-1</f>
        <v>0.34941176470588275</v>
      </c>
      <c r="R82" s="66">
        <f t="shared" ref="R82" si="91">R81/Q81-1</f>
        <v>0.32483870967741946</v>
      </c>
      <c r="S82" s="66">
        <f t="shared" ref="S82" si="92">S81/R81-1</f>
        <v>0.32000000000000006</v>
      </c>
    </row>
    <row r="83" spans="1:21" ht="34" x14ac:dyDescent="0.2">
      <c r="A83" s="36" t="s">
        <v>86</v>
      </c>
      <c r="I83" s="59">
        <f t="shared" ref="I83:J83" si="93">J83*0.957</f>
        <v>29.186367516899992</v>
      </c>
      <c r="J83" s="59">
        <f t="shared" si="93"/>
        <v>30.497771699999994</v>
      </c>
      <c r="K83" s="59">
        <f>L83*0.957</f>
        <v>31.868099999999995</v>
      </c>
      <c r="L83" s="59">
        <v>33.299999999999997</v>
      </c>
      <c r="M83" s="59">
        <v>33.4</v>
      </c>
      <c r="N83" s="59">
        <f>M83*1.11</f>
        <v>37.074000000000005</v>
      </c>
      <c r="O83" s="59">
        <f t="shared" ref="O83:S83" si="94">N83*1.11</f>
        <v>41.15214000000001</v>
      </c>
      <c r="P83" s="59">
        <f t="shared" si="94"/>
        <v>45.678875400000017</v>
      </c>
      <c r="Q83" s="59">
        <f t="shared" si="94"/>
        <v>50.703551694000026</v>
      </c>
      <c r="R83" s="59">
        <f t="shared" si="94"/>
        <v>56.280942380340036</v>
      </c>
      <c r="S83" s="59">
        <f t="shared" si="94"/>
        <v>62.471846042177447</v>
      </c>
    </row>
    <row r="84" spans="1:21" ht="17" x14ac:dyDescent="0.2">
      <c r="A84" s="36" t="s">
        <v>87</v>
      </c>
      <c r="K84" s="62">
        <v>1.5691930174688798E-2</v>
      </c>
      <c r="L84" s="62">
        <v>1.6940510510510515E-2</v>
      </c>
      <c r="M84" s="62">
        <v>2.181736526946108E-2</v>
      </c>
      <c r="N84" s="62">
        <v>0.03</v>
      </c>
      <c r="O84" s="62">
        <v>4.1000000000000002E-2</v>
      </c>
      <c r="P84" s="62">
        <v>5.0999999999999997E-2</v>
      </c>
      <c r="Q84" s="62">
        <v>6.2E-2</v>
      </c>
      <c r="R84" s="62">
        <v>7.3999999999999996E-2</v>
      </c>
      <c r="S84" s="65">
        <v>8.7999999999999995E-2</v>
      </c>
    </row>
    <row r="85" spans="1:21" x14ac:dyDescent="0.2">
      <c r="L85" s="66">
        <f>L84/K84-1</f>
        <v>7.9568308163624479E-2</v>
      </c>
      <c r="M85" s="66">
        <f t="shared" ref="M85" si="95">M84/L84-1</f>
        <v>0.28788121561772217</v>
      </c>
      <c r="N85" s="66">
        <f t="shared" ref="N85" si="96">N84/M84-1</f>
        <v>0.3750514615067928</v>
      </c>
      <c r="O85" s="66">
        <f t="shared" ref="O85" si="97">O84/N84-1</f>
        <v>0.3666666666666667</v>
      </c>
      <c r="P85" s="66">
        <f t="shared" ref="P85" si="98">P84/O84-1</f>
        <v>0.24390243902439002</v>
      </c>
      <c r="Q85" s="66">
        <f t="shared" ref="Q85" si="99">Q84/P84-1</f>
        <v>0.21568627450980404</v>
      </c>
      <c r="R85" s="66">
        <f t="shared" ref="R85" si="100">R84/Q84-1</f>
        <v>0.19354838709677424</v>
      </c>
      <c r="S85" s="66">
        <f t="shared" ref="S85" si="101">S84/R84-1</f>
        <v>0.18918918918918926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PZZA Case 1</vt:lpstr>
      <vt:lpstr>Denn Case 1</vt:lpstr>
      <vt:lpstr>Profitability</vt:lpstr>
      <vt:lpstr>Long Short Jul 2024</vt:lpstr>
      <vt:lpstr>Cost</vt:lpstr>
      <vt:lpstr>Solvency</vt:lpstr>
      <vt:lpstr>Valuation Metrics</vt:lpstr>
      <vt:lpstr>CAVA vs. CHIPOTLE</vt:lpstr>
      <vt:lpstr>US Fast Food</vt:lpstr>
      <vt:lpstr>Pizza Restaurants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2024-06-27T12:16:15Z</dcterms:created>
  <dcterms:modified xsi:type="dcterms:W3CDTF">2024-10-14T20:35:16Z</dcterms:modified>
</cp:coreProperties>
</file>