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13_ncr:1_{1A93A81F-206F-3248-8984-E29028ADE027}" xr6:coauthVersionLast="47" xr6:coauthVersionMax="47" xr10:uidLastSave="{00000000-0000-0000-0000-000000000000}"/>
  <bookViews>
    <workbookView xWindow="0" yWindow="500" windowWidth="28800" windowHeight="16400" tabRatio="602" activeTab="1" xr2:uid="{00000000-000D-0000-FFFF-FFFF00000000}"/>
  </bookViews>
  <sheets>
    <sheet name="0000000" sheetId="1" state="veryHidden" r:id="rId1"/>
    <sheet name="SBUX" sheetId="2" r:id="rId2"/>
  </sheets>
  <definedNames>
    <definedName name="_xlnm.Print_Area" localSheetId="1">SBUX!$A$1:$A$51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1" i="2" l="1"/>
  <c r="V163" i="2" s="1"/>
  <c r="V162" i="2"/>
  <c r="V165" i="2"/>
  <c r="V166" i="2" s="1"/>
  <c r="V171" i="2"/>
  <c r="V173" i="2"/>
  <c r="T162" i="2"/>
  <c r="V91" i="2"/>
  <c r="W91" i="2"/>
  <c r="X91" i="2" s="1"/>
  <c r="Y91" i="2" s="1"/>
  <c r="Z91" i="2" s="1"/>
  <c r="V85" i="2"/>
  <c r="W85" i="2"/>
  <c r="X85" i="2"/>
  <c r="Y85" i="2"/>
  <c r="Z85" i="2"/>
  <c r="W80" i="2"/>
  <c r="X80" i="2"/>
  <c r="Y80" i="2"/>
  <c r="Z80" i="2"/>
  <c r="V80" i="2"/>
  <c r="V78" i="2"/>
  <c r="W78" i="2"/>
  <c r="X78" i="2"/>
  <c r="Y78" i="2"/>
  <c r="Z78" i="2"/>
  <c r="V77" i="2"/>
  <c r="W77" i="2"/>
  <c r="X77" i="2"/>
  <c r="Y77" i="2"/>
  <c r="Z77" i="2"/>
  <c r="W76" i="2"/>
  <c r="X76" i="2" s="1"/>
  <c r="Y76" i="2" s="1"/>
  <c r="Z76" i="2" s="1"/>
  <c r="V76" i="2"/>
  <c r="W75" i="2"/>
  <c r="X75" i="2" s="1"/>
  <c r="Y75" i="2" s="1"/>
  <c r="Z75" i="2" s="1"/>
  <c r="V75" i="2"/>
  <c r="W74" i="2"/>
  <c r="X74" i="2"/>
  <c r="Y74" i="2"/>
  <c r="Z74" i="2"/>
  <c r="V74" i="2"/>
  <c r="W71" i="2"/>
  <c r="X71" i="2"/>
  <c r="Y71" i="2"/>
  <c r="Z71" i="2"/>
  <c r="V71" i="2"/>
  <c r="W70" i="2"/>
  <c r="X70" i="2" s="1"/>
  <c r="Y70" i="2" s="1"/>
  <c r="Z70" i="2" s="1"/>
  <c r="V70" i="2"/>
  <c r="V68" i="2"/>
  <c r="W68" i="2"/>
  <c r="X68" i="2"/>
  <c r="Y68" i="2"/>
  <c r="Z68" i="2"/>
  <c r="W69" i="2"/>
  <c r="X69" i="2" s="1"/>
  <c r="Y69" i="2" s="1"/>
  <c r="Z69" i="2" s="1"/>
  <c r="V69" i="2"/>
  <c r="V50" i="2"/>
  <c r="W50" i="2"/>
  <c r="X50" i="2"/>
  <c r="Y50" i="2"/>
  <c r="Z50" i="2"/>
  <c r="W49" i="2"/>
  <c r="X49" i="2"/>
  <c r="Y49" i="2"/>
  <c r="Z49" i="2"/>
  <c r="V49" i="2"/>
  <c r="V46" i="2"/>
  <c r="W46" i="2"/>
  <c r="X46" i="2"/>
  <c r="Y46" i="2"/>
  <c r="Z46" i="2"/>
  <c r="U46" i="2"/>
  <c r="W47" i="2"/>
  <c r="X47" i="2"/>
  <c r="Y47" i="2"/>
  <c r="Z47" i="2"/>
  <c r="V47" i="2"/>
  <c r="W41" i="2"/>
  <c r="X41" i="2"/>
  <c r="Y41" i="2"/>
  <c r="Z41" i="2"/>
  <c r="V41" i="2"/>
  <c r="W34" i="2"/>
  <c r="X34" i="2"/>
  <c r="Y34" i="2"/>
  <c r="Z34" i="2"/>
  <c r="V34" i="2"/>
  <c r="X42" i="2"/>
  <c r="Y42" i="2" s="1"/>
  <c r="Z42" i="2" s="1"/>
  <c r="W42" i="2"/>
  <c r="V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D43" i="2"/>
  <c r="W62" i="2"/>
  <c r="X62" i="2" s="1"/>
  <c r="Y62" i="2" s="1"/>
  <c r="Z62" i="2" s="1"/>
  <c r="K56" i="2"/>
  <c r="V169" i="2" l="1"/>
  <c r="V167" i="2"/>
  <c r="B157" i="2"/>
  <c r="B74" i="2" l="1"/>
  <c r="B33" i="2"/>
  <c r="B34" i="2" s="1"/>
  <c r="C33" i="2"/>
  <c r="C34" i="2" s="1"/>
  <c r="D33" i="2"/>
  <c r="E33" i="2"/>
  <c r="F33" i="2"/>
  <c r="F34" i="2" s="1"/>
  <c r="G33" i="2"/>
  <c r="H33" i="2"/>
  <c r="H34" i="2" s="1"/>
  <c r="I33" i="2"/>
  <c r="I34" i="2" s="1"/>
  <c r="J33" i="2"/>
  <c r="K33" i="2"/>
  <c r="L33" i="2"/>
  <c r="M33" i="2"/>
  <c r="N33" i="2"/>
  <c r="O33" i="2"/>
  <c r="P33" i="2"/>
  <c r="Q33" i="2"/>
  <c r="R33" i="2"/>
  <c r="S33" i="2"/>
  <c r="T33" i="2"/>
  <c r="U33" i="2"/>
  <c r="AM33" i="2"/>
  <c r="AK33" i="2"/>
  <c r="AN60" i="2"/>
  <c r="AN55" i="2"/>
  <c r="AM55" i="2"/>
  <c r="AN44" i="2"/>
  <c r="AN33" i="2"/>
  <c r="AM40" i="2"/>
  <c r="AI29" i="2"/>
  <c r="AM44" i="2"/>
  <c r="T44" i="2" s="1"/>
  <c r="AM9" i="2"/>
  <c r="AN7" i="2" s="1"/>
  <c r="AN9" i="2" s="1"/>
  <c r="B180" i="2"/>
  <c r="J162" i="2"/>
  <c r="U40" i="2"/>
  <c r="T51" i="2"/>
  <c r="T45" i="2"/>
  <c r="T38" i="2"/>
  <c r="T39" i="2"/>
  <c r="T37" i="2"/>
  <c r="T28" i="2"/>
  <c r="T18" i="2"/>
  <c r="T55" i="2" s="1"/>
  <c r="T16" i="2"/>
  <c r="T10" i="2"/>
  <c r="T8" i="2"/>
  <c r="AP40" i="2"/>
  <c r="AO40" i="2"/>
  <c r="AN40" i="2"/>
  <c r="B106" i="2"/>
  <c r="B99" i="2"/>
  <c r="B131" i="2" s="1"/>
  <c r="B94" i="2"/>
  <c r="B91" i="2"/>
  <c r="C106" i="2"/>
  <c r="C107" i="2" s="1"/>
  <c r="C111" i="2" s="1"/>
  <c r="D106" i="2"/>
  <c r="D107" i="2" s="1"/>
  <c r="D111" i="2" s="1"/>
  <c r="C99" i="2"/>
  <c r="C131" i="2" s="1"/>
  <c r="C94" i="2"/>
  <c r="C91" i="2"/>
  <c r="D99" i="2"/>
  <c r="D131" i="2" s="1"/>
  <c r="D94" i="2"/>
  <c r="D91" i="2"/>
  <c r="D95" i="2" s="1"/>
  <c r="B51" i="2"/>
  <c r="B162" i="2" s="1"/>
  <c r="B44" i="2"/>
  <c r="C51" i="2"/>
  <c r="C162" i="2" s="1"/>
  <c r="C44" i="2"/>
  <c r="D84" i="2"/>
  <c r="D81" i="2"/>
  <c r="D83" i="2"/>
  <c r="D82" i="2"/>
  <c r="C84" i="2"/>
  <c r="C81" i="2"/>
  <c r="C83" i="2"/>
  <c r="C82" i="2"/>
  <c r="B84" i="2"/>
  <c r="B83" i="2"/>
  <c r="B82" i="2"/>
  <c r="B81" i="2"/>
  <c r="D74" i="2"/>
  <c r="D73" i="2"/>
  <c r="C74" i="2"/>
  <c r="C73" i="2"/>
  <c r="B73" i="2"/>
  <c r="E84" i="2"/>
  <c r="E81" i="2"/>
  <c r="E83" i="2"/>
  <c r="E82" i="2"/>
  <c r="F84" i="2"/>
  <c r="F82" i="2"/>
  <c r="F83" i="2"/>
  <c r="E74" i="2"/>
  <c r="E73" i="2"/>
  <c r="F74" i="2"/>
  <c r="F73" i="2"/>
  <c r="E99" i="2"/>
  <c r="E131" i="2" s="1"/>
  <c r="E94" i="2"/>
  <c r="E91" i="2"/>
  <c r="G62" i="2"/>
  <c r="F62" i="2"/>
  <c r="E62" i="2"/>
  <c r="D62" i="2"/>
  <c r="F63" i="2" s="1"/>
  <c r="C62" i="2"/>
  <c r="E63" i="2" s="1"/>
  <c r="D51" i="2"/>
  <c r="D162" i="2" s="1"/>
  <c r="E51" i="2"/>
  <c r="E162" i="2" s="1"/>
  <c r="E44" i="2"/>
  <c r="D44" i="2"/>
  <c r="C40" i="2"/>
  <c r="B40" i="2"/>
  <c r="D39" i="2"/>
  <c r="D40" i="2" s="1"/>
  <c r="E39" i="2"/>
  <c r="E40" i="2" s="1"/>
  <c r="E56" i="2"/>
  <c r="D56" i="2"/>
  <c r="C56" i="2"/>
  <c r="E57" i="2" s="1"/>
  <c r="E55" i="2"/>
  <c r="D55" i="2"/>
  <c r="C55" i="2"/>
  <c r="F105" i="2"/>
  <c r="F99" i="2"/>
  <c r="F131" i="2" s="1"/>
  <c r="F94" i="2"/>
  <c r="F91" i="2"/>
  <c r="F161" i="2" s="1"/>
  <c r="G105" i="2"/>
  <c r="G107" i="2" s="1"/>
  <c r="G111" i="2" s="1"/>
  <c r="G99" i="2"/>
  <c r="G131" i="2" s="1"/>
  <c r="G94" i="2"/>
  <c r="G91" i="2"/>
  <c r="G161" i="2" s="1"/>
  <c r="G56" i="2"/>
  <c r="F56" i="2"/>
  <c r="H57" i="2" s="1"/>
  <c r="G55" i="2"/>
  <c r="F55" i="2"/>
  <c r="G51" i="2"/>
  <c r="G162" i="2" s="1"/>
  <c r="F51" i="2"/>
  <c r="F162" i="2" s="1"/>
  <c r="F163" i="2" s="1"/>
  <c r="F44" i="2"/>
  <c r="F39" i="2"/>
  <c r="F40" i="2" s="1"/>
  <c r="G44" i="2"/>
  <c r="G40" i="2"/>
  <c r="G81" i="2"/>
  <c r="G84" i="2"/>
  <c r="G83" i="2"/>
  <c r="G82" i="2"/>
  <c r="G79" i="2"/>
  <c r="H84" i="2"/>
  <c r="H83" i="2"/>
  <c r="H82" i="2"/>
  <c r="H79" i="2"/>
  <c r="H74" i="2"/>
  <c r="G73" i="2"/>
  <c r="G74" i="2"/>
  <c r="H73" i="2"/>
  <c r="J130" i="2"/>
  <c r="I130" i="2"/>
  <c r="H130" i="2"/>
  <c r="J123" i="2"/>
  <c r="I123" i="2"/>
  <c r="H123" i="2"/>
  <c r="J105" i="2"/>
  <c r="J107" i="2" s="1"/>
  <c r="J111" i="2" s="1"/>
  <c r="J99" i="2"/>
  <c r="J131" i="2" s="1"/>
  <c r="J94" i="2"/>
  <c r="J91" i="2"/>
  <c r="J161" i="2" s="1"/>
  <c r="H105" i="2"/>
  <c r="H107" i="2" s="1"/>
  <c r="H111" i="2" s="1"/>
  <c r="I105" i="2"/>
  <c r="I107" i="2" s="1"/>
  <c r="I111" i="2" s="1"/>
  <c r="H99" i="2"/>
  <c r="H131" i="2" s="1"/>
  <c r="H94" i="2"/>
  <c r="H91" i="2"/>
  <c r="I99" i="2"/>
  <c r="I131" i="2" s="1"/>
  <c r="I94" i="2"/>
  <c r="I91" i="2"/>
  <c r="I161" i="2" s="1"/>
  <c r="K62" i="2"/>
  <c r="J62" i="2"/>
  <c r="I62" i="2"/>
  <c r="H62" i="2"/>
  <c r="J63" i="2" s="1"/>
  <c r="J56" i="2"/>
  <c r="I56" i="2"/>
  <c r="H56" i="2"/>
  <c r="L55" i="2"/>
  <c r="K55" i="2"/>
  <c r="J55" i="2"/>
  <c r="I55" i="2"/>
  <c r="H55" i="2"/>
  <c r="H51" i="2"/>
  <c r="H162" i="2" s="1"/>
  <c r="H44" i="2"/>
  <c r="I51" i="2"/>
  <c r="I162" i="2" s="1"/>
  <c r="I44" i="2"/>
  <c r="J44" i="2"/>
  <c r="J39" i="2"/>
  <c r="K44" i="2"/>
  <c r="K40" i="2"/>
  <c r="I40" i="2"/>
  <c r="H40" i="2"/>
  <c r="I84" i="2"/>
  <c r="I83" i="2"/>
  <c r="I82" i="2"/>
  <c r="I81" i="2"/>
  <c r="I79" i="2"/>
  <c r="I74" i="2"/>
  <c r="I73" i="2"/>
  <c r="J84" i="2"/>
  <c r="J83" i="2"/>
  <c r="J82" i="2"/>
  <c r="J74" i="2"/>
  <c r="J73" i="2"/>
  <c r="K84" i="2"/>
  <c r="K83" i="2"/>
  <c r="K82" i="2"/>
  <c r="K81" i="2"/>
  <c r="K79" i="2"/>
  <c r="K74" i="2"/>
  <c r="K73" i="2"/>
  <c r="K105" i="2"/>
  <c r="K107" i="2" s="1"/>
  <c r="K111" i="2" s="1"/>
  <c r="K99" i="2"/>
  <c r="K131" i="2" s="1"/>
  <c r="K91" i="2"/>
  <c r="K161" i="2" s="1"/>
  <c r="L105" i="2"/>
  <c r="L107" i="2" s="1"/>
  <c r="L111" i="2" s="1"/>
  <c r="L99" i="2"/>
  <c r="L131" i="2" s="1"/>
  <c r="L91" i="2"/>
  <c r="L95" i="2" s="1"/>
  <c r="L84" i="2"/>
  <c r="L83" i="2"/>
  <c r="L82" i="2"/>
  <c r="L74" i="2"/>
  <c r="L73" i="2"/>
  <c r="M84" i="2"/>
  <c r="M83" i="2"/>
  <c r="M82" i="2"/>
  <c r="M81" i="2"/>
  <c r="N83" i="2"/>
  <c r="N82" i="2"/>
  <c r="N84" i="2"/>
  <c r="N79" i="2"/>
  <c r="M74" i="2"/>
  <c r="M73" i="2"/>
  <c r="N74" i="2"/>
  <c r="N73" i="2"/>
  <c r="N75" i="2" s="1"/>
  <c r="N77" i="2" s="1"/>
  <c r="O109" i="2"/>
  <c r="O105" i="2"/>
  <c r="O107" i="2" s="1"/>
  <c r="O99" i="2"/>
  <c r="O131" i="2" s="1"/>
  <c r="O91" i="2"/>
  <c r="O161" i="2" s="1"/>
  <c r="M109" i="2"/>
  <c r="N109" i="2"/>
  <c r="M105" i="2"/>
  <c r="M107" i="2" s="1"/>
  <c r="N105" i="2"/>
  <c r="N107" i="2" s="1"/>
  <c r="M91" i="2"/>
  <c r="M161" i="2" s="1"/>
  <c r="M99" i="2"/>
  <c r="M131" i="2" s="1"/>
  <c r="N99" i="2"/>
  <c r="N131" i="2" s="1"/>
  <c r="N91" i="2"/>
  <c r="N161" i="2" s="1"/>
  <c r="O84" i="2"/>
  <c r="O83" i="2"/>
  <c r="O82" i="2"/>
  <c r="O81" i="2"/>
  <c r="O74" i="2"/>
  <c r="O73" i="2"/>
  <c r="P84" i="2"/>
  <c r="P83" i="2"/>
  <c r="P82" i="2"/>
  <c r="P81" i="2"/>
  <c r="P74" i="2"/>
  <c r="P73" i="2"/>
  <c r="P109" i="2"/>
  <c r="P106" i="2"/>
  <c r="P105" i="2"/>
  <c r="P99" i="2"/>
  <c r="P131" i="2" s="1"/>
  <c r="P91" i="2"/>
  <c r="P95" i="2" s="1"/>
  <c r="Q109" i="2"/>
  <c r="Q105" i="2"/>
  <c r="Q107" i="2" s="1"/>
  <c r="Q99" i="2"/>
  <c r="Q131" i="2" s="1"/>
  <c r="Q91" i="2"/>
  <c r="S109" i="2"/>
  <c r="S106" i="2"/>
  <c r="S105" i="2"/>
  <c r="S113" i="2" s="1"/>
  <c r="R99" i="2"/>
  <c r="R131" i="2" s="1"/>
  <c r="R91" i="2"/>
  <c r="R95" i="2" s="1"/>
  <c r="S99" i="2"/>
  <c r="S131" i="2" s="1"/>
  <c r="S91" i="2"/>
  <c r="S95" i="2" s="1"/>
  <c r="R109" i="2"/>
  <c r="R106" i="2"/>
  <c r="R105" i="2"/>
  <c r="Q83" i="2"/>
  <c r="Q82" i="2"/>
  <c r="Q81" i="2"/>
  <c r="Q84" i="2"/>
  <c r="Q74" i="2"/>
  <c r="Q73" i="2"/>
  <c r="R84" i="2"/>
  <c r="R83" i="2"/>
  <c r="R82" i="2"/>
  <c r="R81" i="2"/>
  <c r="R74" i="2"/>
  <c r="R73" i="2"/>
  <c r="S84" i="2"/>
  <c r="S83" i="2"/>
  <c r="S82" i="2"/>
  <c r="S81" i="2"/>
  <c r="S74" i="2"/>
  <c r="S73" i="2"/>
  <c r="AK61" i="2"/>
  <c r="AJ61" i="2"/>
  <c r="AI61" i="2"/>
  <c r="AK60" i="2"/>
  <c r="AJ60" i="2"/>
  <c r="AI60" i="2"/>
  <c r="AK55" i="2"/>
  <c r="AJ55" i="2"/>
  <c r="AI55" i="2"/>
  <c r="AH61" i="2"/>
  <c r="AH60" i="2"/>
  <c r="AH55" i="2"/>
  <c r="S55" i="2"/>
  <c r="R55" i="2"/>
  <c r="Q55" i="2"/>
  <c r="P55" i="2"/>
  <c r="O55" i="2"/>
  <c r="N55" i="2"/>
  <c r="M55" i="2"/>
  <c r="R61" i="2"/>
  <c r="Q61" i="2"/>
  <c r="P61" i="2"/>
  <c r="O61" i="2"/>
  <c r="N61" i="2"/>
  <c r="M61" i="2"/>
  <c r="R60" i="2"/>
  <c r="Q60" i="2"/>
  <c r="P60" i="2"/>
  <c r="O60" i="2"/>
  <c r="N60" i="2"/>
  <c r="M60" i="2"/>
  <c r="S61" i="2"/>
  <c r="S60" i="2"/>
  <c r="L19" i="2"/>
  <c r="L9" i="2"/>
  <c r="L21" i="2" s="1"/>
  <c r="M44" i="2"/>
  <c r="L44" i="2"/>
  <c r="M39" i="2"/>
  <c r="L40" i="2"/>
  <c r="O44" i="2"/>
  <c r="N44" i="2"/>
  <c r="O39" i="2"/>
  <c r="N39" i="2"/>
  <c r="N29" i="2"/>
  <c r="M29" i="2"/>
  <c r="L29" i="2"/>
  <c r="L62" i="2" s="1"/>
  <c r="M17" i="2"/>
  <c r="M19" i="2" s="1"/>
  <c r="M9" i="2"/>
  <c r="N9" i="2"/>
  <c r="N17" i="2"/>
  <c r="O9" i="2"/>
  <c r="O11" i="2" s="1"/>
  <c r="O17" i="2"/>
  <c r="P9" i="2"/>
  <c r="P17" i="2"/>
  <c r="P45" i="2"/>
  <c r="P44" i="2"/>
  <c r="Q44" i="2"/>
  <c r="P39" i="2"/>
  <c r="Q39" i="2"/>
  <c r="Q17" i="2"/>
  <c r="Q9" i="2"/>
  <c r="R9" i="2"/>
  <c r="AH17" i="2"/>
  <c r="AH9" i="2"/>
  <c r="AD17" i="2"/>
  <c r="AC17" i="2"/>
  <c r="AC19" i="2" s="1"/>
  <c r="AD9" i="2"/>
  <c r="AC9" i="2"/>
  <c r="R44" i="2"/>
  <c r="S44" i="2"/>
  <c r="R39" i="2"/>
  <c r="S39" i="2"/>
  <c r="R29" i="2"/>
  <c r="Q29" i="2"/>
  <c r="P29" i="2"/>
  <c r="O29" i="2"/>
  <c r="S29" i="2"/>
  <c r="S62" i="2" s="1"/>
  <c r="AF39" i="2"/>
  <c r="AF40" i="2" s="1"/>
  <c r="AK39" i="2"/>
  <c r="AK40" i="2" s="1"/>
  <c r="AC44" i="2"/>
  <c r="AC39" i="2"/>
  <c r="AC40" i="2" s="1"/>
  <c r="AH39" i="2"/>
  <c r="AH40" i="2" s="1"/>
  <c r="AH44" i="2"/>
  <c r="AI17" i="2"/>
  <c r="AI9" i="2"/>
  <c r="AJ9" i="2"/>
  <c r="AE9" i="2"/>
  <c r="AD39" i="2"/>
  <c r="AD40" i="2" s="1"/>
  <c r="AD44" i="2"/>
  <c r="AI44" i="2"/>
  <c r="AI39" i="2"/>
  <c r="AI40" i="2" s="1"/>
  <c r="AE17" i="2"/>
  <c r="AJ17" i="2"/>
  <c r="AK17" i="2"/>
  <c r="AM15" i="2" s="1"/>
  <c r="AM17" i="2" s="1"/>
  <c r="AF9" i="2"/>
  <c r="AF17" i="2"/>
  <c r="AE44" i="2"/>
  <c r="AE39" i="2"/>
  <c r="AE40" i="2" s="1"/>
  <c r="AE33" i="2"/>
  <c r="AD33" i="2"/>
  <c r="AC33" i="2"/>
  <c r="AJ44" i="2"/>
  <c r="AJ39" i="2"/>
  <c r="AJ40" i="2" s="1"/>
  <c r="AJ33" i="2"/>
  <c r="AI33" i="2"/>
  <c r="AH33" i="2"/>
  <c r="AE29" i="2"/>
  <c r="AD29" i="2"/>
  <c r="AC29" i="2"/>
  <c r="AJ29" i="2"/>
  <c r="AH29" i="2"/>
  <c r="AK8" i="2"/>
  <c r="AK9" i="2" s="1"/>
  <c r="AF44" i="2"/>
  <c r="AF29" i="2"/>
  <c r="AF33" i="2"/>
  <c r="AK44" i="2"/>
  <c r="AK29" i="2"/>
  <c r="R161" i="2"/>
  <c r="G130" i="2"/>
  <c r="F130" i="2"/>
  <c r="E130" i="2"/>
  <c r="D130" i="2"/>
  <c r="C130" i="2"/>
  <c r="B130" i="2"/>
  <c r="F123" i="2"/>
  <c r="E123" i="2"/>
  <c r="D123" i="2"/>
  <c r="C123" i="2"/>
  <c r="B123" i="2"/>
  <c r="F107" i="2"/>
  <c r="F111" i="2" s="1"/>
  <c r="E107" i="2"/>
  <c r="E111" i="2" s="1"/>
  <c r="B107" i="2"/>
  <c r="U143" i="2"/>
  <c r="T143" i="2"/>
  <c r="S143" i="2"/>
  <c r="AM60" i="2"/>
  <c r="M162" i="2"/>
  <c r="L162" i="2"/>
  <c r="K162" i="2"/>
  <c r="M130" i="2"/>
  <c r="L130" i="2"/>
  <c r="L123" i="2"/>
  <c r="K130" i="2"/>
  <c r="U162" i="2"/>
  <c r="R162" i="2"/>
  <c r="Q162" i="2"/>
  <c r="P162" i="2"/>
  <c r="O162" i="2"/>
  <c r="N162" i="2"/>
  <c r="U142" i="2"/>
  <c r="T142" i="2"/>
  <c r="S162" i="2"/>
  <c r="S142" i="2"/>
  <c r="S17" i="2"/>
  <c r="T15" i="2" s="1"/>
  <c r="T17" i="2" s="1"/>
  <c r="U15" i="2" s="1"/>
  <c r="U17" i="2" s="1"/>
  <c r="U56" i="2" s="1"/>
  <c r="U55" i="2"/>
  <c r="U131" i="2"/>
  <c r="T131" i="2"/>
  <c r="R123" i="2"/>
  <c r="P123" i="2"/>
  <c r="R17" i="2"/>
  <c r="S123" i="2"/>
  <c r="U113" i="2"/>
  <c r="T113" i="2"/>
  <c r="U130" i="2"/>
  <c r="U107" i="2"/>
  <c r="T107" i="2"/>
  <c r="T130" i="2"/>
  <c r="S130" i="2"/>
  <c r="R130" i="2"/>
  <c r="P130" i="2"/>
  <c r="N130" i="2"/>
  <c r="O130" i="2"/>
  <c r="Q130" i="2"/>
  <c r="AM61" i="2"/>
  <c r="AM29" i="2"/>
  <c r="AN61" i="2"/>
  <c r="S144" i="2"/>
  <c r="I63" i="2" l="1"/>
  <c r="S8" i="2"/>
  <c r="S9" i="2" s="1"/>
  <c r="J57" i="2"/>
  <c r="K63" i="2"/>
  <c r="G63" i="2"/>
  <c r="K57" i="2"/>
  <c r="L63" i="2"/>
  <c r="H63" i="2"/>
  <c r="I57" i="2"/>
  <c r="N163" i="2"/>
  <c r="F57" i="2"/>
  <c r="R21" i="2"/>
  <c r="AM11" i="2"/>
  <c r="G57" i="2"/>
  <c r="O173" i="2"/>
  <c r="K173" i="2"/>
  <c r="N173" i="2"/>
  <c r="L11" i="2"/>
  <c r="R11" i="2"/>
  <c r="Q111" i="2"/>
  <c r="J95" i="2"/>
  <c r="R173" i="2"/>
  <c r="K163" i="2"/>
  <c r="O95" i="2"/>
  <c r="O100" i="2" s="1"/>
  <c r="S75" i="2"/>
  <c r="S77" i="2" s="1"/>
  <c r="S78" i="2" s="1"/>
  <c r="S171" i="2" s="1"/>
  <c r="Q75" i="2"/>
  <c r="Q77" i="2" s="1"/>
  <c r="Q78" i="2" s="1"/>
  <c r="Q171" i="2" s="1"/>
  <c r="O75" i="2"/>
  <c r="O77" i="2" s="1"/>
  <c r="O85" i="2" s="1"/>
  <c r="M173" i="2"/>
  <c r="M40" i="2"/>
  <c r="L56" i="2"/>
  <c r="J40" i="2"/>
  <c r="J34" i="2"/>
  <c r="J35" i="2" s="1"/>
  <c r="C95" i="2"/>
  <c r="AH62" i="2"/>
  <c r="AD19" i="2"/>
  <c r="AD34" i="2"/>
  <c r="AD35" i="2" s="1"/>
  <c r="AE19" i="2"/>
  <c r="Q19" i="2"/>
  <c r="M11" i="2"/>
  <c r="R75" i="2"/>
  <c r="R77" i="2" s="1"/>
  <c r="R85" i="2" s="1"/>
  <c r="M75" i="2"/>
  <c r="M77" i="2" s="1"/>
  <c r="N19" i="2"/>
  <c r="L161" i="2"/>
  <c r="L173" i="2" s="1"/>
  <c r="AJ11" i="2"/>
  <c r="AO11" i="2" s="1"/>
  <c r="O40" i="2"/>
  <c r="AI30" i="2"/>
  <c r="L129" i="2"/>
  <c r="L132" i="2" s="1"/>
  <c r="L164" i="2" s="1"/>
  <c r="L100" i="2"/>
  <c r="N40" i="2"/>
  <c r="D129" i="2"/>
  <c r="D132" i="2" s="1"/>
  <c r="D164" i="2" s="1"/>
  <c r="AJ62" i="2"/>
  <c r="S40" i="2"/>
  <c r="AH11" i="2"/>
  <c r="O111" i="2"/>
  <c r="E95" i="2"/>
  <c r="E100" i="2" s="1"/>
  <c r="T114" i="2"/>
  <c r="T74" i="2" s="1"/>
  <c r="AI11" i="2"/>
  <c r="AN11" i="2" s="1"/>
  <c r="AK30" i="2"/>
  <c r="P40" i="2"/>
  <c r="C100" i="2"/>
  <c r="B161" i="2"/>
  <c r="B163" i="2" s="1"/>
  <c r="R40" i="2"/>
  <c r="Q40" i="2"/>
  <c r="R107" i="2"/>
  <c r="R111" i="2" s="1"/>
  <c r="S161" i="2"/>
  <c r="P107" i="2"/>
  <c r="P111" i="2" s="1"/>
  <c r="P75" i="2"/>
  <c r="P77" i="2" s="1"/>
  <c r="P78" i="2" s="1"/>
  <c r="P171" i="2" s="1"/>
  <c r="M111" i="2"/>
  <c r="L75" i="2"/>
  <c r="L77" i="2" s="1"/>
  <c r="L78" i="2" s="1"/>
  <c r="L171" i="2" s="1"/>
  <c r="K95" i="2"/>
  <c r="K75" i="2"/>
  <c r="K77" i="2" s="1"/>
  <c r="K78" i="2" s="1"/>
  <c r="K171" i="2" s="1"/>
  <c r="F75" i="2"/>
  <c r="F77" i="2" s="1"/>
  <c r="F85" i="2" s="1"/>
  <c r="C75" i="2"/>
  <c r="C77" i="2" s="1"/>
  <c r="C85" i="2" s="1"/>
  <c r="P100" i="2"/>
  <c r="AH19" i="2"/>
  <c r="AI19" i="2"/>
  <c r="AN19" i="2" s="1"/>
  <c r="AI34" i="2"/>
  <c r="AI35" i="2" s="1"/>
  <c r="AJ30" i="2"/>
  <c r="J163" i="2"/>
  <c r="G163" i="2"/>
  <c r="D34" i="2"/>
  <c r="D35" i="2" s="1"/>
  <c r="AM30" i="2"/>
  <c r="S107" i="2"/>
  <c r="S111" i="2" s="1"/>
  <c r="AI21" i="2"/>
  <c r="N34" i="2"/>
  <c r="N35" i="2" s="1"/>
  <c r="O21" i="2"/>
  <c r="G95" i="2"/>
  <c r="G100" i="2" s="1"/>
  <c r="E161" i="2"/>
  <c r="E163" i="2" s="1"/>
  <c r="F95" i="2"/>
  <c r="F129" i="2" s="1"/>
  <c r="F132" i="2" s="1"/>
  <c r="F164" i="2" s="1"/>
  <c r="F170" i="2" s="1"/>
  <c r="K34" i="2"/>
  <c r="K35" i="2" s="1"/>
  <c r="G34" i="2"/>
  <c r="H64" i="2" s="1"/>
  <c r="R19" i="2"/>
  <c r="AJ34" i="2"/>
  <c r="AJ35" i="2" s="1"/>
  <c r="L34" i="2"/>
  <c r="L35" i="2" s="1"/>
  <c r="I95" i="2"/>
  <c r="I129" i="2" s="1"/>
  <c r="I132" i="2" s="1"/>
  <c r="I164" i="2" s="1"/>
  <c r="AK19" i="2"/>
  <c r="AP19" i="2" s="1"/>
  <c r="P21" i="2"/>
  <c r="N21" i="2"/>
  <c r="N62" i="2"/>
  <c r="H75" i="2"/>
  <c r="H77" i="2" s="1"/>
  <c r="H85" i="2" s="1"/>
  <c r="E75" i="2"/>
  <c r="E77" i="2" s="1"/>
  <c r="B75" i="2"/>
  <c r="B77" i="2" s="1"/>
  <c r="B85" i="2" s="1"/>
  <c r="D75" i="2"/>
  <c r="D77" i="2" s="1"/>
  <c r="D78" i="2" s="1"/>
  <c r="D171" i="2" s="1"/>
  <c r="D161" i="2"/>
  <c r="D163" i="2" s="1"/>
  <c r="D170" i="2" s="1"/>
  <c r="E34" i="2"/>
  <c r="F64" i="2" s="1"/>
  <c r="C35" i="2"/>
  <c r="C41" i="2"/>
  <c r="C42" i="2" s="1"/>
  <c r="AO7" i="2"/>
  <c r="AO9" i="2" s="1"/>
  <c r="S19" i="2"/>
  <c r="AF19" i="2"/>
  <c r="AF34" i="2"/>
  <c r="AF41" i="2" s="1"/>
  <c r="AD11" i="2"/>
  <c r="AH21" i="2"/>
  <c r="O19" i="2"/>
  <c r="M34" i="2"/>
  <c r="M41" i="2" s="1"/>
  <c r="F41" i="2"/>
  <c r="F165" i="2" s="1"/>
  <c r="F169" i="2" s="1"/>
  <c r="O34" i="2"/>
  <c r="O35" i="2" s="1"/>
  <c r="M62" i="2"/>
  <c r="N63" i="2" s="1"/>
  <c r="AC34" i="2"/>
  <c r="AC35" i="2" s="1"/>
  <c r="P11" i="2"/>
  <c r="M163" i="2"/>
  <c r="I163" i="2"/>
  <c r="G75" i="2"/>
  <c r="G77" i="2" s="1"/>
  <c r="G78" i="2" s="1"/>
  <c r="G171" i="2" s="1"/>
  <c r="S21" i="2"/>
  <c r="Q11" i="2"/>
  <c r="R163" i="2"/>
  <c r="AH30" i="2"/>
  <c r="R34" i="2"/>
  <c r="R35" i="2" s="1"/>
  <c r="AK21" i="2"/>
  <c r="S100" i="2"/>
  <c r="R100" i="2"/>
  <c r="N95" i="2"/>
  <c r="N100" i="2" s="1"/>
  <c r="B95" i="2"/>
  <c r="B100" i="2" s="1"/>
  <c r="S85" i="2"/>
  <c r="AM62" i="2"/>
  <c r="Q85" i="2"/>
  <c r="L85" i="2"/>
  <c r="M21" i="2"/>
  <c r="R62" i="2"/>
  <c r="O62" i="2"/>
  <c r="D100" i="2"/>
  <c r="P62" i="2"/>
  <c r="AD21" i="2"/>
  <c r="Q21" i="2"/>
  <c r="M95" i="2"/>
  <c r="O163" i="2"/>
  <c r="J75" i="2"/>
  <c r="J77" i="2" s="1"/>
  <c r="J85" i="2" s="1"/>
  <c r="U114" i="2"/>
  <c r="C129" i="2"/>
  <c r="C132" i="2" s="1"/>
  <c r="C164" i="2" s="1"/>
  <c r="AH34" i="2"/>
  <c r="AH35" i="2" s="1"/>
  <c r="S34" i="2"/>
  <c r="P19" i="2"/>
  <c r="C161" i="2"/>
  <c r="C163" i="2" s="1"/>
  <c r="AM19" i="2"/>
  <c r="AN15" i="2"/>
  <c r="AN17" i="2" s="1"/>
  <c r="AM21" i="2"/>
  <c r="F100" i="2"/>
  <c r="E129" i="2"/>
  <c r="E132" i="2" s="1"/>
  <c r="E164" i="2" s="1"/>
  <c r="D85" i="2"/>
  <c r="N111" i="2"/>
  <c r="T56" i="2"/>
  <c r="C78" i="2"/>
  <c r="C171" i="2" s="1"/>
  <c r="N78" i="2"/>
  <c r="N171" i="2" s="1"/>
  <c r="N85" i="2"/>
  <c r="B111" i="2"/>
  <c r="AE34" i="2"/>
  <c r="F46" i="2"/>
  <c r="F119" i="2"/>
  <c r="H35" i="2"/>
  <c r="H41" i="2"/>
  <c r="H161" i="2"/>
  <c r="H163" i="2" s="1"/>
  <c r="H95" i="2"/>
  <c r="B35" i="2"/>
  <c r="D36" i="2" s="1"/>
  <c r="B41" i="2"/>
  <c r="Q62" i="2"/>
  <c r="S63" i="2" s="1"/>
  <c r="Q34" i="2"/>
  <c r="I35" i="2"/>
  <c r="K36" i="2" s="1"/>
  <c r="I64" i="2"/>
  <c r="I41" i="2"/>
  <c r="S11" i="2"/>
  <c r="T7" i="2"/>
  <c r="T9" i="2" s="1"/>
  <c r="AK34" i="2"/>
  <c r="AK62" i="2"/>
  <c r="AJ19" i="2"/>
  <c r="AO19" i="2" s="1"/>
  <c r="AJ21" i="2"/>
  <c r="AE21" i="2"/>
  <c r="AF11" i="2"/>
  <c r="AE11" i="2"/>
  <c r="F35" i="2"/>
  <c r="AK11" i="2"/>
  <c r="AP11" i="2" s="1"/>
  <c r="AC11" i="2"/>
  <c r="AC21" i="2"/>
  <c r="C64" i="2"/>
  <c r="J129" i="2"/>
  <c r="J132" i="2" s="1"/>
  <c r="J164" i="2" s="1"/>
  <c r="J100" i="2"/>
  <c r="AF21" i="2"/>
  <c r="N11" i="2"/>
  <c r="P161" i="2"/>
  <c r="P34" i="2"/>
  <c r="Q95" i="2"/>
  <c r="Q161" i="2"/>
  <c r="I75" i="2"/>
  <c r="I77" i="2" s="1"/>
  <c r="AM34" i="2"/>
  <c r="AM35" i="2" s="1"/>
  <c r="AI62" i="2"/>
  <c r="T40" i="2"/>
  <c r="AP7" i="2"/>
  <c r="AP9" i="2" s="1"/>
  <c r="AN29" i="2"/>
  <c r="L36" i="2" l="1"/>
  <c r="E36" i="2"/>
  <c r="M36" i="2"/>
  <c r="J36" i="2"/>
  <c r="Q63" i="2"/>
  <c r="P63" i="2"/>
  <c r="R63" i="2"/>
  <c r="O63" i="2"/>
  <c r="M63" i="2"/>
  <c r="J64" i="2"/>
  <c r="I100" i="2"/>
  <c r="G41" i="2"/>
  <c r="G165" i="2" s="1"/>
  <c r="C46" i="2"/>
  <c r="C124" i="2" s="1"/>
  <c r="C125" i="2" s="1"/>
  <c r="C120" i="2" s="1"/>
  <c r="C121" i="2" s="1"/>
  <c r="C134" i="2" s="1"/>
  <c r="C168" i="2" s="1"/>
  <c r="L41" i="2"/>
  <c r="L42" i="2" s="1"/>
  <c r="R78" i="2"/>
  <c r="R171" i="2" s="1"/>
  <c r="L163" i="2"/>
  <c r="O78" i="2"/>
  <c r="O171" i="2" s="1"/>
  <c r="L57" i="2"/>
  <c r="O129" i="2"/>
  <c r="O132" i="2" s="1"/>
  <c r="O164" i="2" s="1"/>
  <c r="AD41" i="2"/>
  <c r="AD42" i="2" s="1"/>
  <c r="AP26" i="2"/>
  <c r="AP29" i="2" s="1"/>
  <c r="J170" i="2"/>
  <c r="G64" i="2"/>
  <c r="G129" i="2"/>
  <c r="G132" i="2" s="1"/>
  <c r="G164" i="2" s="1"/>
  <c r="G170" i="2" s="1"/>
  <c r="J41" i="2"/>
  <c r="J46" i="2" s="1"/>
  <c r="J48" i="2" s="1"/>
  <c r="P163" i="2"/>
  <c r="P170" i="2" s="1"/>
  <c r="P173" i="2"/>
  <c r="E41" i="2"/>
  <c r="E42" i="2" s="1"/>
  <c r="B155" i="2"/>
  <c r="S173" i="2"/>
  <c r="Q163" i="2"/>
  <c r="Q173" i="2"/>
  <c r="E35" i="2"/>
  <c r="AM56" i="2"/>
  <c r="AC41" i="2"/>
  <c r="AO26" i="2"/>
  <c r="Q56" i="2"/>
  <c r="S56" i="2"/>
  <c r="U57" i="2" s="1"/>
  <c r="M119" i="2"/>
  <c r="L170" i="2"/>
  <c r="P56" i="2"/>
  <c r="M85" i="2"/>
  <c r="M78" i="2"/>
  <c r="M171" i="2" s="1"/>
  <c r="O64" i="2"/>
  <c r="B78" i="2"/>
  <c r="B171" i="2" s="1"/>
  <c r="J78" i="2"/>
  <c r="J171" i="2" s="1"/>
  <c r="AJ41" i="2"/>
  <c r="AJ46" i="2" s="1"/>
  <c r="K41" i="2"/>
  <c r="K165" i="2" s="1"/>
  <c r="S163" i="2"/>
  <c r="P129" i="2"/>
  <c r="P132" i="2" s="1"/>
  <c r="P164" i="2" s="1"/>
  <c r="N41" i="2"/>
  <c r="N46" i="2" s="1"/>
  <c r="N47" i="2" s="1"/>
  <c r="N123" i="2" s="1"/>
  <c r="B129" i="2"/>
  <c r="B132" i="2" s="1"/>
  <c r="B164" i="2" s="1"/>
  <c r="AF35" i="2"/>
  <c r="G35" i="2"/>
  <c r="I36" i="2" s="1"/>
  <c r="K85" i="2"/>
  <c r="P85" i="2"/>
  <c r="S129" i="2"/>
  <c r="S132" i="2" s="1"/>
  <c r="S164" i="2" s="1"/>
  <c r="E64" i="2"/>
  <c r="F78" i="2"/>
  <c r="F171" i="2" s="1"/>
  <c r="K100" i="2"/>
  <c r="K129" i="2"/>
  <c r="K132" i="2" s="1"/>
  <c r="K164" i="2" s="1"/>
  <c r="K170" i="2" s="1"/>
  <c r="M65" i="2"/>
  <c r="N64" i="2"/>
  <c r="H78" i="2"/>
  <c r="H171" i="2" s="1"/>
  <c r="M165" i="2"/>
  <c r="M166" i="2" s="1"/>
  <c r="R129" i="2"/>
  <c r="R132" i="2" s="1"/>
  <c r="R164" i="2" s="1"/>
  <c r="R170" i="2" s="1"/>
  <c r="T144" i="2"/>
  <c r="AI64" i="2"/>
  <c r="AD46" i="2"/>
  <c r="AD48" i="2" s="1"/>
  <c r="M64" i="2"/>
  <c r="E170" i="2"/>
  <c r="AI56" i="2"/>
  <c r="D64" i="2"/>
  <c r="O56" i="2"/>
  <c r="AI41" i="2"/>
  <c r="AI46" i="2" s="1"/>
  <c r="AH56" i="2"/>
  <c r="N129" i="2"/>
  <c r="N132" i="2" s="1"/>
  <c r="N164" i="2" s="1"/>
  <c r="N170" i="2" s="1"/>
  <c r="M46" i="2"/>
  <c r="M124" i="2" s="1"/>
  <c r="AH64" i="2"/>
  <c r="K64" i="2"/>
  <c r="B170" i="2"/>
  <c r="L64" i="2"/>
  <c r="G85" i="2"/>
  <c r="AN21" i="2"/>
  <c r="AN56" i="2" s="1"/>
  <c r="AO15" i="2"/>
  <c r="AO17" i="2" s="1"/>
  <c r="AP15" i="2" s="1"/>
  <c r="AP17" i="2" s="1"/>
  <c r="AP27" i="2" s="1"/>
  <c r="AP61" i="2" s="1"/>
  <c r="D41" i="2"/>
  <c r="D65" i="2" s="1"/>
  <c r="M35" i="2"/>
  <c r="O36" i="2" s="1"/>
  <c r="E78" i="2"/>
  <c r="E171" i="2" s="1"/>
  <c r="E85" i="2"/>
  <c r="J119" i="2"/>
  <c r="F166" i="2"/>
  <c r="F42" i="2"/>
  <c r="J165" i="2"/>
  <c r="J166" i="2" s="1"/>
  <c r="K65" i="2"/>
  <c r="AK56" i="2"/>
  <c r="O41" i="2"/>
  <c r="M42" i="2"/>
  <c r="C119" i="2"/>
  <c r="R41" i="2"/>
  <c r="AN34" i="2"/>
  <c r="AN35" i="2" s="1"/>
  <c r="AN30" i="2"/>
  <c r="I170" i="2"/>
  <c r="C170" i="2"/>
  <c r="C165" i="2"/>
  <c r="C166" i="2" s="1"/>
  <c r="AM64" i="2"/>
  <c r="N165" i="2"/>
  <c r="N167" i="2" s="1"/>
  <c r="N56" i="2"/>
  <c r="M56" i="2"/>
  <c r="R56" i="2"/>
  <c r="AJ56" i="2"/>
  <c r="AH41" i="2"/>
  <c r="AH46" i="2" s="1"/>
  <c r="N65" i="2"/>
  <c r="U74" i="2"/>
  <c r="U144" i="2"/>
  <c r="O170" i="2"/>
  <c r="S64" i="2"/>
  <c r="S35" i="2"/>
  <c r="M129" i="2"/>
  <c r="M132" i="2" s="1"/>
  <c r="M164" i="2" s="1"/>
  <c r="M170" i="2" s="1"/>
  <c r="M100" i="2"/>
  <c r="N42" i="2"/>
  <c r="S41" i="2"/>
  <c r="AJ42" i="2"/>
  <c r="K46" i="2"/>
  <c r="K119" i="2"/>
  <c r="Q129" i="2"/>
  <c r="Q132" i="2" s="1"/>
  <c r="Q164" i="2" s="1"/>
  <c r="Q170" i="2" s="1"/>
  <c r="Q100" i="2"/>
  <c r="Q41" i="2"/>
  <c r="R64" i="2"/>
  <c r="Q64" i="2"/>
  <c r="Q35" i="2"/>
  <c r="B46" i="2"/>
  <c r="B165" i="2"/>
  <c r="B119" i="2"/>
  <c r="B42" i="2"/>
  <c r="AE41" i="2"/>
  <c r="AJ64" i="2"/>
  <c r="AE35" i="2"/>
  <c r="H100" i="2"/>
  <c r="H129" i="2"/>
  <c r="H132" i="2" s="1"/>
  <c r="H164" i="2" s="1"/>
  <c r="H170" i="2" s="1"/>
  <c r="F49" i="2"/>
  <c r="F50" i="2" s="1"/>
  <c r="F48" i="2"/>
  <c r="F124" i="2"/>
  <c r="F125" i="2" s="1"/>
  <c r="F120" i="2" s="1"/>
  <c r="F121" i="2" s="1"/>
  <c r="F134" i="2" s="1"/>
  <c r="F168" i="2" s="1"/>
  <c r="AM41" i="2"/>
  <c r="AM42" i="2" s="1"/>
  <c r="I78" i="2"/>
  <c r="I171" i="2" s="1"/>
  <c r="I85" i="2"/>
  <c r="AK35" i="2"/>
  <c r="AK41" i="2"/>
  <c r="AK64" i="2"/>
  <c r="J124" i="2"/>
  <c r="J125" i="2" s="1"/>
  <c r="L46" i="2"/>
  <c r="L119" i="2"/>
  <c r="E46" i="2"/>
  <c r="E119" i="2"/>
  <c r="G65" i="2"/>
  <c r="G46" i="2"/>
  <c r="G119" i="2"/>
  <c r="G42" i="2"/>
  <c r="F65" i="2"/>
  <c r="J169" i="2"/>
  <c r="AF46" i="2"/>
  <c r="AF42" i="2"/>
  <c r="I119" i="2"/>
  <c r="I165" i="2"/>
  <c r="J167" i="2" s="1"/>
  <c r="I65" i="2"/>
  <c r="I42" i="2"/>
  <c r="I46" i="2"/>
  <c r="M47" i="2"/>
  <c r="M123" i="2" s="1"/>
  <c r="P64" i="2"/>
  <c r="P41" i="2"/>
  <c r="P35" i="2"/>
  <c r="R36" i="2" s="1"/>
  <c r="C65" i="2"/>
  <c r="J65" i="2"/>
  <c r="M169" i="2"/>
  <c r="C49" i="2"/>
  <c r="C50" i="2" s="1"/>
  <c r="C48" i="2"/>
  <c r="U7" i="2"/>
  <c r="U9" i="2" s="1"/>
  <c r="U21" i="2" s="1"/>
  <c r="T21" i="2"/>
  <c r="H65" i="2"/>
  <c r="H46" i="2"/>
  <c r="H119" i="2"/>
  <c r="H42" i="2"/>
  <c r="H165" i="2"/>
  <c r="H169" i="2" s="1"/>
  <c r="AI65" i="2"/>
  <c r="AI42" i="2"/>
  <c r="AO60" i="2"/>
  <c r="AN62" i="2"/>
  <c r="L65" i="2" l="1"/>
  <c r="T57" i="2"/>
  <c r="H36" i="2"/>
  <c r="AP60" i="2"/>
  <c r="Q36" i="2"/>
  <c r="G36" i="2"/>
  <c r="T26" i="2"/>
  <c r="AD49" i="2"/>
  <c r="AD50" i="2" s="1"/>
  <c r="E65" i="2"/>
  <c r="L165" i="2"/>
  <c r="M167" i="2" s="1"/>
  <c r="J49" i="2"/>
  <c r="J50" i="2" s="1"/>
  <c r="F36" i="2"/>
  <c r="E165" i="2"/>
  <c r="S36" i="2"/>
  <c r="P36" i="2"/>
  <c r="N36" i="2"/>
  <c r="P57" i="2"/>
  <c r="O57" i="2"/>
  <c r="M57" i="2"/>
  <c r="N119" i="2"/>
  <c r="Q57" i="2"/>
  <c r="R57" i="2"/>
  <c r="S57" i="2"/>
  <c r="N57" i="2"/>
  <c r="J42" i="2"/>
  <c r="J120" i="2"/>
  <c r="J121" i="2" s="1"/>
  <c r="J134" i="2" s="1"/>
  <c r="J168" i="2" s="1"/>
  <c r="AC42" i="2"/>
  <c r="AC46" i="2"/>
  <c r="O65" i="2"/>
  <c r="D42" i="2"/>
  <c r="R42" i="2"/>
  <c r="K42" i="2"/>
  <c r="S170" i="2"/>
  <c r="AM46" i="2"/>
  <c r="AM49" i="2" s="1"/>
  <c r="AM50" i="2" s="1"/>
  <c r="O119" i="2"/>
  <c r="D119" i="2"/>
  <c r="O42" i="2"/>
  <c r="D46" i="2"/>
  <c r="D49" i="2" s="1"/>
  <c r="D50" i="2" s="1"/>
  <c r="D66" i="2" s="1"/>
  <c r="D165" i="2"/>
  <c r="K167" i="2"/>
  <c r="AP21" i="2"/>
  <c r="AP56" i="2" s="1"/>
  <c r="AN41" i="2"/>
  <c r="AN42" i="2" s="1"/>
  <c r="AM65" i="2"/>
  <c r="AO27" i="2"/>
  <c r="AH42" i="2"/>
  <c r="AO21" i="2"/>
  <c r="AO56" i="2" s="1"/>
  <c r="AP30" i="2"/>
  <c r="C169" i="2"/>
  <c r="R165" i="2"/>
  <c r="R46" i="2"/>
  <c r="N124" i="2"/>
  <c r="N125" i="2" s="1"/>
  <c r="O46" i="2"/>
  <c r="O47" i="2" s="1"/>
  <c r="O123" i="2" s="1"/>
  <c r="R119" i="2"/>
  <c r="O165" i="2"/>
  <c r="O167" i="2" s="1"/>
  <c r="M125" i="2"/>
  <c r="M120" i="2" s="1"/>
  <c r="M121" i="2" s="1"/>
  <c r="M134" i="2" s="1"/>
  <c r="M168" i="2" s="1"/>
  <c r="N49" i="2"/>
  <c r="N50" i="2" s="1"/>
  <c r="AJ48" i="2"/>
  <c r="AJ49" i="2"/>
  <c r="AJ50" i="2" s="1"/>
  <c r="K47" i="2"/>
  <c r="K123" i="2" s="1"/>
  <c r="K124" i="2"/>
  <c r="S119" i="2"/>
  <c r="S42" i="2"/>
  <c r="S138" i="2"/>
  <c r="S46" i="2"/>
  <c r="S165" i="2"/>
  <c r="S65" i="2"/>
  <c r="AH65" i="2"/>
  <c r="K166" i="2"/>
  <c r="K169" i="2"/>
  <c r="N166" i="2"/>
  <c r="N169" i="2"/>
  <c r="P46" i="2"/>
  <c r="P65" i="2"/>
  <c r="P42" i="2"/>
  <c r="P119" i="2"/>
  <c r="P165" i="2"/>
  <c r="L48" i="2"/>
  <c r="L124" i="2"/>
  <c r="L125" i="2" s="1"/>
  <c r="L120" i="2" s="1"/>
  <c r="L121" i="2" s="1"/>
  <c r="L134" i="2" s="1"/>
  <c r="L168" i="2" s="1"/>
  <c r="L49" i="2"/>
  <c r="L50" i="2" s="1"/>
  <c r="R65" i="2"/>
  <c r="Q46" i="2"/>
  <c r="Q65" i="2"/>
  <c r="Q42" i="2"/>
  <c r="Q165" i="2"/>
  <c r="Q119" i="2"/>
  <c r="I49" i="2"/>
  <c r="I50" i="2" s="1"/>
  <c r="J66" i="2" s="1"/>
  <c r="I48" i="2"/>
  <c r="I124" i="2"/>
  <c r="I125" i="2" s="1"/>
  <c r="I120" i="2" s="1"/>
  <c r="I121" i="2" s="1"/>
  <c r="I134" i="2" s="1"/>
  <c r="I168" i="2" s="1"/>
  <c r="E48" i="2"/>
  <c r="E49" i="2"/>
  <c r="E50" i="2" s="1"/>
  <c r="E124" i="2"/>
  <c r="E125" i="2" s="1"/>
  <c r="E120" i="2" s="1"/>
  <c r="E121" i="2" s="1"/>
  <c r="E134" i="2" s="1"/>
  <c r="E168" i="2" s="1"/>
  <c r="M49" i="2"/>
  <c r="M50" i="2" s="1"/>
  <c r="N66" i="2" s="1"/>
  <c r="L167" i="2"/>
  <c r="L169" i="2"/>
  <c r="L166" i="2"/>
  <c r="O124" i="2"/>
  <c r="AE46" i="2"/>
  <c r="AE42" i="2"/>
  <c r="AJ65" i="2"/>
  <c r="AH49" i="2"/>
  <c r="AH50" i="2" s="1"/>
  <c r="AH48" i="2"/>
  <c r="I167" i="2"/>
  <c r="I169" i="2"/>
  <c r="I166" i="2"/>
  <c r="AK65" i="2"/>
  <c r="AK46" i="2"/>
  <c r="AK42" i="2"/>
  <c r="B48" i="2"/>
  <c r="B124" i="2"/>
  <c r="B125" i="2" s="1"/>
  <c r="B120" i="2" s="1"/>
  <c r="B121" i="2" s="1"/>
  <c r="B134" i="2" s="1"/>
  <c r="B168" i="2" s="1"/>
  <c r="B49" i="2"/>
  <c r="B50" i="2" s="1"/>
  <c r="C66" i="2" s="1"/>
  <c r="G47" i="2"/>
  <c r="G123" i="2" s="1"/>
  <c r="G124" i="2"/>
  <c r="H124" i="2"/>
  <c r="H125" i="2" s="1"/>
  <c r="H120" i="2" s="1"/>
  <c r="H121" i="2" s="1"/>
  <c r="H134" i="2" s="1"/>
  <c r="H168" i="2" s="1"/>
  <c r="H48" i="2"/>
  <c r="H49" i="2"/>
  <c r="H50" i="2" s="1"/>
  <c r="H166" i="2"/>
  <c r="H167" i="2"/>
  <c r="AF48" i="2"/>
  <c r="AF49" i="2"/>
  <c r="AF50" i="2" s="1"/>
  <c r="G167" i="2"/>
  <c r="G166" i="2"/>
  <c r="G169" i="2"/>
  <c r="E167" i="2"/>
  <c r="E166" i="2"/>
  <c r="E169" i="2"/>
  <c r="F167" i="2"/>
  <c r="O166" i="2"/>
  <c r="B166" i="2"/>
  <c r="B169" i="2"/>
  <c r="C167" i="2"/>
  <c r="AI49" i="2"/>
  <c r="AI50" i="2" s="1"/>
  <c r="AI66" i="2" s="1"/>
  <c r="AP62" i="2"/>
  <c r="AP34" i="2"/>
  <c r="AN64" i="2"/>
  <c r="T11" i="2"/>
  <c r="U11" i="2" s="1"/>
  <c r="U26" i="2" s="1"/>
  <c r="T60" i="2"/>
  <c r="N120" i="2" l="1"/>
  <c r="N121" i="2" s="1"/>
  <c r="N134" i="2" s="1"/>
  <c r="N168" i="2" s="1"/>
  <c r="V56" i="2"/>
  <c r="W56" i="2" s="1"/>
  <c r="X56" i="2" s="1"/>
  <c r="Y56" i="2" s="1"/>
  <c r="Z56" i="2" s="1"/>
  <c r="V21" i="2"/>
  <c r="W21" i="2" s="1"/>
  <c r="X21" i="2" s="1"/>
  <c r="Y21" i="2" s="1"/>
  <c r="Z21" i="2" s="1"/>
  <c r="AC49" i="2"/>
  <c r="AC50" i="2" s="1"/>
  <c r="AH66" i="2" s="1"/>
  <c r="AC48" i="2"/>
  <c r="AM48" i="2"/>
  <c r="D169" i="2"/>
  <c r="D166" i="2"/>
  <c r="D167" i="2"/>
  <c r="D124" i="2"/>
  <c r="D125" i="2" s="1"/>
  <c r="D120" i="2" s="1"/>
  <c r="D121" i="2" s="1"/>
  <c r="D134" i="2" s="1"/>
  <c r="D168" i="2" s="1"/>
  <c r="D48" i="2"/>
  <c r="AO61" i="2"/>
  <c r="AO29" i="2"/>
  <c r="T27" i="2"/>
  <c r="E66" i="2"/>
  <c r="O169" i="2"/>
  <c r="K125" i="2"/>
  <c r="K120" i="2" s="1"/>
  <c r="K121" i="2" s="1"/>
  <c r="K134" i="2" s="1"/>
  <c r="K168" i="2" s="1"/>
  <c r="R166" i="2"/>
  <c r="R169" i="2"/>
  <c r="R124" i="2"/>
  <c r="R125" i="2" s="1"/>
  <c r="R120" i="2" s="1"/>
  <c r="R121" i="2" s="1"/>
  <c r="R134" i="2" s="1"/>
  <c r="R168" i="2" s="1"/>
  <c r="R48" i="2"/>
  <c r="R49" i="2"/>
  <c r="R50" i="2" s="1"/>
  <c r="G125" i="2"/>
  <c r="G120" i="2" s="1"/>
  <c r="G121" i="2" s="1"/>
  <c r="G134" i="2" s="1"/>
  <c r="G168" i="2" s="1"/>
  <c r="S49" i="2"/>
  <c r="S50" i="2" s="1"/>
  <c r="S48" i="2"/>
  <c r="S124" i="2"/>
  <c r="S125" i="2" s="1"/>
  <c r="S139" i="2" s="1"/>
  <c r="S140" i="2" s="1"/>
  <c r="S141" i="2" s="1"/>
  <c r="S145" i="2" s="1"/>
  <c r="S147" i="2" s="1"/>
  <c r="K49" i="2"/>
  <c r="K50" i="2" s="1"/>
  <c r="K66" i="2" s="1"/>
  <c r="S167" i="2"/>
  <c r="S169" i="2"/>
  <c r="S166" i="2"/>
  <c r="F66" i="2"/>
  <c r="AM66" i="2"/>
  <c r="O125" i="2"/>
  <c r="O120" i="2" s="1"/>
  <c r="O121" i="2" s="1"/>
  <c r="O134" i="2" s="1"/>
  <c r="O168" i="2" s="1"/>
  <c r="Q47" i="2"/>
  <c r="Q123" i="2" s="1"/>
  <c r="Q124" i="2"/>
  <c r="G49" i="2"/>
  <c r="G50" i="2" s="1"/>
  <c r="G66" i="2" s="1"/>
  <c r="AE48" i="2"/>
  <c r="AE49" i="2"/>
  <c r="AE50" i="2" s="1"/>
  <c r="AJ66" i="2" s="1"/>
  <c r="R167" i="2"/>
  <c r="Q166" i="2"/>
  <c r="Q167" i="2"/>
  <c r="Q169" i="2"/>
  <c r="AK48" i="2"/>
  <c r="AK49" i="2"/>
  <c r="AK50" i="2" s="1"/>
  <c r="AK66" i="2" s="1"/>
  <c r="O49" i="2"/>
  <c r="O50" i="2" s="1"/>
  <c r="O66" i="2" s="1"/>
  <c r="M66" i="2"/>
  <c r="I66" i="2"/>
  <c r="P166" i="2"/>
  <c r="P167" i="2"/>
  <c r="P169" i="2"/>
  <c r="P48" i="2"/>
  <c r="P124" i="2"/>
  <c r="P125" i="2" s="1"/>
  <c r="P120" i="2" s="1"/>
  <c r="P121" i="2" s="1"/>
  <c r="P134" i="2" s="1"/>
  <c r="P168" i="2" s="1"/>
  <c r="P49" i="2"/>
  <c r="P50" i="2" s="1"/>
  <c r="P66" i="2" s="1"/>
  <c r="U60" i="2"/>
  <c r="AN46" i="2"/>
  <c r="AN65" i="2"/>
  <c r="AP64" i="2"/>
  <c r="AP41" i="2"/>
  <c r="S120" i="2" l="1"/>
  <c r="S121" i="2" s="1"/>
  <c r="S134" i="2" s="1"/>
  <c r="S168" i="2" s="1"/>
  <c r="T19" i="2"/>
  <c r="U19" i="2" s="1"/>
  <c r="T29" i="2"/>
  <c r="T61" i="2"/>
  <c r="AO30" i="2"/>
  <c r="AO62" i="2"/>
  <c r="AO34" i="2"/>
  <c r="Q49" i="2"/>
  <c r="Q50" i="2" s="1"/>
  <c r="R66" i="2" s="1"/>
  <c r="S66" i="2"/>
  <c r="L66" i="2"/>
  <c r="Q125" i="2"/>
  <c r="Q120" i="2" s="1"/>
  <c r="Q121" i="2" s="1"/>
  <c r="Q134" i="2" s="1"/>
  <c r="Q168" i="2" s="1"/>
  <c r="H66" i="2"/>
  <c r="AP42" i="2"/>
  <c r="AP46" i="2"/>
  <c r="AP65" i="2"/>
  <c r="U27" i="2" l="1"/>
  <c r="U61" i="2" s="1"/>
  <c r="Q66" i="2"/>
  <c r="AO41" i="2"/>
  <c r="T34" i="2"/>
  <c r="AO64" i="2"/>
  <c r="T62" i="2"/>
  <c r="AP47" i="2"/>
  <c r="AP49" i="2" s="1"/>
  <c r="AP50" i="2" s="1"/>
  <c r="AP66" i="2" s="1"/>
  <c r="T63" i="2" l="1"/>
  <c r="U29" i="2"/>
  <c r="U34" i="2" s="1"/>
  <c r="T35" i="2"/>
  <c r="T41" i="2"/>
  <c r="T64" i="2"/>
  <c r="AO46" i="2"/>
  <c r="AO47" i="2" s="1"/>
  <c r="AO49" i="2" s="1"/>
  <c r="AO50" i="2" s="1"/>
  <c r="AO66" i="2" s="1"/>
  <c r="AO65" i="2"/>
  <c r="AO42" i="2"/>
  <c r="T36" i="2" l="1"/>
  <c r="U36" i="2"/>
  <c r="V36" i="2" s="1"/>
  <c r="W36" i="2" s="1"/>
  <c r="X36" i="2" s="1"/>
  <c r="Y36" i="2" s="1"/>
  <c r="Z36" i="2" s="1"/>
  <c r="U62" i="2"/>
  <c r="U63" i="2" s="1"/>
  <c r="V29" i="2"/>
  <c r="W29" i="2" s="1"/>
  <c r="X29" i="2" s="1"/>
  <c r="Y29" i="2" s="1"/>
  <c r="Z29" i="2" s="1"/>
  <c r="U41" i="2"/>
  <c r="U42" i="2" s="1"/>
  <c r="U64" i="2"/>
  <c r="T138" i="2"/>
  <c r="T42" i="2"/>
  <c r="T165" i="2"/>
  <c r="T119" i="2"/>
  <c r="T46" i="2"/>
  <c r="T65" i="2"/>
  <c r="T124" i="2" l="1"/>
  <c r="T68" i="2"/>
  <c r="T75" i="2" s="1"/>
  <c r="T77" i="2" s="1"/>
  <c r="T166" i="2"/>
  <c r="T167" i="2"/>
  <c r="U138" i="2"/>
  <c r="U165" i="2"/>
  <c r="U119" i="2"/>
  <c r="U65" i="2"/>
  <c r="B175" i="2" l="1"/>
  <c r="B177" i="2" s="1"/>
  <c r="U167" i="2"/>
  <c r="U166" i="2"/>
  <c r="U68" i="2"/>
  <c r="U75" i="2" s="1"/>
  <c r="U77" i="2" s="1"/>
  <c r="U47" i="2"/>
  <c r="U124" i="2"/>
  <c r="T85" i="2"/>
  <c r="T91" i="2" s="1"/>
  <c r="T161" i="2" s="1"/>
  <c r="T173" i="2" s="1"/>
  <c r="T78" i="2"/>
  <c r="T171" i="2" s="1"/>
  <c r="U123" i="2" l="1"/>
  <c r="U125" i="2" s="1"/>
  <c r="U49" i="2"/>
  <c r="U50" i="2" s="1"/>
  <c r="U78" i="2"/>
  <c r="U171" i="2" s="1"/>
  <c r="U85" i="2"/>
  <c r="U91" i="2" s="1"/>
  <c r="T95" i="2"/>
  <c r="T163" i="2"/>
  <c r="T169" i="2" s="1"/>
  <c r="U95" i="2" l="1"/>
  <c r="U161" i="2"/>
  <c r="U173" i="2" s="1"/>
  <c r="T100" i="2"/>
  <c r="T129" i="2"/>
  <c r="T132" i="2" s="1"/>
  <c r="T164" i="2" s="1"/>
  <c r="T170" i="2" s="1"/>
  <c r="U139" i="2"/>
  <c r="U140" i="2" s="1"/>
  <c r="U141" i="2" s="1"/>
  <c r="U145" i="2" s="1"/>
  <c r="V145" i="2" s="1"/>
  <c r="U120" i="2"/>
  <c r="U121" i="2" s="1"/>
  <c r="T47" i="2"/>
  <c r="T49" i="2" s="1"/>
  <c r="T50" i="2" s="1"/>
  <c r="AN48" i="2"/>
  <c r="AN49" i="2"/>
  <c r="B178" i="2" l="1"/>
  <c r="B179" i="2" s="1"/>
  <c r="B181" i="2" s="1"/>
  <c r="U163" i="2"/>
  <c r="U147" i="2"/>
  <c r="U148" i="2"/>
  <c r="U129" i="2"/>
  <c r="U132" i="2" s="1"/>
  <c r="U100" i="2"/>
  <c r="AN50" i="2"/>
  <c r="AN66" i="2" s="1"/>
  <c r="U66" i="2"/>
  <c r="T66" i="2"/>
  <c r="T48" i="2"/>
  <c r="T123" i="2"/>
  <c r="T125" i="2" s="1"/>
  <c r="U164" i="2" l="1"/>
  <c r="U170" i="2" s="1"/>
  <c r="U134" i="2"/>
  <c r="U168" i="2" s="1"/>
  <c r="U169" i="2"/>
  <c r="V148" i="2"/>
  <c r="V147" i="2"/>
  <c r="T120" i="2"/>
  <c r="T121" i="2" s="1"/>
  <c r="T134" i="2" s="1"/>
  <c r="T168" i="2" s="1"/>
  <c r="T139" i="2"/>
  <c r="T140" i="2" s="1"/>
  <c r="T141" i="2" s="1"/>
  <c r="T145" i="2" s="1"/>
  <c r="T148" i="2" s="1"/>
  <c r="T147" i="2" l="1"/>
  <c r="B154" i="2"/>
  <c r="B156" i="2" l="1"/>
  <c r="B158" i="2" s="1"/>
</calcChain>
</file>

<file path=xl/sharedStrings.xml><?xml version="1.0" encoding="utf-8"?>
<sst xmlns="http://schemas.openxmlformats.org/spreadsheetml/2006/main" count="169" uniqueCount="123">
  <si>
    <t>EBITD</t>
  </si>
  <si>
    <t>Market capitalization</t>
  </si>
  <si>
    <t xml:space="preserve">  Total</t>
  </si>
  <si>
    <t>Operating income</t>
  </si>
  <si>
    <t>Other</t>
  </si>
  <si>
    <t>Capital spending</t>
  </si>
  <si>
    <t>Balance sheet</t>
  </si>
  <si>
    <t>Assets</t>
  </si>
  <si>
    <t>Cash and equivalents</t>
  </si>
  <si>
    <t>Accounts receivable</t>
  </si>
  <si>
    <t>Inventories</t>
  </si>
  <si>
    <t xml:space="preserve">  Total current assets</t>
  </si>
  <si>
    <t>Property, plant and equip</t>
  </si>
  <si>
    <t>Other assets</t>
  </si>
  <si>
    <t xml:space="preserve">  Total assets</t>
  </si>
  <si>
    <t>Liabilities and Shareholders' Equity</t>
  </si>
  <si>
    <t>Accounts payable</t>
  </si>
  <si>
    <t>Accrued liabilities</t>
  </si>
  <si>
    <t>Short term debt</t>
  </si>
  <si>
    <t xml:space="preserve">  Total current liabilities</t>
  </si>
  <si>
    <t>Long term debt</t>
  </si>
  <si>
    <t>Other liabilities</t>
  </si>
  <si>
    <t>Shareholders' Equity</t>
  </si>
  <si>
    <t>Taxes</t>
  </si>
  <si>
    <t>NOPAT</t>
  </si>
  <si>
    <t>Invested capital</t>
  </si>
  <si>
    <t>Net working capital</t>
  </si>
  <si>
    <t>PP&amp;E</t>
  </si>
  <si>
    <t>Return on invested capital (ROIC)</t>
  </si>
  <si>
    <t>Shares outstanding</t>
  </si>
  <si>
    <t>Same store sales</t>
  </si>
  <si>
    <t>Beginning stores</t>
  </si>
  <si>
    <t>Stores added</t>
  </si>
  <si>
    <t>Ending stores</t>
  </si>
  <si>
    <t>Revenue/store</t>
  </si>
  <si>
    <t>Depreciation and amort</t>
  </si>
  <si>
    <t>Income taxes</t>
  </si>
  <si>
    <t>Pre-tax income</t>
  </si>
  <si>
    <t>Effective tax rate</t>
  </si>
  <si>
    <t>Net debt</t>
  </si>
  <si>
    <t>EBITD growth</t>
  </si>
  <si>
    <t>ROIC</t>
  </si>
  <si>
    <t>Q1</t>
  </si>
  <si>
    <t>Q2</t>
  </si>
  <si>
    <t>Q3</t>
  </si>
  <si>
    <t>Q4</t>
  </si>
  <si>
    <t>Net income</t>
  </si>
  <si>
    <t>Deferred taxes</t>
  </si>
  <si>
    <t>Working capital, net</t>
  </si>
  <si>
    <t>Net cash flow from operations</t>
  </si>
  <si>
    <t>Excess cash flow from operations</t>
  </si>
  <si>
    <t>Excess cash flow/share</t>
  </si>
  <si>
    <t>Dividends, net</t>
  </si>
  <si>
    <t>Debt, net</t>
  </si>
  <si>
    <t>Net change in cash</t>
  </si>
  <si>
    <t>Acquisitions, net</t>
  </si>
  <si>
    <t>Income before taxes</t>
  </si>
  <si>
    <t>EPS</t>
  </si>
  <si>
    <t>Share repurchases, net</t>
  </si>
  <si>
    <t>Growth</t>
  </si>
  <si>
    <t>Number of stores</t>
  </si>
  <si>
    <t>Change: net working capital</t>
  </si>
  <si>
    <t>Q3E</t>
  </si>
  <si>
    <t>Q4E</t>
  </si>
  <si>
    <t>Stock based compensation</t>
  </si>
  <si>
    <t>Change in marketable securities</t>
  </si>
  <si>
    <t>2024E</t>
  </si>
  <si>
    <t xml:space="preserve">      2024E</t>
  </si>
  <si>
    <t>2025E</t>
  </si>
  <si>
    <t xml:space="preserve">    Total</t>
  </si>
  <si>
    <t>Gross profit</t>
  </si>
  <si>
    <t xml:space="preserve">  Taxes</t>
  </si>
  <si>
    <t>Operating lease assets</t>
  </si>
  <si>
    <t>Long term investments</t>
  </si>
  <si>
    <t>Revenues</t>
  </si>
  <si>
    <t>Total market value</t>
  </si>
  <si>
    <t>EBITD margin</t>
  </si>
  <si>
    <t>TMV/invested capital</t>
  </si>
  <si>
    <t>Ending year end stock price</t>
  </si>
  <si>
    <t>TMV/EBITD (trailing)</t>
  </si>
  <si>
    <t>DCF</t>
  </si>
  <si>
    <t>Tax rate</t>
  </si>
  <si>
    <t>Free cash flow</t>
  </si>
  <si>
    <t>NPV</t>
  </si>
  <si>
    <t>Equity Capitalization</t>
  </si>
  <si>
    <t>Estimated stock price</t>
  </si>
  <si>
    <t>Assumed growth rate</t>
  </si>
  <si>
    <t>Assumed cost of capital</t>
  </si>
  <si>
    <t>Starbucks</t>
  </si>
  <si>
    <t>Year ended October 31,</t>
  </si>
  <si>
    <t>North America</t>
  </si>
  <si>
    <t>International</t>
  </si>
  <si>
    <t xml:space="preserve">  North America</t>
  </si>
  <si>
    <t xml:space="preserve">  International</t>
  </si>
  <si>
    <t xml:space="preserve">  Other</t>
  </si>
  <si>
    <t xml:space="preserve">  Product and distribution costs</t>
  </si>
  <si>
    <t xml:space="preserve">  Store operating expenses</t>
  </si>
  <si>
    <t>Expenses</t>
  </si>
  <si>
    <t xml:space="preserve">  Other operating expenses</t>
  </si>
  <si>
    <t xml:space="preserve">  General and admin</t>
  </si>
  <si>
    <t xml:space="preserve">  Depreciation and amort</t>
  </si>
  <si>
    <t>Income from equity investees</t>
  </si>
  <si>
    <t>Interest expense, net</t>
  </si>
  <si>
    <t xml:space="preserve">  Gross profit</t>
  </si>
  <si>
    <t xml:space="preserve">  Gross margin</t>
  </si>
  <si>
    <t>Consolidated same store sales</t>
  </si>
  <si>
    <t>Consolidated number of stores (owned and licensed)</t>
  </si>
  <si>
    <t xml:space="preserve">  US</t>
  </si>
  <si>
    <t xml:space="preserve">  Int'l</t>
  </si>
  <si>
    <t>Non-cash lease costs</t>
  </si>
  <si>
    <t>2025 EBITD</t>
  </si>
  <si>
    <t>EBITD multiple</t>
  </si>
  <si>
    <t>Equity capitalization</t>
  </si>
  <si>
    <t>Current stock price</t>
  </si>
  <si>
    <t>Excess cash flow yield</t>
  </si>
  <si>
    <t>2026E</t>
  </si>
  <si>
    <t>Net debt/Market Cap %`</t>
  </si>
  <si>
    <t>2027E</t>
  </si>
  <si>
    <t>2028E</t>
  </si>
  <si>
    <t>2029E</t>
  </si>
  <si>
    <t>2030E</t>
  </si>
  <si>
    <t>3 Year Avg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</si>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</sst>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&quot;$&quot;#,##0_);\(&quot;$&quot;#,##0\)"/>
    <numFmt numFmtId="165" formatCode="&quot;$&quot;#,##0.00_);\(&quot;$&quot;#,##0.00\)"/>
    <numFmt numFmtId="166" formatCode="&quot;$&quot;#,##0;\-&quot;$&quot;#,##0"/>
    <numFmt numFmtId="167" formatCode="0.0%"/>
    <numFmt numFmtId="168" formatCode="0.0"/>
    <numFmt numFmtId="169" formatCode="#,##0.0_);[Red]\(#,##0.0\)"/>
    <numFmt numFmtId="170" formatCode="&quot;$&quot;#,##0.00"/>
    <numFmt numFmtId="171" formatCode="##0"/>
    <numFmt numFmtId="172" formatCode="0_);\(0\)"/>
    <numFmt numFmtId="173" formatCode="0_ ;\-0\ "/>
    <numFmt numFmtId="174" formatCode="#,##0_ ;\-#,##0\ "/>
    <numFmt numFmtId="175" formatCode="&quot;$&quot;#,##0.0_);\(&quot;$&quot;#,##0.0\)"/>
    <numFmt numFmtId="176" formatCode="0.0_);\(0.0\)"/>
  </numFmts>
  <fonts count="11"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sz val="10"/>
      <name val="MS Sans Serif"/>
    </font>
    <font>
      <sz val="8"/>
      <color indexed="39"/>
      <name val="Arial"/>
      <family val="2"/>
    </font>
    <font>
      <sz val="10"/>
      <color indexed="12"/>
      <name val="MS Sans Serif"/>
    </font>
    <font>
      <sz val="7"/>
      <name val="Arial"/>
      <family val="2"/>
    </font>
    <font>
      <sz val="12"/>
      <name val="Bookman Old Style"/>
      <family val="1"/>
    </font>
    <font>
      <sz val="12"/>
      <name val="Times New Roman"/>
      <family val="1"/>
    </font>
    <font>
      <b/>
      <sz val="12"/>
      <name val="Bookman Old Style"/>
      <family val="1"/>
    </font>
    <font>
      <sz val="12"/>
      <color rgb="FF00B05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2" fillId="0" borderId="0"/>
    <xf numFmtId="43" fontId="1" fillId="0" borderId="0" applyFont="0" applyFill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169" fontId="4" fillId="2" borderId="0" applyNumberFormat="0" applyBorder="0" applyAlignment="0">
      <protection locked="0"/>
    </xf>
    <xf numFmtId="10" fontId="5" fillId="0" borderId="0">
      <protection locked="0"/>
    </xf>
    <xf numFmtId="15" fontId="5" fillId="0" borderId="0">
      <protection locked="0"/>
    </xf>
    <xf numFmtId="2" fontId="5" fillId="0" borderId="1">
      <protection locked="0"/>
    </xf>
    <xf numFmtId="0" fontId="5" fillId="0" borderId="0">
      <protection locked="0"/>
    </xf>
    <xf numFmtId="170" fontId="3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14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quotePrefix="1" applyNumberFormat="1" applyFont="1"/>
    <xf numFmtId="167" fontId="7" fillId="0" borderId="0" xfId="0" applyNumberFormat="1" applyFont="1"/>
    <xf numFmtId="167" fontId="7" fillId="0" borderId="0" xfId="17" applyNumberFormat="1" applyFont="1"/>
    <xf numFmtId="164" fontId="7" fillId="0" borderId="0" xfId="0" applyNumberFormat="1" applyFont="1"/>
    <xf numFmtId="37" fontId="7" fillId="0" borderId="0" xfId="0" applyNumberFormat="1" applyFont="1"/>
    <xf numFmtId="38" fontId="7" fillId="0" borderId="0" xfId="0" applyNumberFormat="1" applyFont="1"/>
    <xf numFmtId="168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7" fillId="0" borderId="0" xfId="0" applyFont="1"/>
    <xf numFmtId="164" fontId="7" fillId="0" borderId="0" xfId="2" applyNumberFormat="1" applyFont="1" applyBorder="1"/>
    <xf numFmtId="38" fontId="7" fillId="0" borderId="0" xfId="2" applyNumberFormat="1" applyFont="1"/>
    <xf numFmtId="164" fontId="7" fillId="0" borderId="0" xfId="17" applyNumberFormat="1" applyFont="1"/>
    <xf numFmtId="173" fontId="7" fillId="0" borderId="0" xfId="0" applyNumberFormat="1" applyFont="1" applyAlignment="1">
      <alignment horizontal="center"/>
    </xf>
    <xf numFmtId="174" fontId="7" fillId="0" borderId="0" xfId="0" applyNumberFormat="1" applyFont="1"/>
    <xf numFmtId="166" fontId="7" fillId="0" borderId="0" xfId="0" applyNumberFormat="1" applyFont="1"/>
    <xf numFmtId="172" fontId="7" fillId="0" borderId="0" xfId="0" applyNumberFormat="1" applyFont="1"/>
    <xf numFmtId="175" fontId="7" fillId="0" borderId="0" xfId="0" applyNumberFormat="1" applyFont="1"/>
    <xf numFmtId="37" fontId="7" fillId="0" borderId="0" xfId="17" applyNumberFormat="1" applyFont="1"/>
    <xf numFmtId="165" fontId="7" fillId="0" borderId="0" xfId="17" applyNumberFormat="1" applyFont="1"/>
    <xf numFmtId="176" fontId="7" fillId="0" borderId="0" xfId="17" applyNumberFormat="1" applyFont="1"/>
    <xf numFmtId="167" fontId="7" fillId="0" borderId="0" xfId="0" quotePrefix="1" applyNumberFormat="1" applyFont="1"/>
    <xf numFmtId="3" fontId="9" fillId="0" borderId="0" xfId="0" quotePrefix="1" applyNumberFormat="1" applyFont="1"/>
    <xf numFmtId="164" fontId="7" fillId="0" borderId="0" xfId="0" quotePrefix="1" applyNumberFormat="1" applyFont="1"/>
    <xf numFmtId="167" fontId="9" fillId="0" borderId="0" xfId="0" applyNumberFormat="1" applyFont="1"/>
    <xf numFmtId="37" fontId="9" fillId="0" borderId="0" xfId="0" applyNumberFormat="1" applyFont="1"/>
    <xf numFmtId="9" fontId="10" fillId="0" borderId="0" xfId="17" applyFont="1"/>
    <xf numFmtId="10" fontId="7" fillId="0" borderId="0" xfId="17" applyNumberFormat="1" applyFont="1"/>
    <xf numFmtId="3" fontId="7" fillId="3" borderId="0" xfId="0" applyNumberFormat="1" applyFont="1" applyFill="1"/>
    <xf numFmtId="173" fontId="7" fillId="3" borderId="0" xfId="0" applyNumberFormat="1" applyFont="1" applyFill="1" applyAlignment="1">
      <alignment horizontal="center"/>
    </xf>
    <xf numFmtId="167" fontId="7" fillId="3" borderId="0" xfId="0" applyNumberFormat="1" applyFont="1" applyFill="1"/>
    <xf numFmtId="164" fontId="7" fillId="3" borderId="0" xfId="0" applyNumberFormat="1" applyFont="1" applyFill="1"/>
    <xf numFmtId="37" fontId="7" fillId="3" borderId="0" xfId="0" applyNumberFormat="1" applyFont="1" applyFill="1"/>
    <xf numFmtId="167" fontId="9" fillId="3" borderId="0" xfId="0" applyNumberFormat="1" applyFont="1" applyFill="1"/>
    <xf numFmtId="37" fontId="7" fillId="3" borderId="0" xfId="17" applyNumberFormat="1" applyFont="1" applyFill="1"/>
    <xf numFmtId="164" fontId="7" fillId="3" borderId="0" xfId="17" applyNumberFormat="1" applyFont="1" applyFill="1"/>
    <xf numFmtId="167" fontId="7" fillId="3" borderId="0" xfId="17" applyNumberFormat="1" applyFont="1" applyFill="1"/>
    <xf numFmtId="165" fontId="7" fillId="3" borderId="0" xfId="17" applyNumberFormat="1" applyFont="1" applyFill="1"/>
    <xf numFmtId="168" fontId="7" fillId="3" borderId="0" xfId="0" applyNumberFormat="1" applyFont="1" applyFill="1"/>
    <xf numFmtId="174" fontId="7" fillId="3" borderId="0" xfId="0" applyNumberFormat="1" applyFont="1" applyFill="1"/>
    <xf numFmtId="164" fontId="7" fillId="3" borderId="0" xfId="2" applyNumberFormat="1" applyFont="1" applyFill="1" applyBorder="1"/>
    <xf numFmtId="38" fontId="7" fillId="3" borderId="0" xfId="2" applyNumberFormat="1" applyFont="1" applyFill="1"/>
    <xf numFmtId="166" fontId="7" fillId="3" borderId="0" xfId="0" applyNumberFormat="1" applyFont="1" applyFill="1"/>
    <xf numFmtId="38" fontId="7" fillId="3" borderId="0" xfId="0" applyNumberFormat="1" applyFont="1" applyFill="1"/>
    <xf numFmtId="0" fontId="7" fillId="3" borderId="0" xfId="0" applyFont="1" applyFill="1"/>
    <xf numFmtId="3" fontId="8" fillId="3" borderId="0" xfId="0" applyNumberFormat="1" applyFont="1" applyFill="1"/>
    <xf numFmtId="168" fontId="7" fillId="0" borderId="0" xfId="0" applyNumberFormat="1" applyFont="1" applyAlignment="1">
      <alignment horizontal="right"/>
    </xf>
    <xf numFmtId="9" fontId="7" fillId="3" borderId="0" xfId="17" applyFont="1" applyFill="1"/>
    <xf numFmtId="3" fontId="7" fillId="0" borderId="0" xfId="0" applyNumberFormat="1" applyFont="1" applyAlignment="1">
      <alignment horizontal="right"/>
    </xf>
  </cellXfs>
  <cellStyles count="19">
    <cellStyle name="Availability" xfId="1" xr:uid="{00000000-0005-0000-0000-000000000000}"/>
    <cellStyle name="Comma" xfId="2" builtinId="3"/>
    <cellStyle name="Comma  - Style1" xfId="3" xr:uid="{00000000-0005-0000-0000-000002000000}"/>
    <cellStyle name="Comma  - Style2" xfId="4" xr:uid="{00000000-0005-0000-0000-000003000000}"/>
    <cellStyle name="Comma  - Style3" xfId="5" xr:uid="{00000000-0005-0000-0000-000004000000}"/>
    <cellStyle name="Comma  - Style4" xfId="6" xr:uid="{00000000-0005-0000-0000-000005000000}"/>
    <cellStyle name="Comma  - Style5" xfId="7" xr:uid="{00000000-0005-0000-0000-000006000000}"/>
    <cellStyle name="Comma  - Style6" xfId="8" xr:uid="{00000000-0005-0000-0000-000007000000}"/>
    <cellStyle name="Comma  - Style7" xfId="9" xr:uid="{00000000-0005-0000-0000-000008000000}"/>
    <cellStyle name="Comma  - Style8" xfId="10" xr:uid="{00000000-0005-0000-0000-000009000000}"/>
    <cellStyle name="Input Titles" xfId="11" xr:uid="{00000000-0005-0000-0000-00000A000000}"/>
    <cellStyle name="Input%" xfId="12" xr:uid="{00000000-0005-0000-0000-00000B000000}"/>
    <cellStyle name="InputDate" xfId="13" xr:uid="{00000000-0005-0000-0000-00000C000000}"/>
    <cellStyle name="InputDecimal" xfId="14" xr:uid="{00000000-0005-0000-0000-00000D000000}"/>
    <cellStyle name="InputValue" xfId="15" xr:uid="{00000000-0005-0000-0000-00000E000000}"/>
    <cellStyle name="Normal" xfId="0" builtinId="0"/>
    <cellStyle name="Normal - Style1" xfId="16" xr:uid="{00000000-0005-0000-0000-000010000000}"/>
    <cellStyle name="Percent" xfId="17" builtinId="5"/>
    <cellStyle name="Role" xfId="18" xr:uid="{00000000-0005-0000-0000-000012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83"/>
  <sheetViews>
    <sheetView showGridLines="0" tabSelected="1" zoomScale="68" zoomScaleNormal="57" workbookViewId="0">
      <pane xSplit="1" ySplit="3" topLeftCell="B148" activePane="bottomRight" state="frozen"/>
      <selection pane="topRight" activeCell="B1" sqref="B1"/>
      <selection pane="bottomLeft" activeCell="A8" sqref="A8"/>
      <selection pane="bottomRight" activeCell="V161" sqref="V161"/>
    </sheetView>
  </sheetViews>
  <sheetFormatPr baseColWidth="10" defaultColWidth="9.33203125" defaultRowHeight="22" customHeight="1"/>
  <cols>
    <col min="1" max="1" width="58" style="10" bestFit="1" customWidth="1"/>
    <col min="2" max="2" width="11.5" style="10" bestFit="1" customWidth="1"/>
    <col min="3" max="14" width="10.1640625" style="10" bestFit="1" customWidth="1"/>
    <col min="15" max="22" width="11.5" style="10" bestFit="1" customWidth="1"/>
    <col min="23" max="26" width="10.1640625" style="10" bestFit="1" customWidth="1"/>
    <col min="27" max="27" width="9.33203125" style="10"/>
    <col min="28" max="28" width="12.83203125" style="10" customWidth="1"/>
    <col min="29" max="32" width="9" style="10" bestFit="1" customWidth="1"/>
    <col min="33" max="33" width="12.83203125" style="10" customWidth="1"/>
    <col min="34" max="37" width="9" style="10" bestFit="1" customWidth="1"/>
    <col min="38" max="38" width="12.83203125" style="10" customWidth="1"/>
    <col min="39" max="39" width="9" style="10" bestFit="1" customWidth="1"/>
    <col min="40" max="40" width="12.5" style="10" bestFit="1" customWidth="1"/>
    <col min="41" max="42" width="10.1640625" style="10" bestFit="1" customWidth="1"/>
    <col min="43" max="16384" width="9.33203125" style="10"/>
  </cols>
  <sheetData>
    <row r="1" spans="1:42" s="2" customFormat="1" ht="22" customHeight="1">
      <c r="A1" s="1"/>
      <c r="V1" s="31"/>
      <c r="W1" s="31"/>
      <c r="X1" s="31"/>
      <c r="Y1" s="31"/>
      <c r="Z1" s="31"/>
    </row>
    <row r="2" spans="1:42" s="2" customFormat="1" ht="22" customHeight="1">
      <c r="A2" s="2" t="s">
        <v>88</v>
      </c>
      <c r="V2" s="31"/>
      <c r="W2" s="31"/>
      <c r="X2" s="31"/>
      <c r="Y2" s="31"/>
      <c r="Z2" s="31"/>
      <c r="AC2" s="19"/>
      <c r="AD2" s="19">
        <v>2022</v>
      </c>
      <c r="AH2" s="19"/>
      <c r="AI2" s="19">
        <v>2023</v>
      </c>
      <c r="AM2" s="19"/>
      <c r="AN2" s="19" t="s">
        <v>67</v>
      </c>
    </row>
    <row r="3" spans="1:42" s="2" customFormat="1" ht="22" customHeight="1">
      <c r="A3" s="2" t="s">
        <v>89</v>
      </c>
      <c r="B3" s="16">
        <v>2006</v>
      </c>
      <c r="C3" s="16">
        <v>2007</v>
      </c>
      <c r="D3" s="16">
        <v>2008</v>
      </c>
      <c r="E3" s="16">
        <v>2009</v>
      </c>
      <c r="F3" s="16">
        <v>2010</v>
      </c>
      <c r="G3" s="16">
        <v>2011</v>
      </c>
      <c r="H3" s="16">
        <v>2012</v>
      </c>
      <c r="I3" s="16">
        <v>2013</v>
      </c>
      <c r="J3" s="16">
        <v>2014</v>
      </c>
      <c r="K3" s="16">
        <v>2015</v>
      </c>
      <c r="L3" s="16">
        <v>2016</v>
      </c>
      <c r="M3" s="16">
        <v>2017</v>
      </c>
      <c r="N3" s="16">
        <v>2018</v>
      </c>
      <c r="O3" s="16">
        <v>2019</v>
      </c>
      <c r="P3" s="16">
        <v>2020</v>
      </c>
      <c r="Q3" s="16">
        <v>2021</v>
      </c>
      <c r="R3" s="16">
        <v>2022</v>
      </c>
      <c r="S3" s="16">
        <v>2023</v>
      </c>
      <c r="T3" s="16" t="s">
        <v>66</v>
      </c>
      <c r="U3" s="16" t="s">
        <v>68</v>
      </c>
      <c r="V3" s="32" t="s">
        <v>115</v>
      </c>
      <c r="W3" s="31" t="s">
        <v>117</v>
      </c>
      <c r="X3" s="31" t="s">
        <v>118</v>
      </c>
      <c r="Y3" s="31" t="s">
        <v>119</v>
      </c>
      <c r="Z3" s="31" t="s">
        <v>120</v>
      </c>
      <c r="AB3" s="16"/>
      <c r="AC3" s="16" t="s">
        <v>42</v>
      </c>
      <c r="AD3" s="16" t="s">
        <v>43</v>
      </c>
      <c r="AE3" s="16" t="s">
        <v>44</v>
      </c>
      <c r="AF3" s="16" t="s">
        <v>45</v>
      </c>
      <c r="AG3" s="16"/>
      <c r="AH3" s="16" t="s">
        <v>42</v>
      </c>
      <c r="AI3" s="16" t="s">
        <v>43</v>
      </c>
      <c r="AJ3" s="16" t="s">
        <v>44</v>
      </c>
      <c r="AK3" s="16" t="s">
        <v>45</v>
      </c>
      <c r="AM3" s="16" t="s">
        <v>42</v>
      </c>
      <c r="AN3" s="16" t="s">
        <v>43</v>
      </c>
      <c r="AO3" s="16" t="s">
        <v>62</v>
      </c>
      <c r="AP3" s="16" t="s">
        <v>63</v>
      </c>
    </row>
    <row r="4" spans="1:42" s="2" customFormat="1" ht="22" customHeight="1">
      <c r="A4" s="3"/>
      <c r="V4" s="31"/>
      <c r="W4" s="31"/>
      <c r="X4" s="31"/>
      <c r="Y4" s="31"/>
      <c r="Z4" s="31"/>
    </row>
    <row r="5" spans="1:42" s="2" customFormat="1" ht="22" customHeight="1">
      <c r="A5" s="25" t="s">
        <v>90</v>
      </c>
      <c r="V5" s="31"/>
      <c r="W5" s="31"/>
      <c r="X5" s="31"/>
      <c r="Y5" s="31"/>
      <c r="Z5" s="31"/>
    </row>
    <row r="6" spans="1:42" s="2" customFormat="1" ht="22" customHeight="1">
      <c r="A6" s="3"/>
      <c r="V6" s="31"/>
      <c r="W6" s="31"/>
      <c r="X6" s="31"/>
      <c r="Y6" s="31"/>
      <c r="Z6" s="31"/>
    </row>
    <row r="7" spans="1:42" s="2" customFormat="1" ht="22" customHeight="1">
      <c r="A7" s="3" t="s">
        <v>31</v>
      </c>
      <c r="L7" s="2">
        <v>13389</v>
      </c>
      <c r="M7" s="2">
        <v>14194</v>
      </c>
      <c r="N7" s="2">
        <v>15147</v>
      </c>
      <c r="O7" s="2">
        <v>16046</v>
      </c>
      <c r="P7" s="2">
        <v>16653</v>
      </c>
      <c r="Q7" s="2">
        <v>16940</v>
      </c>
      <c r="R7" s="2">
        <v>16826</v>
      </c>
      <c r="S7" s="2">
        <v>17295</v>
      </c>
      <c r="T7" s="2">
        <f>+S9</f>
        <v>17810</v>
      </c>
      <c r="U7" s="2">
        <f>+T9</f>
        <v>18215</v>
      </c>
      <c r="V7" s="31"/>
      <c r="W7" s="31"/>
      <c r="X7" s="31"/>
      <c r="Y7" s="31"/>
      <c r="Z7" s="31"/>
      <c r="AC7" s="2">
        <v>16826</v>
      </c>
      <c r="AD7" s="2">
        <v>16888</v>
      </c>
      <c r="AE7" s="2">
        <v>16926</v>
      </c>
      <c r="AF7" s="2">
        <v>17050</v>
      </c>
      <c r="AH7" s="2">
        <v>17295</v>
      </c>
      <c r="AI7" s="2">
        <v>17381</v>
      </c>
      <c r="AJ7" s="2">
        <v>17482</v>
      </c>
      <c r="AK7" s="2">
        <v>17592</v>
      </c>
      <c r="AM7" s="2">
        <v>17810</v>
      </c>
      <c r="AN7" s="2">
        <f>+AM9</f>
        <v>17931</v>
      </c>
      <c r="AO7" s="2">
        <f t="shared" ref="AO7:AP7" si="0">+AN9</f>
        <v>18065</v>
      </c>
      <c r="AP7" s="2">
        <f t="shared" si="0"/>
        <v>18140</v>
      </c>
    </row>
    <row r="8" spans="1:42" s="2" customFormat="1" ht="22" customHeight="1">
      <c r="A8" s="3" t="s">
        <v>32</v>
      </c>
      <c r="L8" s="2">
        <v>805</v>
      </c>
      <c r="M8" s="2">
        <v>953</v>
      </c>
      <c r="N8" s="2">
        <v>899</v>
      </c>
      <c r="O8" s="2">
        <v>607</v>
      </c>
      <c r="P8" s="2">
        <v>287</v>
      </c>
      <c r="Q8" s="2">
        <v>-114</v>
      </c>
      <c r="R8" s="2">
        <v>469</v>
      </c>
      <c r="S8" s="2">
        <f>SUM(AH8:AK8)</f>
        <v>515</v>
      </c>
      <c r="T8" s="2">
        <f>SUM(AM8:AP8)</f>
        <v>405</v>
      </c>
      <c r="U8" s="2">
        <v>250</v>
      </c>
      <c r="V8" s="31"/>
      <c r="W8" s="31"/>
      <c r="X8" s="31"/>
      <c r="Y8" s="31"/>
      <c r="Z8" s="31"/>
      <c r="AC8" s="2">
        <v>62</v>
      </c>
      <c r="AD8" s="2">
        <v>38</v>
      </c>
      <c r="AE8" s="2">
        <v>124</v>
      </c>
      <c r="AF8" s="2">
        <v>245</v>
      </c>
      <c r="AH8" s="2">
        <v>86</v>
      </c>
      <c r="AI8" s="2">
        <v>101</v>
      </c>
      <c r="AJ8" s="2">
        <v>110</v>
      </c>
      <c r="AK8" s="2">
        <f>17810-17592</f>
        <v>218</v>
      </c>
      <c r="AM8" s="2">
        <v>121</v>
      </c>
      <c r="AN8" s="2">
        <v>134</v>
      </c>
      <c r="AO8" s="2">
        <v>75</v>
      </c>
      <c r="AP8" s="2">
        <v>75</v>
      </c>
    </row>
    <row r="9" spans="1:42" s="2" customFormat="1" ht="22" customHeight="1">
      <c r="A9" s="3" t="s">
        <v>33</v>
      </c>
      <c r="K9" s="2">
        <v>13389</v>
      </c>
      <c r="L9" s="2">
        <f t="shared" ref="L9:N9" si="1">SUM(L7:L8)</f>
        <v>14194</v>
      </c>
      <c r="M9" s="2">
        <f t="shared" si="1"/>
        <v>15147</v>
      </c>
      <c r="N9" s="2">
        <f t="shared" si="1"/>
        <v>16046</v>
      </c>
      <c r="O9" s="2">
        <f t="shared" ref="O9:U9" si="2">SUM(O7:O8)</f>
        <v>16653</v>
      </c>
      <c r="P9" s="2">
        <f t="shared" si="2"/>
        <v>16940</v>
      </c>
      <c r="Q9" s="2">
        <f t="shared" si="2"/>
        <v>16826</v>
      </c>
      <c r="R9" s="2">
        <f t="shared" si="2"/>
        <v>17295</v>
      </c>
      <c r="S9" s="2">
        <f t="shared" si="2"/>
        <v>17810</v>
      </c>
      <c r="T9" s="2">
        <f t="shared" si="2"/>
        <v>18215</v>
      </c>
      <c r="U9" s="2">
        <f t="shared" si="2"/>
        <v>18465</v>
      </c>
      <c r="V9" s="31"/>
      <c r="W9" s="31"/>
      <c r="X9" s="31"/>
      <c r="Y9" s="31"/>
      <c r="Z9" s="31"/>
      <c r="AC9" s="2">
        <f t="shared" ref="AC9:AE9" si="3">SUM(AC7:AC8)</f>
        <v>16888</v>
      </c>
      <c r="AD9" s="2">
        <f t="shared" si="3"/>
        <v>16926</v>
      </c>
      <c r="AE9" s="2">
        <f t="shared" si="3"/>
        <v>17050</v>
      </c>
      <c r="AF9" s="2">
        <f t="shared" ref="AF9" si="4">SUM(AF7:AF8)</f>
        <v>17295</v>
      </c>
      <c r="AH9" s="2">
        <f t="shared" ref="AH9:AJ9" si="5">SUM(AH7:AH8)</f>
        <v>17381</v>
      </c>
      <c r="AI9" s="2">
        <f t="shared" si="5"/>
        <v>17482</v>
      </c>
      <c r="AJ9" s="2">
        <f t="shared" si="5"/>
        <v>17592</v>
      </c>
      <c r="AK9" s="2">
        <f>SUM(AK7:AK8)</f>
        <v>17810</v>
      </c>
      <c r="AM9" s="2">
        <f>SUM(AM7:AM8)</f>
        <v>17931</v>
      </c>
      <c r="AN9" s="2">
        <f t="shared" ref="AN9" si="6">SUM(AN7:AN8)</f>
        <v>18065</v>
      </c>
      <c r="AO9" s="2">
        <f t="shared" ref="AO9" si="7">SUM(AO7:AO8)</f>
        <v>18140</v>
      </c>
      <c r="AP9" s="2">
        <f t="shared" ref="AP9" si="8">SUM(AP7:AP8)</f>
        <v>18215</v>
      </c>
    </row>
    <row r="10" spans="1:42" s="4" customFormat="1" ht="22" customHeight="1">
      <c r="A10" s="24" t="s">
        <v>30</v>
      </c>
      <c r="L10" s="4">
        <v>0.06</v>
      </c>
      <c r="M10" s="4">
        <v>0.03</v>
      </c>
      <c r="N10" s="4">
        <v>0.02</v>
      </c>
      <c r="O10" s="4">
        <v>0.05</v>
      </c>
      <c r="P10" s="4">
        <v>-0.12</v>
      </c>
      <c r="Q10" s="4">
        <v>0.22</v>
      </c>
      <c r="R10" s="4">
        <v>0.12</v>
      </c>
      <c r="S10" s="4">
        <v>0.09</v>
      </c>
      <c r="T10" s="4">
        <f>AVERAGE(AM10:AP10)</f>
        <v>3.0000000000000002E-2</v>
      </c>
      <c r="U10" s="4">
        <v>0.04</v>
      </c>
      <c r="V10" s="33"/>
      <c r="W10" s="33"/>
      <c r="X10" s="33"/>
      <c r="Y10" s="33"/>
      <c r="Z10" s="33"/>
      <c r="AC10" s="4">
        <v>0.18</v>
      </c>
      <c r="AD10" s="4">
        <v>0.12</v>
      </c>
      <c r="AE10" s="4">
        <v>0.09</v>
      </c>
      <c r="AF10" s="4">
        <v>0.11</v>
      </c>
      <c r="AH10" s="5">
        <v>0.1</v>
      </c>
      <c r="AI10" s="5">
        <v>0.12</v>
      </c>
      <c r="AJ10" s="5">
        <v>7.0000000000000007E-2</v>
      </c>
      <c r="AK10" s="5">
        <v>0.08</v>
      </c>
      <c r="AM10" s="4">
        <v>0.05</v>
      </c>
      <c r="AN10" s="4">
        <v>-0.03</v>
      </c>
      <c r="AO10" s="4">
        <v>0.05</v>
      </c>
      <c r="AP10" s="4">
        <v>0.05</v>
      </c>
    </row>
    <row r="11" spans="1:42" s="2" customFormat="1" ht="22" customHeight="1">
      <c r="A11" s="3" t="s">
        <v>34</v>
      </c>
      <c r="L11" s="6">
        <f t="shared" ref="L11:P11" si="9">+L26/+AVERAGE(K9:L9)*1000</f>
        <v>1072.7912119783925</v>
      </c>
      <c r="M11" s="6">
        <f t="shared" si="9"/>
        <v>1066.950683344126</v>
      </c>
      <c r="N11" s="6">
        <f t="shared" si="9"/>
        <v>1073.8691373064469</v>
      </c>
      <c r="O11" s="6">
        <f t="shared" si="9"/>
        <v>1116.7925624636839</v>
      </c>
      <c r="P11" s="6">
        <f t="shared" si="9"/>
        <v>970.21403268538097</v>
      </c>
      <c r="Q11" s="6">
        <f>+Q26/+AVERAGE(P9:Q9)*1000</f>
        <v>1211.1532310608306</v>
      </c>
      <c r="R11" s="6">
        <f t="shared" ref="R11:T11" si="10">+R26/+AVERAGE(Q9:R9)*1000</f>
        <v>1369.8777878725712</v>
      </c>
      <c r="S11" s="6">
        <f t="shared" si="10"/>
        <v>1513.7216920666572</v>
      </c>
      <c r="T11" s="6">
        <f t="shared" si="10"/>
        <v>1567.9973435046609</v>
      </c>
      <c r="U11" s="6">
        <f>+T11*(1+U10)</f>
        <v>1630.7172372448474</v>
      </c>
      <c r="V11" s="31"/>
      <c r="W11" s="31"/>
      <c r="X11" s="31"/>
      <c r="Y11" s="31"/>
      <c r="Z11" s="31"/>
      <c r="AC11" s="6">
        <f>+AC26/+AVERAGE(V9:AC9)*1000*3</f>
        <v>1018.2733301752723</v>
      </c>
      <c r="AD11" s="6">
        <f>+AD26/+AVERAGE(AC9:AD9)*1000*3</f>
        <v>966.29206837404627</v>
      </c>
      <c r="AE11" s="6">
        <f>+AE26/+AVERAGE(AD9:AE9)*1000*3</f>
        <v>1069.8846244407816</v>
      </c>
      <c r="AF11" s="6">
        <f>+AF26/+AVERAGE(AE9:AF9)*1000*3</f>
        <v>1071.6669093026642</v>
      </c>
      <c r="AH11" s="6">
        <f>+AH26/+AVERAGE(AF9:AH9)*1000*3</f>
        <v>1133.5736532472029</v>
      </c>
      <c r="AI11" s="6">
        <f>+AI26/+AVERAGE(AH9:AI9)*1000*3</f>
        <v>1098.1154805954739</v>
      </c>
      <c r="AJ11" s="6">
        <f>+AJ26/+AVERAGE(AI9:AJ9)*1000*3</f>
        <v>1152.614472258653</v>
      </c>
      <c r="AK11" s="6">
        <f>+AK26/+AVERAGE(AJ9:AK9)*1000*3</f>
        <v>1169.4254561889159</v>
      </c>
      <c r="AM11" s="6">
        <f>+AM26/+AVERAGE(AK9:AM9)*1000*3</f>
        <v>1195.3834531770235</v>
      </c>
      <c r="AN11" s="6">
        <f>+AI11*(1+AN10)</f>
        <v>1065.1720161776095</v>
      </c>
      <c r="AO11" s="6">
        <f t="shared" ref="AO11:AP11" si="11">+AJ11*(1+AO10)</f>
        <v>1210.2451958715858</v>
      </c>
      <c r="AP11" s="6">
        <f t="shared" si="11"/>
        <v>1227.8967289983616</v>
      </c>
    </row>
    <row r="12" spans="1:42" s="2" customFormat="1" ht="22" customHeight="1">
      <c r="A12" s="3"/>
      <c r="V12" s="31"/>
      <c r="W12" s="31"/>
      <c r="X12" s="31"/>
      <c r="Y12" s="31"/>
      <c r="Z12" s="31"/>
    </row>
    <row r="13" spans="1:42" s="2" customFormat="1" ht="22" customHeight="1">
      <c r="A13" s="25" t="s">
        <v>91</v>
      </c>
      <c r="V13" s="31"/>
      <c r="W13" s="31"/>
      <c r="X13" s="31"/>
      <c r="Y13" s="31"/>
      <c r="Z13" s="31"/>
    </row>
    <row r="14" spans="1:42" s="2" customFormat="1" ht="22" customHeight="1">
      <c r="A14" s="3"/>
      <c r="V14" s="31"/>
      <c r="W14" s="31"/>
      <c r="X14" s="31"/>
      <c r="Y14" s="31"/>
      <c r="Z14" s="31"/>
    </row>
    <row r="15" spans="1:42" s="2" customFormat="1" ht="22" customHeight="1">
      <c r="A15" s="3" t="s">
        <v>31</v>
      </c>
      <c r="L15" s="2">
        <v>9654</v>
      </c>
      <c r="M15" s="2">
        <v>10891</v>
      </c>
      <c r="N15" s="2">
        <v>12192</v>
      </c>
      <c r="O15" s="2">
        <v>13278</v>
      </c>
      <c r="P15" s="2">
        <v>14603</v>
      </c>
      <c r="Q15" s="2">
        <v>15720</v>
      </c>
      <c r="R15" s="2">
        <v>17007</v>
      </c>
      <c r="S15" s="2">
        <v>18416</v>
      </c>
      <c r="T15" s="2">
        <f>+S17</f>
        <v>20228</v>
      </c>
      <c r="U15" s="2">
        <f>+T17</f>
        <v>21686</v>
      </c>
      <c r="V15" s="31"/>
      <c r="W15" s="31"/>
      <c r="X15" s="31"/>
      <c r="Y15" s="31"/>
      <c r="Z15" s="31"/>
      <c r="AC15" s="2">
        <v>17007</v>
      </c>
      <c r="AD15" s="2">
        <v>17429</v>
      </c>
      <c r="AE15" s="2">
        <v>17704</v>
      </c>
      <c r="AF15" s="2">
        <v>17898</v>
      </c>
      <c r="AH15" s="2">
        <v>18416</v>
      </c>
      <c r="AI15" s="2">
        <v>18789</v>
      </c>
      <c r="AJ15" s="2">
        <v>19152</v>
      </c>
      <c r="AK15" s="2">
        <v>19630</v>
      </c>
      <c r="AM15" s="2">
        <f>+AK17</f>
        <v>20228</v>
      </c>
      <c r="AN15" s="2">
        <f>+AM17</f>
        <v>20656</v>
      </c>
      <c r="AO15" s="2">
        <f>+AN17</f>
        <v>20886</v>
      </c>
      <c r="AP15" s="2">
        <f>+AO17</f>
        <v>21286</v>
      </c>
    </row>
    <row r="16" spans="1:42" s="2" customFormat="1" ht="22" customHeight="1">
      <c r="A16" s="3" t="s">
        <v>32</v>
      </c>
      <c r="L16" s="2">
        <v>1237</v>
      </c>
      <c r="M16" s="2">
        <v>1301</v>
      </c>
      <c r="N16" s="2">
        <v>1086</v>
      </c>
      <c r="O16" s="2">
        <v>1325</v>
      </c>
      <c r="P16" s="2">
        <v>1117</v>
      </c>
      <c r="Q16" s="2">
        <v>1287</v>
      </c>
      <c r="R16" s="2">
        <v>1409</v>
      </c>
      <c r="S16" s="2">
        <v>1812</v>
      </c>
      <c r="T16" s="2">
        <f>SUM(AM16:AP16)</f>
        <v>1458</v>
      </c>
      <c r="U16" s="2">
        <v>1400</v>
      </c>
      <c r="V16" s="31"/>
      <c r="W16" s="31"/>
      <c r="X16" s="31"/>
      <c r="Y16" s="31"/>
      <c r="Z16" s="31"/>
      <c r="AC16" s="2">
        <v>422</v>
      </c>
      <c r="AD16" s="2">
        <v>275</v>
      </c>
      <c r="AE16" s="2">
        <v>194</v>
      </c>
      <c r="AF16" s="2">
        <v>518</v>
      </c>
      <c r="AH16" s="2">
        <v>373</v>
      </c>
      <c r="AI16" s="2">
        <v>363</v>
      </c>
      <c r="AJ16" s="2">
        <v>478</v>
      </c>
      <c r="AK16" s="2">
        <v>598</v>
      </c>
      <c r="AM16" s="2">
        <v>428</v>
      </c>
      <c r="AN16" s="2">
        <v>230</v>
      </c>
      <c r="AO16" s="2">
        <v>400</v>
      </c>
      <c r="AP16" s="2">
        <v>400</v>
      </c>
    </row>
    <row r="17" spans="1:42" s="2" customFormat="1" ht="22" customHeight="1">
      <c r="A17" s="3" t="s">
        <v>33</v>
      </c>
      <c r="K17" s="2">
        <v>9654</v>
      </c>
      <c r="L17" s="2">
        <v>10891</v>
      </c>
      <c r="M17" s="2">
        <f t="shared" ref="M17:O17" si="12">SUM(M15:M16)</f>
        <v>12192</v>
      </c>
      <c r="N17" s="2">
        <f t="shared" si="12"/>
        <v>13278</v>
      </c>
      <c r="O17" s="2">
        <f t="shared" si="12"/>
        <v>14603</v>
      </c>
      <c r="P17" s="2">
        <f>SUM(P15:P16)</f>
        <v>15720</v>
      </c>
      <c r="Q17" s="2">
        <f>SUM(Q15:Q16)</f>
        <v>17007</v>
      </c>
      <c r="R17" s="2">
        <f>SUM(R15:R16)</f>
        <v>18416</v>
      </c>
      <c r="S17" s="2">
        <f t="shared" ref="S17:U17" si="13">SUM(S15:S16)</f>
        <v>20228</v>
      </c>
      <c r="T17" s="2">
        <f t="shared" si="13"/>
        <v>21686</v>
      </c>
      <c r="U17" s="2">
        <f t="shared" si="13"/>
        <v>23086</v>
      </c>
      <c r="V17" s="31"/>
      <c r="W17" s="31"/>
      <c r="X17" s="31"/>
      <c r="Y17" s="31"/>
      <c r="Z17" s="31"/>
      <c r="AC17" s="2">
        <f t="shared" ref="AC17:AF17" si="14">SUM(AC15:AC16)</f>
        <v>17429</v>
      </c>
      <c r="AD17" s="2">
        <f t="shared" si="14"/>
        <v>17704</v>
      </c>
      <c r="AE17" s="2">
        <f t="shared" si="14"/>
        <v>17898</v>
      </c>
      <c r="AF17" s="2">
        <f t="shared" si="14"/>
        <v>18416</v>
      </c>
      <c r="AH17" s="2">
        <f t="shared" ref="AH17:AK17" si="15">SUM(AH15:AH16)</f>
        <v>18789</v>
      </c>
      <c r="AI17" s="2">
        <f t="shared" si="15"/>
        <v>19152</v>
      </c>
      <c r="AJ17" s="2">
        <f t="shared" si="15"/>
        <v>19630</v>
      </c>
      <c r="AK17" s="2">
        <f t="shared" si="15"/>
        <v>20228</v>
      </c>
      <c r="AM17" s="2">
        <f>SUM(AM15:AM16)</f>
        <v>20656</v>
      </c>
      <c r="AN17" s="2">
        <f>SUM(AN15:AN16)</f>
        <v>20886</v>
      </c>
      <c r="AO17" s="2">
        <f>SUM(AO14:AO16)</f>
        <v>21286</v>
      </c>
      <c r="AP17" s="2">
        <f t="shared" ref="AP17" si="16">SUM(AP15:AP16)</f>
        <v>21686</v>
      </c>
    </row>
    <row r="18" spans="1:42" s="4" customFormat="1" ht="22" customHeight="1">
      <c r="A18" s="4" t="s">
        <v>30</v>
      </c>
      <c r="L18" s="4">
        <v>0.02</v>
      </c>
      <c r="M18" s="4">
        <v>0.02</v>
      </c>
      <c r="N18" s="4">
        <v>0.01</v>
      </c>
      <c r="O18" s="4">
        <v>0.03</v>
      </c>
      <c r="P18" s="4">
        <v>-0.19</v>
      </c>
      <c r="Q18" s="4">
        <v>0.16</v>
      </c>
      <c r="R18" s="4">
        <v>-0.09</v>
      </c>
      <c r="S18" s="4">
        <v>0.05</v>
      </c>
      <c r="T18" s="4">
        <f>AVERAGE(AM18:AP18)</f>
        <v>2.2500000000000003E-2</v>
      </c>
      <c r="U18" s="4">
        <v>0.03</v>
      </c>
      <c r="V18" s="33"/>
      <c r="W18" s="33"/>
      <c r="X18" s="33"/>
      <c r="Y18" s="33"/>
      <c r="Z18" s="33"/>
      <c r="AC18" s="4">
        <v>-0.03</v>
      </c>
      <c r="AD18" s="4">
        <v>-0.08</v>
      </c>
      <c r="AE18" s="4">
        <v>-0.18</v>
      </c>
      <c r="AF18" s="4">
        <v>-0.05</v>
      </c>
      <c r="AH18" s="4">
        <v>-0.13</v>
      </c>
      <c r="AI18" s="4">
        <v>7.0000000000000007E-2</v>
      </c>
      <c r="AJ18" s="4">
        <v>0.24</v>
      </c>
      <c r="AK18" s="4">
        <v>0.08</v>
      </c>
      <c r="AM18" s="4">
        <v>7.0000000000000007E-2</v>
      </c>
      <c r="AN18" s="4">
        <v>-0.06</v>
      </c>
      <c r="AO18" s="4">
        <v>0.04</v>
      </c>
      <c r="AP18" s="4">
        <v>0.04</v>
      </c>
    </row>
    <row r="19" spans="1:42" s="6" customFormat="1" ht="22" customHeight="1">
      <c r="A19" s="26" t="s">
        <v>34</v>
      </c>
      <c r="L19" s="6">
        <f t="shared" ref="L19:R19" si="17">+L27/+AVERAGE(K17:L17)*1000</f>
        <v>395.61937211000242</v>
      </c>
      <c r="M19" s="6">
        <f t="shared" si="17"/>
        <v>368.58293982584581</v>
      </c>
      <c r="N19" s="6">
        <f t="shared" si="17"/>
        <v>435.90106007067135</v>
      </c>
      <c r="O19" s="6">
        <f t="shared" si="17"/>
        <v>444.08019798429041</v>
      </c>
      <c r="P19" s="6">
        <f t="shared" si="17"/>
        <v>344.99225010717936</v>
      </c>
      <c r="Q19" s="6">
        <f t="shared" si="17"/>
        <v>422.9901915849299</v>
      </c>
      <c r="R19" s="6">
        <f t="shared" si="17"/>
        <v>391.84145893910738</v>
      </c>
      <c r="S19" s="6">
        <f>+S27/+AVERAGE(R17:S17)*1000</f>
        <v>387.51682020494775</v>
      </c>
      <c r="T19" s="6">
        <f>+T27/+AVERAGE(S17:T17)*1000</f>
        <v>384.32620549388815</v>
      </c>
      <c r="U19" s="6">
        <f>+T19*(1+U18)</f>
        <v>395.8559916587048</v>
      </c>
      <c r="V19" s="34"/>
      <c r="W19" s="34"/>
      <c r="X19" s="34"/>
      <c r="Y19" s="34"/>
      <c r="Z19" s="34"/>
      <c r="AC19" s="6">
        <f>+AC27/+AVERAGE(V17:AC17)*1000*3</f>
        <v>322.89287968328654</v>
      </c>
      <c r="AD19" s="6">
        <f t="shared" ref="AD19:AF19" si="18">+AD27/+AVERAGE(AC17:AD17)*1000*3</f>
        <v>290.73520621637783</v>
      </c>
      <c r="AE19" s="6">
        <f t="shared" si="18"/>
        <v>267.06926577158589</v>
      </c>
      <c r="AF19" s="6">
        <f t="shared" si="18"/>
        <v>293.60577187861435</v>
      </c>
      <c r="AH19" s="6">
        <f>+AH27/+AVERAGE(AF17:AH17)*1000*3</f>
        <v>270.9474532992877</v>
      </c>
      <c r="AI19" s="6">
        <f t="shared" ref="AI19:AK19" si="19">+AI27/+AVERAGE(AH17:AI17)*1000*3</f>
        <v>293.31857357476082</v>
      </c>
      <c r="AJ19" s="6">
        <f t="shared" si="19"/>
        <v>305.22923005518021</v>
      </c>
      <c r="AK19" s="6">
        <f t="shared" si="19"/>
        <v>298.0279993978624</v>
      </c>
      <c r="AM19" s="6">
        <f>+AM27/+AVERAGE(AK17:AM17)*1000*3</f>
        <v>270.95685353683592</v>
      </c>
      <c r="AN19" s="6">
        <f t="shared" ref="AN19:AP19" si="20">+AI19*(1+AN18)</f>
        <v>275.71945916027516</v>
      </c>
      <c r="AO19" s="6">
        <f t="shared" si="20"/>
        <v>317.4383992573874</v>
      </c>
      <c r="AP19" s="6">
        <f t="shared" si="20"/>
        <v>309.94911937377691</v>
      </c>
    </row>
    <row r="20" spans="1:42" s="4" customFormat="1" ht="22" customHeight="1">
      <c r="V20" s="33"/>
      <c r="W20" s="33"/>
      <c r="X20" s="33"/>
      <c r="Y20" s="33"/>
      <c r="Z20" s="33"/>
    </row>
    <row r="21" spans="1:42" s="7" customFormat="1" ht="22" customHeight="1">
      <c r="A21" s="28" t="s">
        <v>106</v>
      </c>
      <c r="B21" s="7">
        <v>12440</v>
      </c>
      <c r="C21" s="7">
        <v>15011</v>
      </c>
      <c r="D21" s="7">
        <v>16680</v>
      </c>
      <c r="E21" s="7">
        <v>16635</v>
      </c>
      <c r="F21" s="7">
        <v>16858</v>
      </c>
      <c r="G21" s="7">
        <v>17033</v>
      </c>
      <c r="H21" s="7">
        <v>18066</v>
      </c>
      <c r="I21" s="7">
        <v>19767</v>
      </c>
      <c r="J21" s="7">
        <v>21366</v>
      </c>
      <c r="K21" s="7">
        <v>23043</v>
      </c>
      <c r="L21" s="7">
        <f t="shared" ref="L21:Q21" si="21">+L9+L17</f>
        <v>25085</v>
      </c>
      <c r="M21" s="7">
        <f t="shared" si="21"/>
        <v>27339</v>
      </c>
      <c r="N21" s="7">
        <f t="shared" si="21"/>
        <v>29324</v>
      </c>
      <c r="O21" s="7">
        <f t="shared" si="21"/>
        <v>31256</v>
      </c>
      <c r="P21" s="7">
        <f t="shared" si="21"/>
        <v>32660</v>
      </c>
      <c r="Q21" s="7">
        <f t="shared" si="21"/>
        <v>33833</v>
      </c>
      <c r="R21" s="7">
        <f>+R9+R17</f>
        <v>35711</v>
      </c>
      <c r="S21" s="7">
        <f>+S9+S17</f>
        <v>38038</v>
      </c>
      <c r="T21" s="7">
        <f>+T9+T17</f>
        <v>39901</v>
      </c>
      <c r="U21" s="7">
        <f>+U9+U17</f>
        <v>41551</v>
      </c>
      <c r="V21" s="35">
        <f>U21*(1+V56)</f>
        <v>44095.452786258444</v>
      </c>
      <c r="W21" s="35">
        <f t="shared" ref="W21:Z21" si="22">V21*(1+W56)</f>
        <v>46660.706518254228</v>
      </c>
      <c r="X21" s="35">
        <f t="shared" si="22"/>
        <v>49239.469560058678</v>
      </c>
      <c r="Y21" s="35">
        <f t="shared" si="22"/>
        <v>51824.68712502133</v>
      </c>
      <c r="Z21" s="35">
        <f t="shared" si="22"/>
        <v>54409.588790672664</v>
      </c>
      <c r="AC21" s="7">
        <f>+AC9+AC17</f>
        <v>34317</v>
      </c>
      <c r="AD21" s="7">
        <f>+AD9+AD17</f>
        <v>34630</v>
      </c>
      <c r="AE21" s="7">
        <f>+AE9+AE17</f>
        <v>34948</v>
      </c>
      <c r="AF21" s="7">
        <f>+AF9+AF17</f>
        <v>35711</v>
      </c>
      <c r="AH21" s="7">
        <f>+AH9+AH17</f>
        <v>36170</v>
      </c>
      <c r="AI21" s="7">
        <f>+AI9+AI17</f>
        <v>36634</v>
      </c>
      <c r="AJ21" s="7">
        <f>+AJ9+AJ17</f>
        <v>37222</v>
      </c>
      <c r="AK21" s="7">
        <f>+AK9+AK17</f>
        <v>38038</v>
      </c>
      <c r="AM21" s="7">
        <f>+AM9+AM17</f>
        <v>38587</v>
      </c>
      <c r="AN21" s="7">
        <f>+AN9+AN17</f>
        <v>38951</v>
      </c>
      <c r="AO21" s="7">
        <f t="shared" ref="AO21:AP21" si="23">+AO9+AO17</f>
        <v>39426</v>
      </c>
      <c r="AP21" s="7">
        <f t="shared" si="23"/>
        <v>39901</v>
      </c>
    </row>
    <row r="22" spans="1:42" s="7" customFormat="1" ht="22" customHeight="1">
      <c r="V22" s="35"/>
      <c r="W22" s="35"/>
      <c r="X22" s="35"/>
      <c r="Y22" s="35"/>
      <c r="Z22" s="35"/>
    </row>
    <row r="23" spans="1:42" s="27" customFormat="1" ht="22" customHeight="1">
      <c r="A23" s="27" t="s">
        <v>105</v>
      </c>
      <c r="B23" s="27">
        <v>7.0000000000000007E-2</v>
      </c>
      <c r="C23" s="27">
        <v>0.05</v>
      </c>
      <c r="D23" s="27">
        <v>-0.03</v>
      </c>
      <c r="E23" s="27">
        <v>-0.06</v>
      </c>
      <c r="F23" s="27">
        <v>7.0000000000000007E-2</v>
      </c>
      <c r="G23" s="27">
        <v>0.08</v>
      </c>
      <c r="H23" s="27">
        <v>7.0000000000000007E-2</v>
      </c>
      <c r="I23" s="27">
        <v>7.0000000000000007E-2</v>
      </c>
      <c r="J23" s="27">
        <v>0.06</v>
      </c>
      <c r="K23" s="27">
        <v>7.0000000000000007E-2</v>
      </c>
      <c r="L23" s="27">
        <v>0.05</v>
      </c>
      <c r="M23" s="27">
        <v>0.03</v>
      </c>
      <c r="N23" s="27">
        <v>0.02</v>
      </c>
      <c r="O23" s="27">
        <v>0.05</v>
      </c>
      <c r="P23" s="27">
        <v>-0.14000000000000001</v>
      </c>
      <c r="Q23" s="27">
        <v>0.2</v>
      </c>
      <c r="R23" s="27">
        <v>0.08</v>
      </c>
      <c r="S23" s="27">
        <v>0.08</v>
      </c>
      <c r="V23" s="36"/>
      <c r="W23" s="36"/>
      <c r="X23" s="36"/>
      <c r="Y23" s="36"/>
      <c r="Z23" s="36"/>
      <c r="AC23" s="27">
        <v>0.13</v>
      </c>
      <c r="AD23" s="27">
        <v>7.0000000000000007E-2</v>
      </c>
      <c r="AE23" s="27">
        <v>0.03</v>
      </c>
      <c r="AF23" s="27">
        <v>7.0000000000000007E-2</v>
      </c>
      <c r="AH23" s="27">
        <v>0.05</v>
      </c>
      <c r="AI23" s="27">
        <v>0.11</v>
      </c>
      <c r="AJ23" s="27">
        <v>0.1</v>
      </c>
      <c r="AK23" s="27">
        <v>0.08</v>
      </c>
      <c r="AM23" s="27">
        <v>0.05</v>
      </c>
      <c r="AN23" s="27">
        <v>-0.04</v>
      </c>
    </row>
    <row r="24" spans="1:42" s="2" customFormat="1" ht="22" customHeight="1">
      <c r="V24" s="31"/>
      <c r="W24" s="31"/>
      <c r="X24" s="31"/>
      <c r="Y24" s="31"/>
      <c r="Z24" s="31"/>
    </row>
    <row r="25" spans="1:42" s="2" customFormat="1" ht="22" customHeight="1">
      <c r="A25" s="2" t="s">
        <v>74</v>
      </c>
      <c r="V25" s="31"/>
      <c r="W25" s="31"/>
      <c r="X25" s="31"/>
      <c r="Y25" s="31"/>
      <c r="Z25" s="31"/>
    </row>
    <row r="26" spans="1:42" s="6" customFormat="1" ht="22" customHeight="1">
      <c r="A26" s="6" t="s">
        <v>92</v>
      </c>
      <c r="L26" s="6">
        <v>14795.4</v>
      </c>
      <c r="M26" s="6">
        <v>15652.7</v>
      </c>
      <c r="N26" s="6">
        <v>16748.599999999999</v>
      </c>
      <c r="O26" s="6">
        <v>18259</v>
      </c>
      <c r="P26" s="6">
        <v>16296.2</v>
      </c>
      <c r="Q26" s="6">
        <v>20447.900000000001</v>
      </c>
      <c r="R26" s="6">
        <v>23370.799999999999</v>
      </c>
      <c r="S26" s="6">
        <v>26569.599999999999</v>
      </c>
      <c r="T26" s="6">
        <f>SUM(AM26:AP26)</f>
        <v>28243.552149877702</v>
      </c>
      <c r="U26" s="6">
        <f>+U11*AVERAGE(T9:U9)/1000</f>
        <v>29907.3541310705</v>
      </c>
      <c r="V26" s="34"/>
      <c r="W26" s="34"/>
      <c r="X26" s="34"/>
      <c r="Y26" s="34"/>
      <c r="Z26" s="34"/>
      <c r="AC26" s="6">
        <v>5732.2</v>
      </c>
      <c r="AD26" s="6">
        <v>5445.7</v>
      </c>
      <c r="AE26" s="6">
        <v>6058.4</v>
      </c>
      <c r="AF26" s="6">
        <v>6134.4</v>
      </c>
      <c r="AH26" s="6">
        <v>6551.3</v>
      </c>
      <c r="AI26" s="6">
        <v>6380.6</v>
      </c>
      <c r="AJ26" s="6">
        <v>6737.8</v>
      </c>
      <c r="AK26" s="6">
        <v>6900</v>
      </c>
      <c r="AM26" s="6">
        <v>7120.7</v>
      </c>
      <c r="AN26" s="6">
        <v>6380</v>
      </c>
      <c r="AO26" s="6">
        <f>AVERAGE(AN9:AO9)*AO11/3000</f>
        <v>7302.821219421794</v>
      </c>
      <c r="AP26" s="6">
        <f t="shared" ref="AP26" si="24">AVERAGE(AO9:AP9)*AP11/3000</f>
        <v>7440.0309304559059</v>
      </c>
    </row>
    <row r="27" spans="1:42" s="7" customFormat="1" ht="22" customHeight="1">
      <c r="A27" s="7" t="s">
        <v>93</v>
      </c>
      <c r="L27" s="7">
        <v>4064</v>
      </c>
      <c r="M27" s="7">
        <v>4254</v>
      </c>
      <c r="N27" s="7">
        <v>5551.2</v>
      </c>
      <c r="O27" s="7">
        <v>6190.7</v>
      </c>
      <c r="P27" s="7">
        <v>5230.6000000000004</v>
      </c>
      <c r="Q27" s="7">
        <v>6921.6</v>
      </c>
      <c r="R27" s="7">
        <v>6940.1</v>
      </c>
      <c r="S27" s="7">
        <v>7487.6</v>
      </c>
      <c r="T27" s="7">
        <f>SUM(AM27:AP27)</f>
        <v>8054.3242885354139</v>
      </c>
      <c r="U27" s="7">
        <f>+U19*AVERAGE(T17:U17)/1000</f>
        <v>8861.632229271765</v>
      </c>
      <c r="V27" s="35"/>
      <c r="W27" s="35"/>
      <c r="X27" s="35"/>
      <c r="Y27" s="35"/>
      <c r="Z27" s="35"/>
      <c r="AC27" s="7">
        <v>1875.9</v>
      </c>
      <c r="AD27" s="7">
        <v>1702.4</v>
      </c>
      <c r="AE27" s="7">
        <v>1584.7</v>
      </c>
      <c r="AF27" s="7">
        <v>1777</v>
      </c>
      <c r="AH27" s="7">
        <v>1680.1</v>
      </c>
      <c r="AI27" s="7">
        <v>1854.8</v>
      </c>
      <c r="AJ27" s="7">
        <v>1972.9</v>
      </c>
      <c r="AK27" s="7">
        <v>1979.8</v>
      </c>
      <c r="AM27" s="7">
        <v>1846.3</v>
      </c>
      <c r="AN27" s="7">
        <v>1757</v>
      </c>
      <c r="AO27" s="7">
        <f t="shared" ref="AO27:AP27" si="25">AVERAGE(AN17:AO17)*AO19/3000</f>
        <v>2231.1686955804234</v>
      </c>
      <c r="AP27" s="7">
        <f t="shared" si="25"/>
        <v>2219.8555929549902</v>
      </c>
    </row>
    <row r="28" spans="1:42" s="7" customFormat="1" ht="22" customHeight="1">
      <c r="A28" s="7" t="s">
        <v>94</v>
      </c>
      <c r="L28" s="7">
        <v>2457</v>
      </c>
      <c r="M28" s="7">
        <v>2480</v>
      </c>
      <c r="N28" s="7">
        <v>2420</v>
      </c>
      <c r="O28" s="7">
        <v>2059</v>
      </c>
      <c r="P28" s="7">
        <v>1991</v>
      </c>
      <c r="Q28" s="7">
        <v>1691</v>
      </c>
      <c r="R28" s="7">
        <v>1939</v>
      </c>
      <c r="S28" s="7">
        <v>1919</v>
      </c>
      <c r="T28" s="7">
        <f t="shared" ref="T28" si="26">SUM(AM28:AP28)</f>
        <v>1854</v>
      </c>
      <c r="U28" s="7">
        <v>2000</v>
      </c>
      <c r="V28" s="35"/>
      <c r="W28" s="35"/>
      <c r="X28" s="35"/>
      <c r="Y28" s="35"/>
      <c r="Z28" s="35"/>
      <c r="AC28" s="7">
        <v>442</v>
      </c>
      <c r="AD28" s="7">
        <v>487.6</v>
      </c>
      <c r="AE28" s="7">
        <v>507.1</v>
      </c>
      <c r="AF28" s="7">
        <v>503</v>
      </c>
      <c r="AH28" s="7">
        <v>483</v>
      </c>
      <c r="AI28" s="7">
        <v>484.8</v>
      </c>
      <c r="AJ28" s="7">
        <v>457.3</v>
      </c>
      <c r="AK28" s="7">
        <v>494</v>
      </c>
      <c r="AM28" s="7">
        <v>458</v>
      </c>
      <c r="AN28" s="7">
        <v>426</v>
      </c>
      <c r="AO28" s="7">
        <v>485</v>
      </c>
      <c r="AP28" s="7">
        <v>485</v>
      </c>
    </row>
    <row r="29" spans="1:42" s="6" customFormat="1" ht="22" customHeight="1">
      <c r="A29" s="6" t="s">
        <v>69</v>
      </c>
      <c r="B29" s="6">
        <v>7786.9</v>
      </c>
      <c r="C29" s="6">
        <v>9411.5</v>
      </c>
      <c r="D29" s="6">
        <v>10383</v>
      </c>
      <c r="E29" s="6">
        <v>9774.6</v>
      </c>
      <c r="F29" s="6">
        <v>10707.4</v>
      </c>
      <c r="G29" s="6">
        <v>11700.4</v>
      </c>
      <c r="H29" s="6">
        <v>13299.5</v>
      </c>
      <c r="I29" s="6">
        <v>14892.2</v>
      </c>
      <c r="J29" s="6">
        <v>16447.8</v>
      </c>
      <c r="K29" s="6">
        <v>19162.7</v>
      </c>
      <c r="L29" s="6">
        <f t="shared" ref="L29:N29" si="27">SUM(L26:L28)</f>
        <v>21316.400000000001</v>
      </c>
      <c r="M29" s="6">
        <f t="shared" si="27"/>
        <v>22386.7</v>
      </c>
      <c r="N29" s="6">
        <f t="shared" si="27"/>
        <v>24719.8</v>
      </c>
      <c r="O29" s="6">
        <f t="shared" ref="O29" si="28">SUM(O26:O28)</f>
        <v>26508.7</v>
      </c>
      <c r="P29" s="6">
        <f t="shared" ref="P29" si="29">SUM(P26:P28)</f>
        <v>23517.800000000003</v>
      </c>
      <c r="Q29" s="6">
        <f t="shared" ref="Q29" si="30">SUM(Q26:Q28)</f>
        <v>29060.5</v>
      </c>
      <c r="R29" s="6">
        <f t="shared" ref="R29" si="31">SUM(R26:R28)</f>
        <v>32249.9</v>
      </c>
      <c r="S29" s="6">
        <f t="shared" ref="S29:T29" si="32">SUM(S26:S28)</f>
        <v>35976.199999999997</v>
      </c>
      <c r="T29" s="6">
        <f t="shared" si="32"/>
        <v>38151.876438413114</v>
      </c>
      <c r="U29" s="6">
        <f>SUM(U26:U28)</f>
        <v>40768.986360342264</v>
      </c>
      <c r="V29" s="34">
        <f>U29*(1+V62)</f>
        <v>43418.970473764508</v>
      </c>
      <c r="W29" s="34">
        <f t="shared" ref="W29:Z29" si="33">V29*(1+W62)</f>
        <v>46100.091900519466</v>
      </c>
      <c r="X29" s="34">
        <f t="shared" si="33"/>
        <v>48804.438541633695</v>
      </c>
      <c r="Y29" s="34">
        <f t="shared" si="33"/>
        <v>51524.279398784856</v>
      </c>
      <c r="Z29" s="34">
        <f t="shared" si="33"/>
        <v>54252.124492593532</v>
      </c>
      <c r="AC29" s="6">
        <f t="shared" ref="AC29:AE29" si="34">SUM(AC26:AC28)</f>
        <v>8050.1</v>
      </c>
      <c r="AD29" s="6">
        <f t="shared" si="34"/>
        <v>7635.7000000000007</v>
      </c>
      <c r="AE29" s="6">
        <f t="shared" si="34"/>
        <v>8150.2</v>
      </c>
      <c r="AF29" s="6">
        <f>SUM(AF26:AF28)</f>
        <v>8414.4</v>
      </c>
      <c r="AH29" s="6">
        <f t="shared" ref="AH29:AJ29" si="35">SUM(AH26:AH28)</f>
        <v>8714.4</v>
      </c>
      <c r="AI29" s="6">
        <f>SUM(AI26:AI28)</f>
        <v>8720.1999999999989</v>
      </c>
      <c r="AJ29" s="6">
        <f t="shared" si="35"/>
        <v>9168</v>
      </c>
      <c r="AK29" s="6">
        <f>SUM(AK26:AK28)</f>
        <v>9373.7999999999993</v>
      </c>
      <c r="AM29" s="6">
        <f>SUM(AM26:AM28)</f>
        <v>9425</v>
      </c>
      <c r="AN29" s="6">
        <f t="shared" ref="AN29:AP29" si="36">SUM(AN26:AN28)</f>
        <v>8563</v>
      </c>
      <c r="AO29" s="6">
        <f t="shared" si="36"/>
        <v>10018.989915002217</v>
      </c>
      <c r="AP29" s="6">
        <f t="shared" si="36"/>
        <v>10144.886523410896</v>
      </c>
    </row>
    <row r="30" spans="1:42" s="6" customFormat="1" ht="22" customHeight="1">
      <c r="A30" s="6" t="s">
        <v>97</v>
      </c>
      <c r="V30" s="34"/>
      <c r="W30" s="34"/>
      <c r="X30" s="34"/>
      <c r="Y30" s="34"/>
      <c r="Z30" s="34"/>
      <c r="AH30" s="29">
        <f t="shared" ref="AH30:AJ30" si="37">AH29/AC29-1</f>
        <v>8.2520714028397002E-2</v>
      </c>
      <c r="AI30" s="29">
        <f t="shared" si="37"/>
        <v>0.14203020024359225</v>
      </c>
      <c r="AJ30" s="29">
        <f t="shared" si="37"/>
        <v>0.12488037103383975</v>
      </c>
      <c r="AK30" s="29">
        <f>AK29/AF29-1</f>
        <v>0.11401882487164849</v>
      </c>
      <c r="AM30" s="29">
        <f t="shared" ref="AM30:AO30" si="38">AM29/AH29-1</f>
        <v>8.1543192876158965E-2</v>
      </c>
      <c r="AN30" s="29">
        <f t="shared" si="38"/>
        <v>-1.8027109469966107E-2</v>
      </c>
      <c r="AO30" s="29">
        <f t="shared" si="38"/>
        <v>9.2821762107571759E-2</v>
      </c>
      <c r="AP30" s="29">
        <f>AP29/AK29-1</f>
        <v>8.2259758412905892E-2</v>
      </c>
    </row>
    <row r="31" spans="1:42" s="2" customFormat="1" ht="22" customHeight="1">
      <c r="A31" s="2" t="s">
        <v>95</v>
      </c>
      <c r="B31" s="2">
        <v>3178.8</v>
      </c>
      <c r="C31" s="2">
        <v>3999.1</v>
      </c>
      <c r="D31" s="2">
        <v>4645.3</v>
      </c>
      <c r="E31" s="2">
        <v>4324.8999999999996</v>
      </c>
      <c r="F31" s="2">
        <v>4458.6000000000004</v>
      </c>
      <c r="G31" s="2">
        <v>4949.3</v>
      </c>
      <c r="H31" s="2">
        <v>5813.3</v>
      </c>
      <c r="I31" s="2">
        <v>6382.3</v>
      </c>
      <c r="J31" s="2">
        <v>6858.8</v>
      </c>
      <c r="K31" s="2">
        <v>7787.5</v>
      </c>
      <c r="L31" s="2">
        <v>8511.1</v>
      </c>
      <c r="M31" s="2">
        <v>9038.2999999999993</v>
      </c>
      <c r="N31" s="2">
        <v>7930.7</v>
      </c>
      <c r="O31" s="2">
        <v>8526.9</v>
      </c>
      <c r="P31" s="17">
        <v>7694.9</v>
      </c>
      <c r="Q31" s="17">
        <v>8737.7999999999993</v>
      </c>
      <c r="R31" s="17">
        <v>10317.4</v>
      </c>
      <c r="S31" s="17">
        <v>11409.1</v>
      </c>
      <c r="T31" s="17"/>
      <c r="V31" s="31"/>
      <c r="W31" s="31"/>
      <c r="X31" s="31"/>
      <c r="Y31" s="31"/>
      <c r="Z31" s="31"/>
      <c r="AC31" s="2">
        <v>2526.9</v>
      </c>
      <c r="AD31" s="2">
        <v>2465.8000000000002</v>
      </c>
      <c r="AE31" s="2">
        <v>2613.6</v>
      </c>
      <c r="AF31" s="2">
        <v>2711</v>
      </c>
      <c r="AH31" s="2">
        <v>2810.2</v>
      </c>
      <c r="AI31" s="2">
        <v>2801.7</v>
      </c>
      <c r="AJ31" s="2">
        <v>2864.2</v>
      </c>
      <c r="AK31" s="2">
        <v>2933.1</v>
      </c>
      <c r="AM31" s="2">
        <v>2980.6</v>
      </c>
      <c r="AN31" s="2">
        <v>2648.7</v>
      </c>
    </row>
    <row r="32" spans="1:42" s="2" customFormat="1" ht="22" customHeight="1">
      <c r="A32" s="2" t="s">
        <v>96</v>
      </c>
      <c r="B32" s="2">
        <v>2687.8</v>
      </c>
      <c r="C32" s="2">
        <v>3215.9</v>
      </c>
      <c r="D32" s="2">
        <v>3745.1</v>
      </c>
      <c r="E32" s="2">
        <v>3425.1</v>
      </c>
      <c r="F32" s="2">
        <v>3551.4</v>
      </c>
      <c r="G32" s="2">
        <v>3665.1</v>
      </c>
      <c r="H32" s="2">
        <v>3918.1</v>
      </c>
      <c r="I32" s="2">
        <v>4286.1000000000004</v>
      </c>
      <c r="J32" s="2">
        <v>4638.2</v>
      </c>
      <c r="K32" s="2">
        <v>5411.1</v>
      </c>
      <c r="L32" s="2">
        <v>6064.3</v>
      </c>
      <c r="M32" s="2">
        <v>6493.3</v>
      </c>
      <c r="N32" s="2">
        <v>9472.2000000000007</v>
      </c>
      <c r="O32" s="2">
        <v>10493.6</v>
      </c>
      <c r="P32" s="2">
        <v>10764</v>
      </c>
      <c r="Q32" s="17">
        <v>11930.9</v>
      </c>
      <c r="R32" s="17">
        <v>13561.8</v>
      </c>
      <c r="S32" s="17">
        <v>14720.3</v>
      </c>
      <c r="T32" s="17"/>
      <c r="V32" s="31"/>
      <c r="W32" s="31"/>
      <c r="X32" s="31"/>
      <c r="Y32" s="31"/>
      <c r="Z32" s="31"/>
      <c r="AC32" s="2">
        <v>3400</v>
      </c>
      <c r="AD32" s="2">
        <v>3314.7</v>
      </c>
      <c r="AE32" s="2">
        <v>3302.5</v>
      </c>
      <c r="AF32" s="2">
        <v>3544.7</v>
      </c>
      <c r="AH32" s="2">
        <v>3665.3</v>
      </c>
      <c r="AI32" s="2">
        <v>3626</v>
      </c>
      <c r="AJ32" s="2">
        <v>3697.6</v>
      </c>
      <c r="AK32" s="2">
        <v>3721.3</v>
      </c>
      <c r="AM32" s="2">
        <v>3851.5</v>
      </c>
      <c r="AN32" s="2">
        <v>3724.1</v>
      </c>
    </row>
    <row r="33" spans="1:42" s="2" customFormat="1" ht="22" customHeight="1">
      <c r="A33" s="2" t="s">
        <v>69</v>
      </c>
      <c r="B33" s="2">
        <f t="shared" ref="B33:U33" si="39">SUM(B31+B32)</f>
        <v>5866.6</v>
      </c>
      <c r="C33" s="2">
        <f t="shared" si="39"/>
        <v>7215</v>
      </c>
      <c r="D33" s="2">
        <f t="shared" si="39"/>
        <v>8390.4</v>
      </c>
      <c r="E33" s="2">
        <f t="shared" si="39"/>
        <v>7750</v>
      </c>
      <c r="F33" s="2">
        <f t="shared" si="39"/>
        <v>8010</v>
      </c>
      <c r="G33" s="2">
        <f t="shared" si="39"/>
        <v>8614.4</v>
      </c>
      <c r="H33" s="2">
        <f t="shared" si="39"/>
        <v>9731.4</v>
      </c>
      <c r="I33" s="2">
        <f t="shared" si="39"/>
        <v>10668.400000000001</v>
      </c>
      <c r="J33" s="2">
        <f t="shared" si="39"/>
        <v>11497</v>
      </c>
      <c r="K33" s="2">
        <f t="shared" si="39"/>
        <v>13198.6</v>
      </c>
      <c r="L33" s="2">
        <f t="shared" si="39"/>
        <v>14575.400000000001</v>
      </c>
      <c r="M33" s="2">
        <f t="shared" si="39"/>
        <v>15531.599999999999</v>
      </c>
      <c r="N33" s="2">
        <f t="shared" si="39"/>
        <v>17402.900000000001</v>
      </c>
      <c r="O33" s="2">
        <f t="shared" si="39"/>
        <v>19020.5</v>
      </c>
      <c r="P33" s="2">
        <f t="shared" si="39"/>
        <v>18458.900000000001</v>
      </c>
      <c r="Q33" s="2">
        <f t="shared" si="39"/>
        <v>20668.699999999997</v>
      </c>
      <c r="R33" s="2">
        <f t="shared" si="39"/>
        <v>23879.199999999997</v>
      </c>
      <c r="S33" s="2">
        <f t="shared" si="39"/>
        <v>26129.4</v>
      </c>
      <c r="T33" s="2">
        <f t="shared" si="39"/>
        <v>0</v>
      </c>
      <c r="U33" s="2">
        <f t="shared" si="39"/>
        <v>0</v>
      </c>
      <c r="V33" s="31"/>
      <c r="W33" s="31"/>
      <c r="X33" s="31"/>
      <c r="Y33" s="31"/>
      <c r="Z33" s="31"/>
      <c r="AC33" s="2">
        <f>SUM(AC31:AC32)</f>
        <v>5926.9</v>
      </c>
      <c r="AD33" s="2">
        <f>SUM(AD31:AD32)</f>
        <v>5780.5</v>
      </c>
      <c r="AE33" s="2">
        <f>SUM(AE31:AE32)</f>
        <v>5916.1</v>
      </c>
      <c r="AF33" s="2">
        <f>SUM(AF31:AF32)</f>
        <v>6255.7</v>
      </c>
      <c r="AH33" s="2">
        <f>SUM(AH31:AH32)</f>
        <v>6475.5</v>
      </c>
      <c r="AI33" s="2">
        <f>SUM(AI31:AI32)</f>
        <v>6427.7</v>
      </c>
      <c r="AJ33" s="2">
        <f>SUM(AJ31:AJ32)</f>
        <v>6561.7999999999993</v>
      </c>
      <c r="AK33" s="2">
        <f>SUM(AK31:AK32)</f>
        <v>6654.4</v>
      </c>
      <c r="AM33" s="2">
        <f>SUM(AM31:AM32)</f>
        <v>6832.1</v>
      </c>
      <c r="AN33" s="2">
        <f>SUM(AN31:AN32)</f>
        <v>6372.7999999999993</v>
      </c>
    </row>
    <row r="34" spans="1:42" s="6" customFormat="1" ht="22" customHeight="1">
      <c r="A34" s="6" t="s">
        <v>103</v>
      </c>
      <c r="B34" s="6">
        <f t="shared" ref="B34:S34" si="40">+B29-B33</f>
        <v>1920.2999999999993</v>
      </c>
      <c r="C34" s="6">
        <f t="shared" si="40"/>
        <v>2196.5</v>
      </c>
      <c r="D34" s="6">
        <f t="shared" si="40"/>
        <v>1992.6000000000004</v>
      </c>
      <c r="E34" s="6">
        <f t="shared" si="40"/>
        <v>2024.6000000000004</v>
      </c>
      <c r="F34" s="6">
        <f t="shared" si="40"/>
        <v>2697.3999999999996</v>
      </c>
      <c r="G34" s="6">
        <f t="shared" si="40"/>
        <v>3086</v>
      </c>
      <c r="H34" s="6">
        <f t="shared" si="40"/>
        <v>3568.1000000000004</v>
      </c>
      <c r="I34" s="6">
        <f t="shared" si="40"/>
        <v>4223.7999999999993</v>
      </c>
      <c r="J34" s="6">
        <f t="shared" si="40"/>
        <v>4950.7999999999993</v>
      </c>
      <c r="K34" s="6">
        <f t="shared" si="40"/>
        <v>5964.1</v>
      </c>
      <c r="L34" s="6">
        <f t="shared" si="40"/>
        <v>6741</v>
      </c>
      <c r="M34" s="6">
        <f t="shared" si="40"/>
        <v>6855.1000000000022</v>
      </c>
      <c r="N34" s="6">
        <f t="shared" si="40"/>
        <v>7316.8999999999978</v>
      </c>
      <c r="O34" s="6">
        <f t="shared" si="40"/>
        <v>7488.2000000000007</v>
      </c>
      <c r="P34" s="6">
        <f t="shared" si="40"/>
        <v>5058.9000000000015</v>
      </c>
      <c r="Q34" s="6">
        <f t="shared" si="40"/>
        <v>8391.8000000000029</v>
      </c>
      <c r="R34" s="6">
        <f t="shared" si="40"/>
        <v>8370.7000000000044</v>
      </c>
      <c r="S34" s="6">
        <f t="shared" si="40"/>
        <v>9846.7999999999956</v>
      </c>
      <c r="T34" s="6">
        <f>SUM(AM34:AP34)</f>
        <v>10580.529217564792</v>
      </c>
      <c r="U34" s="6">
        <f>+U29*U35</f>
        <v>11415.316180895836</v>
      </c>
      <c r="V34" s="34">
        <f>V29*V36</f>
        <v>12268.035031164514</v>
      </c>
      <c r="W34" s="34">
        <f t="shared" ref="W34:Z34" si="41">W29*W36</f>
        <v>13286.097918225703</v>
      </c>
      <c r="X34" s="34">
        <f t="shared" si="41"/>
        <v>14346.803510100692</v>
      </c>
      <c r="Y34" s="34">
        <f t="shared" si="41"/>
        <v>15449.268741025739</v>
      </c>
      <c r="Z34" s="34">
        <f t="shared" si="41"/>
        <v>16592.541886165178</v>
      </c>
      <c r="AC34" s="6">
        <f>+AC29-AC33</f>
        <v>2123.2000000000007</v>
      </c>
      <c r="AD34" s="6">
        <f>+AD29-AD33</f>
        <v>1855.2000000000007</v>
      </c>
      <c r="AE34" s="6">
        <f>+AE29-AE33</f>
        <v>2234.0999999999995</v>
      </c>
      <c r="AF34" s="6">
        <f>+AF29-AF33</f>
        <v>2158.6999999999998</v>
      </c>
      <c r="AH34" s="6">
        <f>+AH29-AH33</f>
        <v>2238.8999999999996</v>
      </c>
      <c r="AI34" s="6">
        <f>+AI29-AI33</f>
        <v>2292.4999999999991</v>
      </c>
      <c r="AJ34" s="6">
        <f>+AJ29-AJ33</f>
        <v>2606.2000000000007</v>
      </c>
      <c r="AK34" s="6">
        <f>+AK29-AK33</f>
        <v>2719.3999999999996</v>
      </c>
      <c r="AM34" s="6">
        <f>+AM29-AM33</f>
        <v>2592.8999999999996</v>
      </c>
      <c r="AN34" s="6">
        <f>+AN29-AN33</f>
        <v>2190.2000000000007</v>
      </c>
      <c r="AO34" s="6">
        <f>+AO29*AO35</f>
        <v>2855.4121257756319</v>
      </c>
      <c r="AP34" s="6">
        <f>+AP29*AP35</f>
        <v>2942.0170917891596</v>
      </c>
    </row>
    <row r="35" spans="1:42" s="2" customFormat="1" ht="22" customHeight="1">
      <c r="A35" s="2" t="s">
        <v>104</v>
      </c>
      <c r="B35" s="5">
        <f t="shared" ref="B35:T35" si="42">+B34/B29</f>
        <v>0.2466064801140376</v>
      </c>
      <c r="C35" s="5">
        <f t="shared" si="42"/>
        <v>0.23338468894437656</v>
      </c>
      <c r="D35" s="5">
        <f t="shared" si="42"/>
        <v>0.19190985264374461</v>
      </c>
      <c r="E35" s="5">
        <f t="shared" si="42"/>
        <v>0.20712868045751237</v>
      </c>
      <c r="F35" s="5">
        <f t="shared" si="42"/>
        <v>0.25191923342734929</v>
      </c>
      <c r="G35" s="5">
        <f t="shared" si="42"/>
        <v>0.26375166660968857</v>
      </c>
      <c r="H35" s="5">
        <f t="shared" si="42"/>
        <v>0.2682882815143427</v>
      </c>
      <c r="I35" s="5">
        <f t="shared" si="42"/>
        <v>0.28362498489141963</v>
      </c>
      <c r="J35" s="5">
        <f t="shared" si="42"/>
        <v>0.3010007417405367</v>
      </c>
      <c r="K35" s="5">
        <f t="shared" si="42"/>
        <v>0.31123484686395969</v>
      </c>
      <c r="L35" s="5">
        <f t="shared" si="42"/>
        <v>0.31623538683830288</v>
      </c>
      <c r="M35" s="5">
        <f t="shared" si="42"/>
        <v>0.30621306400675408</v>
      </c>
      <c r="N35" s="5">
        <f t="shared" si="42"/>
        <v>0.29599349509300227</v>
      </c>
      <c r="O35" s="5">
        <f t="shared" si="42"/>
        <v>0.28248084591096512</v>
      </c>
      <c r="P35" s="5">
        <f t="shared" si="42"/>
        <v>0.21510940649210389</v>
      </c>
      <c r="Q35" s="5">
        <f t="shared" si="42"/>
        <v>0.28876997986958253</v>
      </c>
      <c r="R35" s="5">
        <f t="shared" si="42"/>
        <v>0.25955739397641553</v>
      </c>
      <c r="S35" s="5">
        <f t="shared" si="42"/>
        <v>0.27370317042933928</v>
      </c>
      <c r="T35" s="5">
        <f t="shared" si="42"/>
        <v>0.27732657487094958</v>
      </c>
      <c r="U35" s="5">
        <v>0.28000000000000003</v>
      </c>
      <c r="V35" s="31"/>
      <c r="W35" s="31"/>
      <c r="X35" s="31"/>
      <c r="Y35" s="31"/>
      <c r="Z35" s="31"/>
      <c r="AC35" s="5">
        <f>+AC34/AC29</f>
        <v>0.26374827641892656</v>
      </c>
      <c r="AD35" s="5">
        <f>+AD34/AD29</f>
        <v>0.24296397186898391</v>
      </c>
      <c r="AE35" s="5">
        <f>+AE34/AE29</f>
        <v>0.27411597261416892</v>
      </c>
      <c r="AF35" s="5">
        <f>+AF34/AF29</f>
        <v>0.25654829815554286</v>
      </c>
      <c r="AG35" s="5"/>
      <c r="AH35" s="5">
        <f>+AH34/AH29</f>
        <v>0.25691958138253923</v>
      </c>
      <c r="AI35" s="5">
        <f>+AI34/AI29</f>
        <v>0.26289534643700824</v>
      </c>
      <c r="AJ35" s="5">
        <f>+AJ34/AJ29</f>
        <v>0.28427137870855157</v>
      </c>
      <c r="AK35" s="5">
        <f>+AK34/AK29</f>
        <v>0.29010646696110431</v>
      </c>
      <c r="AM35" s="5">
        <f>+AM34/AM29</f>
        <v>0.27510875331564982</v>
      </c>
      <c r="AN35" s="5">
        <f>+AN34/AN29</f>
        <v>0.25577484526451016</v>
      </c>
      <c r="AO35" s="5">
        <v>0.28499999999999998</v>
      </c>
      <c r="AP35" s="5">
        <v>0.28999999999999998</v>
      </c>
    </row>
    <row r="36" spans="1:42" s="2" customFormat="1" ht="22" customHeight="1">
      <c r="A36" s="51" t="s">
        <v>121</v>
      </c>
      <c r="B36" s="5"/>
      <c r="C36" s="5"/>
      <c r="D36" s="5">
        <f>AVERAGE(B35:D35)</f>
        <v>0.22396700723405294</v>
      </c>
      <c r="E36" s="5">
        <f t="shared" ref="E36:U36" si="43">AVERAGE(C35:E35)</f>
        <v>0.21080774068187788</v>
      </c>
      <c r="F36" s="5">
        <f t="shared" si="43"/>
        <v>0.21698592217620208</v>
      </c>
      <c r="G36" s="5">
        <f t="shared" si="43"/>
        <v>0.2409331934981834</v>
      </c>
      <c r="H36" s="5">
        <f t="shared" si="43"/>
        <v>0.26131972718379354</v>
      </c>
      <c r="I36" s="5">
        <f t="shared" si="43"/>
        <v>0.27188831100515026</v>
      </c>
      <c r="J36" s="5">
        <f t="shared" si="43"/>
        <v>0.2843046693820997</v>
      </c>
      <c r="K36" s="5">
        <f t="shared" si="43"/>
        <v>0.2986201911653053</v>
      </c>
      <c r="L36" s="5">
        <f t="shared" si="43"/>
        <v>0.30949032514759972</v>
      </c>
      <c r="M36" s="5">
        <f t="shared" si="43"/>
        <v>0.31122776590300555</v>
      </c>
      <c r="N36" s="5">
        <f t="shared" si="43"/>
        <v>0.30614731531268641</v>
      </c>
      <c r="O36" s="5">
        <f t="shared" si="43"/>
        <v>0.29489580167024049</v>
      </c>
      <c r="P36" s="5">
        <f t="shared" si="43"/>
        <v>0.26452791583202379</v>
      </c>
      <c r="Q36" s="5">
        <f t="shared" si="43"/>
        <v>0.26212007742421717</v>
      </c>
      <c r="R36" s="5">
        <f t="shared" si="43"/>
        <v>0.25447892677936729</v>
      </c>
      <c r="S36" s="5">
        <f t="shared" si="43"/>
        <v>0.27401018142511241</v>
      </c>
      <c r="T36" s="5">
        <f t="shared" si="43"/>
        <v>0.27019571309223483</v>
      </c>
      <c r="U36" s="5">
        <f t="shared" si="43"/>
        <v>0.27700991510009626</v>
      </c>
      <c r="V36" s="39">
        <f>U36*(1.02)</f>
        <v>0.28255011340209818</v>
      </c>
      <c r="W36" s="39">
        <f t="shared" ref="W36:Z36" si="44">V36*(1.02)</f>
        <v>0.28820111567014017</v>
      </c>
      <c r="X36" s="39">
        <f t="shared" si="44"/>
        <v>0.29396513798354296</v>
      </c>
      <c r="Y36" s="39">
        <f t="shared" si="44"/>
        <v>0.29984444074321381</v>
      </c>
      <c r="Z36" s="39">
        <f t="shared" si="44"/>
        <v>0.30584132955807808</v>
      </c>
      <c r="AC36" s="5"/>
      <c r="AD36" s="5"/>
      <c r="AE36" s="5"/>
      <c r="AF36" s="5"/>
      <c r="AG36" s="5"/>
      <c r="AH36" s="5"/>
      <c r="AI36" s="5"/>
      <c r="AJ36" s="5"/>
      <c r="AK36" s="5"/>
      <c r="AM36" s="5"/>
      <c r="AN36" s="5"/>
      <c r="AO36" s="5"/>
      <c r="AP36" s="5"/>
    </row>
    <row r="37" spans="1:42" s="7" customFormat="1" ht="22" customHeight="1">
      <c r="A37" s="7" t="s">
        <v>98</v>
      </c>
      <c r="B37" s="21">
        <v>253.7</v>
      </c>
      <c r="C37" s="21">
        <v>294.2</v>
      </c>
      <c r="D37" s="21">
        <v>330.1</v>
      </c>
      <c r="E37" s="21">
        <v>264.39999999999998</v>
      </c>
      <c r="F37" s="21">
        <v>293.2</v>
      </c>
      <c r="G37" s="21">
        <v>402</v>
      </c>
      <c r="H37" s="21">
        <v>429.9</v>
      </c>
      <c r="I37" s="21">
        <v>457.2</v>
      </c>
      <c r="J37" s="21">
        <v>457.3</v>
      </c>
      <c r="K37" s="21">
        <v>522.4</v>
      </c>
      <c r="L37" s="21">
        <v>545.4</v>
      </c>
      <c r="M37" s="21">
        <v>553.79999999999995</v>
      </c>
      <c r="N37" s="21">
        <v>554.9</v>
      </c>
      <c r="O37" s="21">
        <v>371</v>
      </c>
      <c r="P37" s="21">
        <v>430.3</v>
      </c>
      <c r="Q37" s="21">
        <v>359.5</v>
      </c>
      <c r="R37" s="21">
        <v>461.5</v>
      </c>
      <c r="S37" s="17">
        <v>539.4</v>
      </c>
      <c r="T37" s="7">
        <f>SUM(AM37:AP37)</f>
        <v>607.79999999999995</v>
      </c>
      <c r="U37" s="21">
        <v>700</v>
      </c>
      <c r="V37" s="37"/>
      <c r="W37" s="35"/>
      <c r="X37" s="35"/>
      <c r="Y37" s="35"/>
      <c r="Z37" s="35"/>
      <c r="AB37" s="21"/>
      <c r="AC37" s="21">
        <v>101.7</v>
      </c>
      <c r="AD37" s="21">
        <v>101.7</v>
      </c>
      <c r="AE37" s="21">
        <v>135.1</v>
      </c>
      <c r="AF37" s="21">
        <v>123.1</v>
      </c>
      <c r="AG37" s="21"/>
      <c r="AH37" s="21">
        <v>129.30000000000001</v>
      </c>
      <c r="AI37" s="21">
        <v>126.2</v>
      </c>
      <c r="AJ37" s="21">
        <v>138.69999999999999</v>
      </c>
      <c r="AK37" s="21">
        <v>145.19999999999999</v>
      </c>
      <c r="AM37" s="21">
        <v>150</v>
      </c>
      <c r="AN37" s="21">
        <v>132.80000000000001</v>
      </c>
      <c r="AO37" s="21">
        <v>160</v>
      </c>
      <c r="AP37" s="21">
        <v>165</v>
      </c>
    </row>
    <row r="38" spans="1:42" s="7" customFormat="1" ht="22" customHeight="1">
      <c r="A38" s="7" t="s">
        <v>100</v>
      </c>
      <c r="B38" s="21">
        <v>387.2</v>
      </c>
      <c r="C38" s="21">
        <v>467.2</v>
      </c>
      <c r="D38" s="21">
        <v>549.29999999999995</v>
      </c>
      <c r="E38" s="21">
        <v>534.70000000000005</v>
      </c>
      <c r="F38" s="21">
        <v>510.4</v>
      </c>
      <c r="G38" s="21">
        <v>523.29999999999995</v>
      </c>
      <c r="H38" s="21">
        <v>550.29999999999995</v>
      </c>
      <c r="I38" s="21">
        <v>621.4</v>
      </c>
      <c r="J38" s="21">
        <v>709.6</v>
      </c>
      <c r="K38" s="21">
        <v>893.9</v>
      </c>
      <c r="L38" s="21">
        <v>980.8</v>
      </c>
      <c r="M38" s="21">
        <v>1011.4</v>
      </c>
      <c r="N38" s="21">
        <v>1247</v>
      </c>
      <c r="O38" s="21">
        <v>1377.3</v>
      </c>
      <c r="P38" s="21">
        <v>1431.3</v>
      </c>
      <c r="Q38" s="21">
        <v>1441.7</v>
      </c>
      <c r="R38" s="21">
        <v>1447.9</v>
      </c>
      <c r="S38" s="17">
        <v>1362.6</v>
      </c>
      <c r="T38" s="7">
        <f t="shared" ref="T38:T39" si="45">SUM(AM38:AP38)</f>
        <v>1437.2</v>
      </c>
      <c r="U38" s="21">
        <v>1425</v>
      </c>
      <c r="V38" s="37"/>
      <c r="W38" s="35"/>
      <c r="X38" s="35"/>
      <c r="Y38" s="35"/>
      <c r="Z38" s="35"/>
      <c r="AB38" s="21"/>
      <c r="AC38" s="21">
        <v>366</v>
      </c>
      <c r="AD38" s="21">
        <v>367.7</v>
      </c>
      <c r="AE38" s="21">
        <v>356.8</v>
      </c>
      <c r="AF38" s="21">
        <v>357.4</v>
      </c>
      <c r="AG38" s="21"/>
      <c r="AH38" s="21">
        <v>327.10000000000002</v>
      </c>
      <c r="AI38" s="21">
        <v>341.9</v>
      </c>
      <c r="AJ38" s="21">
        <v>342.2</v>
      </c>
      <c r="AK38" s="21">
        <v>351.4</v>
      </c>
      <c r="AM38" s="21">
        <v>365.3</v>
      </c>
      <c r="AN38" s="21">
        <v>371.9</v>
      </c>
      <c r="AO38" s="21">
        <v>350</v>
      </c>
      <c r="AP38" s="21">
        <v>350</v>
      </c>
    </row>
    <row r="39" spans="1:42" s="7" customFormat="1" ht="22" customHeight="1">
      <c r="A39" s="7" t="s">
        <v>99</v>
      </c>
      <c r="B39" s="21">
        <v>479.4</v>
      </c>
      <c r="C39" s="21">
        <v>489.2</v>
      </c>
      <c r="D39" s="21">
        <f>456+266.9</f>
        <v>722.9</v>
      </c>
      <c r="E39" s="21">
        <f>453+332.4</f>
        <v>785.4</v>
      </c>
      <c r="F39" s="21">
        <f>569.5+53</f>
        <v>622.5</v>
      </c>
      <c r="G39" s="21">
        <v>636.1</v>
      </c>
      <c r="H39" s="21">
        <v>801.2</v>
      </c>
      <c r="I39" s="21">
        <v>937.9</v>
      </c>
      <c r="J39" s="21">
        <f>991.3-20.2</f>
        <v>971.09999999999991</v>
      </c>
      <c r="K39" s="21">
        <v>1196.7</v>
      </c>
      <c r="L39" s="21">
        <v>1360.6</v>
      </c>
      <c r="M39" s="21">
        <f>1393.3+153.5</f>
        <v>1546.8</v>
      </c>
      <c r="N39" s="21">
        <f>1708.2+224.4</f>
        <v>1932.6000000000001</v>
      </c>
      <c r="O39" s="21">
        <f>1824.1+135.8</f>
        <v>1959.8999999999999</v>
      </c>
      <c r="P39" s="21">
        <f>1679.6+278.7</f>
        <v>1958.3</v>
      </c>
      <c r="Q39" s="21">
        <f>1932.6+170.4</f>
        <v>2103</v>
      </c>
      <c r="R39" s="21">
        <f>2032+46</f>
        <v>2078</v>
      </c>
      <c r="S39" s="17">
        <f>2441.3+21.8</f>
        <v>2463.1000000000004</v>
      </c>
      <c r="T39" s="7">
        <f t="shared" si="45"/>
        <v>2647.6</v>
      </c>
      <c r="U39" s="21">
        <v>2800</v>
      </c>
      <c r="V39" s="37"/>
      <c r="W39" s="35"/>
      <c r="X39" s="35"/>
      <c r="Y39" s="35"/>
      <c r="Z39" s="35"/>
      <c r="AB39" s="21"/>
      <c r="AC39" s="21">
        <f>525.8-7.5</f>
        <v>518.29999999999995</v>
      </c>
      <c r="AD39" s="21">
        <f>481.5+4.6</f>
        <v>486.1</v>
      </c>
      <c r="AE39" s="21">
        <f>486.7+14</f>
        <v>500.7</v>
      </c>
      <c r="AF39" s="21">
        <f>538+35.1</f>
        <v>573.1</v>
      </c>
      <c r="AG39" s="21"/>
      <c r="AH39" s="21">
        <f>580.9+5.8</f>
        <v>586.69999999999993</v>
      </c>
      <c r="AI39" s="21">
        <f>620.4+8.8</f>
        <v>629.19999999999993</v>
      </c>
      <c r="AJ39" s="21">
        <f>604.3+7.1</f>
        <v>611.4</v>
      </c>
      <c r="AK39" s="21">
        <f>635.8</f>
        <v>635.79999999999995</v>
      </c>
      <c r="AM39" s="21">
        <v>648</v>
      </c>
      <c r="AN39" s="21">
        <v>654.6</v>
      </c>
      <c r="AO39" s="21">
        <v>665</v>
      </c>
      <c r="AP39" s="21">
        <v>680</v>
      </c>
    </row>
    <row r="40" spans="1:42" s="7" customFormat="1" ht="22" customHeight="1">
      <c r="A40" s="7" t="s">
        <v>69</v>
      </c>
      <c r="B40" s="17">
        <f t="shared" ref="B40:D40" si="46">SUM(B37:B39)</f>
        <v>1120.3</v>
      </c>
      <c r="C40" s="17">
        <f t="shared" si="46"/>
        <v>1250.5999999999999</v>
      </c>
      <c r="D40" s="17">
        <f t="shared" si="46"/>
        <v>1602.3</v>
      </c>
      <c r="E40" s="17">
        <f t="shared" ref="E40:G40" si="47">SUM(E37:E39)</f>
        <v>1584.5</v>
      </c>
      <c r="F40" s="17">
        <f t="shared" si="47"/>
        <v>1426.1</v>
      </c>
      <c r="G40" s="17">
        <f t="shared" si="47"/>
        <v>1561.4</v>
      </c>
      <c r="H40" s="17">
        <f t="shared" ref="H40:K40" si="48">SUM(H37:H39)</f>
        <v>1781.4</v>
      </c>
      <c r="I40" s="17">
        <f t="shared" si="48"/>
        <v>2016.5</v>
      </c>
      <c r="J40" s="17">
        <f t="shared" si="48"/>
        <v>2138</v>
      </c>
      <c r="K40" s="17">
        <f t="shared" si="48"/>
        <v>2613</v>
      </c>
      <c r="L40" s="17">
        <f t="shared" ref="L40:N40" si="49">SUM(L37:L39)</f>
        <v>2886.7999999999997</v>
      </c>
      <c r="M40" s="17">
        <f t="shared" si="49"/>
        <v>3112</v>
      </c>
      <c r="N40" s="17">
        <f t="shared" si="49"/>
        <v>3734.5</v>
      </c>
      <c r="O40" s="17">
        <f t="shared" ref="O40" si="50">SUM(O37:O39)</f>
        <v>3708.2</v>
      </c>
      <c r="P40" s="17">
        <f t="shared" ref="P40" si="51">SUM(P37:P39)</f>
        <v>3819.8999999999996</v>
      </c>
      <c r="Q40" s="17">
        <f t="shared" ref="Q40" si="52">SUM(Q37:Q39)</f>
        <v>3904.2</v>
      </c>
      <c r="R40" s="17">
        <f t="shared" ref="R40" si="53">SUM(R37:R39)</f>
        <v>3987.4</v>
      </c>
      <c r="S40" s="17">
        <f t="shared" ref="S40:U40" si="54">SUM(S37:S39)</f>
        <v>4365.1000000000004</v>
      </c>
      <c r="T40" s="17">
        <f t="shared" si="54"/>
        <v>4692.6000000000004</v>
      </c>
      <c r="U40" s="17">
        <f t="shared" si="54"/>
        <v>4925</v>
      </c>
      <c r="V40" s="37"/>
      <c r="W40" s="35"/>
      <c r="X40" s="35"/>
      <c r="Y40" s="35"/>
      <c r="Z40" s="35"/>
      <c r="AB40" s="21"/>
      <c r="AC40" s="17">
        <f t="shared" ref="AC40:AE40" si="55">SUM(AC37:AC39)</f>
        <v>986</v>
      </c>
      <c r="AD40" s="17">
        <f t="shared" si="55"/>
        <v>955.5</v>
      </c>
      <c r="AE40" s="17">
        <f t="shared" si="55"/>
        <v>992.59999999999991</v>
      </c>
      <c r="AF40" s="17">
        <f>SUM(AF37:AF39)</f>
        <v>1053.5999999999999</v>
      </c>
      <c r="AG40" s="17"/>
      <c r="AH40" s="17">
        <f t="shared" ref="AH40:AJ40" si="56">SUM(AH37:AH39)</f>
        <v>1043.0999999999999</v>
      </c>
      <c r="AI40" s="17">
        <f t="shared" si="56"/>
        <v>1097.3</v>
      </c>
      <c r="AJ40" s="17">
        <f t="shared" si="56"/>
        <v>1092.3</v>
      </c>
      <c r="AK40" s="17">
        <f>SUM(AK37:AK39)</f>
        <v>1132.3999999999999</v>
      </c>
      <c r="AL40" s="17"/>
      <c r="AM40" s="17">
        <f t="shared" ref="AM40:AP40" si="57">SUM(AM37:AM39)</f>
        <v>1163.3</v>
      </c>
      <c r="AN40" s="17">
        <f t="shared" si="57"/>
        <v>1159.3</v>
      </c>
      <c r="AO40" s="17">
        <f t="shared" si="57"/>
        <v>1175</v>
      </c>
      <c r="AP40" s="17">
        <f t="shared" si="57"/>
        <v>1195</v>
      </c>
    </row>
    <row r="41" spans="1:42" s="6" customFormat="1" ht="22" customHeight="1">
      <c r="A41" s="6" t="s">
        <v>3</v>
      </c>
      <c r="B41" s="6">
        <f t="shared" ref="B41:D41" si="58">+B34-B40</f>
        <v>799.99999999999932</v>
      </c>
      <c r="C41" s="6">
        <f t="shared" si="58"/>
        <v>945.90000000000009</v>
      </c>
      <c r="D41" s="6">
        <f t="shared" si="58"/>
        <v>390.30000000000041</v>
      </c>
      <c r="E41" s="6">
        <f t="shared" ref="E41:G41" si="59">+E34-E40</f>
        <v>440.10000000000036</v>
      </c>
      <c r="F41" s="6">
        <f t="shared" si="59"/>
        <v>1271.2999999999997</v>
      </c>
      <c r="G41" s="6">
        <f t="shared" si="59"/>
        <v>1524.6</v>
      </c>
      <c r="H41" s="6">
        <f t="shared" ref="H41:K41" si="60">+H34-H40</f>
        <v>1786.7000000000003</v>
      </c>
      <c r="I41" s="6">
        <f t="shared" si="60"/>
        <v>2207.2999999999993</v>
      </c>
      <c r="J41" s="6">
        <f t="shared" si="60"/>
        <v>2812.7999999999993</v>
      </c>
      <c r="K41" s="6">
        <f t="shared" si="60"/>
        <v>3351.1000000000004</v>
      </c>
      <c r="L41" s="6">
        <f t="shared" ref="L41:N41" si="61">+L34-L40</f>
        <v>3854.2000000000003</v>
      </c>
      <c r="M41" s="6">
        <f t="shared" si="61"/>
        <v>3743.1000000000022</v>
      </c>
      <c r="N41" s="6">
        <f t="shared" si="61"/>
        <v>3582.3999999999978</v>
      </c>
      <c r="O41" s="6">
        <f t="shared" ref="O41" si="62">+O34-O40</f>
        <v>3780.0000000000009</v>
      </c>
      <c r="P41" s="6">
        <f t="shared" ref="P41" si="63">+P34-P40</f>
        <v>1239.0000000000018</v>
      </c>
      <c r="Q41" s="6">
        <f t="shared" ref="Q41" si="64">+Q34-Q40</f>
        <v>4487.6000000000031</v>
      </c>
      <c r="R41" s="6">
        <f t="shared" ref="R41" si="65">+R34-R40</f>
        <v>4383.3000000000047</v>
      </c>
      <c r="S41" s="6">
        <f t="shared" ref="S41:T41" si="66">+S34-S40</f>
        <v>5481.6999999999953</v>
      </c>
      <c r="T41" s="6">
        <f t="shared" si="66"/>
        <v>5887.9292175647915</v>
      </c>
      <c r="U41" s="6">
        <f t="shared" ref="U41" si="67">+U34-U40</f>
        <v>6490.3161808958357</v>
      </c>
      <c r="V41" s="38">
        <f>V42*V29</f>
        <v>6810.3411030887892</v>
      </c>
      <c r="W41" s="38">
        <f t="shared" ref="W41:Z41" si="68">W42*W29</f>
        <v>7303.1884628665675</v>
      </c>
      <c r="X41" s="38">
        <f t="shared" si="68"/>
        <v>7808.9278736301731</v>
      </c>
      <c r="Y41" s="38">
        <f t="shared" si="68"/>
        <v>8326.5556888821393</v>
      </c>
      <c r="Z41" s="38">
        <f t="shared" si="68"/>
        <v>8855.0616235650705</v>
      </c>
      <c r="AB41" s="15"/>
      <c r="AC41" s="6">
        <f t="shared" ref="AC41:AE41" si="69">+AC34-AC40</f>
        <v>1137.2000000000007</v>
      </c>
      <c r="AD41" s="6">
        <f t="shared" si="69"/>
        <v>899.70000000000073</v>
      </c>
      <c r="AE41" s="6">
        <f t="shared" si="69"/>
        <v>1241.4999999999995</v>
      </c>
      <c r="AF41" s="6">
        <f>+AF34-AF40</f>
        <v>1105.0999999999999</v>
      </c>
      <c r="AH41" s="6">
        <f t="shared" ref="AH41:AJ41" si="70">+AH34-AH40</f>
        <v>1195.7999999999997</v>
      </c>
      <c r="AI41" s="6">
        <f t="shared" si="70"/>
        <v>1195.1999999999991</v>
      </c>
      <c r="AJ41" s="6">
        <f t="shared" si="70"/>
        <v>1513.9000000000008</v>
      </c>
      <c r="AK41" s="6">
        <f>+AK34-AK40</f>
        <v>1586.9999999999998</v>
      </c>
      <c r="AM41" s="6">
        <f t="shared" ref="AM41:AO41" si="71">+AM34-AM40</f>
        <v>1429.5999999999997</v>
      </c>
      <c r="AN41" s="6">
        <f>+AN34-AN40</f>
        <v>1030.9000000000008</v>
      </c>
      <c r="AO41" s="6">
        <f t="shared" si="71"/>
        <v>1680.4121257756319</v>
      </c>
      <c r="AP41" s="6">
        <f>+AP34-AP40</f>
        <v>1747.0170917891596</v>
      </c>
    </row>
    <row r="42" spans="1:42" s="4" customFormat="1" ht="22" customHeight="1">
      <c r="A42" s="4" t="s">
        <v>122</v>
      </c>
      <c r="B42" s="4">
        <f t="shared" ref="B42:T42" si="72">++B41/B29</f>
        <v>0.10273664744635212</v>
      </c>
      <c r="C42" s="4">
        <f t="shared" si="72"/>
        <v>0.10050470169473517</v>
      </c>
      <c r="D42" s="4">
        <f t="shared" si="72"/>
        <v>3.7590291823172535E-2</v>
      </c>
      <c r="E42" s="4">
        <f t="shared" si="72"/>
        <v>4.5024860352341822E-2</v>
      </c>
      <c r="F42" s="4">
        <f t="shared" si="72"/>
        <v>0.11873097110409621</v>
      </c>
      <c r="G42" s="4">
        <f t="shared" si="72"/>
        <v>0.13030323749615397</v>
      </c>
      <c r="H42" s="4">
        <f t="shared" si="72"/>
        <v>0.13434339636828455</v>
      </c>
      <c r="I42" s="4">
        <f t="shared" si="72"/>
        <v>0.14821853050590236</v>
      </c>
      <c r="J42" s="4">
        <f t="shared" si="72"/>
        <v>0.17101375259913176</v>
      </c>
      <c r="K42" s="4">
        <f t="shared" si="72"/>
        <v>0.17487619176838337</v>
      </c>
      <c r="L42" s="4">
        <f t="shared" si="72"/>
        <v>0.18080914225666622</v>
      </c>
      <c r="M42" s="4">
        <f t="shared" si="72"/>
        <v>0.16720195473205082</v>
      </c>
      <c r="N42" s="4">
        <f t="shared" si="72"/>
        <v>0.14492026634519689</v>
      </c>
      <c r="O42" s="4">
        <f t="shared" si="72"/>
        <v>0.14259469532644004</v>
      </c>
      <c r="P42" s="4">
        <f t="shared" si="72"/>
        <v>5.2683499306908028E-2</v>
      </c>
      <c r="Q42" s="4">
        <f t="shared" si="72"/>
        <v>0.15442266994717926</v>
      </c>
      <c r="R42" s="4">
        <f t="shared" si="72"/>
        <v>0.13591670051690097</v>
      </c>
      <c r="S42" s="4">
        <f t="shared" si="72"/>
        <v>0.15237017806216319</v>
      </c>
      <c r="T42" s="4">
        <f t="shared" si="72"/>
        <v>0.15432869277267175</v>
      </c>
      <c r="U42" s="4">
        <f>++U41/U29</f>
        <v>0.15919738900374633</v>
      </c>
      <c r="V42" s="39">
        <f>U43*(1.01)</f>
        <v>0.15685174081232239</v>
      </c>
      <c r="W42" s="39">
        <f>V42*(1.01)</f>
        <v>0.15842025822044561</v>
      </c>
      <c r="X42" s="39">
        <f t="shared" ref="X42:Z42" si="73">W42*(1.01)</f>
        <v>0.16000446080265007</v>
      </c>
      <c r="Y42" s="39">
        <f t="shared" si="73"/>
        <v>0.16160450541067659</v>
      </c>
      <c r="Z42" s="39">
        <f t="shared" si="73"/>
        <v>0.16322055046478334</v>
      </c>
      <c r="AB42" s="5"/>
      <c r="AC42" s="4">
        <f>++AC41/AC29</f>
        <v>0.14126532589657279</v>
      </c>
      <c r="AD42" s="4">
        <f>++AD41/AD29</f>
        <v>0.11782809696556971</v>
      </c>
      <c r="AE42" s="4">
        <f>++AE41/AE29</f>
        <v>0.15232755024416572</v>
      </c>
      <c r="AF42" s="4">
        <f>++AF41/AF29</f>
        <v>0.13133437915953602</v>
      </c>
      <c r="AH42" s="4">
        <f>++AH41/AH29</f>
        <v>0.13722115119801706</v>
      </c>
      <c r="AI42" s="4">
        <f>++AI41/AI29</f>
        <v>0.13706107658081229</v>
      </c>
      <c r="AJ42" s="4">
        <f>++AJ41/AJ29</f>
        <v>0.16512870855148351</v>
      </c>
      <c r="AK42" s="4">
        <f>++AK41/AK29</f>
        <v>0.16930167061383855</v>
      </c>
      <c r="AM42" s="4">
        <f>++AM41/AM29</f>
        <v>0.15168169761273206</v>
      </c>
      <c r="AN42" s="4">
        <f>++AN41/AN29</f>
        <v>0.12039005021604587</v>
      </c>
      <c r="AO42" s="4">
        <f>++AO41/AO29</f>
        <v>0.16772270857957641</v>
      </c>
      <c r="AP42" s="4">
        <f>++AP41/AP29</f>
        <v>0.1722066666549347</v>
      </c>
    </row>
    <row r="43" spans="1:42" s="4" customFormat="1" ht="22" customHeight="1">
      <c r="A43" s="51" t="s">
        <v>121</v>
      </c>
      <c r="D43" s="5">
        <f>AVERAGE(B42:D42)</f>
        <v>8.0277213654753279E-2</v>
      </c>
      <c r="E43" s="5">
        <f t="shared" ref="E43:U43" si="74">AVERAGE(C42:E42)</f>
        <v>6.1039951290083182E-2</v>
      </c>
      <c r="F43" s="5">
        <f t="shared" si="74"/>
        <v>6.7115374426536853E-2</v>
      </c>
      <c r="G43" s="5">
        <f t="shared" si="74"/>
        <v>9.8019689650863995E-2</v>
      </c>
      <c r="H43" s="5">
        <f t="shared" si="74"/>
        <v>0.12779253498951157</v>
      </c>
      <c r="I43" s="5">
        <f t="shared" si="74"/>
        <v>0.13762172145678031</v>
      </c>
      <c r="J43" s="5">
        <f t="shared" si="74"/>
        <v>0.1511918931577729</v>
      </c>
      <c r="K43" s="5">
        <f t="shared" si="74"/>
        <v>0.16470282495780583</v>
      </c>
      <c r="L43" s="5">
        <f t="shared" si="74"/>
        <v>0.17556636220806046</v>
      </c>
      <c r="M43" s="5">
        <f t="shared" si="74"/>
        <v>0.17429576291903348</v>
      </c>
      <c r="N43" s="5">
        <f t="shared" si="74"/>
        <v>0.16431045444463796</v>
      </c>
      <c r="O43" s="5">
        <f t="shared" si="74"/>
        <v>0.15157230546789593</v>
      </c>
      <c r="P43" s="5">
        <f t="shared" si="74"/>
        <v>0.11339948699284831</v>
      </c>
      <c r="Q43" s="5">
        <f t="shared" si="74"/>
        <v>0.11656695486017576</v>
      </c>
      <c r="R43" s="5">
        <f t="shared" si="74"/>
        <v>0.11434095659032943</v>
      </c>
      <c r="S43" s="5">
        <f t="shared" si="74"/>
        <v>0.1475698495087478</v>
      </c>
      <c r="T43" s="5">
        <f t="shared" si="74"/>
        <v>0.14753852378391197</v>
      </c>
      <c r="U43" s="5">
        <f t="shared" si="74"/>
        <v>0.15529875327952711</v>
      </c>
      <c r="V43" s="39"/>
      <c r="W43" s="33"/>
      <c r="X43" s="33"/>
      <c r="Y43" s="33"/>
      <c r="Z43" s="33"/>
      <c r="AB43" s="5"/>
    </row>
    <row r="44" spans="1:42" s="7" customFormat="1" ht="22" customHeight="1">
      <c r="A44" s="7" t="s">
        <v>102</v>
      </c>
      <c r="B44" s="21">
        <f>8.4-20.7</f>
        <v>-12.299999999999999</v>
      </c>
      <c r="C44" s="21">
        <f>38-40.4</f>
        <v>-2.3999999999999986</v>
      </c>
      <c r="D44" s="21">
        <f>53.4-5.3</f>
        <v>48.1</v>
      </c>
      <c r="E44" s="21">
        <f>39.1-37</f>
        <v>2.1000000000000014</v>
      </c>
      <c r="F44" s="21">
        <f>32.7-50.3</f>
        <v>-17.599999999999994</v>
      </c>
      <c r="G44" s="21">
        <f>33.3-115.9</f>
        <v>-82.600000000000009</v>
      </c>
      <c r="H44" s="21">
        <f>32.7-94.4</f>
        <v>-61.7</v>
      </c>
      <c r="I44" s="21">
        <f>28.1-123.6</f>
        <v>-95.5</v>
      </c>
      <c r="J44" s="21">
        <f>64.1-142.7</f>
        <v>-78.599999999999994</v>
      </c>
      <c r="K44" s="21">
        <f>70.5-43</f>
        <v>27.5</v>
      </c>
      <c r="L44" s="21">
        <f>81.3-108</f>
        <v>-26.700000000000003</v>
      </c>
      <c r="M44" s="21">
        <f>92.5-275.3+83.9</f>
        <v>-98.9</v>
      </c>
      <c r="N44" s="21">
        <f>170.3-191.4</f>
        <v>-21.099999999999994</v>
      </c>
      <c r="O44" s="21">
        <f>331-96.5</f>
        <v>234.5</v>
      </c>
      <c r="P44" s="21">
        <f>437-39.7</f>
        <v>397.3</v>
      </c>
      <c r="Q44" s="21">
        <f>469.8-90.1</f>
        <v>379.70000000000005</v>
      </c>
      <c r="R44" s="21">
        <f>482.9-97</f>
        <v>385.9</v>
      </c>
      <c r="S44" s="17">
        <f>550.1-81.2</f>
        <v>468.90000000000003</v>
      </c>
      <c r="T44" s="7">
        <f t="shared" ref="T44:T47" si="75">SUM(AM44:AP44)</f>
        <v>442.8</v>
      </c>
      <c r="U44" s="21">
        <v>460</v>
      </c>
      <c r="V44" s="37"/>
      <c r="W44" s="35"/>
      <c r="X44" s="35"/>
      <c r="Y44" s="35"/>
      <c r="Z44" s="35"/>
      <c r="AB44" s="21"/>
      <c r="AC44" s="21">
        <f>115.3+0.1</f>
        <v>115.39999999999999</v>
      </c>
      <c r="AD44" s="21">
        <f>119.1-46.3</f>
        <v>72.8</v>
      </c>
      <c r="AE44" s="21">
        <f>123.1-19.8</f>
        <v>103.3</v>
      </c>
      <c r="AF44" s="21">
        <f>125.3-31</f>
        <v>94.3</v>
      </c>
      <c r="AG44" s="21"/>
      <c r="AH44" s="21">
        <f>129.7-11.6</f>
        <v>118.1</v>
      </c>
      <c r="AI44" s="21">
        <f>136.3-18.4</f>
        <v>117.9</v>
      </c>
      <c r="AJ44" s="21">
        <f>140.9-21.3</f>
        <v>119.60000000000001</v>
      </c>
      <c r="AK44" s="21">
        <f>143.2-30.1</f>
        <v>113.1</v>
      </c>
      <c r="AM44" s="21">
        <f>140.1-33.8</f>
        <v>106.3</v>
      </c>
      <c r="AN44" s="21">
        <f>140.6-34.1</f>
        <v>106.5</v>
      </c>
      <c r="AO44" s="21">
        <v>115</v>
      </c>
      <c r="AP44" s="21">
        <v>115</v>
      </c>
    </row>
    <row r="45" spans="1:42" s="7" customFormat="1" ht="22" customHeight="1">
      <c r="A45" s="7" t="s">
        <v>101</v>
      </c>
      <c r="B45" s="21">
        <v>94</v>
      </c>
      <c r="C45" s="21">
        <v>108</v>
      </c>
      <c r="D45" s="21">
        <v>113.6</v>
      </c>
      <c r="E45" s="21">
        <v>121.9</v>
      </c>
      <c r="F45" s="21">
        <v>148.1</v>
      </c>
      <c r="G45" s="21">
        <v>173.7</v>
      </c>
      <c r="H45" s="21">
        <v>210.7</v>
      </c>
      <c r="I45" s="21">
        <v>251.4</v>
      </c>
      <c r="J45" s="21">
        <v>268.3</v>
      </c>
      <c r="K45" s="21">
        <v>249.9</v>
      </c>
      <c r="L45" s="21">
        <v>318.2</v>
      </c>
      <c r="M45" s="21">
        <v>391.4</v>
      </c>
      <c r="N45" s="21">
        <v>301.2</v>
      </c>
      <c r="O45" s="21">
        <v>298</v>
      </c>
      <c r="P45" s="21">
        <f>322.5+3.6</f>
        <v>326.10000000000002</v>
      </c>
      <c r="Q45" s="21">
        <v>385.3</v>
      </c>
      <c r="R45" s="21">
        <v>234.1</v>
      </c>
      <c r="S45" s="17">
        <v>298.39999999999998</v>
      </c>
      <c r="T45" s="7">
        <f t="shared" si="75"/>
        <v>313</v>
      </c>
      <c r="U45" s="21">
        <v>300</v>
      </c>
      <c r="V45" s="37"/>
      <c r="W45" s="35"/>
      <c r="X45" s="35"/>
      <c r="Y45" s="35"/>
      <c r="Z45" s="35"/>
      <c r="AB45" s="21"/>
      <c r="AC45" s="21">
        <v>40.299999999999997</v>
      </c>
      <c r="AD45" s="21">
        <v>49.1</v>
      </c>
      <c r="AE45" s="21">
        <v>54.1</v>
      </c>
      <c r="AF45" s="21">
        <v>90.6</v>
      </c>
      <c r="AG45" s="21"/>
      <c r="AH45" s="21">
        <v>57.8</v>
      </c>
      <c r="AI45" s="21">
        <v>51.4</v>
      </c>
      <c r="AJ45" s="21">
        <v>69.7</v>
      </c>
      <c r="AK45" s="21">
        <v>119.4</v>
      </c>
      <c r="AM45" s="21">
        <v>55.9</v>
      </c>
      <c r="AN45" s="21">
        <v>68</v>
      </c>
      <c r="AO45" s="21">
        <v>69.7</v>
      </c>
      <c r="AP45" s="21">
        <v>119.4</v>
      </c>
    </row>
    <row r="46" spans="1:42" s="6" customFormat="1" ht="22" customHeight="1">
      <c r="A46" s="6" t="s">
        <v>56</v>
      </c>
      <c r="B46" s="15">
        <f t="shared" ref="B46:G46" si="76">+B41-B44+B45</f>
        <v>906.29999999999927</v>
      </c>
      <c r="C46" s="15">
        <f t="shared" si="76"/>
        <v>1056.3000000000002</v>
      </c>
      <c r="D46" s="15">
        <f t="shared" si="76"/>
        <v>455.80000000000041</v>
      </c>
      <c r="E46" s="15">
        <f t="shared" si="76"/>
        <v>559.90000000000032</v>
      </c>
      <c r="F46" s="15">
        <f t="shared" si="76"/>
        <v>1436.9999999999995</v>
      </c>
      <c r="G46" s="15">
        <f t="shared" si="76"/>
        <v>1780.8999999999999</v>
      </c>
      <c r="H46" s="15">
        <f t="shared" ref="H46:J46" si="77">+H41-H44+H45</f>
        <v>2059.1000000000004</v>
      </c>
      <c r="I46" s="15">
        <f t="shared" si="77"/>
        <v>2554.1999999999994</v>
      </c>
      <c r="J46" s="15">
        <f t="shared" si="77"/>
        <v>3159.6999999999994</v>
      </c>
      <c r="K46" s="15">
        <f t="shared" ref="K46:O46" si="78">+K41-K44+K45</f>
        <v>3573.5000000000005</v>
      </c>
      <c r="L46" s="15">
        <f t="shared" si="78"/>
        <v>4199.1000000000004</v>
      </c>
      <c r="M46" s="15">
        <f t="shared" si="78"/>
        <v>4233.4000000000024</v>
      </c>
      <c r="N46" s="15">
        <f t="shared" si="78"/>
        <v>3904.6999999999975</v>
      </c>
      <c r="O46" s="15">
        <f t="shared" si="78"/>
        <v>3843.5000000000009</v>
      </c>
      <c r="P46" s="15">
        <f t="shared" ref="P46" si="79">+P41-P44+P45</f>
        <v>1167.800000000002</v>
      </c>
      <c r="Q46" s="15">
        <f t="shared" ref="Q46" si="80">+Q41-Q44+Q45</f>
        <v>4493.2000000000035</v>
      </c>
      <c r="R46" s="15">
        <f t="shared" ref="R46" si="81">+R41-R44+R45</f>
        <v>4231.5000000000045</v>
      </c>
      <c r="S46" s="15">
        <f t="shared" ref="S46" si="82">+S41-S44+S45</f>
        <v>5311.1999999999953</v>
      </c>
      <c r="T46" s="15">
        <f t="shared" ref="T46" si="83">+T41-T44+T45</f>
        <v>5758.1292175647914</v>
      </c>
      <c r="U46" s="15">
        <f>+U41-U44+U45</f>
        <v>6330.3161808958357</v>
      </c>
      <c r="V46" s="38">
        <f t="shared" ref="V46:Z46" si="84">+V41-V44+V45</f>
        <v>6810.3411030887892</v>
      </c>
      <c r="W46" s="38">
        <f t="shared" si="84"/>
        <v>7303.1884628665675</v>
      </c>
      <c r="X46" s="38">
        <f t="shared" si="84"/>
        <v>7808.9278736301731</v>
      </c>
      <c r="Y46" s="38">
        <f t="shared" si="84"/>
        <v>8326.5556888821393</v>
      </c>
      <c r="Z46" s="38">
        <f t="shared" si="84"/>
        <v>8855.0616235650705</v>
      </c>
      <c r="AB46" s="15"/>
      <c r="AC46" s="15">
        <f t="shared" ref="AC46:AE46" si="85">+AC41-AC44+AC45</f>
        <v>1062.1000000000008</v>
      </c>
      <c r="AD46" s="15">
        <f t="shared" si="85"/>
        <v>876.0000000000008</v>
      </c>
      <c r="AE46" s="15">
        <f t="shared" si="85"/>
        <v>1192.2999999999995</v>
      </c>
      <c r="AF46" s="15">
        <f>+AF41-AF44+AF45</f>
        <v>1101.3999999999999</v>
      </c>
      <c r="AG46" s="15"/>
      <c r="AH46" s="15">
        <f t="shared" ref="AH46:AJ46" si="86">+AH41-AH44+AH45</f>
        <v>1135.4999999999998</v>
      </c>
      <c r="AI46" s="15">
        <f t="shared" si="86"/>
        <v>1128.6999999999991</v>
      </c>
      <c r="AJ46" s="15">
        <f t="shared" si="86"/>
        <v>1464.0000000000009</v>
      </c>
      <c r="AK46" s="15">
        <f>+AK41-AK44+AK45</f>
        <v>1593.3</v>
      </c>
      <c r="AM46" s="15">
        <f>+AM41-AM44+AM45</f>
        <v>1379.1999999999998</v>
      </c>
      <c r="AN46" s="15">
        <f t="shared" ref="AN46:AP46" si="87">+AN41-AN44+AN45</f>
        <v>992.40000000000077</v>
      </c>
      <c r="AO46" s="15">
        <f t="shared" si="87"/>
        <v>1635.112125775632</v>
      </c>
      <c r="AP46" s="15">
        <f t="shared" si="87"/>
        <v>1751.4170917891597</v>
      </c>
    </row>
    <row r="47" spans="1:42" s="7" customFormat="1" ht="22" customHeight="1">
      <c r="A47" s="7" t="s">
        <v>71</v>
      </c>
      <c r="B47" s="21">
        <v>324.8</v>
      </c>
      <c r="C47" s="21">
        <v>383.7</v>
      </c>
      <c r="D47" s="21">
        <v>144</v>
      </c>
      <c r="E47" s="21">
        <v>168.4</v>
      </c>
      <c r="F47" s="21">
        <v>488.7</v>
      </c>
      <c r="G47" s="21">
        <f>+G46*G48</f>
        <v>553.85989999999993</v>
      </c>
      <c r="H47" s="21">
        <v>674.4</v>
      </c>
      <c r="I47" s="21">
        <v>832.3</v>
      </c>
      <c r="J47" s="21">
        <v>1092</v>
      </c>
      <c r="K47" s="21">
        <f>+K46*K48</f>
        <v>1240.0045</v>
      </c>
      <c r="L47" s="21">
        <v>1379.7</v>
      </c>
      <c r="M47" s="21">
        <f>+M46*M48</f>
        <v>1392.7886000000008</v>
      </c>
      <c r="N47" s="21">
        <f>+N46*N48</f>
        <v>851.22459999999944</v>
      </c>
      <c r="O47" s="21">
        <f>+O46*O48</f>
        <v>749.48250000000019</v>
      </c>
      <c r="P47" s="7">
        <v>239.7</v>
      </c>
      <c r="Q47" s="7">
        <f>+Q46*Q48</f>
        <v>970.53120000000069</v>
      </c>
      <c r="R47" s="7">
        <v>948.5</v>
      </c>
      <c r="S47" s="17">
        <v>1257</v>
      </c>
      <c r="T47" s="7">
        <f t="shared" si="75"/>
        <v>1387.3670122155499</v>
      </c>
      <c r="U47" s="21">
        <f>+U46*U48</f>
        <v>1519.2758834150004</v>
      </c>
      <c r="V47" s="37">
        <f>V48*V41</f>
        <v>1838.7920978339732</v>
      </c>
      <c r="W47" s="37">
        <f t="shared" ref="W47:Z47" si="88">W48*W41</f>
        <v>1971.8608849739733</v>
      </c>
      <c r="X47" s="37">
        <f t="shared" si="88"/>
        <v>2108.4105258801469</v>
      </c>
      <c r="Y47" s="37">
        <f t="shared" si="88"/>
        <v>2248.1700359981778</v>
      </c>
      <c r="Z47" s="37">
        <f t="shared" si="88"/>
        <v>2390.8666383625691</v>
      </c>
      <c r="AB47" s="21"/>
      <c r="AC47" s="21">
        <v>246.3</v>
      </c>
      <c r="AD47" s="21">
        <v>201.1</v>
      </c>
      <c r="AE47" s="7">
        <v>278.5</v>
      </c>
      <c r="AF47" s="21">
        <v>222.7</v>
      </c>
      <c r="AG47" s="21"/>
      <c r="AH47" s="21">
        <v>279.8</v>
      </c>
      <c r="AI47" s="21">
        <v>301.3</v>
      </c>
      <c r="AJ47" s="7">
        <v>322.39999999999998</v>
      </c>
      <c r="AK47" s="21">
        <v>373.8</v>
      </c>
      <c r="AM47" s="21">
        <v>354.7</v>
      </c>
      <c r="AN47" s="21">
        <v>219.9</v>
      </c>
      <c r="AO47" s="21">
        <f t="shared" ref="AO47:AP47" si="89">+AO46*AO48</f>
        <v>392.42691018615164</v>
      </c>
      <c r="AP47" s="21">
        <f t="shared" si="89"/>
        <v>420.34010202939834</v>
      </c>
    </row>
    <row r="48" spans="1:42" s="7" customFormat="1" ht="22" customHeight="1">
      <c r="B48" s="5">
        <f t="shared" ref="B48:F48" si="90">+B47/B46</f>
        <v>0.35838022729780455</v>
      </c>
      <c r="C48" s="5">
        <f t="shared" si="90"/>
        <v>0.36324907696677072</v>
      </c>
      <c r="D48" s="5">
        <f t="shared" si="90"/>
        <v>0.31592803861342666</v>
      </c>
      <c r="E48" s="5">
        <f t="shared" si="90"/>
        <v>0.30076799428469353</v>
      </c>
      <c r="F48" s="5">
        <f t="shared" si="90"/>
        <v>0.34008350730688947</v>
      </c>
      <c r="G48" s="5">
        <v>0.311</v>
      </c>
      <c r="H48" s="5">
        <f t="shared" ref="H48:L48" si="91">+H47/H46</f>
        <v>0.32752173279588165</v>
      </c>
      <c r="I48" s="5">
        <f t="shared" si="91"/>
        <v>0.32585545376243058</v>
      </c>
      <c r="J48" s="5">
        <f t="shared" si="91"/>
        <v>0.34560243061050105</v>
      </c>
      <c r="K48" s="5">
        <v>0.34699999999999998</v>
      </c>
      <c r="L48" s="5">
        <f t="shared" si="91"/>
        <v>0.32857040794455955</v>
      </c>
      <c r="M48" s="5">
        <v>0.32900000000000001</v>
      </c>
      <c r="N48" s="5">
        <v>0.218</v>
      </c>
      <c r="O48" s="5">
        <v>0.19500000000000001</v>
      </c>
      <c r="P48" s="5">
        <f t="shared" ref="P48" si="92">+P47/P46</f>
        <v>0.20525774961465967</v>
      </c>
      <c r="Q48" s="5">
        <v>0.216</v>
      </c>
      <c r="R48" s="5">
        <f>+R47/R46</f>
        <v>0.22415219189412713</v>
      </c>
      <c r="S48" s="5">
        <f>+S47/S46</f>
        <v>0.2366696791685497</v>
      </c>
      <c r="T48" s="5">
        <f>+T47/T46</f>
        <v>0.24094058326851694</v>
      </c>
      <c r="U48" s="5">
        <v>0.24</v>
      </c>
      <c r="V48" s="50">
        <v>0.27</v>
      </c>
      <c r="W48" s="50">
        <v>0.27</v>
      </c>
      <c r="X48" s="50">
        <v>0.27</v>
      </c>
      <c r="Y48" s="50">
        <v>0.27</v>
      </c>
      <c r="Z48" s="50">
        <v>0.27</v>
      </c>
      <c r="AB48" s="21"/>
      <c r="AC48" s="5">
        <f t="shared" ref="AC48:AD48" si="93">+AC47/AC46</f>
        <v>0.23189906788437983</v>
      </c>
      <c r="AD48" s="5">
        <f t="shared" si="93"/>
        <v>0.22956621004566188</v>
      </c>
      <c r="AE48" s="5">
        <f>+AE47/AE46</f>
        <v>0.23358215214291714</v>
      </c>
      <c r="AF48" s="5">
        <f>+AF47/AF46</f>
        <v>0.20219720355910661</v>
      </c>
      <c r="AG48" s="5"/>
      <c r="AH48" s="5">
        <f t="shared" ref="AH48" si="94">+AH47/AH46</f>
        <v>0.24641127256715109</v>
      </c>
      <c r="AI48" s="5">
        <v>0.249</v>
      </c>
      <c r="AJ48" s="5">
        <f>+AJ47/AJ46</f>
        <v>0.22021857923497254</v>
      </c>
      <c r="AK48" s="5">
        <f>+AK47/AK46</f>
        <v>0.23460741856524198</v>
      </c>
      <c r="AM48" s="5">
        <f>+AM47/AM46</f>
        <v>0.25717807424593969</v>
      </c>
      <c r="AN48" s="5">
        <f>+AN47/AN46</f>
        <v>0.22158403869407481</v>
      </c>
      <c r="AO48" s="5">
        <v>0.24</v>
      </c>
      <c r="AP48" s="5">
        <v>0.24</v>
      </c>
    </row>
    <row r="49" spans="1:42" s="6" customFormat="1" ht="22" customHeight="1">
      <c r="A49" s="6" t="s">
        <v>46</v>
      </c>
      <c r="B49" s="15">
        <f t="shared" ref="B49:J49" si="95">+B46-B47</f>
        <v>581.49999999999932</v>
      </c>
      <c r="C49" s="15">
        <f t="shared" si="95"/>
        <v>672.60000000000014</v>
      </c>
      <c r="D49" s="15">
        <f t="shared" si="95"/>
        <v>311.80000000000041</v>
      </c>
      <c r="E49" s="15">
        <f t="shared" si="95"/>
        <v>391.50000000000034</v>
      </c>
      <c r="F49" s="15">
        <f t="shared" si="95"/>
        <v>948.2999999999995</v>
      </c>
      <c r="G49" s="15">
        <f t="shared" si="95"/>
        <v>1227.0400999999999</v>
      </c>
      <c r="H49" s="15">
        <f t="shared" si="95"/>
        <v>1384.7000000000003</v>
      </c>
      <c r="I49" s="15">
        <f t="shared" si="95"/>
        <v>1721.8999999999994</v>
      </c>
      <c r="J49" s="15">
        <f t="shared" si="95"/>
        <v>2067.6999999999994</v>
      </c>
      <c r="K49" s="15">
        <f t="shared" ref="K49" si="96">+K46-K47</f>
        <v>2333.4955000000004</v>
      </c>
      <c r="L49" s="15">
        <f t="shared" ref="L49:M49" si="97">+L46-L47</f>
        <v>2819.4000000000005</v>
      </c>
      <c r="M49" s="15">
        <f t="shared" si="97"/>
        <v>2840.6114000000016</v>
      </c>
      <c r="N49" s="15">
        <f t="shared" ref="N49:Q49" si="98">+N46-N47</f>
        <v>3053.475399999998</v>
      </c>
      <c r="O49" s="15">
        <f t="shared" si="98"/>
        <v>3094.0175000000008</v>
      </c>
      <c r="P49" s="15">
        <f t="shared" si="98"/>
        <v>928.10000000000196</v>
      </c>
      <c r="Q49" s="15">
        <f t="shared" si="98"/>
        <v>3522.6688000000026</v>
      </c>
      <c r="R49" s="15">
        <f>+R46-R47</f>
        <v>3283.0000000000045</v>
      </c>
      <c r="S49" s="15">
        <f>+S46-S47</f>
        <v>4054.1999999999953</v>
      </c>
      <c r="T49" s="15">
        <f>+T46-T47</f>
        <v>4370.7622053492414</v>
      </c>
      <c r="U49" s="15">
        <f>+U46-U47</f>
        <v>4811.0402974808349</v>
      </c>
      <c r="V49" s="38">
        <f>V46-V47</f>
        <v>4971.5490052548157</v>
      </c>
      <c r="W49" s="38">
        <f t="shared" ref="W49:Z49" si="99">W46-W47</f>
        <v>5331.3275778925945</v>
      </c>
      <c r="X49" s="38">
        <f t="shared" si="99"/>
        <v>5700.5173477500266</v>
      </c>
      <c r="Y49" s="38">
        <f t="shared" si="99"/>
        <v>6078.3856528839615</v>
      </c>
      <c r="Z49" s="38">
        <f t="shared" si="99"/>
        <v>6464.1949852025009</v>
      </c>
      <c r="AB49" s="15"/>
      <c r="AC49" s="15">
        <f t="shared" ref="AC49:AD49" si="100">+AC46-AC47</f>
        <v>815.80000000000086</v>
      </c>
      <c r="AD49" s="15">
        <f t="shared" si="100"/>
        <v>674.90000000000077</v>
      </c>
      <c r="AE49" s="15">
        <f>+AE46-AE47</f>
        <v>913.7999999999995</v>
      </c>
      <c r="AF49" s="15">
        <f>+AF46-AF47</f>
        <v>878.69999999999982</v>
      </c>
      <c r="AG49" s="15"/>
      <c r="AH49" s="15">
        <f t="shared" ref="AH49" si="101">+AH46-AH47</f>
        <v>855.69999999999982</v>
      </c>
      <c r="AI49" s="15">
        <f t="shared" ref="AI49" si="102">+AI46-AI47</f>
        <v>827.39999999999918</v>
      </c>
      <c r="AJ49" s="15">
        <f>+AJ46-AJ47</f>
        <v>1141.6000000000008</v>
      </c>
      <c r="AK49" s="15">
        <f>+AK46-AK47</f>
        <v>1219.5</v>
      </c>
      <c r="AM49" s="15">
        <f t="shared" ref="AM49:AN49" si="103">+AM46-AM47</f>
        <v>1024.4999999999998</v>
      </c>
      <c r="AN49" s="15">
        <f t="shared" si="103"/>
        <v>772.5000000000008</v>
      </c>
      <c r="AO49" s="15">
        <f>+AO46-AO47</f>
        <v>1242.6852155894803</v>
      </c>
      <c r="AP49" s="15">
        <f>+AP46-AP47</f>
        <v>1331.0769897597613</v>
      </c>
    </row>
    <row r="50" spans="1:42" s="2" customFormat="1" ht="22" customHeight="1">
      <c r="A50" s="2" t="s">
        <v>57</v>
      </c>
      <c r="B50" s="22">
        <f t="shared" ref="B50:J50" si="104">+B49/B51</f>
        <v>0.36683068382538436</v>
      </c>
      <c r="C50" s="22">
        <f t="shared" si="104"/>
        <v>0.43669653291780297</v>
      </c>
      <c r="D50" s="22">
        <f t="shared" si="104"/>
        <v>0.21019280032358123</v>
      </c>
      <c r="E50" s="22">
        <f t="shared" si="104"/>
        <v>0.2624346427135007</v>
      </c>
      <c r="F50" s="22">
        <f t="shared" si="104"/>
        <v>0.62045276105731451</v>
      </c>
      <c r="G50" s="22">
        <f t="shared" si="104"/>
        <v>0.79708984019747942</v>
      </c>
      <c r="H50" s="22">
        <f t="shared" si="104"/>
        <v>0.8956662354463133</v>
      </c>
      <c r="I50" s="22">
        <f t="shared" si="104"/>
        <v>1.1294109930473564</v>
      </c>
      <c r="J50" s="22">
        <f t="shared" si="104"/>
        <v>1.3662613981762912</v>
      </c>
      <c r="K50" s="22">
        <f t="shared" ref="K50" si="105">+K49/K51</f>
        <v>1.541889454209066</v>
      </c>
      <c r="L50" s="22">
        <f t="shared" ref="L50:M50" si="106">+L49/L51</f>
        <v>1.8964148785901664</v>
      </c>
      <c r="M50" s="22">
        <f t="shared" si="106"/>
        <v>1.9437603667715899</v>
      </c>
      <c r="N50" s="22">
        <f t="shared" ref="N50:Q50" si="107">+N49/N51</f>
        <v>2.189499067833069</v>
      </c>
      <c r="O50" s="22">
        <f t="shared" si="107"/>
        <v>2.5089340739539416</v>
      </c>
      <c r="P50" s="22">
        <f t="shared" si="107"/>
        <v>0.7853274665764105</v>
      </c>
      <c r="Q50" s="22">
        <f t="shared" si="107"/>
        <v>2.9714625052720391</v>
      </c>
      <c r="R50" s="22">
        <f t="shared" ref="R50:S50" si="108">+R49/R51</f>
        <v>2.833836858006046</v>
      </c>
      <c r="S50" s="22">
        <f t="shared" si="108"/>
        <v>3.5214105793450843</v>
      </c>
      <c r="T50" s="22">
        <f t="shared" ref="T50" si="109">+T49/T51</f>
        <v>3.8175929822248591</v>
      </c>
      <c r="U50" s="22">
        <f t="shared" ref="U50:Z50" si="110">+U49/U51</f>
        <v>4.2017819191972361</v>
      </c>
      <c r="V50" s="40">
        <f t="shared" si="110"/>
        <v>4.3419641967290969</v>
      </c>
      <c r="W50" s="40">
        <f t="shared" si="110"/>
        <v>4.6561812907358906</v>
      </c>
      <c r="X50" s="40">
        <f t="shared" si="110"/>
        <v>4.9786177709607218</v>
      </c>
      <c r="Y50" s="40">
        <f t="shared" si="110"/>
        <v>5.3086337579772591</v>
      </c>
      <c r="Z50" s="40">
        <f t="shared" si="110"/>
        <v>5.6455851399148482</v>
      </c>
      <c r="AB50" s="22"/>
      <c r="AC50" s="22">
        <f t="shared" ref="AC50:AF50" si="111">+AC49/AC51</f>
        <v>0.69335373108958098</v>
      </c>
      <c r="AD50" s="22">
        <f t="shared" si="111"/>
        <v>0.58488603865153022</v>
      </c>
      <c r="AE50" s="22">
        <f t="shared" si="111"/>
        <v>0.79391833188531669</v>
      </c>
      <c r="AF50" s="22">
        <f t="shared" si="111"/>
        <v>0.7624295010845985</v>
      </c>
      <c r="AG50" s="22"/>
      <c r="AH50" s="22">
        <f t="shared" ref="AH50" si="112">+AH49/AH51</f>
        <v>0.74221528319888952</v>
      </c>
      <c r="AI50" s="22">
        <f t="shared" ref="AI50:AK50" si="113">+AI49/AI51</f>
        <v>0.71779300772100207</v>
      </c>
      <c r="AJ50" s="22">
        <f t="shared" si="113"/>
        <v>0.99226423294219979</v>
      </c>
      <c r="AK50" s="22">
        <f t="shared" si="113"/>
        <v>1.0609883417435182</v>
      </c>
      <c r="AM50" s="22">
        <f t="shared" ref="AM50:AP50" si="114">+AM49/AM51</f>
        <v>0.89821146764860582</v>
      </c>
      <c r="AN50" s="22">
        <f>+AN49/AN51</f>
        <v>0.67290940766550589</v>
      </c>
      <c r="AO50" s="22">
        <f t="shared" si="114"/>
        <v>1.0843675528704018</v>
      </c>
      <c r="AP50" s="22">
        <f t="shared" si="114"/>
        <v>1.1625126548120186</v>
      </c>
    </row>
    <row r="51" spans="1:42" s="7" customFormat="1" ht="22" customHeight="1">
      <c r="A51" s="7" t="s">
        <v>29</v>
      </c>
      <c r="B51" s="7">
        <f>792.6*2</f>
        <v>1585.2</v>
      </c>
      <c r="C51" s="7">
        <f>770.1*2</f>
        <v>1540.2</v>
      </c>
      <c r="D51" s="7">
        <f>741.7*2</f>
        <v>1483.4</v>
      </c>
      <c r="E51" s="7">
        <f>745.9*2</f>
        <v>1491.8</v>
      </c>
      <c r="F51" s="7">
        <f>764.2*2</f>
        <v>1528.4</v>
      </c>
      <c r="G51" s="7">
        <f>769.7*2</f>
        <v>1539.4</v>
      </c>
      <c r="H51" s="7">
        <f>773*2</f>
        <v>1546</v>
      </c>
      <c r="I51" s="7">
        <f>762.3*2</f>
        <v>1524.6</v>
      </c>
      <c r="J51" s="7">
        <v>1513.4</v>
      </c>
      <c r="K51" s="7">
        <v>1513.4</v>
      </c>
      <c r="L51" s="7">
        <v>1486.7</v>
      </c>
      <c r="M51" s="7">
        <v>1461.4</v>
      </c>
      <c r="N51" s="7">
        <v>1394.6</v>
      </c>
      <c r="O51" s="7">
        <v>1233.2</v>
      </c>
      <c r="P51" s="7">
        <v>1181.8</v>
      </c>
      <c r="Q51" s="7">
        <v>1185.5</v>
      </c>
      <c r="R51" s="7">
        <v>1158.5</v>
      </c>
      <c r="S51" s="7">
        <v>1151.3</v>
      </c>
      <c r="T51" s="7">
        <f>AVERAGE(AM51:AP51)</f>
        <v>1144.9000000000001</v>
      </c>
      <c r="U51" s="7">
        <v>1145</v>
      </c>
      <c r="V51" s="35">
        <v>1145</v>
      </c>
      <c r="W51" s="35">
        <v>1145</v>
      </c>
      <c r="X51" s="35">
        <v>1145</v>
      </c>
      <c r="Y51" s="35">
        <v>1145</v>
      </c>
      <c r="Z51" s="35">
        <v>1145</v>
      </c>
      <c r="AC51" s="7">
        <v>1176.5999999999999</v>
      </c>
      <c r="AD51" s="7">
        <v>1153.9000000000001</v>
      </c>
      <c r="AE51" s="7">
        <v>1151</v>
      </c>
      <c r="AF51" s="7">
        <v>1152.5</v>
      </c>
      <c r="AH51" s="7">
        <v>1152.9000000000001</v>
      </c>
      <c r="AI51" s="7">
        <v>1152.7</v>
      </c>
      <c r="AJ51" s="7">
        <v>1150.5</v>
      </c>
      <c r="AK51" s="7">
        <v>1149.4000000000001</v>
      </c>
      <c r="AM51" s="7">
        <v>1140.5999999999999</v>
      </c>
      <c r="AN51" s="7">
        <v>1148</v>
      </c>
      <c r="AO51" s="7">
        <v>1146</v>
      </c>
      <c r="AP51" s="7">
        <v>1145</v>
      </c>
    </row>
    <row r="52" spans="1:42" s="9" customFormat="1" ht="22" customHeight="1">
      <c r="V52" s="41"/>
      <c r="W52" s="41"/>
      <c r="X52" s="41"/>
      <c r="Y52" s="41"/>
      <c r="Z52" s="41"/>
    </row>
    <row r="53" spans="1:42" s="9" customFormat="1" ht="22" customHeight="1">
      <c r="A53" s="9" t="s">
        <v>59</v>
      </c>
      <c r="V53" s="41"/>
      <c r="W53" s="41"/>
      <c r="X53" s="41"/>
      <c r="Y53" s="41"/>
      <c r="Z53" s="41"/>
    </row>
    <row r="54" spans="1:42" s="9" customFormat="1" ht="22" customHeight="1">
      <c r="V54" s="41"/>
      <c r="W54" s="41"/>
      <c r="X54" s="41"/>
      <c r="Y54" s="41"/>
      <c r="Z54" s="41"/>
    </row>
    <row r="55" spans="1:42" s="9" customFormat="1" ht="22" customHeight="1">
      <c r="A55" s="9" t="s">
        <v>30</v>
      </c>
      <c r="B55" s="5"/>
      <c r="C55" s="5">
        <f t="shared" ref="C55:S55" si="115">+C23</f>
        <v>0.05</v>
      </c>
      <c r="D55" s="5">
        <f t="shared" si="115"/>
        <v>-0.03</v>
      </c>
      <c r="E55" s="5">
        <f t="shared" si="115"/>
        <v>-0.06</v>
      </c>
      <c r="F55" s="5">
        <f t="shared" si="115"/>
        <v>7.0000000000000007E-2</v>
      </c>
      <c r="G55" s="5">
        <f t="shared" si="115"/>
        <v>0.08</v>
      </c>
      <c r="H55" s="5">
        <f t="shared" si="115"/>
        <v>7.0000000000000007E-2</v>
      </c>
      <c r="I55" s="5">
        <f t="shared" si="115"/>
        <v>7.0000000000000007E-2</v>
      </c>
      <c r="J55" s="5">
        <f t="shared" si="115"/>
        <v>0.06</v>
      </c>
      <c r="K55" s="5">
        <f t="shared" si="115"/>
        <v>7.0000000000000007E-2</v>
      </c>
      <c r="L55" s="5">
        <f t="shared" si="115"/>
        <v>0.05</v>
      </c>
      <c r="M55" s="5">
        <f t="shared" si="115"/>
        <v>0.03</v>
      </c>
      <c r="N55" s="5">
        <f t="shared" si="115"/>
        <v>0.02</v>
      </c>
      <c r="O55" s="5">
        <f t="shared" si="115"/>
        <v>0.05</v>
      </c>
      <c r="P55" s="5">
        <f t="shared" si="115"/>
        <v>-0.14000000000000001</v>
      </c>
      <c r="Q55" s="5">
        <f t="shared" si="115"/>
        <v>0.2</v>
      </c>
      <c r="R55" s="5">
        <f t="shared" si="115"/>
        <v>0.08</v>
      </c>
      <c r="S55" s="5">
        <f t="shared" si="115"/>
        <v>0.08</v>
      </c>
      <c r="T55" s="5">
        <f>+T18</f>
        <v>2.2500000000000003E-2</v>
      </c>
      <c r="U55" s="5">
        <f>+U18</f>
        <v>0.03</v>
      </c>
      <c r="V55" s="39"/>
      <c r="W55" s="41"/>
      <c r="X55" s="41"/>
      <c r="Y55" s="41"/>
      <c r="Z55" s="41"/>
      <c r="AB55" s="5"/>
      <c r="AC55" s="5"/>
      <c r="AD55" s="5"/>
      <c r="AE55" s="5"/>
      <c r="AF55" s="5"/>
      <c r="AG55" s="5"/>
      <c r="AH55" s="5">
        <f>+AH23</f>
        <v>0.05</v>
      </c>
      <c r="AI55" s="5">
        <f>+AI23</f>
        <v>0.11</v>
      </c>
      <c r="AJ55" s="5">
        <f>+AJ23</f>
        <v>0.1</v>
      </c>
      <c r="AK55" s="5">
        <f>+AK23</f>
        <v>0.08</v>
      </c>
      <c r="AM55" s="5">
        <f>+AM23</f>
        <v>0.05</v>
      </c>
      <c r="AN55" s="5">
        <f>+AN23</f>
        <v>-0.04</v>
      </c>
      <c r="AO55" s="5"/>
      <c r="AP55" s="5"/>
    </row>
    <row r="56" spans="1:42" s="9" customFormat="1" ht="22" customHeight="1">
      <c r="A56" s="9" t="s">
        <v>60</v>
      </c>
      <c r="B56" s="5"/>
      <c r="C56" s="5">
        <f t="shared" ref="C56:S56" si="116">+C21/B21-1</f>
        <v>0.20667202572347265</v>
      </c>
      <c r="D56" s="5">
        <f t="shared" si="116"/>
        <v>0.11118513090400373</v>
      </c>
      <c r="E56" s="5">
        <f t="shared" si="116"/>
        <v>-2.6978417266186883E-3</v>
      </c>
      <c r="F56" s="5">
        <f t="shared" si="116"/>
        <v>1.3405470393748065E-2</v>
      </c>
      <c r="G56" s="5">
        <f t="shared" si="116"/>
        <v>1.0380828093486727E-2</v>
      </c>
      <c r="H56" s="5">
        <f t="shared" si="116"/>
        <v>6.0646979392943168E-2</v>
      </c>
      <c r="I56" s="5">
        <f t="shared" si="116"/>
        <v>9.4154765858518674E-2</v>
      </c>
      <c r="J56" s="5">
        <f t="shared" si="116"/>
        <v>8.0892396418272838E-2</v>
      </c>
      <c r="K56" s="5">
        <f>+K21/J21-1</f>
        <v>7.8489188430216128E-2</v>
      </c>
      <c r="L56" s="5">
        <f t="shared" si="116"/>
        <v>8.8616933558998356E-2</v>
      </c>
      <c r="M56" s="5">
        <f t="shared" si="116"/>
        <v>8.9854494717958922E-2</v>
      </c>
      <c r="N56" s="5">
        <f t="shared" si="116"/>
        <v>7.2606898569808731E-2</v>
      </c>
      <c r="O56" s="5">
        <f t="shared" si="116"/>
        <v>6.5884599645341657E-2</v>
      </c>
      <c r="P56" s="5">
        <f t="shared" si="116"/>
        <v>4.4919375479907764E-2</v>
      </c>
      <c r="Q56" s="5">
        <f t="shared" si="116"/>
        <v>3.5915492957746542E-2</v>
      </c>
      <c r="R56" s="5">
        <f t="shared" si="116"/>
        <v>5.5507936038778682E-2</v>
      </c>
      <c r="S56" s="5">
        <f t="shared" si="116"/>
        <v>6.516199490353114E-2</v>
      </c>
      <c r="T56" s="5">
        <f>+T17/S17-1</f>
        <v>7.2078307296816302E-2</v>
      </c>
      <c r="U56" s="5">
        <f>+U17/T17-1</f>
        <v>6.4557779212395028E-2</v>
      </c>
      <c r="V56" s="39">
        <f>AVERAGE(S57:U57)</f>
        <v>6.1236860394658331E-2</v>
      </c>
      <c r="W56" s="39">
        <f>V56*0.95</f>
        <v>5.8175017374925413E-2</v>
      </c>
      <c r="X56" s="39">
        <f t="shared" ref="X56:Y56" si="117">W56*0.95</f>
        <v>5.5266266506179142E-2</v>
      </c>
      <c r="Y56" s="39">
        <f t="shared" si="117"/>
        <v>5.2502953180870185E-2</v>
      </c>
      <c r="Z56" s="39">
        <f>Y56*0.95</f>
        <v>4.9877805521826676E-2</v>
      </c>
      <c r="AB56" s="5"/>
      <c r="AC56" s="5"/>
      <c r="AD56" s="5"/>
      <c r="AE56" s="5"/>
      <c r="AF56" s="5"/>
      <c r="AG56" s="5"/>
      <c r="AH56" s="5">
        <f>+AH21/AC21-1</f>
        <v>5.3996561470990967E-2</v>
      </c>
      <c r="AI56" s="5">
        <f>+AI21/AD21-1</f>
        <v>5.7868899797863138E-2</v>
      </c>
      <c r="AJ56" s="5">
        <f>+AJ21/AE21-1</f>
        <v>6.5068101178894278E-2</v>
      </c>
      <c r="AK56" s="5">
        <f>+AK21/AF21-1</f>
        <v>6.516199490353114E-2</v>
      </c>
      <c r="AM56" s="5">
        <f>+AM21/AH21-1</f>
        <v>6.6823334254907385E-2</v>
      </c>
      <c r="AN56" s="5">
        <f>+AN21/AI21-1</f>
        <v>6.324725664683073E-2</v>
      </c>
      <c r="AO56" s="5">
        <f>+AO21/AJ21-1</f>
        <v>5.9212293804739025E-2</v>
      </c>
      <c r="AP56" s="5">
        <f>+AP21/AK21-1</f>
        <v>4.897733845102259E-2</v>
      </c>
    </row>
    <row r="57" spans="1:42" s="9" customFormat="1" ht="22" customHeight="1">
      <c r="A57" s="49" t="s">
        <v>121</v>
      </c>
      <c r="B57" s="5"/>
      <c r="C57" s="5"/>
      <c r="D57" s="5"/>
      <c r="E57" s="5">
        <f>AVERAGE(C56:E56)</f>
        <v>0.10505310496695257</v>
      </c>
      <c r="F57" s="5">
        <f t="shared" ref="F57:U57" si="118">AVERAGE(D56:F56)</f>
        <v>4.0630919857044367E-2</v>
      </c>
      <c r="G57" s="5">
        <f t="shared" si="118"/>
        <v>7.0294855868720347E-3</v>
      </c>
      <c r="H57" s="5">
        <f t="shared" si="118"/>
        <v>2.8144425960059321E-2</v>
      </c>
      <c r="I57" s="5">
        <f t="shared" si="118"/>
        <v>5.5060857781649521E-2</v>
      </c>
      <c r="J57" s="5">
        <f t="shared" si="118"/>
        <v>7.8564713889911555E-2</v>
      </c>
      <c r="K57" s="5">
        <f t="shared" si="118"/>
        <v>8.4512116902335885E-2</v>
      </c>
      <c r="L57" s="5">
        <f t="shared" si="118"/>
        <v>8.2666172802495774E-2</v>
      </c>
      <c r="M57" s="5">
        <f t="shared" si="118"/>
        <v>8.5653538902391135E-2</v>
      </c>
      <c r="N57" s="5">
        <f t="shared" si="118"/>
        <v>8.3692775615588674E-2</v>
      </c>
      <c r="O57" s="5">
        <f t="shared" si="118"/>
        <v>7.6115330977703108E-2</v>
      </c>
      <c r="P57" s="5">
        <f t="shared" si="118"/>
        <v>6.1136957898352717E-2</v>
      </c>
      <c r="Q57" s="5">
        <f t="shared" si="118"/>
        <v>4.8906489360998652E-2</v>
      </c>
      <c r="R57" s="5">
        <f t="shared" si="118"/>
        <v>4.5447601492144329E-2</v>
      </c>
      <c r="S57" s="5">
        <f t="shared" si="118"/>
        <v>5.2195141300018788E-2</v>
      </c>
      <c r="T57" s="5">
        <f t="shared" si="118"/>
        <v>6.424941274637537E-2</v>
      </c>
      <c r="U57" s="5">
        <f t="shared" si="118"/>
        <v>6.7266027137580828E-2</v>
      </c>
      <c r="V57" s="39"/>
      <c r="W57" s="41"/>
      <c r="X57" s="41"/>
      <c r="Y57" s="41"/>
      <c r="Z57" s="41"/>
      <c r="AB57" s="5"/>
      <c r="AC57" s="5"/>
      <c r="AD57" s="5"/>
      <c r="AE57" s="5"/>
      <c r="AF57" s="5"/>
      <c r="AG57" s="5"/>
      <c r="AH57" s="5"/>
      <c r="AI57" s="5"/>
      <c r="AJ57" s="5"/>
      <c r="AK57" s="5"/>
      <c r="AM57" s="5"/>
      <c r="AN57" s="5"/>
      <c r="AO57" s="5"/>
      <c r="AP57" s="5"/>
    </row>
    <row r="58" spans="1:42" s="9" customFormat="1" ht="22" customHeight="1">
      <c r="V58" s="41"/>
      <c r="W58" s="41"/>
      <c r="X58" s="41"/>
      <c r="Y58" s="41"/>
      <c r="Z58" s="41"/>
    </row>
    <row r="59" spans="1:42" s="9" customFormat="1" ht="22" customHeight="1">
      <c r="A59" s="9" t="s">
        <v>74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9"/>
      <c r="W59" s="41"/>
      <c r="X59" s="41"/>
      <c r="Y59" s="41"/>
      <c r="Z59" s="41"/>
      <c r="AB59" s="5"/>
      <c r="AC59" s="5"/>
      <c r="AD59" s="5"/>
      <c r="AE59" s="5"/>
      <c r="AF59" s="5"/>
      <c r="AG59" s="5"/>
      <c r="AH59" s="5"/>
      <c r="AI59" s="5"/>
      <c r="AJ59" s="5"/>
      <c r="AK59" s="5"/>
      <c r="AM59" s="5"/>
      <c r="AN59" s="5"/>
      <c r="AO59" s="5"/>
      <c r="AP59" s="5"/>
    </row>
    <row r="60" spans="1:42" s="9" customFormat="1" ht="22" customHeight="1">
      <c r="A60" s="9" t="s">
        <v>107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>
        <f t="shared" ref="M60:U60" si="119">+M26/L26-1</f>
        <v>5.794368519945392E-2</v>
      </c>
      <c r="N60" s="5">
        <f t="shared" si="119"/>
        <v>7.0013480102474102E-2</v>
      </c>
      <c r="O60" s="5">
        <f t="shared" si="119"/>
        <v>9.0180671817346125E-2</v>
      </c>
      <c r="P60" s="5">
        <f t="shared" si="119"/>
        <v>-0.1074976723807437</v>
      </c>
      <c r="Q60" s="5">
        <f t="shared" si="119"/>
        <v>0.25476491451994954</v>
      </c>
      <c r="R60" s="5">
        <f t="shared" si="119"/>
        <v>0.1429437741772992</v>
      </c>
      <c r="S60" s="5">
        <f t="shared" si="119"/>
        <v>0.13687165180481631</v>
      </c>
      <c r="T60" s="5">
        <f t="shared" si="119"/>
        <v>6.3002534847257818E-2</v>
      </c>
      <c r="U60" s="5">
        <f t="shared" si="119"/>
        <v>5.8909090909091022E-2</v>
      </c>
      <c r="V60" s="39"/>
      <c r="W60" s="41"/>
      <c r="X60" s="41"/>
      <c r="Y60" s="41"/>
      <c r="Z60" s="41"/>
      <c r="AB60" s="5"/>
      <c r="AC60" s="5"/>
      <c r="AD60" s="5"/>
      <c r="AE60" s="5"/>
      <c r="AF60" s="5"/>
      <c r="AG60" s="5"/>
      <c r="AH60" s="5">
        <f>+AH26/AC26-1</f>
        <v>0.14289452566204952</v>
      </c>
      <c r="AI60" s="5">
        <f>+AI26/AD26-1</f>
        <v>0.17167673577317899</v>
      </c>
      <c r="AJ60" s="5">
        <f>+AJ26/AE26-1</f>
        <v>0.11214181962234271</v>
      </c>
      <c r="AK60" s="5">
        <f>+AK26/AF26-1</f>
        <v>0.12480438184663534</v>
      </c>
      <c r="AM60" s="5">
        <f>+AM26/AH26-1</f>
        <v>8.6914047593607213E-2</v>
      </c>
      <c r="AN60" s="5">
        <f>+AN26/AI26-1</f>
        <v>-9.40350437264037E-5</v>
      </c>
      <c r="AO60" s="5">
        <f>+AO26/AJ26-1</f>
        <v>8.385841363973312E-2</v>
      </c>
      <c r="AP60" s="5">
        <f>+AP26/AK26-1</f>
        <v>7.8265352239986319E-2</v>
      </c>
    </row>
    <row r="61" spans="1:42" s="9" customFormat="1" ht="22" customHeight="1">
      <c r="A61" s="9" t="s">
        <v>108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>
        <f t="shared" ref="M61:U61" si="120">+M27/L27-1</f>
        <v>4.6751968503937036E-2</v>
      </c>
      <c r="N61" s="5">
        <f t="shared" si="120"/>
        <v>0.30493653032440049</v>
      </c>
      <c r="O61" s="5">
        <f t="shared" si="120"/>
        <v>0.11520031704856604</v>
      </c>
      <c r="P61" s="5">
        <f t="shared" si="120"/>
        <v>-0.15508746991454914</v>
      </c>
      <c r="Q61" s="5">
        <f t="shared" si="120"/>
        <v>0.32328987114288998</v>
      </c>
      <c r="R61" s="5">
        <f t="shared" si="120"/>
        <v>2.6727924179379414E-3</v>
      </c>
      <c r="S61" s="5">
        <f t="shared" si="120"/>
        <v>7.8889353179349087E-2</v>
      </c>
      <c r="T61" s="5">
        <f t="shared" si="120"/>
        <v>7.5688376587346173E-2</v>
      </c>
      <c r="U61" s="5">
        <f t="shared" si="120"/>
        <v>0.10023285775635826</v>
      </c>
      <c r="V61" s="39"/>
      <c r="W61" s="41"/>
      <c r="X61" s="41"/>
      <c r="Y61" s="41"/>
      <c r="Z61" s="41"/>
      <c r="AB61" s="5"/>
      <c r="AC61" s="5"/>
      <c r="AD61" s="5"/>
      <c r="AE61" s="5"/>
      <c r="AF61" s="5"/>
      <c r="AG61" s="5"/>
      <c r="AH61" s="5">
        <f>+AH27/AC27-1</f>
        <v>-0.10437656591502753</v>
      </c>
      <c r="AI61" s="5">
        <f>+AI27/AD27-1</f>
        <v>8.952067669172914E-2</v>
      </c>
      <c r="AJ61" s="5">
        <f>+AJ27/AE27-1</f>
        <v>0.24496750173534432</v>
      </c>
      <c r="AK61" s="5">
        <f>+AK27/AF27-1</f>
        <v>0.11412492965672483</v>
      </c>
      <c r="AM61" s="5">
        <f>+AM27/AH27-1</f>
        <v>9.892268317362074E-2</v>
      </c>
      <c r="AN61" s="5">
        <f>+AN27/AI27-1</f>
        <v>-5.2728056933362022E-2</v>
      </c>
      <c r="AO61" s="5">
        <f>+AO27/AJ27-1</f>
        <v>0.13090815326697913</v>
      </c>
      <c r="AP61" s="5">
        <f>+AP27/AK27-1</f>
        <v>0.12125244618395303</v>
      </c>
    </row>
    <row r="62" spans="1:42" s="9" customFormat="1" ht="22" customHeight="1">
      <c r="A62" s="9" t="s">
        <v>2</v>
      </c>
      <c r="B62" s="5"/>
      <c r="C62" s="5">
        <f t="shared" ref="C62:U62" si="121">+C29/B29-1</f>
        <v>0.20863244680167981</v>
      </c>
      <c r="D62" s="5">
        <f t="shared" si="121"/>
        <v>0.10322477819688669</v>
      </c>
      <c r="E62" s="5">
        <f t="shared" si="121"/>
        <v>-5.8595781566021299E-2</v>
      </c>
      <c r="F62" s="5">
        <f t="shared" si="121"/>
        <v>9.5431015079900927E-2</v>
      </c>
      <c r="G62" s="5">
        <f t="shared" si="121"/>
        <v>9.273960065001785E-2</v>
      </c>
      <c r="H62" s="5">
        <f t="shared" si="121"/>
        <v>0.13667054117807931</v>
      </c>
      <c r="I62" s="5">
        <f t="shared" si="121"/>
        <v>0.11975638181886539</v>
      </c>
      <c r="J62" s="5">
        <f t="shared" si="121"/>
        <v>0.10445736694376917</v>
      </c>
      <c r="K62" s="5">
        <f t="shared" si="121"/>
        <v>0.16506158878391042</v>
      </c>
      <c r="L62" s="5">
        <f t="shared" si="121"/>
        <v>0.1123902164100048</v>
      </c>
      <c r="M62" s="5">
        <f t="shared" si="121"/>
        <v>5.0210166819913304E-2</v>
      </c>
      <c r="N62" s="5">
        <f t="shared" si="121"/>
        <v>0.10421812951439913</v>
      </c>
      <c r="O62" s="5">
        <f t="shared" si="121"/>
        <v>7.2367090348627539E-2</v>
      </c>
      <c r="P62" s="5">
        <f t="shared" si="121"/>
        <v>-0.11282710959043629</v>
      </c>
      <c r="Q62" s="5">
        <f t="shared" si="121"/>
        <v>0.23568105860242006</v>
      </c>
      <c r="R62" s="5">
        <f t="shared" si="121"/>
        <v>0.10975034841107356</v>
      </c>
      <c r="S62" s="5">
        <f t="shared" si="121"/>
        <v>0.11554454432416827</v>
      </c>
      <c r="T62" s="5">
        <f t="shared" si="121"/>
        <v>6.0475437606337445E-2</v>
      </c>
      <c r="U62" s="5">
        <f t="shared" si="121"/>
        <v>6.8597148194108781E-2</v>
      </c>
      <c r="V62" s="39">
        <v>6.5000000000000002E-2</v>
      </c>
      <c r="W62" s="39">
        <f>V62*0.95</f>
        <v>6.1749999999999999E-2</v>
      </c>
      <c r="X62" s="39">
        <f t="shared" ref="X62:Z62" si="122">W62*0.95</f>
        <v>5.8662499999999999E-2</v>
      </c>
      <c r="Y62" s="39">
        <f t="shared" si="122"/>
        <v>5.5729374999999998E-2</v>
      </c>
      <c r="Z62" s="39">
        <f t="shared" si="122"/>
        <v>5.2942906249999998E-2</v>
      </c>
      <c r="AB62" s="5"/>
      <c r="AC62" s="5"/>
      <c r="AD62" s="5"/>
      <c r="AE62" s="5"/>
      <c r="AF62" s="5"/>
      <c r="AG62" s="5"/>
      <c r="AH62" s="5">
        <f>+AH29/AC29-1</f>
        <v>8.2520714028397002E-2</v>
      </c>
      <c r="AI62" s="5">
        <f>+AI29/AD29-1</f>
        <v>0.14203020024359225</v>
      </c>
      <c r="AJ62" s="5">
        <f>+AJ29/AE29-1</f>
        <v>0.12488037103383975</v>
      </c>
      <c r="AK62" s="5">
        <f>+AK29/AF29-1</f>
        <v>0.11401882487164849</v>
      </c>
      <c r="AM62" s="5">
        <f>+AM29/AH29-1</f>
        <v>8.1543192876158965E-2</v>
      </c>
      <c r="AN62" s="5">
        <f>+AN29/AI29-1</f>
        <v>-1.8027109469966107E-2</v>
      </c>
      <c r="AO62" s="5">
        <f>+AO29/AJ29-1</f>
        <v>9.2821762107571759E-2</v>
      </c>
      <c r="AP62" s="5">
        <f>+AP29/AK29-1</f>
        <v>8.2259758412905892E-2</v>
      </c>
    </row>
    <row r="63" spans="1:42" s="9" customFormat="1" ht="22" customHeight="1">
      <c r="A63" s="49" t="s">
        <v>121</v>
      </c>
      <c r="B63" s="5"/>
      <c r="C63" s="5"/>
      <c r="D63" s="5"/>
      <c r="E63" s="5">
        <f>AVERAGE(C62:E62)</f>
        <v>8.4420481144181728E-2</v>
      </c>
      <c r="F63" s="5">
        <f t="shared" ref="F63:U63" si="123">AVERAGE(D62:F62)</f>
        <v>4.668667057025544E-2</v>
      </c>
      <c r="G63" s="5">
        <f t="shared" si="123"/>
        <v>4.3191611387965824E-2</v>
      </c>
      <c r="H63" s="5">
        <f t="shared" si="123"/>
        <v>0.10828038563599936</v>
      </c>
      <c r="I63" s="5">
        <f t="shared" si="123"/>
        <v>0.11638884121565418</v>
      </c>
      <c r="J63" s="5">
        <f t="shared" si="123"/>
        <v>0.12029476331357129</v>
      </c>
      <c r="K63" s="5">
        <f t="shared" si="123"/>
        <v>0.12975844584884832</v>
      </c>
      <c r="L63" s="5">
        <f t="shared" si="123"/>
        <v>0.12730305737922812</v>
      </c>
      <c r="M63" s="5">
        <f t="shared" si="123"/>
        <v>0.10922065733794284</v>
      </c>
      <c r="N63" s="5">
        <f t="shared" si="123"/>
        <v>8.8939504248105747E-2</v>
      </c>
      <c r="O63" s="5">
        <f t="shared" si="123"/>
        <v>7.5598462227646657E-2</v>
      </c>
      <c r="P63" s="5">
        <f t="shared" si="123"/>
        <v>2.125270342419679E-2</v>
      </c>
      <c r="Q63" s="5">
        <f t="shared" si="123"/>
        <v>6.5073679786870439E-2</v>
      </c>
      <c r="R63" s="5">
        <f t="shared" si="123"/>
        <v>7.7534765807685771E-2</v>
      </c>
      <c r="S63" s="5">
        <f t="shared" si="123"/>
        <v>0.15365865044588731</v>
      </c>
      <c r="T63" s="5">
        <f t="shared" si="123"/>
        <v>9.5256776780526423E-2</v>
      </c>
      <c r="U63" s="5">
        <f t="shared" si="123"/>
        <v>8.15390433748715E-2</v>
      </c>
      <c r="V63" s="39"/>
      <c r="W63" s="41"/>
      <c r="X63" s="41"/>
      <c r="Y63" s="41"/>
      <c r="Z63" s="41"/>
      <c r="AB63" s="5"/>
      <c r="AC63" s="5"/>
      <c r="AD63" s="5"/>
      <c r="AE63" s="5"/>
      <c r="AF63" s="5"/>
      <c r="AG63" s="5"/>
      <c r="AH63" s="5"/>
      <c r="AI63" s="5"/>
      <c r="AJ63" s="5"/>
      <c r="AK63" s="5"/>
      <c r="AM63" s="5"/>
      <c r="AN63" s="5"/>
      <c r="AO63" s="5"/>
      <c r="AP63" s="5"/>
    </row>
    <row r="64" spans="1:42" s="9" customFormat="1" ht="22" customHeight="1">
      <c r="A64" s="9" t="s">
        <v>70</v>
      </c>
      <c r="B64" s="5"/>
      <c r="C64" s="5">
        <f t="shared" ref="C64:G64" si="124">+C34/B34-1</f>
        <v>0.14383169296464127</v>
      </c>
      <c r="D64" s="5">
        <f t="shared" si="124"/>
        <v>-9.2829501479626542E-2</v>
      </c>
      <c r="E64" s="5">
        <f t="shared" si="124"/>
        <v>1.6059419853457824E-2</v>
      </c>
      <c r="F64" s="5">
        <f t="shared" si="124"/>
        <v>0.33231255556653116</v>
      </c>
      <c r="G64" s="5">
        <f t="shared" si="124"/>
        <v>0.14406465485282149</v>
      </c>
      <c r="H64" s="5">
        <f t="shared" ref="H64:L64" si="125">+H34/G34-1</f>
        <v>0.15622164614387568</v>
      </c>
      <c r="I64" s="5">
        <f t="shared" si="125"/>
        <v>0.1837672710966618</v>
      </c>
      <c r="J64" s="5">
        <f t="shared" si="125"/>
        <v>0.17211989204034284</v>
      </c>
      <c r="K64" s="5">
        <f t="shared" si="125"/>
        <v>0.20467399208208792</v>
      </c>
      <c r="L64" s="5">
        <f t="shared" si="125"/>
        <v>0.13026273872000793</v>
      </c>
      <c r="M64" s="5">
        <f t="shared" ref="M64:R64" si="126">+M34/L34-1</f>
        <v>1.6926272066459358E-2</v>
      </c>
      <c r="N64" s="5">
        <f t="shared" si="126"/>
        <v>6.7365902758529383E-2</v>
      </c>
      <c r="O64" s="5">
        <f t="shared" si="126"/>
        <v>2.341155407344675E-2</v>
      </c>
      <c r="P64" s="5">
        <f t="shared" si="126"/>
        <v>-0.32441708287705973</v>
      </c>
      <c r="Q64" s="5">
        <f t="shared" si="126"/>
        <v>0.65881911087390543</v>
      </c>
      <c r="R64" s="5">
        <f t="shared" si="126"/>
        <v>-2.5143592554635052E-3</v>
      </c>
      <c r="S64" s="5">
        <f>+S34/R34-1</f>
        <v>0.17634128567503193</v>
      </c>
      <c r="T64" s="5">
        <f t="shared" ref="T64:U64" si="127">+T34/S34-1</f>
        <v>7.4514483645935492E-2</v>
      </c>
      <c r="U64" s="5">
        <f t="shared" si="127"/>
        <v>7.8898412939988782E-2</v>
      </c>
      <c r="V64" s="39"/>
      <c r="W64" s="41"/>
      <c r="X64" s="41"/>
      <c r="Y64" s="41"/>
      <c r="Z64" s="41"/>
      <c r="AB64" s="5"/>
      <c r="AC64" s="5"/>
      <c r="AD64" s="5"/>
      <c r="AE64" s="5"/>
      <c r="AF64" s="5"/>
      <c r="AG64" s="5"/>
      <c r="AH64" s="5">
        <f>+AH34/AC34-1</f>
        <v>5.4493217784475689E-2</v>
      </c>
      <c r="AI64" s="5">
        <f t="shared" ref="AI64:AK64" si="128">+AI34/AD34-1</f>
        <v>0.23571582578697625</v>
      </c>
      <c r="AJ64" s="5">
        <f t="shared" si="128"/>
        <v>0.16655476478223963</v>
      </c>
      <c r="AK64" s="5">
        <f t="shared" si="128"/>
        <v>0.25973965812757682</v>
      </c>
      <c r="AM64" s="5">
        <f>+AM34/AH34-1</f>
        <v>0.1581133592389119</v>
      </c>
      <c r="AN64" s="5">
        <f t="shared" ref="AN64" si="129">+AN34/AI34-1</f>
        <v>-4.4623773173390835E-2</v>
      </c>
      <c r="AO64" s="5">
        <f t="shared" ref="AO64" si="130">+AO34/AJ34-1</f>
        <v>9.5622794020271407E-2</v>
      </c>
      <c r="AP64" s="5">
        <f t="shared" ref="AP64" si="131">+AP34/AK34-1</f>
        <v>8.1862576961520883E-2</v>
      </c>
    </row>
    <row r="65" spans="1:42" s="9" customFormat="1" ht="22" customHeight="1">
      <c r="A65" s="9" t="s">
        <v>3</v>
      </c>
      <c r="B65" s="5"/>
      <c r="C65" s="5">
        <f t="shared" ref="C65" si="132">+C41/B41-1</f>
        <v>0.18237500000000106</v>
      </c>
      <c r="D65" s="5">
        <f t="shared" ref="D65" si="133">+D41/C41-1</f>
        <v>-0.58737710117348518</v>
      </c>
      <c r="E65" s="5">
        <f t="shared" ref="E65" si="134">+E41/D41-1</f>
        <v>0.12759415833973842</v>
      </c>
      <c r="F65" s="5">
        <f t="shared" ref="F65" si="135">+F41/E41-1</f>
        <v>1.888661667802769</v>
      </c>
      <c r="G65" s="5">
        <f t="shared" ref="G65" si="136">+G41/F41-1</f>
        <v>0.19924486745850722</v>
      </c>
      <c r="H65" s="5">
        <f t="shared" ref="H65" si="137">+H41/G41-1</f>
        <v>0.17191394464121768</v>
      </c>
      <c r="I65" s="5">
        <f t="shared" ref="I65" si="138">+I41/H41-1</f>
        <v>0.23540605585716623</v>
      </c>
      <c r="J65" s="5">
        <f t="shared" ref="J65" si="139">+J41/I41-1</f>
        <v>0.2743170389163232</v>
      </c>
      <c r="K65" s="5">
        <f t="shared" ref="K65" si="140">+K41/J41-1</f>
        <v>0.19137514220705398</v>
      </c>
      <c r="L65" s="5">
        <f t="shared" ref="L65" si="141">+L41/K41-1</f>
        <v>0.15012980812270604</v>
      </c>
      <c r="M65" s="5">
        <f t="shared" ref="M65" si="142">+M41/L41-1</f>
        <v>-2.8825696642623133E-2</v>
      </c>
      <c r="N65" s="5">
        <f t="shared" ref="N65" si="143">+N41/M41-1</f>
        <v>-4.2932328818360288E-2</v>
      </c>
      <c r="O65" s="5">
        <f t="shared" ref="O65" si="144">+O41/N41-1</f>
        <v>5.515855292541394E-2</v>
      </c>
      <c r="P65" s="5">
        <f t="shared" ref="P65" si="145">+P41/O41-1</f>
        <v>-0.67222222222222183</v>
      </c>
      <c r="Q65" s="5">
        <f t="shared" ref="Q65" si="146">+Q41/P41-1</f>
        <v>2.6219531880548801</v>
      </c>
      <c r="R65" s="5">
        <f t="shared" ref="R65" si="147">+R41/Q41-1</f>
        <v>-2.3241821909260718E-2</v>
      </c>
      <c r="S65" s="5">
        <f t="shared" ref="S65" si="148">+S41/R41-1</f>
        <v>0.25058745693883355</v>
      </c>
      <c r="T65" s="5">
        <f t="shared" ref="T65" si="149">+T41/S41-1</f>
        <v>7.4106430042650384E-2</v>
      </c>
      <c r="U65" s="5">
        <f t="shared" ref="U65" si="150">+U41/T41-1</f>
        <v>0.10230879840301266</v>
      </c>
      <c r="V65" s="39"/>
      <c r="W65" s="41"/>
      <c r="X65" s="41"/>
      <c r="Y65" s="41"/>
      <c r="Z65" s="41"/>
      <c r="AB65" s="5"/>
      <c r="AC65" s="5"/>
      <c r="AD65" s="5"/>
      <c r="AE65" s="5"/>
      <c r="AF65" s="5"/>
      <c r="AG65" s="5"/>
      <c r="AH65" s="5">
        <f>+AH41/AC41-1</f>
        <v>5.1530073865633907E-2</v>
      </c>
      <c r="AI65" s="5">
        <f t="shared" ref="AI65:AK65" si="151">+AI41/AD41-1</f>
        <v>0.32844281427142175</v>
      </c>
      <c r="AJ65" s="5">
        <f t="shared" si="151"/>
        <v>0.21941200161095553</v>
      </c>
      <c r="AK65" s="5">
        <f t="shared" si="151"/>
        <v>0.43606913401502112</v>
      </c>
      <c r="AM65" s="5">
        <f>+AM41/AH41-1</f>
        <v>0.19551764509115244</v>
      </c>
      <c r="AN65" s="5">
        <f t="shared" ref="AN65" si="152">+AN41/AI41-1</f>
        <v>-0.13746653279785681</v>
      </c>
      <c r="AO65" s="5">
        <f t="shared" ref="AO65" si="153">+AO41/AJ41-1</f>
        <v>0.10998885380515966</v>
      </c>
      <c r="AP65" s="5">
        <f t="shared" ref="AP65" si="154">+AP41/AK41-1</f>
        <v>0.10082992551301828</v>
      </c>
    </row>
    <row r="66" spans="1:42" s="9" customFormat="1" ht="22" customHeight="1">
      <c r="A66" s="9" t="s">
        <v>57</v>
      </c>
      <c r="B66" s="5"/>
      <c r="C66" s="5">
        <f t="shared" ref="C66" si="155">+C50/B50-1</f>
        <v>0.19045802920258326</v>
      </c>
      <c r="D66" s="5">
        <f t="shared" ref="D66" si="156">+D50/C50-1</f>
        <v>-0.51867536268453796</v>
      </c>
      <c r="E66" s="5">
        <f t="shared" ref="E66" si="157">+E50/D50-1</f>
        <v>0.24854249198590894</v>
      </c>
      <c r="F66" s="5">
        <f t="shared" ref="F66" si="158">+F50/E50-1</f>
        <v>1.3642182093111135</v>
      </c>
      <c r="G66" s="5">
        <f t="shared" ref="G66" si="159">+G50/F50-1</f>
        <v>0.28469061663801343</v>
      </c>
      <c r="H66" s="5">
        <f t="shared" ref="H66" si="160">+H50/G50-1</f>
        <v>0.12367036973449763</v>
      </c>
      <c r="I66" s="5">
        <f t="shared" ref="I66" si="161">+I50/H50-1</f>
        <v>0.26097305932780568</v>
      </c>
      <c r="J66" s="5">
        <f t="shared" ref="J66" si="162">+J50/I50-1</f>
        <v>0.20971143949101245</v>
      </c>
      <c r="K66" s="5">
        <f t="shared" ref="K66" si="163">+K50/J50-1</f>
        <v>0.12854645258016228</v>
      </c>
      <c r="L66" s="5">
        <f t="shared" ref="L66" si="164">+L50/K50-1</f>
        <v>0.22992921017347467</v>
      </c>
      <c r="M66" s="5">
        <f t="shared" ref="M66" si="165">+M50/L50-1</f>
        <v>2.4965786081904806E-2</v>
      </c>
      <c r="N66" s="5">
        <f t="shared" ref="N66" si="166">+N50/M50-1</f>
        <v>0.12642438093828856</v>
      </c>
      <c r="O66" s="5">
        <f t="shared" ref="O66" si="167">+O50/N50-1</f>
        <v>0.1458941046442257</v>
      </c>
      <c r="P66" s="5">
        <f t="shared" ref="P66" si="168">+P50/O50-1</f>
        <v>-0.68698760372815304</v>
      </c>
      <c r="Q66" s="5">
        <f t="shared" ref="Q66" si="169">+Q50/P50-1</f>
        <v>2.783724155511786</v>
      </c>
      <c r="R66" s="5">
        <f t="shared" ref="R66" si="170">+R50/Q50-1</f>
        <v>-4.6315794670743649E-2</v>
      </c>
      <c r="S66" s="5">
        <f t="shared" ref="S66" si="171">+S50/R50-1</f>
        <v>0.24262995923584363</v>
      </c>
      <c r="T66" s="5">
        <f t="shared" ref="T66" si="172">+T50/S50-1</f>
        <v>8.4109022849263804E-2</v>
      </c>
      <c r="U66" s="5">
        <f t="shared" ref="U66" si="173">+U50/T50-1</f>
        <v>0.10063643210819051</v>
      </c>
      <c r="V66" s="39"/>
      <c r="W66" s="41"/>
      <c r="X66" s="41"/>
      <c r="Y66" s="41"/>
      <c r="Z66" s="41"/>
      <c r="AB66" s="5"/>
      <c r="AC66" s="5"/>
      <c r="AD66" s="5"/>
      <c r="AE66" s="5"/>
      <c r="AF66" s="5"/>
      <c r="AG66" s="5"/>
      <c r="AH66" s="5">
        <f>+AH50/AC50-1</f>
        <v>7.0471319210360761E-2</v>
      </c>
      <c r="AI66" s="5">
        <f t="shared" ref="AI66:AK66" si="174">+AI50/AD50-1</f>
        <v>0.22723566692734254</v>
      </c>
      <c r="AJ66" s="5">
        <f t="shared" si="174"/>
        <v>0.24983161754921479</v>
      </c>
      <c r="AK66" s="5">
        <f t="shared" si="174"/>
        <v>0.39158878327006374</v>
      </c>
      <c r="AM66" s="5">
        <f>+AM50/AH50-1</f>
        <v>0.21017646494341236</v>
      </c>
      <c r="AN66" s="5">
        <f t="shared" ref="AN66" si="175">+AN50/AI50-1</f>
        <v>-6.2530004573326692E-2</v>
      </c>
      <c r="AO66" s="5">
        <f t="shared" ref="AO66" si="176">+AO50/AJ50-1</f>
        <v>9.2821364381040938E-2</v>
      </c>
      <c r="AP66" s="5">
        <f t="shared" ref="AP66" si="177">+AP50/AK50-1</f>
        <v>9.5688434145907664E-2</v>
      </c>
    </row>
    <row r="67" spans="1:42" s="9" customFormat="1" ht="22" customHeight="1">
      <c r="S67" s="17"/>
      <c r="T67" s="17"/>
      <c r="U67" s="17"/>
      <c r="V67" s="42"/>
      <c r="W67" s="41"/>
      <c r="X67" s="41"/>
      <c r="Y67" s="41"/>
      <c r="Z67" s="41"/>
      <c r="AB67" s="17"/>
    </row>
    <row r="68" spans="1:42" s="6" customFormat="1" ht="22" customHeight="1">
      <c r="A68" s="6" t="s">
        <v>46</v>
      </c>
      <c r="B68" s="6">
        <v>564.29999999999995</v>
      </c>
      <c r="C68" s="6">
        <v>672.6</v>
      </c>
      <c r="D68" s="6">
        <v>315.5</v>
      </c>
      <c r="E68" s="6">
        <v>391.5</v>
      </c>
      <c r="F68" s="6">
        <v>948.3</v>
      </c>
      <c r="G68" s="6">
        <v>1248</v>
      </c>
      <c r="H68" s="6">
        <v>1384.7</v>
      </c>
      <c r="I68" s="6">
        <v>8.8000000000000007</v>
      </c>
      <c r="J68" s="6">
        <v>2067.6999999999998</v>
      </c>
      <c r="K68" s="6">
        <v>2759.3</v>
      </c>
      <c r="L68" s="6">
        <v>2818.9</v>
      </c>
      <c r="M68" s="6">
        <v>2884.9</v>
      </c>
      <c r="N68" s="6">
        <v>4518.3</v>
      </c>
      <c r="O68" s="6">
        <v>3594.6</v>
      </c>
      <c r="P68" s="6">
        <v>924.7</v>
      </c>
      <c r="Q68" s="6">
        <v>4200.3</v>
      </c>
      <c r="R68" s="6">
        <v>3283.4</v>
      </c>
      <c r="S68" s="6">
        <v>4124.7</v>
      </c>
      <c r="T68" s="6">
        <f>+T46</f>
        <v>5758.1292175647914</v>
      </c>
      <c r="U68" s="6">
        <f>+U46</f>
        <v>6330.3161808958357</v>
      </c>
      <c r="V68" s="34">
        <f t="shared" ref="V68:Z68" si="178">+V46</f>
        <v>6810.3411030887892</v>
      </c>
      <c r="W68" s="34">
        <f t="shared" si="178"/>
        <v>7303.1884628665675</v>
      </c>
      <c r="X68" s="34">
        <f t="shared" si="178"/>
        <v>7808.9278736301731</v>
      </c>
      <c r="Y68" s="34">
        <f t="shared" si="178"/>
        <v>8326.5556888821393</v>
      </c>
      <c r="Z68" s="34">
        <f t="shared" si="178"/>
        <v>8855.0616235650705</v>
      </c>
    </row>
    <row r="69" spans="1:42" s="7" customFormat="1" ht="22" customHeight="1">
      <c r="A69" s="7" t="s">
        <v>35</v>
      </c>
      <c r="B69" s="7">
        <v>412.6</v>
      </c>
      <c r="C69" s="7">
        <v>491.2</v>
      </c>
      <c r="D69" s="7">
        <v>604.5</v>
      </c>
      <c r="E69" s="7">
        <v>563.29999999999995</v>
      </c>
      <c r="F69" s="7">
        <v>540.79999999999995</v>
      </c>
      <c r="G69" s="7">
        <v>550</v>
      </c>
      <c r="H69" s="7">
        <v>580.6</v>
      </c>
      <c r="I69" s="7">
        <v>655.6</v>
      </c>
      <c r="J69" s="7">
        <v>748.4</v>
      </c>
      <c r="K69" s="7">
        <v>933.8</v>
      </c>
      <c r="L69" s="7">
        <v>1030.0999999999999</v>
      </c>
      <c r="M69" s="7">
        <v>1067.0999999999999</v>
      </c>
      <c r="N69" s="7">
        <v>1305.9000000000001</v>
      </c>
      <c r="O69" s="7">
        <v>1449.3</v>
      </c>
      <c r="P69" s="7">
        <v>1503.2</v>
      </c>
      <c r="Q69" s="7">
        <v>1524.1</v>
      </c>
      <c r="R69" s="7">
        <v>1529.4</v>
      </c>
      <c r="S69" s="7">
        <v>1450.3</v>
      </c>
      <c r="T69" s="7">
        <v>1500</v>
      </c>
      <c r="U69" s="7">
        <v>1575</v>
      </c>
      <c r="V69" s="35">
        <f>U69*(1+(V21/U21-1))</f>
        <v>1671.4480551215868</v>
      </c>
      <c r="W69" s="35">
        <f t="shared" ref="W69:Z69" si="179">V69*(1+(W21/V21-1))</f>
        <v>1768.6845747695702</v>
      </c>
      <c r="X69" s="35">
        <f t="shared" si="179"/>
        <v>1866.4331678441533</v>
      </c>
      <c r="Y69" s="35">
        <f t="shared" si="179"/>
        <v>1964.4264210706983</v>
      </c>
      <c r="Z69" s="35">
        <f t="shared" si="179"/>
        <v>2062.4077000628008</v>
      </c>
    </row>
    <row r="70" spans="1:42" s="7" customFormat="1" ht="22" customHeight="1">
      <c r="A70" s="7" t="s">
        <v>64</v>
      </c>
      <c r="B70" s="7">
        <v>105.7</v>
      </c>
      <c r="C70" s="7">
        <v>103.9</v>
      </c>
      <c r="D70" s="7">
        <v>75</v>
      </c>
      <c r="E70" s="7">
        <v>83.2</v>
      </c>
      <c r="F70" s="7">
        <v>113.6</v>
      </c>
      <c r="G70" s="7">
        <v>145.19999999999999</v>
      </c>
      <c r="H70" s="7">
        <v>153.6</v>
      </c>
      <c r="I70" s="7">
        <v>142.30000000000001</v>
      </c>
      <c r="J70" s="7">
        <v>183.2</v>
      </c>
      <c r="K70" s="7">
        <v>209.8</v>
      </c>
      <c r="L70" s="7">
        <v>218.1</v>
      </c>
      <c r="M70" s="7">
        <v>176</v>
      </c>
      <c r="N70" s="7">
        <v>250.3</v>
      </c>
      <c r="O70" s="7">
        <v>308</v>
      </c>
      <c r="P70" s="7">
        <v>248.6</v>
      </c>
      <c r="Q70" s="7">
        <v>319.10000000000002</v>
      </c>
      <c r="R70" s="7">
        <v>271.5</v>
      </c>
      <c r="S70" s="7">
        <v>302.7</v>
      </c>
      <c r="T70" s="7">
        <v>300</v>
      </c>
      <c r="U70" s="7">
        <v>300</v>
      </c>
      <c r="V70" s="35">
        <f>U70*(1.08)</f>
        <v>324</v>
      </c>
      <c r="W70" s="35">
        <f t="shared" ref="W70:Z70" si="180">V70*(1.08)</f>
        <v>349.92</v>
      </c>
      <c r="X70" s="35">
        <f t="shared" si="180"/>
        <v>377.91360000000003</v>
      </c>
      <c r="Y70" s="35">
        <f t="shared" si="180"/>
        <v>408.14668800000004</v>
      </c>
      <c r="Z70" s="35">
        <f t="shared" si="180"/>
        <v>440.79842304000005</v>
      </c>
    </row>
    <row r="71" spans="1:42" s="7" customFormat="1" ht="22" customHeight="1">
      <c r="A71" s="7" t="s">
        <v>109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1197.5999999999999</v>
      </c>
      <c r="Q71" s="7">
        <v>1248.5999999999999</v>
      </c>
      <c r="R71" s="7">
        <v>1497.7</v>
      </c>
      <c r="S71" s="7">
        <v>1365.9</v>
      </c>
      <c r="T71" s="7">
        <v>1400</v>
      </c>
      <c r="U71" s="7">
        <v>1400</v>
      </c>
      <c r="V71" s="35">
        <f>U71*(1.02)</f>
        <v>1428</v>
      </c>
      <c r="W71" s="35">
        <f t="shared" ref="W71:Z71" si="181">V71*(1.02)</f>
        <v>1456.56</v>
      </c>
      <c r="X71" s="35">
        <f t="shared" si="181"/>
        <v>1485.6912</v>
      </c>
      <c r="Y71" s="35">
        <f t="shared" si="181"/>
        <v>1515.4050239999999</v>
      </c>
      <c r="Z71" s="35">
        <f t="shared" si="181"/>
        <v>1545.71312448</v>
      </c>
    </row>
    <row r="72" spans="1:42" s="7" customFormat="1" ht="22" customHeight="1">
      <c r="A72" s="7" t="s">
        <v>47</v>
      </c>
      <c r="B72" s="7">
        <v>-84.3</v>
      </c>
      <c r="C72" s="7">
        <v>-37.299999999999997</v>
      </c>
      <c r="D72" s="7">
        <v>-117.1</v>
      </c>
      <c r="E72" s="7">
        <v>-69.599999999999994</v>
      </c>
      <c r="F72" s="7">
        <v>-42.2</v>
      </c>
      <c r="G72" s="7">
        <v>106.2</v>
      </c>
      <c r="H72" s="7">
        <v>61.1</v>
      </c>
      <c r="I72" s="7">
        <v>-1045.9000000000001</v>
      </c>
      <c r="J72" s="7">
        <v>10.199999999999999</v>
      </c>
      <c r="K72" s="7">
        <v>21.2</v>
      </c>
      <c r="L72" s="7">
        <v>265.7</v>
      </c>
      <c r="M72" s="7">
        <v>95.1</v>
      </c>
      <c r="N72" s="7">
        <v>714.9</v>
      </c>
      <c r="O72" s="7">
        <v>-1495.4</v>
      </c>
      <c r="P72" s="7">
        <v>-25.8</v>
      </c>
      <c r="Q72" s="7">
        <v>-146.19999999999999</v>
      </c>
      <c r="R72" s="7">
        <v>-37.799999999999997</v>
      </c>
      <c r="S72" s="7">
        <v>-59.4</v>
      </c>
      <c r="T72" s="7">
        <v>0</v>
      </c>
      <c r="U72" s="7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</row>
    <row r="73" spans="1:42" s="7" customFormat="1" ht="22" customHeight="1">
      <c r="A73" s="7" t="s">
        <v>4</v>
      </c>
      <c r="B73" s="7">
        <f>17.2+19.6-60.6+49.2+1.3-117.4+2</f>
        <v>-88.7</v>
      </c>
      <c r="C73" s="7">
        <f>26-65.7+65.9+7.7-93.1+0.7</f>
        <v>-58.499999999999986</v>
      </c>
      <c r="D73" s="7">
        <f>325-61.3+52.6+3.8-14.7-0.1</f>
        <v>305.3</v>
      </c>
      <c r="E73" s="7">
        <f>224.4-78.4+53+2-15.9+5.4</f>
        <v>190.5</v>
      </c>
      <c r="F73" s="7">
        <f>67.7-108.6+91.4+13.5-36.9-15.3</f>
        <v>11.800000000000015</v>
      </c>
      <c r="G73" s="7">
        <f>-32.9-55.2+33.3-30.2</f>
        <v>-85</v>
      </c>
      <c r="H73" s="7">
        <f>-49.3+23.6</f>
        <v>-25.699999999999996</v>
      </c>
      <c r="I73" s="7">
        <f>2784.1-171.8+115.6-80.1-258.1+23</f>
        <v>2412.6999999999998</v>
      </c>
      <c r="J73" s="7">
        <f>-182.7+139.2-70.2-114.4+36.2</f>
        <v>-191.90000000000003</v>
      </c>
      <c r="K73" s="7">
        <f>-190.2+148.2-394.3+61.1-132.4+53.8</f>
        <v>-453.8</v>
      </c>
      <c r="L73" s="7">
        <f>-250.2+223.3-6.1+45.1</f>
        <v>12.100000000000023</v>
      </c>
      <c r="M73" s="7">
        <f>-310.2+186.6-93.5+87.2+68.9</f>
        <v>-60.999999999999972</v>
      </c>
      <c r="N73" s="7">
        <f>-242.8+226.8-1376.4-499.2+37.6+89</f>
        <v>-1765.0000000000002</v>
      </c>
      <c r="O73" s="7">
        <f>-250.6+216.8-622.8+10.5+142.6+45.3</f>
        <v>-458.19999999999987</v>
      </c>
      <c r="P73" s="7">
        <f>-280.7+227.7+454.4+24.5</f>
        <v>425.9</v>
      </c>
      <c r="Q73" s="7">
        <f>-347.3+336-864.5+226.2-6</f>
        <v>-655.59999999999991</v>
      </c>
      <c r="R73" s="7">
        <f>-268.7+231.2+91.4-67.8</f>
        <v>-13.899999999999991</v>
      </c>
      <c r="S73" s="7">
        <f>-301.8+222.8-91.3+101.4+26.8</f>
        <v>-42.100000000000009</v>
      </c>
      <c r="T73" s="7">
        <v>0</v>
      </c>
      <c r="U73" s="7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</row>
    <row r="74" spans="1:42" s="7" customFormat="1" ht="22" customHeight="1">
      <c r="A74" s="7" t="s">
        <v>48</v>
      </c>
      <c r="B74" s="7">
        <f>-85.5+105+132.7+56.6+13.2</f>
        <v>221.99999999999997</v>
      </c>
      <c r="C74" s="7">
        <f>-48.6+36.1+86.4+63.2+22.2</f>
        <v>159.30000000000001</v>
      </c>
      <c r="D74" s="7">
        <f>-63.9+7.3+72.4+60.3</f>
        <v>76.099999999999994</v>
      </c>
      <c r="E74" s="7">
        <f>28.5-53+57.2+16.3+120.5+60.6</f>
        <v>230.1</v>
      </c>
      <c r="F74" s="7">
        <f>123.2+-3.6-12.9+24.2-16.1+17.6</f>
        <v>132.4</v>
      </c>
      <c r="G74" s="7">
        <f>-88.7-422.3+227.5-81.8+35.8-22.5</f>
        <v>-352</v>
      </c>
      <c r="H74" s="7">
        <f>-90.3-273.3-136+23.7+60.8-19.7</f>
        <v>-434.8</v>
      </c>
      <c r="I74" s="7">
        <f>-68.3+152.5+88.7+298.4+47.3+139.9+76.3</f>
        <v>734.79999999999984</v>
      </c>
      <c r="J74" s="7">
        <f>-79.7+14.3+60.4-2763.9+309.8+103.9+140.8+4.6</f>
        <v>-2209.7999999999997</v>
      </c>
      <c r="K74" s="7">
        <f>-82.8-207.9+137.7+87.6+124.4+170.3+49.5</f>
        <v>278.8</v>
      </c>
      <c r="L74" s="7">
        <f>-55.6-67.5+46.9+180.4+248.8</f>
        <v>353</v>
      </c>
      <c r="M74" s="7">
        <f>-96.8+14+46.4+130.8-4.7</f>
        <v>89.7</v>
      </c>
      <c r="N74" s="7">
        <f>131-41.2+391.6+7109.4-677.4</f>
        <v>6913.4</v>
      </c>
      <c r="O74" s="7">
        <f>-197.7-173+922+1237.1+31.9-30.5-141.1</f>
        <v>1648.7</v>
      </c>
      <c r="P74" s="7">
        <f>-2.7-10.9-317.5-1214.6-210.8+31-1231.4+280.5</f>
        <v>-2676.3999999999996</v>
      </c>
      <c r="Q74" s="7">
        <f>-43-49.8+286.1+189.9-6.1-1488.1+609.8</f>
        <v>-501.20000000000005</v>
      </c>
      <c r="R74" s="7">
        <f>-326.1-641-149.6+345.5-75.8-1625.5+339.6</f>
        <v>-2132.9</v>
      </c>
      <c r="S74" s="7">
        <f>-4.1+366.4+52.5+100.1-110.8-1443.8-93.7</f>
        <v>-1133.4000000000001</v>
      </c>
      <c r="T74" s="7">
        <f>+T114</f>
        <v>-42.799999999999272</v>
      </c>
      <c r="U74" s="7">
        <f>+U114</f>
        <v>-17.799999999999272</v>
      </c>
      <c r="V74" s="35">
        <f>V73</f>
        <v>0</v>
      </c>
      <c r="W74" s="35">
        <f t="shared" ref="W74:Z74" si="182">W73</f>
        <v>0</v>
      </c>
      <c r="X74" s="35">
        <f t="shared" si="182"/>
        <v>0</v>
      </c>
      <c r="Y74" s="35">
        <f t="shared" si="182"/>
        <v>0</v>
      </c>
      <c r="Z74" s="35">
        <f t="shared" si="182"/>
        <v>0</v>
      </c>
    </row>
    <row r="75" spans="1:42" s="6" customFormat="1" ht="22" customHeight="1">
      <c r="A75" s="6" t="s">
        <v>49</v>
      </c>
      <c r="B75" s="6">
        <f t="shared" ref="B75:G75" si="183">SUM(B68:B74)</f>
        <v>1131.5999999999999</v>
      </c>
      <c r="C75" s="6">
        <f t="shared" si="183"/>
        <v>1331.2</v>
      </c>
      <c r="D75" s="6">
        <f t="shared" si="183"/>
        <v>1259.3</v>
      </c>
      <c r="E75" s="6">
        <f t="shared" si="183"/>
        <v>1389</v>
      </c>
      <c r="F75" s="6">
        <f t="shared" si="183"/>
        <v>1704.6999999999998</v>
      </c>
      <c r="G75" s="6">
        <f t="shared" si="183"/>
        <v>1612.4</v>
      </c>
      <c r="H75" s="6">
        <f t="shared" ref="H75:J75" si="184">SUM(H68:H74)</f>
        <v>1719.5000000000002</v>
      </c>
      <c r="I75" s="6">
        <f t="shared" si="184"/>
        <v>2908.2999999999997</v>
      </c>
      <c r="J75" s="6">
        <f t="shared" si="184"/>
        <v>607.79999999999973</v>
      </c>
      <c r="K75" s="6">
        <f t="shared" ref="K75:L75" si="185">SUM(K68:K74)</f>
        <v>3749.1000000000004</v>
      </c>
      <c r="L75" s="6">
        <f t="shared" si="185"/>
        <v>4697.9000000000005</v>
      </c>
      <c r="M75" s="6">
        <f>SUM(M68:M74)</f>
        <v>4251.8</v>
      </c>
      <c r="N75" s="6">
        <f t="shared" ref="N75:Q75" si="186">SUM(N68:N74)</f>
        <v>11937.8</v>
      </c>
      <c r="O75" s="6">
        <f t="shared" si="186"/>
        <v>5047</v>
      </c>
      <c r="P75" s="6">
        <f t="shared" si="186"/>
        <v>1597.8000000000002</v>
      </c>
      <c r="Q75" s="6">
        <f t="shared" si="186"/>
        <v>5989.1000000000013</v>
      </c>
      <c r="R75" s="6">
        <f t="shared" ref="R75:S75" si="187">SUM(R68:R74)</f>
        <v>4397.3999999999996</v>
      </c>
      <c r="S75" s="6">
        <f t="shared" si="187"/>
        <v>6008.7000000000007</v>
      </c>
      <c r="T75" s="6">
        <f t="shared" ref="T75" si="188">SUM(T68:T74)</f>
        <v>8915.3292175647912</v>
      </c>
      <c r="U75" s="6">
        <f t="shared" ref="U75" si="189">SUM(U68:U74)</f>
        <v>9587.5161808958364</v>
      </c>
      <c r="V75" s="35">
        <f>U75*(1+(V21/U21-1))</f>
        <v>10174.625570796881</v>
      </c>
      <c r="W75" s="35">
        <f t="shared" ref="W75:Z75" si="190">V75*(1+(W21/V21-1))</f>
        <v>10766.534590161349</v>
      </c>
      <c r="X75" s="35">
        <f t="shared" si="190"/>
        <v>11361.560760169203</v>
      </c>
      <c r="Y75" s="35">
        <f t="shared" si="190"/>
        <v>11958.076252821978</v>
      </c>
      <c r="Z75" s="35">
        <f t="shared" si="190"/>
        <v>12554.518854575408</v>
      </c>
    </row>
    <row r="76" spans="1:42" s="7" customFormat="1" ht="22" customHeight="1">
      <c r="A76" s="7" t="s">
        <v>5</v>
      </c>
      <c r="B76" s="7">
        <v>771.2</v>
      </c>
      <c r="C76" s="7">
        <v>1080.3</v>
      </c>
      <c r="D76" s="7">
        <v>985.4</v>
      </c>
      <c r="E76" s="7">
        <v>445.6</v>
      </c>
      <c r="F76" s="7">
        <v>440.7</v>
      </c>
      <c r="G76" s="7">
        <v>531.9</v>
      </c>
      <c r="H76" s="7">
        <v>856.2</v>
      </c>
      <c r="I76" s="7">
        <v>1151.3</v>
      </c>
      <c r="J76" s="7">
        <v>1160.9000000000001</v>
      </c>
      <c r="K76" s="7">
        <v>1303.7</v>
      </c>
      <c r="L76" s="7">
        <v>1440.3</v>
      </c>
      <c r="M76" s="7">
        <v>1519.4</v>
      </c>
      <c r="N76" s="7">
        <v>1976.4</v>
      </c>
      <c r="O76" s="7">
        <v>1806.6</v>
      </c>
      <c r="P76" s="7">
        <v>1483.6</v>
      </c>
      <c r="Q76" s="7">
        <v>1470</v>
      </c>
      <c r="R76" s="7">
        <v>1841.3</v>
      </c>
      <c r="S76" s="7">
        <v>2333.6</v>
      </c>
      <c r="T76" s="7">
        <v>2500</v>
      </c>
      <c r="U76" s="7">
        <v>3000</v>
      </c>
      <c r="V76" s="35">
        <f>U76*(1+(V21/U21-1))</f>
        <v>3183.7105811839747</v>
      </c>
      <c r="W76" s="35">
        <f t="shared" ref="W76:Z76" si="191">V76*(1+(W21/V21-1))</f>
        <v>3368.9229995610863</v>
      </c>
      <c r="X76" s="35">
        <f t="shared" si="191"/>
        <v>3555.1107958936259</v>
      </c>
      <c r="Y76" s="35">
        <f t="shared" si="191"/>
        <v>3741.7646115632356</v>
      </c>
      <c r="Z76" s="35">
        <f t="shared" si="191"/>
        <v>3928.3956191672401</v>
      </c>
    </row>
    <row r="77" spans="1:42" s="6" customFormat="1" ht="22" customHeight="1">
      <c r="A77" s="6" t="s">
        <v>50</v>
      </c>
      <c r="B77" s="6">
        <f t="shared" ref="B77:J77" si="192">+B75-B76</f>
        <v>360.39999999999986</v>
      </c>
      <c r="C77" s="6">
        <f t="shared" si="192"/>
        <v>250.90000000000009</v>
      </c>
      <c r="D77" s="6">
        <f t="shared" si="192"/>
        <v>273.89999999999998</v>
      </c>
      <c r="E77" s="6">
        <f t="shared" si="192"/>
        <v>943.4</v>
      </c>
      <c r="F77" s="6">
        <f t="shared" si="192"/>
        <v>1263.9999999999998</v>
      </c>
      <c r="G77" s="6">
        <f t="shared" si="192"/>
        <v>1080.5</v>
      </c>
      <c r="H77" s="6">
        <f t="shared" si="192"/>
        <v>863.30000000000018</v>
      </c>
      <c r="I77" s="6">
        <f t="shared" si="192"/>
        <v>1756.9999999999998</v>
      </c>
      <c r="J77" s="6">
        <f t="shared" si="192"/>
        <v>-553.10000000000036</v>
      </c>
      <c r="K77" s="6">
        <f t="shared" ref="K77" si="193">+K75-K76</f>
        <v>2445.4000000000005</v>
      </c>
      <c r="L77" s="6">
        <f>+L75-L76</f>
        <v>3257.6000000000004</v>
      </c>
      <c r="M77" s="6">
        <f>+M75-M76</f>
        <v>2732.4</v>
      </c>
      <c r="N77" s="6">
        <f t="shared" ref="N77:Q77" si="194">+N75-N76</f>
        <v>9961.4</v>
      </c>
      <c r="O77" s="6">
        <f t="shared" si="194"/>
        <v>3240.4</v>
      </c>
      <c r="P77" s="6">
        <f t="shared" si="194"/>
        <v>114.20000000000027</v>
      </c>
      <c r="Q77" s="6">
        <f t="shared" si="194"/>
        <v>4519.1000000000013</v>
      </c>
      <c r="R77" s="6">
        <f t="shared" ref="R77:S77" si="195">+R75-R76</f>
        <v>2556.0999999999995</v>
      </c>
      <c r="S77" s="6">
        <f t="shared" si="195"/>
        <v>3675.1000000000008</v>
      </c>
      <c r="T77" s="6">
        <f t="shared" ref="T77" si="196">+T75-T76</f>
        <v>6415.3292175647912</v>
      </c>
      <c r="U77" s="6">
        <f t="shared" ref="U77:Z77" si="197">+U75-U76</f>
        <v>6587.5161808958364</v>
      </c>
      <c r="V77" s="6">
        <f t="shared" si="197"/>
        <v>6990.9149896129065</v>
      </c>
      <c r="W77" s="6">
        <f t="shared" si="197"/>
        <v>7397.6115906002633</v>
      </c>
      <c r="X77" s="6">
        <f t="shared" si="197"/>
        <v>7806.4499642755763</v>
      </c>
      <c r="Y77" s="6">
        <f t="shared" si="197"/>
        <v>8216.3116412587424</v>
      </c>
      <c r="Z77" s="6">
        <f t="shared" si="197"/>
        <v>8626.1232354081676</v>
      </c>
    </row>
    <row r="78" spans="1:42" s="20" customFormat="1" ht="22" customHeight="1">
      <c r="A78" s="20" t="s">
        <v>51</v>
      </c>
      <c r="B78" s="20">
        <f t="shared" ref="B78:J78" si="198">+B77/B51</f>
        <v>0.22735301539237943</v>
      </c>
      <c r="C78" s="20">
        <f t="shared" si="198"/>
        <v>0.16290092195818731</v>
      </c>
      <c r="D78" s="20">
        <f t="shared" si="198"/>
        <v>0.18464338681407574</v>
      </c>
      <c r="E78" s="20">
        <f t="shared" si="198"/>
        <v>0.63239040085802389</v>
      </c>
      <c r="F78" s="20">
        <f t="shared" si="198"/>
        <v>0.82700863648259593</v>
      </c>
      <c r="G78" s="20">
        <f t="shared" si="198"/>
        <v>0.70189684292581522</v>
      </c>
      <c r="H78" s="20">
        <f t="shared" si="198"/>
        <v>0.55840879689521361</v>
      </c>
      <c r="I78" s="20">
        <f t="shared" si="198"/>
        <v>1.1524334251606978</v>
      </c>
      <c r="J78" s="20">
        <f t="shared" si="198"/>
        <v>-0.36546848156468897</v>
      </c>
      <c r="K78" s="20">
        <f t="shared" ref="K78" si="199">+K77/K51</f>
        <v>1.6158319016783405</v>
      </c>
      <c r="L78" s="20">
        <f>+L77/L51</f>
        <v>2.1911616331472392</v>
      </c>
      <c r="M78" s="20">
        <f>+M77/M51</f>
        <v>1.8697139729026959</v>
      </c>
      <c r="N78" s="20">
        <f t="shared" ref="N78:Z78" si="200">+N77/N51</f>
        <v>7.1428366556718776</v>
      </c>
      <c r="O78" s="20">
        <f t="shared" si="200"/>
        <v>2.6276354200454102</v>
      </c>
      <c r="P78" s="20">
        <f t="shared" si="200"/>
        <v>9.6632255880859941E-2</v>
      </c>
      <c r="Q78" s="20">
        <f t="shared" si="200"/>
        <v>3.8119780683256019</v>
      </c>
      <c r="R78" s="20">
        <f t="shared" si="200"/>
        <v>2.2063875701337934</v>
      </c>
      <c r="S78" s="20">
        <f t="shared" si="200"/>
        <v>3.192130634934423</v>
      </c>
      <c r="T78" s="20">
        <f t="shared" si="200"/>
        <v>5.6033969932437682</v>
      </c>
      <c r="U78" s="20">
        <f t="shared" si="200"/>
        <v>5.753289240957062</v>
      </c>
      <c r="V78" s="20">
        <f t="shared" si="200"/>
        <v>6.1056026110156392</v>
      </c>
      <c r="W78" s="20">
        <f t="shared" si="200"/>
        <v>6.460796148995863</v>
      </c>
      <c r="X78" s="20">
        <f t="shared" si="200"/>
        <v>6.817860230808364</v>
      </c>
      <c r="Y78" s="20">
        <f t="shared" si="200"/>
        <v>7.1758180273002115</v>
      </c>
      <c r="Z78" s="20">
        <f t="shared" si="200"/>
        <v>7.5337320833259103</v>
      </c>
    </row>
    <row r="79" spans="1:42" s="7" customFormat="1" ht="22" customHeight="1">
      <c r="A79" s="7" t="s">
        <v>55</v>
      </c>
      <c r="B79" s="7">
        <v>-91.7</v>
      </c>
      <c r="C79" s="7">
        <v>-53.3</v>
      </c>
      <c r="D79" s="7">
        <v>-74.2</v>
      </c>
      <c r="E79" s="7">
        <v>42.5</v>
      </c>
      <c r="F79" s="7">
        <v>-12</v>
      </c>
      <c r="G79" s="7">
        <f>-55.8+117.4</f>
        <v>61.600000000000009</v>
      </c>
      <c r="H79" s="7">
        <f>-129.1+5.3</f>
        <v>-123.8</v>
      </c>
      <c r="I79" s="7">
        <f>-610.4+108</f>
        <v>-502.4</v>
      </c>
      <c r="J79" s="7">
        <v>103.9</v>
      </c>
      <c r="K79" s="7">
        <f>-284.3+8.9</f>
        <v>-275.40000000000003</v>
      </c>
      <c r="L79" s="7">
        <v>69.599999999999994</v>
      </c>
      <c r="M79" s="7">
        <v>85.4</v>
      </c>
      <c r="N79" s="7">
        <f>-1311.3+608.2</f>
        <v>-703.09999999999991</v>
      </c>
      <c r="O79" s="7">
        <v>684.3</v>
      </c>
      <c r="P79" s="7">
        <v>0</v>
      </c>
      <c r="Q79" s="7">
        <v>1175</v>
      </c>
      <c r="R79" s="7">
        <v>59.3</v>
      </c>
      <c r="S79" s="7">
        <v>110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1:42" s="7" customFormat="1" ht="22" customHeight="1">
      <c r="A80" s="7" t="s">
        <v>52</v>
      </c>
      <c r="B80" s="7">
        <v>0</v>
      </c>
      <c r="C80" s="7">
        <v>0</v>
      </c>
      <c r="D80" s="7">
        <v>0</v>
      </c>
      <c r="E80" s="7">
        <v>0</v>
      </c>
      <c r="F80" s="7">
        <v>-171</v>
      </c>
      <c r="G80" s="7">
        <v>-389.5</v>
      </c>
      <c r="H80" s="7">
        <v>-513</v>
      </c>
      <c r="I80" s="7">
        <v>-628.9</v>
      </c>
      <c r="J80" s="7">
        <v>-783.1</v>
      </c>
      <c r="K80" s="7">
        <v>-928.6</v>
      </c>
      <c r="L80" s="7">
        <v>-1178</v>
      </c>
      <c r="M80" s="7">
        <v>-1450.4</v>
      </c>
      <c r="N80" s="7">
        <v>-1743.4</v>
      </c>
      <c r="O80" s="7">
        <v>-1761.3</v>
      </c>
      <c r="P80" s="7">
        <v>-1923.5</v>
      </c>
      <c r="Q80" s="7">
        <v>-2119</v>
      </c>
      <c r="R80" s="7">
        <v>-2263.3000000000002</v>
      </c>
      <c r="S80" s="7">
        <v>-2431.8000000000002</v>
      </c>
      <c r="T80" s="7">
        <v>-2500</v>
      </c>
      <c r="U80" s="7">
        <v>-2500</v>
      </c>
      <c r="V80" s="35">
        <f>U80*1.01</f>
        <v>-2525</v>
      </c>
      <c r="W80" s="35">
        <f t="shared" ref="W80:Z80" si="201">V80*1.02</f>
        <v>-2575.5</v>
      </c>
      <c r="X80" s="35">
        <f t="shared" si="201"/>
        <v>-2627.01</v>
      </c>
      <c r="Y80" s="35">
        <f t="shared" si="201"/>
        <v>-2679.5502000000001</v>
      </c>
      <c r="Z80" s="35">
        <f t="shared" si="201"/>
        <v>-2733.141204</v>
      </c>
    </row>
    <row r="81" spans="1:26" s="7" customFormat="1" ht="22" customHeight="1">
      <c r="A81" s="7" t="s">
        <v>53</v>
      </c>
      <c r="B81" s="7">
        <f>-993.1+1416.1-0.9</f>
        <v>422.09999999999991</v>
      </c>
      <c r="C81" s="7">
        <f>-16600.9+17311.1-1470+770+549-0.8</f>
        <v>558.39999999999714</v>
      </c>
      <c r="D81" s="7">
        <f>-66068+65770.8-228.8+528.2-0.6</f>
        <v>1.6000000000030012</v>
      </c>
      <c r="E81" s="7">
        <f>20965.4-21378.5+1338-1638-0.7</f>
        <v>-713.79999999999859</v>
      </c>
      <c r="F81" s="7">
        <v>-6.6</v>
      </c>
      <c r="G81" s="7">
        <f>30.8</f>
        <v>30.8</v>
      </c>
      <c r="H81" s="7">
        <v>0</v>
      </c>
      <c r="I81" s="7">
        <f>749.7-35.2</f>
        <v>714.5</v>
      </c>
      <c r="J81" s="7">
        <v>748.5</v>
      </c>
      <c r="K81" s="7">
        <f>848.5-610.1</f>
        <v>238.39999999999998</v>
      </c>
      <c r="L81" s="7">
        <v>1254.5</v>
      </c>
      <c r="M81" s="7">
        <f>750.2-400</f>
        <v>350.20000000000005</v>
      </c>
      <c r="N81" s="7">
        <v>5584.1</v>
      </c>
      <c r="O81" s="7">
        <f>1996-350</f>
        <v>1646</v>
      </c>
      <c r="P81" s="7">
        <f>1406.6-967.7+4727.6</f>
        <v>5166.5</v>
      </c>
      <c r="Q81" s="7">
        <f>-296.5+215.1-349.8-1250</f>
        <v>-1681.2</v>
      </c>
      <c r="R81" s="7">
        <f>175+36.6-36.6+1498.1-1000</f>
        <v>673.09999999999991</v>
      </c>
      <c r="S81" s="7">
        <f>-175+114.6-78.8+1497.8-1000</f>
        <v>358.59999999999991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1:26" s="7" customFormat="1" ht="22" customHeight="1">
      <c r="A82" s="7" t="s">
        <v>65</v>
      </c>
      <c r="B82" s="7">
        <f>-639.2+269.1+431.2</f>
        <v>61.099999999999966</v>
      </c>
      <c r="C82" s="7">
        <f>-237.4+178.2+47.5</f>
        <v>-11.700000000000017</v>
      </c>
      <c r="D82" s="7">
        <f>-71.8+20+75.9</f>
        <v>24.100000000000009</v>
      </c>
      <c r="E82" s="7">
        <f>-129.2+111+5</f>
        <v>-13.199999999999989</v>
      </c>
      <c r="F82" s="7">
        <f>-549+209.9+1.1</f>
        <v>-338</v>
      </c>
      <c r="G82" s="7">
        <f>-966+430</f>
        <v>-536</v>
      </c>
      <c r="H82" s="7">
        <f>-1748.6+1796.4</f>
        <v>47.800000000000182</v>
      </c>
      <c r="I82" s="7">
        <f>-785.9+60.2+980</f>
        <v>254.30000000000007</v>
      </c>
      <c r="J82" s="7">
        <f>-1652.5+1454.8+456.1</f>
        <v>258.39999999999998</v>
      </c>
      <c r="K82" s="7">
        <f>-567.4+600.6+18.8</f>
        <v>52.000000000000043</v>
      </c>
      <c r="L82" s="7">
        <f>-1585.7+680.7+27.9</f>
        <v>-877.1</v>
      </c>
      <c r="M82" s="7">
        <f>-674.4+1054.5+149.6</f>
        <v>529.70000000000005</v>
      </c>
      <c r="N82" s="7">
        <f>-191.9+459+45.3</f>
        <v>312.40000000000003</v>
      </c>
      <c r="O82" s="7">
        <f>-190.4+298.3+59.8</f>
        <v>167.7</v>
      </c>
      <c r="P82" s="7">
        <f>-443.9+186.7+73.7</f>
        <v>-183.5</v>
      </c>
      <c r="Q82" s="7">
        <f>-432+143.2+345.5</f>
        <v>56.699999999999989</v>
      </c>
      <c r="R82" s="7">
        <f>-377.9+72.6+67.3</f>
        <v>-237.99999999999994</v>
      </c>
      <c r="S82" s="7">
        <f>-610.5+2.5+616.9</f>
        <v>8.8999999999999773</v>
      </c>
    </row>
    <row r="83" spans="1:26" s="7" customFormat="1" ht="22" customHeight="1">
      <c r="A83" s="7" t="s">
        <v>58</v>
      </c>
      <c r="B83" s="7">
        <f>159.2+117.4-854</f>
        <v>-577.4</v>
      </c>
      <c r="C83" s="7">
        <f>176.9+93.1-996.8</f>
        <v>-726.8</v>
      </c>
      <c r="D83" s="7">
        <f>112.3+14.7-311.4</f>
        <v>-184.39999999999998</v>
      </c>
      <c r="E83" s="7">
        <f>57.3+15.9</f>
        <v>73.2</v>
      </c>
      <c r="F83" s="7">
        <f>127.9+36.9-285.6</f>
        <v>-120.80000000000001</v>
      </c>
      <c r="G83" s="7">
        <f>250.5+103.9-555.9-15</f>
        <v>-216.5</v>
      </c>
      <c r="H83" s="7">
        <f>236.6+169.8-549.1-58.5</f>
        <v>-201.20000000000005</v>
      </c>
      <c r="I83" s="7">
        <f>247.2+258.1-588.1-121.4</f>
        <v>-204.20000000000002</v>
      </c>
      <c r="J83" s="7">
        <f>139.7+114.4-758.6-77.3</f>
        <v>-581.79999999999995</v>
      </c>
      <c r="K83" s="7">
        <f>191.8+132.4-1436.1-75.5</f>
        <v>-1187.3999999999999</v>
      </c>
      <c r="L83" s="7">
        <f>160.7-1995.6-106</f>
        <v>-1940.8999999999999</v>
      </c>
      <c r="M83" s="7">
        <f>150.8-2042.5-82.8</f>
        <v>-1974.5</v>
      </c>
      <c r="N83" s="7">
        <f>-7133.5-62.7+153.9</f>
        <v>-7042.3</v>
      </c>
      <c r="O83" s="7">
        <f>409.8-10222.3-111.6</f>
        <v>-9924.1</v>
      </c>
      <c r="P83" s="7">
        <f>298.8-1698.9-91.9</f>
        <v>-1492.0000000000002</v>
      </c>
      <c r="Q83" s="7">
        <f>246.2-97</f>
        <v>149.19999999999999</v>
      </c>
      <c r="R83" s="7">
        <f>101.6-4013-127.2</f>
        <v>-4038.6</v>
      </c>
      <c r="S83" s="7">
        <f>-984.4-89.3+167.4</f>
        <v>-906.30000000000007</v>
      </c>
      <c r="T83" s="7">
        <v>-1000</v>
      </c>
      <c r="U83" s="7">
        <v>-1000</v>
      </c>
      <c r="V83" s="35"/>
      <c r="W83" s="35"/>
      <c r="X83" s="35"/>
      <c r="Y83" s="35"/>
      <c r="Z83" s="35"/>
    </row>
    <row r="84" spans="1:26" s="7" customFormat="1" ht="22" customHeight="1">
      <c r="A84" s="7" t="s">
        <v>4</v>
      </c>
      <c r="B84" s="7">
        <f>-39.2+3.5</f>
        <v>-35.700000000000003</v>
      </c>
      <c r="C84" s="7">
        <f>-56.6-3.5+11.3</f>
        <v>-48.8</v>
      </c>
      <c r="D84" s="7">
        <f>-52-1.7+0.9</f>
        <v>-52.800000000000004</v>
      </c>
      <c r="E84" s="7">
        <f>-4.8-1.6+4.3</f>
        <v>-2.1000000000000005</v>
      </c>
      <c r="F84" s="7">
        <f>-1.8-5.2+1.2-45.8</f>
        <v>-51.599999999999994</v>
      </c>
      <c r="G84" s="7">
        <f>-13.2-27.5-5.2-0.8</f>
        <v>-46.7</v>
      </c>
      <c r="H84" s="7">
        <f>-41.8-0.5+9.7</f>
        <v>-32.599999999999994</v>
      </c>
      <c r="I84" s="7">
        <f>-11.9+10.4-1.8</f>
        <v>-3.3</v>
      </c>
      <c r="J84" s="7">
        <f>-19.1-6.9-34.1</f>
        <v>-60.1</v>
      </c>
      <c r="K84" s="7">
        <f>6.8-360.8-18.1-150.6</f>
        <v>-522.70000000000005</v>
      </c>
      <c r="L84" s="7">
        <f>24.9-8.4-3.5</f>
        <v>13</v>
      </c>
      <c r="M84" s="7">
        <f>54.3-4.4+10.8</f>
        <v>60.7</v>
      </c>
      <c r="N84" s="7">
        <f>5.6-41.2-39.5</f>
        <v>-75.099999999999994</v>
      </c>
      <c r="O84" s="7">
        <f>-56.2-17.5-49</f>
        <v>-122.7</v>
      </c>
      <c r="P84" s="7">
        <f>-44.4+64.7-37.7</f>
        <v>-17.399999999999999</v>
      </c>
      <c r="Q84" s="7">
        <f>-81.2+86.2</f>
        <v>5</v>
      </c>
      <c r="R84" s="7">
        <f>-126.3-9.2-250.3</f>
        <v>-385.8</v>
      </c>
      <c r="S84" s="7">
        <f>-56.1-11.1-14.2</f>
        <v>-81.400000000000006</v>
      </c>
      <c r="V84" s="35"/>
      <c r="W84" s="35"/>
      <c r="X84" s="35"/>
      <c r="Y84" s="35"/>
      <c r="Z84" s="35"/>
    </row>
    <row r="85" spans="1:26" s="6" customFormat="1" ht="22" customHeight="1">
      <c r="A85" s="6" t="s">
        <v>54</v>
      </c>
      <c r="B85" s="6">
        <f>+B77+B79+B80+B81+B82+B83+B84</f>
        <v>138.79999999999967</v>
      </c>
      <c r="C85" s="6">
        <f t="shared" ref="C85:J85" si="202">+C77+C79+C80+C81+C82+C83+C84</f>
        <v>-31.300000000002726</v>
      </c>
      <c r="D85" s="6">
        <f t="shared" si="202"/>
        <v>-11.799999999996992</v>
      </c>
      <c r="E85" s="6">
        <f t="shared" si="202"/>
        <v>330.00000000000136</v>
      </c>
      <c r="F85" s="6">
        <f t="shared" si="202"/>
        <v>563.99999999999989</v>
      </c>
      <c r="G85" s="6">
        <f t="shared" si="202"/>
        <v>-15.800000000000139</v>
      </c>
      <c r="H85" s="6">
        <f t="shared" si="202"/>
        <v>40.500000000000369</v>
      </c>
      <c r="I85" s="6">
        <f t="shared" si="202"/>
        <v>1387</v>
      </c>
      <c r="J85" s="6">
        <f t="shared" si="202"/>
        <v>-867.30000000000041</v>
      </c>
      <c r="K85" s="6">
        <f t="shared" ref="K85:N85" si="203">+K77+K79+K80+K81+K82+K83+K84</f>
        <v>-178.29999999999927</v>
      </c>
      <c r="L85" s="6">
        <f t="shared" si="203"/>
        <v>598.7000000000005</v>
      </c>
      <c r="M85" s="6">
        <f t="shared" si="203"/>
        <v>333.50000000000017</v>
      </c>
      <c r="N85" s="6">
        <f t="shared" si="203"/>
        <v>6293.9999999999991</v>
      </c>
      <c r="O85" s="6">
        <f t="shared" ref="O85:P85" si="204">+O77+O79+O80+O81+O82+O83+O84</f>
        <v>-6069.7000000000007</v>
      </c>
      <c r="P85" s="6">
        <f t="shared" si="204"/>
        <v>1664.3</v>
      </c>
      <c r="Q85" s="6">
        <f>+Q77+Q79+Q80+Q81+Q82+Q83+Q84</f>
        <v>2104.8000000000011</v>
      </c>
      <c r="R85" s="6">
        <f>+R77+R79+R80+R81+R82+R83+R84</f>
        <v>-3637.2000000000007</v>
      </c>
      <c r="S85" s="6">
        <f t="shared" ref="S85:Z85" si="205">+S77+S79+S80+S81+S82+S83+S84</f>
        <v>733.10000000000059</v>
      </c>
      <c r="T85" s="6">
        <f t="shared" si="205"/>
        <v>2915.3292175647912</v>
      </c>
      <c r="U85" s="6">
        <f t="shared" si="205"/>
        <v>3087.5161808958364</v>
      </c>
      <c r="V85" s="6">
        <f t="shared" si="205"/>
        <v>4465.9149896129065</v>
      </c>
      <c r="W85" s="6">
        <f t="shared" si="205"/>
        <v>4822.1115906002633</v>
      </c>
      <c r="X85" s="6">
        <f t="shared" si="205"/>
        <v>5179.4399642755761</v>
      </c>
      <c r="Y85" s="6">
        <f t="shared" si="205"/>
        <v>5536.7614412587427</v>
      </c>
      <c r="Z85" s="6">
        <f t="shared" si="205"/>
        <v>5892.982031408168</v>
      </c>
    </row>
    <row r="86" spans="1:26" s="9" customFormat="1" ht="22" customHeight="1">
      <c r="V86" s="41"/>
      <c r="W86" s="41"/>
      <c r="X86" s="41"/>
      <c r="Y86" s="41"/>
      <c r="Z86" s="41"/>
    </row>
    <row r="87" spans="1:26" s="2" customFormat="1" ht="22" customHeight="1">
      <c r="A87" s="12" t="s">
        <v>6</v>
      </c>
      <c r="V87" s="31"/>
      <c r="W87" s="31"/>
      <c r="X87" s="31"/>
      <c r="Y87" s="31"/>
      <c r="Z87" s="31"/>
    </row>
    <row r="88" spans="1:26" s="2" customFormat="1" ht="22" customHeight="1">
      <c r="A88" s="12"/>
      <c r="V88" s="31"/>
      <c r="W88" s="31"/>
      <c r="X88" s="31"/>
      <c r="Y88" s="31"/>
      <c r="Z88" s="31"/>
    </row>
    <row r="89" spans="1:26" s="2" customFormat="1" ht="22" customHeight="1">
      <c r="A89" s="12" t="s">
        <v>7</v>
      </c>
      <c r="V89" s="31"/>
      <c r="W89" s="31"/>
      <c r="X89" s="31"/>
      <c r="Y89" s="31"/>
      <c r="Z89" s="31"/>
    </row>
    <row r="90" spans="1:26" s="2" customFormat="1" ht="22" customHeight="1">
      <c r="A90" s="12"/>
      <c r="J90" s="6"/>
      <c r="V90" s="31"/>
      <c r="W90" s="31"/>
      <c r="X90" s="31"/>
      <c r="Y90" s="31"/>
      <c r="Z90" s="31"/>
    </row>
    <row r="91" spans="1:26" s="6" customFormat="1" ht="22" customHeight="1">
      <c r="A91" s="6" t="s">
        <v>8</v>
      </c>
      <c r="B91" s="6">
        <f>312.6+87.5+53.5</f>
        <v>453.6</v>
      </c>
      <c r="C91" s="6">
        <f>281.3+83.8+73.6</f>
        <v>438.70000000000005</v>
      </c>
      <c r="D91" s="6">
        <f>269.8+3+49.5</f>
        <v>322.3</v>
      </c>
      <c r="E91" s="6">
        <f>599.8+21.5+44.8</f>
        <v>666.09999999999991</v>
      </c>
      <c r="F91" s="6">
        <f>1164+236.5+49.2</f>
        <v>1449.7</v>
      </c>
      <c r="G91" s="6">
        <f>1148.1+855+47.6</f>
        <v>2050.6999999999998</v>
      </c>
      <c r="H91" s="6">
        <f>1188.6+848.4</f>
        <v>2037</v>
      </c>
      <c r="I91" s="6">
        <f>2575.7+658.1</f>
        <v>3233.7999999999997</v>
      </c>
      <c r="J91" s="6">
        <f>1708.4+135.4</f>
        <v>1843.8000000000002</v>
      </c>
      <c r="K91" s="6">
        <f>1530.1+81.3</f>
        <v>1611.3999999999999</v>
      </c>
      <c r="L91" s="6">
        <f>2128.8+134.4</f>
        <v>2263.2000000000003</v>
      </c>
      <c r="M91" s="6">
        <f>2462.3+228.6</f>
        <v>2690.9</v>
      </c>
      <c r="N91" s="6">
        <f>8756.3+181.5</f>
        <v>8937.7999999999993</v>
      </c>
      <c r="O91" s="6">
        <f>2686.6+70.5</f>
        <v>2757.1</v>
      </c>
      <c r="P91" s="6">
        <f>4350.9+281.2</f>
        <v>4632.0999999999995</v>
      </c>
      <c r="Q91" s="6">
        <f>6455.7+162.2</f>
        <v>6617.9</v>
      </c>
      <c r="R91" s="6">
        <f>2818.4+364.5</f>
        <v>3182.9</v>
      </c>
      <c r="S91" s="6">
        <f>3551.5+401.5</f>
        <v>3953</v>
      </c>
      <c r="T91" s="6">
        <f>+S91+T85</f>
        <v>6868.3292175647912</v>
      </c>
      <c r="U91" s="6">
        <f t="shared" ref="U91" si="206">+T91+U85</f>
        <v>9955.8453984606276</v>
      </c>
      <c r="V91" s="6">
        <f t="shared" ref="V91" si="207">+U91+V85</f>
        <v>14421.760388073533</v>
      </c>
      <c r="W91" s="6">
        <f t="shared" ref="W91" si="208">+V91+W85</f>
        <v>19243.871978673797</v>
      </c>
      <c r="X91" s="6">
        <f t="shared" ref="X91" si="209">+W91+X85</f>
        <v>24423.311942949374</v>
      </c>
      <c r="Y91" s="6">
        <f t="shared" ref="Y91" si="210">+X91+Y85</f>
        <v>29960.073384208117</v>
      </c>
      <c r="Z91" s="6">
        <f t="shared" ref="Z91" si="211">+Y91+Z85</f>
        <v>35853.055415616283</v>
      </c>
    </row>
    <row r="92" spans="1:26" s="7" customFormat="1" ht="22" customHeight="1">
      <c r="A92" s="7" t="s">
        <v>9</v>
      </c>
      <c r="B92" s="7">
        <v>224.3</v>
      </c>
      <c r="C92" s="7">
        <v>287.89999999999998</v>
      </c>
      <c r="D92" s="7">
        <v>329.5</v>
      </c>
      <c r="E92" s="7">
        <v>271</v>
      </c>
      <c r="F92" s="7">
        <v>302.7</v>
      </c>
      <c r="G92" s="7">
        <v>386.5</v>
      </c>
      <c r="H92" s="7">
        <v>485.9</v>
      </c>
      <c r="I92" s="7">
        <v>561.4</v>
      </c>
      <c r="J92" s="7">
        <v>631</v>
      </c>
      <c r="K92" s="7">
        <v>719</v>
      </c>
      <c r="L92" s="7">
        <v>768.8</v>
      </c>
      <c r="M92" s="7">
        <v>870.4</v>
      </c>
      <c r="N92" s="7">
        <v>693.1</v>
      </c>
      <c r="O92" s="7">
        <v>879.2</v>
      </c>
      <c r="P92" s="7">
        <v>883.4</v>
      </c>
      <c r="Q92" s="7">
        <v>940</v>
      </c>
      <c r="R92" s="7">
        <v>1175.5</v>
      </c>
      <c r="S92" s="7">
        <v>1184.0999999999999</v>
      </c>
      <c r="T92" s="7">
        <v>1200</v>
      </c>
      <c r="U92" s="7">
        <v>1275</v>
      </c>
      <c r="V92" s="35"/>
      <c r="W92" s="35"/>
      <c r="X92" s="35"/>
      <c r="Y92" s="35"/>
      <c r="Z92" s="35"/>
    </row>
    <row r="93" spans="1:26" s="7" customFormat="1" ht="22" customHeight="1">
      <c r="A93" s="7" t="s">
        <v>10</v>
      </c>
      <c r="B93" s="7">
        <v>636.20000000000005</v>
      </c>
      <c r="C93" s="7">
        <v>691.7</v>
      </c>
      <c r="D93" s="7">
        <v>692.8</v>
      </c>
      <c r="E93" s="7">
        <v>664.9</v>
      </c>
      <c r="F93" s="7">
        <v>543.29999999999995</v>
      </c>
      <c r="G93" s="7">
        <v>965.8</v>
      </c>
      <c r="H93" s="7">
        <v>1241.5</v>
      </c>
      <c r="I93" s="7">
        <v>1111.2</v>
      </c>
      <c r="J93" s="7">
        <v>1090.9000000000001</v>
      </c>
      <c r="K93" s="7">
        <v>1306.4000000000001</v>
      </c>
      <c r="L93" s="7">
        <v>1378.5</v>
      </c>
      <c r="M93" s="7">
        <v>1364</v>
      </c>
      <c r="N93" s="7">
        <v>1400.5</v>
      </c>
      <c r="O93" s="7">
        <v>1529.4</v>
      </c>
      <c r="P93" s="7">
        <v>1551.4</v>
      </c>
      <c r="Q93" s="7">
        <v>1603.9</v>
      </c>
      <c r="R93" s="7">
        <v>2176.6</v>
      </c>
      <c r="S93" s="7">
        <v>1806.4</v>
      </c>
      <c r="T93" s="7">
        <v>2000</v>
      </c>
      <c r="U93" s="7">
        <v>2200</v>
      </c>
      <c r="V93" s="35"/>
      <c r="W93" s="35"/>
      <c r="X93" s="35"/>
      <c r="Y93" s="35"/>
      <c r="Z93" s="35"/>
    </row>
    <row r="94" spans="1:26" s="7" customFormat="1" ht="22" customHeight="1">
      <c r="A94" s="7" t="s">
        <v>4</v>
      </c>
      <c r="B94" s="7">
        <f>126.9+88.8</f>
        <v>215.7</v>
      </c>
      <c r="C94" s="7">
        <f>148.8+129.4</f>
        <v>278.20000000000005</v>
      </c>
      <c r="D94" s="7">
        <f>169.2+234.2</f>
        <v>403.4</v>
      </c>
      <c r="E94" s="7">
        <f>147.2+286.6</f>
        <v>433.8</v>
      </c>
      <c r="F94" s="7">
        <f>156.5+304.2</f>
        <v>460.7</v>
      </c>
      <c r="G94" s="7">
        <f>161.5+230.4</f>
        <v>391.9</v>
      </c>
      <c r="H94" s="7">
        <f>196.5+238.7</f>
        <v>435.2</v>
      </c>
      <c r="I94" s="7">
        <f>287.7+214.8</f>
        <v>502.5</v>
      </c>
      <c r="J94" s="7">
        <f>285.6+317.4</f>
        <v>603</v>
      </c>
      <c r="K94" s="7">
        <v>334.2</v>
      </c>
      <c r="L94" s="7">
        <v>350</v>
      </c>
      <c r="M94" s="7">
        <v>358.1</v>
      </c>
      <c r="N94" s="7">
        <v>1462.8</v>
      </c>
      <c r="O94" s="7">
        <v>488.2</v>
      </c>
      <c r="P94" s="7">
        <v>739.5</v>
      </c>
      <c r="Q94" s="7">
        <v>594.6</v>
      </c>
      <c r="R94" s="7">
        <v>483.7</v>
      </c>
      <c r="S94" s="7">
        <v>359.9</v>
      </c>
      <c r="T94" s="7">
        <v>400</v>
      </c>
      <c r="U94" s="7">
        <v>400</v>
      </c>
      <c r="V94" s="35"/>
      <c r="W94" s="35"/>
      <c r="X94" s="35"/>
      <c r="Y94" s="35"/>
      <c r="Z94" s="35"/>
    </row>
    <row r="95" spans="1:26" s="6" customFormat="1" ht="22" customHeight="1">
      <c r="A95" s="6" t="s">
        <v>11</v>
      </c>
      <c r="B95" s="6">
        <f t="shared" ref="B95" si="212">SUM(B91:B94)</f>
        <v>1529.8000000000002</v>
      </c>
      <c r="C95" s="6">
        <f t="shared" ref="C95" si="213">SUM(C91:C94)</f>
        <v>1696.5000000000002</v>
      </c>
      <c r="D95" s="6">
        <f t="shared" ref="D95" si="214">SUM(D91:D94)</f>
        <v>1748</v>
      </c>
      <c r="E95" s="6">
        <f t="shared" ref="E95" si="215">SUM(E91:E94)</f>
        <v>2035.8</v>
      </c>
      <c r="F95" s="6">
        <f t="shared" ref="F95" si="216">SUM(F91:F94)</f>
        <v>2756.3999999999996</v>
      </c>
      <c r="G95" s="6">
        <f t="shared" ref="G95" si="217">SUM(G91:G94)</f>
        <v>3794.9</v>
      </c>
      <c r="H95" s="6">
        <f t="shared" ref="H95" si="218">SUM(H91:H94)</f>
        <v>4199.6000000000004</v>
      </c>
      <c r="I95" s="6">
        <f>SUM(I91:I94)</f>
        <v>5408.9</v>
      </c>
      <c r="J95" s="6">
        <f>SUM(J90:J94)</f>
        <v>4168.7000000000007</v>
      </c>
      <c r="K95" s="6">
        <f t="shared" ref="K95" si="219">SUM(K91:K94)</f>
        <v>3970.9999999999995</v>
      </c>
      <c r="L95" s="6">
        <f t="shared" ref="L95" si="220">SUM(L91:L94)</f>
        <v>4760.5</v>
      </c>
      <c r="M95" s="6">
        <f t="shared" ref="M95" si="221">SUM(M91:M94)</f>
        <v>5283.4000000000005</v>
      </c>
      <c r="N95" s="6">
        <f t="shared" ref="N95" si="222">SUM(N91:N94)</f>
        <v>12494.199999999999</v>
      </c>
      <c r="O95" s="6">
        <f t="shared" ref="O95" si="223">SUM(O91:O94)</f>
        <v>5653.9000000000005</v>
      </c>
      <c r="P95" s="6">
        <f t="shared" ref="P95:S95" si="224">SUM(P91:P94)</f>
        <v>7806.4</v>
      </c>
      <c r="Q95" s="6">
        <f t="shared" si="224"/>
        <v>9756.4</v>
      </c>
      <c r="R95" s="6">
        <f>SUM(R91:R94)</f>
        <v>7018.7</v>
      </c>
      <c r="S95" s="6">
        <f t="shared" si="224"/>
        <v>7303.4</v>
      </c>
      <c r="T95" s="6">
        <f t="shared" ref="T95" si="225">SUM(T91:T94)</f>
        <v>10468.329217564791</v>
      </c>
      <c r="U95" s="6">
        <f t="shared" ref="U95" si="226">SUM(U91:U94)</f>
        <v>13830.845398460628</v>
      </c>
      <c r="V95" s="34"/>
      <c r="W95" s="34"/>
      <c r="X95" s="34"/>
      <c r="Y95" s="34"/>
      <c r="Z95" s="34"/>
    </row>
    <row r="96" spans="1:26" s="7" customFormat="1" ht="22" customHeight="1">
      <c r="A96" s="7" t="s">
        <v>12</v>
      </c>
      <c r="B96" s="7">
        <v>2287.9</v>
      </c>
      <c r="C96" s="7">
        <v>2890.4</v>
      </c>
      <c r="D96" s="7">
        <v>2956.4</v>
      </c>
      <c r="E96" s="7">
        <v>2536.4</v>
      </c>
      <c r="F96" s="7">
        <v>2416.5</v>
      </c>
      <c r="G96" s="7">
        <v>2355</v>
      </c>
      <c r="H96" s="7">
        <v>2658.9</v>
      </c>
      <c r="I96" s="7">
        <v>3200.5</v>
      </c>
      <c r="J96" s="7">
        <v>3519</v>
      </c>
      <c r="K96" s="7">
        <v>4088.3</v>
      </c>
      <c r="L96" s="7">
        <v>4533.8</v>
      </c>
      <c r="M96" s="7">
        <v>4919.5</v>
      </c>
      <c r="N96" s="7">
        <v>5929.1</v>
      </c>
      <c r="O96" s="7">
        <v>6431.7</v>
      </c>
      <c r="P96" s="7">
        <v>6241.4</v>
      </c>
      <c r="Q96" s="7">
        <v>6369.5</v>
      </c>
      <c r="R96" s="7">
        <v>6560.5</v>
      </c>
      <c r="S96" s="7">
        <v>7387.1</v>
      </c>
      <c r="T96" s="7">
        <v>8000</v>
      </c>
      <c r="U96" s="7">
        <v>8800</v>
      </c>
      <c r="V96" s="35"/>
      <c r="W96" s="35"/>
      <c r="X96" s="35"/>
      <c r="Y96" s="35"/>
      <c r="Z96" s="35"/>
    </row>
    <row r="97" spans="1:28" s="7" customFormat="1" ht="22" customHeight="1">
      <c r="A97" s="7" t="s">
        <v>72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8134.1</v>
      </c>
      <c r="Q97" s="7">
        <v>8236</v>
      </c>
      <c r="R97" s="7">
        <v>8015.6</v>
      </c>
      <c r="S97" s="7">
        <v>8412.6</v>
      </c>
      <c r="T97" s="7">
        <v>8800</v>
      </c>
      <c r="U97" s="7">
        <v>9000</v>
      </c>
      <c r="V97" s="35"/>
      <c r="W97" s="35"/>
      <c r="X97" s="35"/>
      <c r="Y97" s="35"/>
      <c r="Z97" s="35"/>
    </row>
    <row r="98" spans="1:28" s="7" customFormat="1" ht="22" customHeight="1">
      <c r="A98" s="7" t="s">
        <v>73</v>
      </c>
      <c r="B98" s="7">
        <v>5.8</v>
      </c>
      <c r="C98" s="7">
        <v>21</v>
      </c>
      <c r="D98" s="7">
        <v>71.400000000000006</v>
      </c>
      <c r="E98" s="7">
        <v>71.2</v>
      </c>
      <c r="F98" s="7">
        <v>191.8</v>
      </c>
      <c r="G98" s="7">
        <v>107</v>
      </c>
      <c r="H98" s="7">
        <v>116</v>
      </c>
      <c r="I98" s="7">
        <v>58.3</v>
      </c>
      <c r="J98" s="7">
        <v>318.39999999999998</v>
      </c>
      <c r="K98" s="7">
        <v>312.5</v>
      </c>
      <c r="L98" s="7">
        <v>1141.7</v>
      </c>
      <c r="M98" s="7">
        <v>542.29999999999995</v>
      </c>
      <c r="N98" s="7">
        <v>267.7</v>
      </c>
      <c r="O98" s="7">
        <v>220</v>
      </c>
      <c r="P98" s="7">
        <v>206.1</v>
      </c>
      <c r="Q98" s="7">
        <v>281.7</v>
      </c>
      <c r="R98" s="7">
        <v>279.10000000000002</v>
      </c>
      <c r="S98" s="7">
        <v>247.4</v>
      </c>
      <c r="T98" s="7">
        <v>247</v>
      </c>
      <c r="U98" s="7">
        <v>247</v>
      </c>
      <c r="V98" s="35"/>
      <c r="W98" s="35"/>
      <c r="X98" s="35"/>
      <c r="Y98" s="35"/>
      <c r="Z98" s="35"/>
    </row>
    <row r="99" spans="1:28" s="7" customFormat="1" ht="22" customHeight="1">
      <c r="A99" s="7" t="s">
        <v>13</v>
      </c>
      <c r="B99" s="7">
        <f>219.1+186.9+38+161.5</f>
        <v>605.5</v>
      </c>
      <c r="C99" s="7">
        <f>258.9+219.4+42.1+215.6</f>
        <v>736</v>
      </c>
      <c r="D99" s="7">
        <f>302.6+261.1+66.6+266.5</f>
        <v>896.80000000000007</v>
      </c>
      <c r="E99" s="7">
        <f>352.3+253.8+68.2+259.1</f>
        <v>933.40000000000009</v>
      </c>
      <c r="F99" s="7">
        <f>341.5+346.5+70.8+262.4</f>
        <v>1021.1999999999999</v>
      </c>
      <c r="G99" s="7">
        <f>372.3+297.7+111.9+321.6</f>
        <v>1103.5</v>
      </c>
      <c r="H99" s="7">
        <f>459.9+242+143.7+399.1</f>
        <v>1244.6999999999998</v>
      </c>
      <c r="I99" s="7">
        <f>496.5+202.1+274.8+862.9</f>
        <v>1836.3000000000002</v>
      </c>
      <c r="J99" s="7">
        <f>514.9+903.3+198.9+273.5+856.2</f>
        <v>2746.8</v>
      </c>
      <c r="K99" s="7">
        <f>352+1180.8+415.9+520.4+1575.4</f>
        <v>4044.5</v>
      </c>
      <c r="L99" s="7">
        <f>354.5+885.4+417.7+516.3+1719.6</f>
        <v>3893.5</v>
      </c>
      <c r="M99" s="7">
        <f>481.6+795.4+362.8+441.4+1539.2</f>
        <v>3620.3999999999996</v>
      </c>
      <c r="N99" s="7">
        <f>334.7+134.7+412.2+1042.2+3541.6</f>
        <v>5465.4</v>
      </c>
      <c r="O99" s="7">
        <f>396+1765.8+479.6+781.8+3490.8</f>
        <v>6914</v>
      </c>
      <c r="P99" s="7">
        <f>478.7+1789.9+568.6+552.1+3597.2</f>
        <v>6986.5</v>
      </c>
      <c r="Q99" s="7">
        <f>1874.8+578.5+349.9+3677.3+268.5</f>
        <v>6749</v>
      </c>
      <c r="R99" s="7">
        <f>311.2+1799.7+554.2+155.9+3283.5</f>
        <v>6104.5</v>
      </c>
      <c r="S99" s="7">
        <f>439.9+1769.8+546.5+120.5+3218.3</f>
        <v>6095</v>
      </c>
      <c r="T99" s="7">
        <v>6100</v>
      </c>
      <c r="U99" s="7">
        <v>6200</v>
      </c>
      <c r="V99" s="35"/>
      <c r="W99" s="35"/>
      <c r="X99" s="35"/>
      <c r="Y99" s="35"/>
      <c r="Z99" s="35"/>
    </row>
    <row r="100" spans="1:28" s="6" customFormat="1" ht="22" customHeight="1">
      <c r="A100" s="6" t="s">
        <v>14</v>
      </c>
      <c r="B100" s="6">
        <f t="shared" ref="B100:G100" si="227">SUM(B95:B99)</f>
        <v>4429</v>
      </c>
      <c r="C100" s="6">
        <f t="shared" si="227"/>
        <v>5343.9000000000005</v>
      </c>
      <c r="D100" s="6">
        <f t="shared" si="227"/>
        <v>5672.5999999999995</v>
      </c>
      <c r="E100" s="6">
        <f t="shared" si="227"/>
        <v>5576.7999999999993</v>
      </c>
      <c r="F100" s="6">
        <f t="shared" si="227"/>
        <v>6385.9</v>
      </c>
      <c r="G100" s="6">
        <f t="shared" si="227"/>
        <v>7360.4</v>
      </c>
      <c r="H100" s="6">
        <f t="shared" ref="H100:J100" si="228">SUM(H95:H99)</f>
        <v>8219.2000000000007</v>
      </c>
      <c r="I100" s="6">
        <f t="shared" si="228"/>
        <v>10504</v>
      </c>
      <c r="J100" s="6">
        <f t="shared" si="228"/>
        <v>10752.900000000001</v>
      </c>
      <c r="K100" s="6">
        <f t="shared" ref="K100:U100" si="229">SUM(K95:K99)</f>
        <v>12416.3</v>
      </c>
      <c r="L100" s="6">
        <f t="shared" si="229"/>
        <v>14329.5</v>
      </c>
      <c r="M100" s="6">
        <f t="shared" si="229"/>
        <v>14365.6</v>
      </c>
      <c r="N100" s="6">
        <f t="shared" si="229"/>
        <v>24156.400000000001</v>
      </c>
      <c r="O100" s="6">
        <f t="shared" si="229"/>
        <v>19219.599999999999</v>
      </c>
      <c r="P100" s="6">
        <f t="shared" si="229"/>
        <v>29374.5</v>
      </c>
      <c r="Q100" s="6">
        <f t="shared" si="229"/>
        <v>31392.600000000002</v>
      </c>
      <c r="R100" s="6">
        <f t="shared" si="229"/>
        <v>27978.400000000001</v>
      </c>
      <c r="S100" s="6">
        <f t="shared" si="229"/>
        <v>29445.5</v>
      </c>
      <c r="T100" s="6">
        <f t="shared" si="229"/>
        <v>33615.329217564795</v>
      </c>
      <c r="U100" s="6">
        <f t="shared" si="229"/>
        <v>38077.845398460631</v>
      </c>
      <c r="V100" s="34"/>
      <c r="W100" s="34"/>
      <c r="X100" s="34"/>
      <c r="Y100" s="34"/>
      <c r="Z100" s="34"/>
    </row>
    <row r="101" spans="1:28" s="2" customFormat="1" ht="22" customHeight="1">
      <c r="A101" s="12"/>
      <c r="V101" s="31"/>
      <c r="W101" s="31"/>
      <c r="X101" s="31"/>
      <c r="Y101" s="31"/>
      <c r="Z101" s="31"/>
    </row>
    <row r="102" spans="1:28" s="2" customFormat="1" ht="22" customHeight="1">
      <c r="A102" s="12" t="s">
        <v>15</v>
      </c>
      <c r="V102" s="31"/>
      <c r="W102" s="31"/>
      <c r="X102" s="31"/>
      <c r="Y102" s="31"/>
      <c r="Z102" s="31"/>
    </row>
    <row r="103" spans="1:28" s="2" customFormat="1" ht="22" customHeight="1">
      <c r="A103" s="12"/>
      <c r="V103" s="31"/>
      <c r="W103" s="31"/>
      <c r="X103" s="31"/>
      <c r="Y103" s="31"/>
      <c r="Z103" s="31"/>
    </row>
    <row r="104" spans="1:28" s="6" customFormat="1" ht="22" customHeight="1">
      <c r="A104" s="6" t="s">
        <v>16</v>
      </c>
      <c r="B104" s="6">
        <v>340.9</v>
      </c>
      <c r="C104" s="6">
        <v>390.8</v>
      </c>
      <c r="D104" s="6">
        <v>324.89999999999998</v>
      </c>
      <c r="E104" s="6">
        <v>267.10000000000002</v>
      </c>
      <c r="F104" s="6">
        <v>282.60000000000002</v>
      </c>
      <c r="G104" s="6">
        <v>540</v>
      </c>
      <c r="H104" s="6">
        <v>398.1</v>
      </c>
      <c r="I104" s="6">
        <v>491.7</v>
      </c>
      <c r="J104" s="6">
        <v>533.70000000000005</v>
      </c>
      <c r="K104" s="6">
        <v>684.2</v>
      </c>
      <c r="L104" s="6">
        <v>730.6</v>
      </c>
      <c r="M104" s="6">
        <v>782.5</v>
      </c>
      <c r="N104" s="6">
        <v>1179.3</v>
      </c>
      <c r="O104" s="6">
        <v>1189.7</v>
      </c>
      <c r="P104" s="6">
        <v>997.9</v>
      </c>
      <c r="Q104" s="6">
        <v>1211.5999999999999</v>
      </c>
      <c r="R104" s="6">
        <v>1441.4</v>
      </c>
      <c r="S104" s="6">
        <v>1544.3</v>
      </c>
      <c r="T104" s="6">
        <v>1600</v>
      </c>
      <c r="U104" s="6">
        <v>1700</v>
      </c>
      <c r="V104" s="34"/>
      <c r="W104" s="34"/>
      <c r="X104" s="34"/>
      <c r="Y104" s="34"/>
      <c r="Z104" s="34"/>
    </row>
    <row r="105" spans="1:28" s="7" customFormat="1" ht="22" customHeight="1">
      <c r="A105" s="7" t="s">
        <v>17</v>
      </c>
      <c r="B105" s="7">
        <v>894</v>
      </c>
      <c r="C105" s="7">
        <v>1054</v>
      </c>
      <c r="D105" s="7">
        <v>1151</v>
      </c>
      <c r="E105" s="7">
        <v>1314</v>
      </c>
      <c r="F105" s="7">
        <f>400+173.2+100.2+146.2+262.8+414.1</f>
        <v>1496.5</v>
      </c>
      <c r="G105" s="7">
        <f>364.4+148.3+109.2+145.6+319+449.3</f>
        <v>1535.8</v>
      </c>
      <c r="H105" s="7">
        <f>1133.8+167.7+510.2</f>
        <v>1811.7</v>
      </c>
      <c r="I105" s="7">
        <f>1270.8+178.5+653.7</f>
        <v>2103</v>
      </c>
      <c r="J105" s="7">
        <f>1514.4+196.1+794.5</f>
        <v>2505</v>
      </c>
      <c r="K105" s="7">
        <f>1755.3+224.8+983.3</f>
        <v>2963.3999999999996</v>
      </c>
      <c r="L105" s="7">
        <f>1999.1+246+1171.2</f>
        <v>3416.3</v>
      </c>
      <c r="M105" s="7">
        <f>1934.5+215.2+1288.5</f>
        <v>3438.2</v>
      </c>
      <c r="N105" s="7">
        <f>2298.4+213.7+1642.9</f>
        <v>4155</v>
      </c>
      <c r="O105" s="7">
        <f>3499.5+210.5+1269</f>
        <v>4979</v>
      </c>
      <c r="P105" s="7">
        <f>1160.7+696+98.2+1248.8+1456.5</f>
        <v>4660.2</v>
      </c>
      <c r="Q105" s="7">
        <f>1973.2+772.3+348+1251.3+1596.1</f>
        <v>5940.9</v>
      </c>
      <c r="R105" s="7">
        <f>2137.1+761.7+1245.7+1641.9</f>
        <v>5786.4</v>
      </c>
      <c r="S105" s="7">
        <f>2145.1+828.3+1275.3+1700.2</f>
        <v>5948.9</v>
      </c>
      <c r="T105" s="7">
        <v>6100</v>
      </c>
      <c r="U105" s="7">
        <v>6300</v>
      </c>
      <c r="V105" s="35"/>
      <c r="W105" s="35"/>
      <c r="X105" s="35"/>
      <c r="Y105" s="35"/>
      <c r="Z105" s="35"/>
    </row>
    <row r="106" spans="1:28" s="7" customFormat="1" ht="22" customHeight="1">
      <c r="A106" s="7" t="s">
        <v>18</v>
      </c>
      <c r="B106" s="7">
        <f>700+0.8</f>
        <v>700.8</v>
      </c>
      <c r="C106" s="7">
        <f>710.3+0.8</f>
        <v>711.09999999999991</v>
      </c>
      <c r="D106" s="7">
        <f>713+0.7</f>
        <v>713.7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400</v>
      </c>
      <c r="M106" s="7">
        <v>0</v>
      </c>
      <c r="N106" s="7">
        <v>349.9</v>
      </c>
      <c r="O106" s="7">
        <v>0</v>
      </c>
      <c r="P106" s="7">
        <f>438.8+1249.9</f>
        <v>1688.7</v>
      </c>
      <c r="Q106" s="7">
        <v>998.9</v>
      </c>
      <c r="R106" s="7">
        <f>175+1749</f>
        <v>1924</v>
      </c>
      <c r="S106" s="7">
        <f>33.5+1818.6</f>
        <v>1852.1</v>
      </c>
      <c r="T106" s="7">
        <v>1852</v>
      </c>
      <c r="U106" s="7">
        <v>1852</v>
      </c>
      <c r="V106" s="35"/>
      <c r="W106" s="35"/>
      <c r="X106" s="35"/>
      <c r="Y106" s="35"/>
      <c r="Z106" s="35"/>
    </row>
    <row r="107" spans="1:28" s="6" customFormat="1" ht="22" customHeight="1">
      <c r="A107" s="6" t="s">
        <v>19</v>
      </c>
      <c r="B107" s="6">
        <f t="shared" ref="B107:G107" si="230">SUM(B104:B106)</f>
        <v>1935.7</v>
      </c>
      <c r="C107" s="6">
        <f t="shared" si="230"/>
        <v>2155.8999999999996</v>
      </c>
      <c r="D107" s="6">
        <f t="shared" si="230"/>
        <v>2189.6000000000004</v>
      </c>
      <c r="E107" s="6">
        <f t="shared" si="230"/>
        <v>1581.1</v>
      </c>
      <c r="F107" s="6">
        <f t="shared" si="230"/>
        <v>1779.1</v>
      </c>
      <c r="G107" s="6">
        <f t="shared" si="230"/>
        <v>2075.8000000000002</v>
      </c>
      <c r="H107" s="6">
        <f t="shared" ref="H107:J107" si="231">SUM(H104:H106)</f>
        <v>2209.8000000000002</v>
      </c>
      <c r="I107" s="6">
        <f t="shared" si="231"/>
        <v>2594.6999999999998</v>
      </c>
      <c r="J107" s="6">
        <f t="shared" si="231"/>
        <v>3038.7</v>
      </c>
      <c r="K107" s="6">
        <f t="shared" ref="K107:M107" si="232">SUM(K104:K106)</f>
        <v>3647.5999999999995</v>
      </c>
      <c r="L107" s="6">
        <f t="shared" si="232"/>
        <v>4546.9000000000005</v>
      </c>
      <c r="M107" s="6">
        <f t="shared" si="232"/>
        <v>4220.7</v>
      </c>
      <c r="N107" s="6">
        <f t="shared" ref="N107:P107" si="233">SUM(N104:N106)</f>
        <v>5684.2</v>
      </c>
      <c r="O107" s="6">
        <f t="shared" si="233"/>
        <v>6168.7</v>
      </c>
      <c r="P107" s="6">
        <f t="shared" si="233"/>
        <v>7346.7999999999993</v>
      </c>
      <c r="Q107" s="6">
        <f t="shared" ref="Q107:R107" si="234">SUM(Q104:Q106)</f>
        <v>8151.4</v>
      </c>
      <c r="R107" s="6">
        <f t="shared" si="234"/>
        <v>9151.7999999999993</v>
      </c>
      <c r="S107" s="6">
        <f t="shared" ref="S107:T107" si="235">SUM(S104:S106)</f>
        <v>9345.2999999999993</v>
      </c>
      <c r="T107" s="6">
        <f t="shared" si="235"/>
        <v>9552</v>
      </c>
      <c r="U107" s="6">
        <f t="shared" ref="U107" si="236">SUM(U104:U106)</f>
        <v>9852</v>
      </c>
      <c r="V107" s="34"/>
      <c r="W107" s="34"/>
      <c r="X107" s="34"/>
      <c r="Y107" s="34"/>
      <c r="Z107" s="34"/>
    </row>
    <row r="108" spans="1:28" s="7" customFormat="1" ht="22" customHeight="1">
      <c r="A108" s="7" t="s">
        <v>20</v>
      </c>
      <c r="B108" s="7">
        <v>2</v>
      </c>
      <c r="C108" s="7">
        <v>550.1</v>
      </c>
      <c r="D108" s="7">
        <v>549.6</v>
      </c>
      <c r="E108" s="7">
        <v>549.29999999999995</v>
      </c>
      <c r="F108" s="7">
        <v>549.4</v>
      </c>
      <c r="G108" s="7">
        <v>549.5</v>
      </c>
      <c r="H108" s="7">
        <v>549.6</v>
      </c>
      <c r="I108" s="7">
        <v>1299.4000000000001</v>
      </c>
      <c r="J108" s="7">
        <v>2048.3000000000002</v>
      </c>
      <c r="K108" s="7">
        <v>2347.5</v>
      </c>
      <c r="L108" s="7">
        <v>3202.2</v>
      </c>
      <c r="M108" s="7">
        <v>3932.6</v>
      </c>
      <c r="N108" s="7">
        <v>9090.2000000000007</v>
      </c>
      <c r="O108" s="7">
        <v>11167</v>
      </c>
      <c r="P108" s="7">
        <v>14659.6</v>
      </c>
      <c r="Q108" s="7">
        <v>13616.9</v>
      </c>
      <c r="R108" s="7">
        <v>13119.9</v>
      </c>
      <c r="S108" s="7">
        <v>13547.6</v>
      </c>
      <c r="T108" s="7">
        <v>13547.6</v>
      </c>
      <c r="U108" s="7">
        <v>13547.6</v>
      </c>
      <c r="V108" s="35"/>
      <c r="W108" s="35"/>
      <c r="X108" s="35"/>
      <c r="Y108" s="35"/>
      <c r="Z108" s="35"/>
    </row>
    <row r="109" spans="1:28" s="7" customFormat="1" ht="22" customHeight="1">
      <c r="A109" s="7" t="s">
        <v>21</v>
      </c>
      <c r="B109" s="7">
        <v>262.89999999999998</v>
      </c>
      <c r="C109" s="7">
        <v>354.1</v>
      </c>
      <c r="D109" s="7">
        <v>442.4</v>
      </c>
      <c r="E109" s="7">
        <v>389.6</v>
      </c>
      <c r="F109" s="7">
        <v>375.1</v>
      </c>
      <c r="G109" s="7">
        <v>347.8</v>
      </c>
      <c r="H109" s="7">
        <v>345.3</v>
      </c>
      <c r="I109" s="7">
        <v>414.4</v>
      </c>
      <c r="J109" s="7">
        <v>392.2</v>
      </c>
      <c r="K109" s="7">
        <v>600.9</v>
      </c>
      <c r="L109" s="7">
        <v>689.7</v>
      </c>
      <c r="M109" s="7">
        <f>4.4+750.9</f>
        <v>755.3</v>
      </c>
      <c r="N109" s="7">
        <f>6775.7+1430.5</f>
        <v>8206.2000000000007</v>
      </c>
      <c r="O109" s="7">
        <f>6744.4+1370.5</f>
        <v>8114.9</v>
      </c>
      <c r="P109" s="7">
        <f>7661.7+6598.5+907.3</f>
        <v>15167.5</v>
      </c>
      <c r="Q109" s="7">
        <f>7738+6463+737.8</f>
        <v>14938.8</v>
      </c>
      <c r="R109" s="7">
        <f>7515.2+6279.7+610.5</f>
        <v>14405.4</v>
      </c>
      <c r="S109" s="7">
        <f>7924.8+6101.8+513.8</f>
        <v>14540.4</v>
      </c>
      <c r="V109" s="35"/>
      <c r="W109" s="35"/>
      <c r="X109" s="35"/>
      <c r="Y109" s="35"/>
      <c r="Z109" s="35"/>
    </row>
    <row r="110" spans="1:28" s="7" customFormat="1" ht="22" customHeight="1">
      <c r="A110" s="7" t="s">
        <v>22</v>
      </c>
      <c r="B110" s="7">
        <v>2228.5</v>
      </c>
      <c r="C110" s="7">
        <v>2284</v>
      </c>
      <c r="D110" s="7">
        <v>2491</v>
      </c>
      <c r="E110" s="7">
        <v>3057</v>
      </c>
      <c r="F110" s="7">
        <v>3682.3</v>
      </c>
      <c r="G110" s="7">
        <v>4387.3</v>
      </c>
      <c r="H110" s="7">
        <v>5114.5</v>
      </c>
      <c r="I110" s="7">
        <v>6195.5</v>
      </c>
      <c r="J110" s="7">
        <v>5273.7</v>
      </c>
      <c r="K110" s="7">
        <v>5819.8</v>
      </c>
      <c r="L110" s="7">
        <v>5890.7</v>
      </c>
      <c r="M110" s="7">
        <v>5457</v>
      </c>
      <c r="N110" s="7">
        <v>1175.8</v>
      </c>
      <c r="O110" s="7">
        <v>-6231</v>
      </c>
      <c r="P110" s="7">
        <v>-7799.4</v>
      </c>
      <c r="Q110" s="7">
        <v>-5314.5</v>
      </c>
      <c r="R110" s="7">
        <v>-8698.7000000000007</v>
      </c>
      <c r="S110" s="7">
        <v>-7987.8</v>
      </c>
      <c r="V110" s="35"/>
      <c r="W110" s="35"/>
      <c r="X110" s="35"/>
      <c r="Y110" s="35"/>
      <c r="Z110" s="35"/>
    </row>
    <row r="111" spans="1:28" s="6" customFormat="1" ht="22" customHeight="1">
      <c r="A111" s="6" t="s">
        <v>2</v>
      </c>
      <c r="B111" s="13">
        <f t="shared" ref="B111:G111" si="237">SUM(B107:B110)</f>
        <v>4429.1000000000004</v>
      </c>
      <c r="C111" s="13">
        <f t="shared" si="237"/>
        <v>5344.0999999999995</v>
      </c>
      <c r="D111" s="13">
        <f t="shared" si="237"/>
        <v>5672.6</v>
      </c>
      <c r="E111" s="13">
        <f t="shared" si="237"/>
        <v>5577</v>
      </c>
      <c r="F111" s="13">
        <f t="shared" si="237"/>
        <v>6385.9</v>
      </c>
      <c r="G111" s="13">
        <f t="shared" si="237"/>
        <v>7360.4000000000005</v>
      </c>
      <c r="H111" s="13">
        <f t="shared" ref="H111:J111" si="238">SUM(H107:H110)</f>
        <v>8219.2000000000007</v>
      </c>
      <c r="I111" s="13">
        <f t="shared" si="238"/>
        <v>10504</v>
      </c>
      <c r="J111" s="13">
        <f t="shared" si="238"/>
        <v>10752.9</v>
      </c>
      <c r="K111" s="13">
        <f t="shared" ref="K111:M111" si="239">SUM(K107:K110)</f>
        <v>12415.8</v>
      </c>
      <c r="L111" s="13">
        <f t="shared" si="239"/>
        <v>14329.5</v>
      </c>
      <c r="M111" s="13">
        <f t="shared" si="239"/>
        <v>14365.599999999999</v>
      </c>
      <c r="N111" s="13">
        <f t="shared" ref="N111:S111" si="240">SUM(N107:N110)</f>
        <v>24156.400000000001</v>
      </c>
      <c r="O111" s="13">
        <f t="shared" si="240"/>
        <v>19219.599999999999</v>
      </c>
      <c r="P111" s="13">
        <f t="shared" si="240"/>
        <v>29374.5</v>
      </c>
      <c r="Q111" s="13">
        <f t="shared" si="240"/>
        <v>31392.6</v>
      </c>
      <c r="R111" s="13">
        <f t="shared" si="240"/>
        <v>27978.399999999998</v>
      </c>
      <c r="S111" s="13">
        <f t="shared" si="240"/>
        <v>29445.500000000004</v>
      </c>
      <c r="T111" s="13"/>
      <c r="U111" s="13"/>
      <c r="V111" s="43"/>
      <c r="W111" s="34"/>
      <c r="X111" s="34"/>
      <c r="Y111" s="34"/>
      <c r="Z111" s="34"/>
      <c r="AB111" s="13"/>
    </row>
    <row r="112" spans="1:28" s="2" customFormat="1" ht="22" customHeight="1">
      <c r="V112" s="31"/>
      <c r="W112" s="31"/>
      <c r="X112" s="31"/>
      <c r="Y112" s="31"/>
      <c r="Z112" s="31"/>
    </row>
    <row r="113" spans="1:28" s="7" customFormat="1" ht="22" customHeight="1">
      <c r="A113" s="7" t="s">
        <v>26</v>
      </c>
      <c r="S113" s="7">
        <f>+S92+S93+S94-S104-S105</f>
        <v>-4142.7999999999993</v>
      </c>
      <c r="T113" s="7">
        <f>+T92+T93+T94-T104-T105</f>
        <v>-4100</v>
      </c>
      <c r="U113" s="7">
        <f>+U92+U93+U94-U104-U105</f>
        <v>-4125</v>
      </c>
      <c r="V113" s="35"/>
      <c r="W113" s="35"/>
      <c r="X113" s="35"/>
      <c r="Y113" s="35"/>
      <c r="Z113" s="35"/>
    </row>
    <row r="114" spans="1:28" s="7" customFormat="1" ht="22" customHeight="1">
      <c r="A114" s="7" t="s">
        <v>61</v>
      </c>
      <c r="T114" s="7">
        <f>+S113-T113</f>
        <v>-42.799999999999272</v>
      </c>
      <c r="U114" s="7">
        <f>+S113-U113</f>
        <v>-17.799999999999272</v>
      </c>
      <c r="V114" s="35"/>
      <c r="W114" s="35"/>
      <c r="X114" s="35"/>
      <c r="Y114" s="35"/>
      <c r="Z114" s="35"/>
    </row>
    <row r="115" spans="1:28" s="2" customFormat="1" ht="22" customHeight="1">
      <c r="V115" s="31"/>
      <c r="W115" s="31"/>
      <c r="X115" s="31"/>
      <c r="Y115" s="31"/>
      <c r="Z115" s="31"/>
    </row>
    <row r="116" spans="1:28" s="2" customFormat="1" ht="22" customHeight="1">
      <c r="V116" s="31"/>
      <c r="W116" s="31"/>
      <c r="X116" s="31"/>
      <c r="Y116" s="31"/>
      <c r="Z116" s="31"/>
    </row>
    <row r="117" spans="1:28" s="2" customFormat="1" ht="22" customHeight="1">
      <c r="A117" s="2" t="s">
        <v>88</v>
      </c>
      <c r="B117" s="16">
        <v>2006</v>
      </c>
      <c r="C117" s="16">
        <v>2007</v>
      </c>
      <c r="D117" s="16">
        <v>2008</v>
      </c>
      <c r="E117" s="16">
        <v>2009</v>
      </c>
      <c r="F117" s="16">
        <v>2010</v>
      </c>
      <c r="G117" s="16">
        <v>2011</v>
      </c>
      <c r="H117" s="16">
        <v>2012</v>
      </c>
      <c r="I117" s="16">
        <v>2013</v>
      </c>
      <c r="J117" s="16">
        <v>2014</v>
      </c>
      <c r="K117" s="16">
        <v>2015</v>
      </c>
      <c r="L117" s="16">
        <v>2016</v>
      </c>
      <c r="M117" s="16">
        <v>2017</v>
      </c>
      <c r="N117" s="16">
        <v>2018</v>
      </c>
      <c r="O117" s="16">
        <v>2019</v>
      </c>
      <c r="P117" s="16">
        <v>2020</v>
      </c>
      <c r="Q117" s="16">
        <v>2021</v>
      </c>
      <c r="R117" s="16">
        <v>2022</v>
      </c>
      <c r="S117" s="16">
        <v>2023</v>
      </c>
      <c r="T117" s="16" t="s">
        <v>66</v>
      </c>
      <c r="U117" s="16" t="s">
        <v>68</v>
      </c>
      <c r="V117" s="32"/>
      <c r="W117" s="31"/>
      <c r="X117" s="31"/>
      <c r="Y117" s="31"/>
      <c r="Z117" s="31"/>
      <c r="AB117" s="16"/>
    </row>
    <row r="118" spans="1:28" s="2" customFormat="1" ht="22" customHeight="1">
      <c r="A118" s="11"/>
      <c r="V118" s="31"/>
      <c r="W118" s="31"/>
      <c r="X118" s="31"/>
      <c r="Y118" s="31"/>
      <c r="Z118" s="31"/>
    </row>
    <row r="119" spans="1:28" s="6" customFormat="1" ht="22" customHeight="1">
      <c r="A119" s="6" t="s">
        <v>3</v>
      </c>
      <c r="B119" s="6">
        <f t="shared" ref="B119:G119" si="241">+B41</f>
        <v>799.99999999999932</v>
      </c>
      <c r="C119" s="6">
        <f t="shared" si="241"/>
        <v>945.90000000000009</v>
      </c>
      <c r="D119" s="6">
        <f t="shared" si="241"/>
        <v>390.30000000000041</v>
      </c>
      <c r="E119" s="6">
        <f t="shared" si="241"/>
        <v>440.10000000000036</v>
      </c>
      <c r="F119" s="6">
        <f t="shared" si="241"/>
        <v>1271.2999999999997</v>
      </c>
      <c r="G119" s="6">
        <f t="shared" si="241"/>
        <v>1524.6</v>
      </c>
      <c r="H119" s="6">
        <f t="shared" ref="H119:J119" si="242">+H41</f>
        <v>1786.7000000000003</v>
      </c>
      <c r="I119" s="6">
        <f t="shared" si="242"/>
        <v>2207.2999999999993</v>
      </c>
      <c r="J119" s="6">
        <f t="shared" si="242"/>
        <v>2812.7999999999993</v>
      </c>
      <c r="K119" s="6">
        <f t="shared" ref="K119:U119" si="243">+K41</f>
        <v>3351.1000000000004</v>
      </c>
      <c r="L119" s="6">
        <f t="shared" si="243"/>
        <v>3854.2000000000003</v>
      </c>
      <c r="M119" s="6">
        <f t="shared" si="243"/>
        <v>3743.1000000000022</v>
      </c>
      <c r="N119" s="6">
        <f t="shared" si="243"/>
        <v>3582.3999999999978</v>
      </c>
      <c r="O119" s="6">
        <f t="shared" si="243"/>
        <v>3780.0000000000009</v>
      </c>
      <c r="P119" s="6">
        <f t="shared" si="243"/>
        <v>1239.0000000000018</v>
      </c>
      <c r="Q119" s="6">
        <f t="shared" si="243"/>
        <v>4487.6000000000031</v>
      </c>
      <c r="R119" s="6">
        <f t="shared" si="243"/>
        <v>4383.3000000000047</v>
      </c>
      <c r="S119" s="6">
        <f t="shared" si="243"/>
        <v>5481.6999999999953</v>
      </c>
      <c r="T119" s="6">
        <f t="shared" si="243"/>
        <v>5887.9292175647915</v>
      </c>
      <c r="U119" s="6">
        <f t="shared" si="243"/>
        <v>6490.3161808958357</v>
      </c>
      <c r="V119" s="34"/>
      <c r="W119" s="34"/>
      <c r="X119" s="34"/>
      <c r="Y119" s="34"/>
      <c r="Z119" s="34"/>
    </row>
    <row r="120" spans="1:28" s="2" customFormat="1" ht="22" customHeight="1">
      <c r="A120" s="12" t="s">
        <v>23</v>
      </c>
      <c r="B120" s="14">
        <f t="shared" ref="B120:J120" si="244">+B119*B125</f>
        <v>286.70418183824341</v>
      </c>
      <c r="C120" s="14">
        <f t="shared" si="244"/>
        <v>343.59730190286848</v>
      </c>
      <c r="D120" s="14">
        <f t="shared" si="244"/>
        <v>123.30671347082055</v>
      </c>
      <c r="E120" s="14">
        <f t="shared" si="244"/>
        <v>132.36799428469374</v>
      </c>
      <c r="F120" s="14">
        <f t="shared" si="244"/>
        <v>432.34816283924846</v>
      </c>
      <c r="G120" s="14">
        <f t="shared" si="244"/>
        <v>474.1506</v>
      </c>
      <c r="H120" s="14">
        <f t="shared" si="244"/>
        <v>585.18307998640182</v>
      </c>
      <c r="I120" s="14">
        <f t="shared" si="244"/>
        <v>719.26074308981276</v>
      </c>
      <c r="J120" s="14">
        <f t="shared" si="244"/>
        <v>972.11051682121706</v>
      </c>
      <c r="K120" s="14">
        <f t="shared" ref="K120" si="245">+K119*K125</f>
        <v>1162.8317</v>
      </c>
      <c r="L120" s="14">
        <f t="shared" ref="L120:M120" si="246">+L119*L125</f>
        <v>1266.3760662999216</v>
      </c>
      <c r="M120" s="14">
        <f t="shared" si="246"/>
        <v>1231.4799000000007</v>
      </c>
      <c r="N120" s="14">
        <f t="shared" ref="N120:P120" si="247">+N119*N125</f>
        <v>780.96319999999957</v>
      </c>
      <c r="O120" s="14">
        <f t="shared" si="247"/>
        <v>737.10000000000025</v>
      </c>
      <c r="P120" s="14">
        <f t="shared" si="247"/>
        <v>254.3143517725637</v>
      </c>
      <c r="Q120" s="14">
        <f t="shared" ref="Q120:R120" si="248">+Q119*Q125</f>
        <v>969.32160000000067</v>
      </c>
      <c r="R120" s="14">
        <f t="shared" si="248"/>
        <v>982.52630272952854</v>
      </c>
      <c r="S120" s="14">
        <f t="shared" ref="S120:T120" si="249">+S119*S125</f>
        <v>1297.3521802982377</v>
      </c>
      <c r="T120" s="14">
        <f t="shared" si="249"/>
        <v>1418.6410999238035</v>
      </c>
      <c r="U120" s="14">
        <f t="shared" ref="U120" si="250">+U119*U125</f>
        <v>1557.6758834150003</v>
      </c>
      <c r="V120" s="44"/>
      <c r="W120" s="31"/>
      <c r="X120" s="31"/>
      <c r="Y120" s="31"/>
      <c r="Z120" s="31"/>
      <c r="AB120" s="14"/>
    </row>
    <row r="121" spans="1:28" s="2" customFormat="1" ht="22" customHeight="1">
      <c r="A121" s="12" t="s">
        <v>24</v>
      </c>
      <c r="B121" s="6">
        <f t="shared" ref="B121:J121" si="251">+B119-B120</f>
        <v>513.29581816175596</v>
      </c>
      <c r="C121" s="6">
        <f t="shared" si="251"/>
        <v>602.30269809713161</v>
      </c>
      <c r="D121" s="6">
        <f t="shared" si="251"/>
        <v>266.99328652917984</v>
      </c>
      <c r="E121" s="6">
        <f t="shared" si="251"/>
        <v>307.73200571530663</v>
      </c>
      <c r="F121" s="6">
        <f t="shared" si="251"/>
        <v>838.95183716075121</v>
      </c>
      <c r="G121" s="6">
        <f t="shared" si="251"/>
        <v>1050.4494</v>
      </c>
      <c r="H121" s="6">
        <f t="shared" si="251"/>
        <v>1201.5169200135983</v>
      </c>
      <c r="I121" s="6">
        <f t="shared" si="251"/>
        <v>1488.0392569101864</v>
      </c>
      <c r="J121" s="6">
        <f t="shared" si="251"/>
        <v>1840.6894831787822</v>
      </c>
      <c r="K121" s="6">
        <f t="shared" ref="K121" si="252">+K119-K120</f>
        <v>2188.2683000000006</v>
      </c>
      <c r="L121" s="6">
        <f t="shared" ref="L121:M121" si="253">+L119-L120</f>
        <v>2587.8239337000787</v>
      </c>
      <c r="M121" s="6">
        <f t="shared" si="253"/>
        <v>2511.6201000000015</v>
      </c>
      <c r="N121" s="6">
        <f t="shared" ref="N121:P121" si="254">+N119-N120</f>
        <v>2801.4367999999981</v>
      </c>
      <c r="O121" s="6">
        <f t="shared" si="254"/>
        <v>3042.9000000000005</v>
      </c>
      <c r="P121" s="6">
        <f t="shared" si="254"/>
        <v>984.68564822743815</v>
      </c>
      <c r="Q121" s="6">
        <f t="shared" ref="Q121:R121" si="255">+Q119-Q120</f>
        <v>3518.2784000000024</v>
      </c>
      <c r="R121" s="6">
        <f t="shared" si="255"/>
        <v>3400.7736972704761</v>
      </c>
      <c r="S121" s="6">
        <f t="shared" ref="S121:T121" si="256">+S119-S120</f>
        <v>4184.3478197017575</v>
      </c>
      <c r="T121" s="6">
        <f t="shared" si="256"/>
        <v>4469.2881176409883</v>
      </c>
      <c r="U121" s="6">
        <f t="shared" ref="U121" si="257">+U119-U120</f>
        <v>4932.6402974808352</v>
      </c>
      <c r="V121" s="34"/>
      <c r="W121" s="31"/>
      <c r="X121" s="31"/>
      <c r="Y121" s="31"/>
      <c r="Z121" s="31"/>
      <c r="AB121" s="6"/>
    </row>
    <row r="122" spans="1:28" s="2" customFormat="1" ht="22" customHeight="1">
      <c r="A122" s="12"/>
      <c r="V122" s="31"/>
      <c r="W122" s="31"/>
      <c r="X122" s="31"/>
      <c r="Y122" s="31"/>
      <c r="Z122" s="31"/>
    </row>
    <row r="123" spans="1:28" s="18" customFormat="1" ht="22" customHeight="1">
      <c r="A123" s="18" t="s">
        <v>36</v>
      </c>
      <c r="B123" s="18">
        <f t="shared" ref="B123:G123" si="258">+B47</f>
        <v>324.8</v>
      </c>
      <c r="C123" s="18">
        <f t="shared" si="258"/>
        <v>383.7</v>
      </c>
      <c r="D123" s="18">
        <f t="shared" si="258"/>
        <v>144</v>
      </c>
      <c r="E123" s="18">
        <f t="shared" si="258"/>
        <v>168.4</v>
      </c>
      <c r="F123" s="18">
        <f t="shared" si="258"/>
        <v>488.7</v>
      </c>
      <c r="G123" s="18">
        <f t="shared" si="258"/>
        <v>553.85989999999993</v>
      </c>
      <c r="H123" s="18">
        <f t="shared" ref="H123:J123" si="259">+H47</f>
        <v>674.4</v>
      </c>
      <c r="I123" s="18">
        <f t="shared" si="259"/>
        <v>832.3</v>
      </c>
      <c r="J123" s="18">
        <f t="shared" si="259"/>
        <v>1092</v>
      </c>
      <c r="K123" s="18">
        <f t="shared" ref="K123:U123" si="260">+K47</f>
        <v>1240.0045</v>
      </c>
      <c r="L123" s="18">
        <f t="shared" si="260"/>
        <v>1379.7</v>
      </c>
      <c r="M123" s="18">
        <f t="shared" si="260"/>
        <v>1392.7886000000008</v>
      </c>
      <c r="N123" s="18">
        <f t="shared" si="260"/>
        <v>851.22459999999944</v>
      </c>
      <c r="O123" s="18">
        <f t="shared" si="260"/>
        <v>749.48250000000019</v>
      </c>
      <c r="P123" s="18">
        <f t="shared" si="260"/>
        <v>239.7</v>
      </c>
      <c r="Q123" s="18">
        <f t="shared" si="260"/>
        <v>970.53120000000069</v>
      </c>
      <c r="R123" s="18">
        <f t="shared" si="260"/>
        <v>948.5</v>
      </c>
      <c r="S123" s="18">
        <f t="shared" si="260"/>
        <v>1257</v>
      </c>
      <c r="T123" s="18">
        <f t="shared" si="260"/>
        <v>1387.3670122155499</v>
      </c>
      <c r="U123" s="18">
        <f t="shared" si="260"/>
        <v>1519.2758834150004</v>
      </c>
      <c r="V123" s="45"/>
      <c r="W123" s="45"/>
      <c r="X123" s="45"/>
      <c r="Y123" s="45"/>
      <c r="Z123" s="45"/>
    </row>
    <row r="124" spans="1:28" s="18" customFormat="1" ht="22" customHeight="1">
      <c r="A124" s="18" t="s">
        <v>37</v>
      </c>
      <c r="B124" s="18">
        <f t="shared" ref="B124:G124" si="261">+B46</f>
        <v>906.29999999999927</v>
      </c>
      <c r="C124" s="18">
        <f t="shared" si="261"/>
        <v>1056.3000000000002</v>
      </c>
      <c r="D124" s="18">
        <f t="shared" si="261"/>
        <v>455.80000000000041</v>
      </c>
      <c r="E124" s="18">
        <f t="shared" si="261"/>
        <v>559.90000000000032</v>
      </c>
      <c r="F124" s="18">
        <f t="shared" si="261"/>
        <v>1436.9999999999995</v>
      </c>
      <c r="G124" s="18">
        <f t="shared" si="261"/>
        <v>1780.8999999999999</v>
      </c>
      <c r="H124" s="18">
        <f t="shared" ref="H124:J124" si="262">+H46</f>
        <v>2059.1000000000004</v>
      </c>
      <c r="I124" s="18">
        <f t="shared" si="262"/>
        <v>2554.1999999999994</v>
      </c>
      <c r="J124" s="18">
        <f t="shared" si="262"/>
        <v>3159.6999999999994</v>
      </c>
      <c r="K124" s="18">
        <f t="shared" ref="K124:U124" si="263">+K46</f>
        <v>3573.5000000000005</v>
      </c>
      <c r="L124" s="18">
        <f t="shared" si="263"/>
        <v>4199.1000000000004</v>
      </c>
      <c r="M124" s="18">
        <f t="shared" si="263"/>
        <v>4233.4000000000024</v>
      </c>
      <c r="N124" s="18">
        <f t="shared" si="263"/>
        <v>3904.6999999999975</v>
      </c>
      <c r="O124" s="18">
        <f t="shared" si="263"/>
        <v>3843.5000000000009</v>
      </c>
      <c r="P124" s="18">
        <f t="shared" si="263"/>
        <v>1167.800000000002</v>
      </c>
      <c r="Q124" s="18">
        <f t="shared" si="263"/>
        <v>4493.2000000000035</v>
      </c>
      <c r="R124" s="18">
        <f t="shared" si="263"/>
        <v>4231.5000000000045</v>
      </c>
      <c r="S124" s="18">
        <f t="shared" si="263"/>
        <v>5311.1999999999953</v>
      </c>
      <c r="T124" s="18">
        <f t="shared" si="263"/>
        <v>5758.1292175647914</v>
      </c>
      <c r="U124" s="18">
        <f t="shared" si="263"/>
        <v>6330.3161808958357</v>
      </c>
      <c r="V124" s="45"/>
      <c r="W124" s="45"/>
      <c r="X124" s="45"/>
      <c r="Y124" s="45"/>
      <c r="Z124" s="45"/>
    </row>
    <row r="125" spans="1:28" s="4" customFormat="1" ht="22" customHeight="1">
      <c r="A125" s="4" t="s">
        <v>38</v>
      </c>
      <c r="B125" s="4">
        <f t="shared" ref="B125:J125" si="264">+B123/B124</f>
        <v>0.35838022729780455</v>
      </c>
      <c r="C125" s="4">
        <f t="shared" si="264"/>
        <v>0.36324907696677072</v>
      </c>
      <c r="D125" s="4">
        <f t="shared" si="264"/>
        <v>0.31592803861342666</v>
      </c>
      <c r="E125" s="4">
        <f t="shared" si="264"/>
        <v>0.30076799428469353</v>
      </c>
      <c r="F125" s="4">
        <f t="shared" si="264"/>
        <v>0.34008350730688947</v>
      </c>
      <c r="G125" s="4">
        <f t="shared" si="264"/>
        <v>0.311</v>
      </c>
      <c r="H125" s="4">
        <f t="shared" si="264"/>
        <v>0.32752173279588165</v>
      </c>
      <c r="I125" s="4">
        <f t="shared" si="264"/>
        <v>0.32585545376243058</v>
      </c>
      <c r="J125" s="4">
        <f t="shared" si="264"/>
        <v>0.34560243061050105</v>
      </c>
      <c r="K125" s="4">
        <f t="shared" ref="K125:L125" si="265">+K123/K124</f>
        <v>0.34699999999999998</v>
      </c>
      <c r="L125" s="4">
        <f t="shared" si="265"/>
        <v>0.32857040794455955</v>
      </c>
      <c r="M125" s="4">
        <f t="shared" ref="M125" si="266">+M123/M124</f>
        <v>0.32900000000000001</v>
      </c>
      <c r="N125" s="4">
        <f t="shared" ref="N125" si="267">+N123/N124</f>
        <v>0.218</v>
      </c>
      <c r="O125" s="4">
        <f t="shared" ref="O125:U125" si="268">+O123/O124</f>
        <v>0.19500000000000001</v>
      </c>
      <c r="P125" s="4">
        <f t="shared" si="268"/>
        <v>0.20525774961465967</v>
      </c>
      <c r="Q125" s="4">
        <f t="shared" si="268"/>
        <v>0.216</v>
      </c>
      <c r="R125" s="4">
        <f t="shared" si="268"/>
        <v>0.22415219189412713</v>
      </c>
      <c r="S125" s="4">
        <f t="shared" si="268"/>
        <v>0.2366696791685497</v>
      </c>
      <c r="T125" s="4">
        <f t="shared" si="268"/>
        <v>0.24094058326851694</v>
      </c>
      <c r="U125" s="4">
        <f t="shared" si="268"/>
        <v>0.23999999999999996</v>
      </c>
      <c r="V125" s="33"/>
      <c r="W125" s="33"/>
      <c r="X125" s="33"/>
      <c r="Y125" s="33"/>
      <c r="Z125" s="33"/>
    </row>
    <row r="126" spans="1:28" s="2" customFormat="1" ht="22" customHeight="1">
      <c r="A126" s="12"/>
      <c r="V126" s="31"/>
      <c r="W126" s="31"/>
      <c r="X126" s="31"/>
      <c r="Y126" s="31"/>
      <c r="Z126" s="31"/>
    </row>
    <row r="127" spans="1:28" s="2" customFormat="1" ht="22" customHeight="1">
      <c r="A127" s="12" t="s">
        <v>25</v>
      </c>
      <c r="V127" s="31"/>
      <c r="W127" s="31"/>
      <c r="X127" s="31"/>
      <c r="Y127" s="31"/>
      <c r="Z127" s="31"/>
    </row>
    <row r="128" spans="1:28" s="2" customFormat="1" ht="22" customHeight="1">
      <c r="A128" s="12"/>
      <c r="V128" s="31"/>
      <c r="W128" s="31"/>
      <c r="X128" s="31"/>
      <c r="Y128" s="31"/>
      <c r="Z128" s="31"/>
    </row>
    <row r="129" spans="1:28" s="2" customFormat="1" ht="22" customHeight="1">
      <c r="A129" s="12" t="s">
        <v>26</v>
      </c>
      <c r="B129" s="6">
        <f t="shared" ref="B129:G129" si="269">+B95-B107-B91+B106</f>
        <v>-158.69999999999993</v>
      </c>
      <c r="C129" s="6">
        <f t="shared" si="269"/>
        <v>-186.99999999999955</v>
      </c>
      <c r="D129" s="6">
        <f t="shared" si="269"/>
        <v>-50.200000000000273</v>
      </c>
      <c r="E129" s="6">
        <f t="shared" si="269"/>
        <v>-211.39999999999986</v>
      </c>
      <c r="F129" s="6">
        <f t="shared" si="269"/>
        <v>-472.40000000000032</v>
      </c>
      <c r="G129" s="6">
        <f t="shared" si="269"/>
        <v>-331.59999999999991</v>
      </c>
      <c r="H129" s="6">
        <f t="shared" ref="H129:J129" si="270">+H95-H107-H91+H106</f>
        <v>-47.199999999999818</v>
      </c>
      <c r="I129" s="6">
        <f t="shared" si="270"/>
        <v>-419.59999999999991</v>
      </c>
      <c r="J129" s="6">
        <f t="shared" si="270"/>
        <v>-713.79999999999927</v>
      </c>
      <c r="K129" s="6">
        <f t="shared" ref="K129:U129" si="271">+K95-K107-K91+K106</f>
        <v>-1287.9999999999998</v>
      </c>
      <c r="L129" s="6">
        <f t="shared" si="271"/>
        <v>-1649.6000000000008</v>
      </c>
      <c r="M129" s="6">
        <f t="shared" si="271"/>
        <v>-1628.1999999999994</v>
      </c>
      <c r="N129" s="6">
        <f t="shared" si="271"/>
        <v>-1777.9</v>
      </c>
      <c r="O129" s="6">
        <f t="shared" si="271"/>
        <v>-3271.8999999999992</v>
      </c>
      <c r="P129" s="6">
        <f t="shared" si="271"/>
        <v>-2483.7999999999993</v>
      </c>
      <c r="Q129" s="6">
        <f t="shared" si="271"/>
        <v>-4013.9999999999995</v>
      </c>
      <c r="R129" s="6">
        <f t="shared" si="271"/>
        <v>-3392</v>
      </c>
      <c r="S129" s="6">
        <f t="shared" si="271"/>
        <v>-4142.7999999999993</v>
      </c>
      <c r="T129" s="6">
        <f t="shared" si="271"/>
        <v>-4100</v>
      </c>
      <c r="U129" s="6">
        <f t="shared" si="271"/>
        <v>-4125</v>
      </c>
      <c r="V129" s="34"/>
      <c r="W129" s="31"/>
      <c r="X129" s="31"/>
      <c r="Y129" s="31"/>
      <c r="Z129" s="31"/>
      <c r="AB129" s="6"/>
    </row>
    <row r="130" spans="1:28" s="2" customFormat="1" ht="22" customHeight="1">
      <c r="A130" s="12" t="s">
        <v>27</v>
      </c>
      <c r="B130" s="8">
        <f t="shared" ref="B130:G130" si="272">+B96</f>
        <v>2287.9</v>
      </c>
      <c r="C130" s="8">
        <f t="shared" si="272"/>
        <v>2890.4</v>
      </c>
      <c r="D130" s="8">
        <f t="shared" si="272"/>
        <v>2956.4</v>
      </c>
      <c r="E130" s="8">
        <f t="shared" si="272"/>
        <v>2536.4</v>
      </c>
      <c r="F130" s="8">
        <f t="shared" si="272"/>
        <v>2416.5</v>
      </c>
      <c r="G130" s="8">
        <f t="shared" si="272"/>
        <v>2355</v>
      </c>
      <c r="H130" s="8">
        <f t="shared" ref="H130:J130" si="273">+H96</f>
        <v>2658.9</v>
      </c>
      <c r="I130" s="8">
        <f t="shared" si="273"/>
        <v>3200.5</v>
      </c>
      <c r="J130" s="8">
        <f t="shared" si="273"/>
        <v>3519</v>
      </c>
      <c r="K130" s="8">
        <f t="shared" ref="K130:U130" si="274">+K96</f>
        <v>4088.3</v>
      </c>
      <c r="L130" s="8">
        <f t="shared" si="274"/>
        <v>4533.8</v>
      </c>
      <c r="M130" s="8">
        <f t="shared" si="274"/>
        <v>4919.5</v>
      </c>
      <c r="N130" s="8">
        <f t="shared" si="274"/>
        <v>5929.1</v>
      </c>
      <c r="O130" s="8">
        <f t="shared" si="274"/>
        <v>6431.7</v>
      </c>
      <c r="P130" s="8">
        <f t="shared" si="274"/>
        <v>6241.4</v>
      </c>
      <c r="Q130" s="8">
        <f t="shared" si="274"/>
        <v>6369.5</v>
      </c>
      <c r="R130" s="8">
        <f t="shared" si="274"/>
        <v>6560.5</v>
      </c>
      <c r="S130" s="8">
        <f t="shared" si="274"/>
        <v>7387.1</v>
      </c>
      <c r="T130" s="8">
        <f t="shared" si="274"/>
        <v>8000</v>
      </c>
      <c r="U130" s="8">
        <f t="shared" si="274"/>
        <v>8800</v>
      </c>
      <c r="V130" s="46"/>
      <c r="W130" s="31"/>
      <c r="X130" s="31"/>
      <c r="Y130" s="31"/>
      <c r="Z130" s="31"/>
      <c r="AB130" s="8"/>
    </row>
    <row r="131" spans="1:28" s="2" customFormat="1" ht="22" customHeight="1">
      <c r="A131" s="12" t="s">
        <v>13</v>
      </c>
      <c r="B131" s="8">
        <f t="shared" ref="B131:G131" si="275">+B97+B99</f>
        <v>605.5</v>
      </c>
      <c r="C131" s="8">
        <f t="shared" si="275"/>
        <v>736</v>
      </c>
      <c r="D131" s="8">
        <f t="shared" si="275"/>
        <v>896.80000000000007</v>
      </c>
      <c r="E131" s="8">
        <f t="shared" si="275"/>
        <v>933.40000000000009</v>
      </c>
      <c r="F131" s="8">
        <f t="shared" si="275"/>
        <v>1021.1999999999999</v>
      </c>
      <c r="G131" s="8">
        <f t="shared" si="275"/>
        <v>1103.5</v>
      </c>
      <c r="H131" s="8">
        <f t="shared" ref="H131:J131" si="276">+H97+H99</f>
        <v>1244.6999999999998</v>
      </c>
      <c r="I131" s="8">
        <f t="shared" si="276"/>
        <v>1836.3000000000002</v>
      </c>
      <c r="J131" s="8">
        <f t="shared" si="276"/>
        <v>2746.8</v>
      </c>
      <c r="K131" s="8">
        <f t="shared" ref="K131:U131" si="277">+K97+K99</f>
        <v>4044.5</v>
      </c>
      <c r="L131" s="8">
        <f t="shared" si="277"/>
        <v>3893.5</v>
      </c>
      <c r="M131" s="8">
        <f t="shared" si="277"/>
        <v>3620.3999999999996</v>
      </c>
      <c r="N131" s="8">
        <f t="shared" si="277"/>
        <v>5465.4</v>
      </c>
      <c r="O131" s="8">
        <f t="shared" si="277"/>
        <v>6914</v>
      </c>
      <c r="P131" s="8">
        <f t="shared" si="277"/>
        <v>15120.6</v>
      </c>
      <c r="Q131" s="8">
        <f t="shared" si="277"/>
        <v>14985</v>
      </c>
      <c r="R131" s="8">
        <f t="shared" si="277"/>
        <v>14120.1</v>
      </c>
      <c r="S131" s="8">
        <f t="shared" si="277"/>
        <v>14507.6</v>
      </c>
      <c r="T131" s="8">
        <f t="shared" si="277"/>
        <v>14900</v>
      </c>
      <c r="U131" s="8">
        <f t="shared" si="277"/>
        <v>15200</v>
      </c>
      <c r="V131" s="46"/>
      <c r="W131" s="31"/>
      <c r="X131" s="31"/>
      <c r="Y131" s="31"/>
      <c r="Z131" s="31"/>
      <c r="AB131" s="8"/>
    </row>
    <row r="132" spans="1:28" s="2" customFormat="1" ht="22" customHeight="1">
      <c r="A132" s="12" t="s">
        <v>2</v>
      </c>
      <c r="B132" s="6">
        <f t="shared" ref="B132:G132" si="278">SUM(B129:B131)</f>
        <v>2734.7000000000003</v>
      </c>
      <c r="C132" s="6">
        <f t="shared" si="278"/>
        <v>3439.4000000000005</v>
      </c>
      <c r="D132" s="6">
        <f t="shared" si="278"/>
        <v>3803</v>
      </c>
      <c r="E132" s="6">
        <f t="shared" si="278"/>
        <v>3258.4</v>
      </c>
      <c r="F132" s="6">
        <f t="shared" si="278"/>
        <v>2965.2999999999997</v>
      </c>
      <c r="G132" s="6">
        <f t="shared" si="278"/>
        <v>3126.9</v>
      </c>
      <c r="H132" s="6">
        <f t="shared" ref="H132:J132" si="279">SUM(H129:H131)</f>
        <v>3856.4</v>
      </c>
      <c r="I132" s="6">
        <f t="shared" si="279"/>
        <v>4617.2000000000007</v>
      </c>
      <c r="J132" s="6">
        <f t="shared" si="279"/>
        <v>5552.0000000000009</v>
      </c>
      <c r="K132" s="6">
        <f t="shared" ref="K132:L132" si="280">SUM(K129:K131)</f>
        <v>6844.8</v>
      </c>
      <c r="L132" s="6">
        <f t="shared" si="280"/>
        <v>6777.6999999999989</v>
      </c>
      <c r="M132" s="6">
        <f t="shared" ref="M132" si="281">SUM(M129:M131)</f>
        <v>6911.7000000000007</v>
      </c>
      <c r="N132" s="6">
        <f t="shared" ref="N132" si="282">SUM(N129:N131)</f>
        <v>9616.6</v>
      </c>
      <c r="O132" s="6">
        <f t="shared" ref="O132:P132" si="283">SUM(O129:O131)</f>
        <v>10073.800000000001</v>
      </c>
      <c r="P132" s="6">
        <f t="shared" si="283"/>
        <v>18878.2</v>
      </c>
      <c r="Q132" s="6">
        <f t="shared" ref="Q132:R132" si="284">SUM(Q129:Q131)</f>
        <v>17340.5</v>
      </c>
      <c r="R132" s="6">
        <f t="shared" si="284"/>
        <v>17288.599999999999</v>
      </c>
      <c r="S132" s="6">
        <f t="shared" ref="S132:T132" si="285">SUM(S129:S131)</f>
        <v>17751.900000000001</v>
      </c>
      <c r="T132" s="6">
        <f t="shared" si="285"/>
        <v>18800</v>
      </c>
      <c r="U132" s="6">
        <f t="shared" ref="U132" si="286">SUM(U129:U131)</f>
        <v>19875</v>
      </c>
      <c r="V132" s="34"/>
      <c r="W132" s="31"/>
      <c r="X132" s="31"/>
      <c r="Y132" s="31"/>
      <c r="Z132" s="31"/>
      <c r="AB132" s="6"/>
    </row>
    <row r="133" spans="1:28" s="2" customFormat="1" ht="18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47"/>
      <c r="W133" s="31"/>
      <c r="X133" s="31"/>
      <c r="Y133" s="31"/>
      <c r="Z133" s="31"/>
      <c r="AB133" s="12"/>
    </row>
    <row r="134" spans="1:28" s="2" customFormat="1" ht="22" customHeight="1">
      <c r="A134" s="12" t="s">
        <v>28</v>
      </c>
      <c r="B134" s="5">
        <f t="shared" ref="B134:J134" si="287">+B121/(AVERAGE(B132:B132))</f>
        <v>0.18769730433384132</v>
      </c>
      <c r="C134" s="5">
        <f t="shared" si="287"/>
        <v>0.17511853756385751</v>
      </c>
      <c r="D134" s="5">
        <f t="shared" si="287"/>
        <v>7.0205965429708084E-2</v>
      </c>
      <c r="E134" s="5">
        <f t="shared" si="287"/>
        <v>9.4442673003715505E-2</v>
      </c>
      <c r="F134" s="5">
        <f t="shared" si="287"/>
        <v>0.28292308945494599</v>
      </c>
      <c r="G134" s="5">
        <f t="shared" si="287"/>
        <v>0.33593955674949627</v>
      </c>
      <c r="H134" s="5">
        <f t="shared" si="287"/>
        <v>0.31156439166414229</v>
      </c>
      <c r="I134" s="5">
        <f t="shared" si="287"/>
        <v>0.32228174151221217</v>
      </c>
      <c r="J134" s="5">
        <f t="shared" si="287"/>
        <v>0.33153629019790742</v>
      </c>
      <c r="K134" s="5">
        <f t="shared" ref="K134" si="288">+K121/(AVERAGE(K132:K132))</f>
        <v>0.31969791666666675</v>
      </c>
      <c r="L134" s="5">
        <f t="shared" ref="L134:M134" si="289">+L121/(AVERAGE(L132:L132))</f>
        <v>0.38181447005622543</v>
      </c>
      <c r="M134" s="5">
        <f t="shared" si="289"/>
        <v>0.36338673553539669</v>
      </c>
      <c r="N134" s="5">
        <f>+N121/(AVERAGE(N132:N132))</f>
        <v>0.29131260528669156</v>
      </c>
      <c r="O134" s="5">
        <f t="shared" ref="O134:T134" si="290">+O121/(AVERAGE(N132:O132))</f>
        <v>0.30907447283955636</v>
      </c>
      <c r="P134" s="5">
        <f t="shared" si="290"/>
        <v>6.8021943093909798E-2</v>
      </c>
      <c r="Q134" s="5">
        <f t="shared" si="290"/>
        <v>0.1942796621634682</v>
      </c>
      <c r="R134" s="5">
        <f t="shared" si="290"/>
        <v>0.1964113244219732</v>
      </c>
      <c r="S134" s="5">
        <f t="shared" si="290"/>
        <v>0.23882923015948732</v>
      </c>
      <c r="T134" s="5">
        <f t="shared" si="290"/>
        <v>0.2445447770234099</v>
      </c>
      <c r="U134" s="5">
        <f>+U121/(AVERAGE(S132:U132))</f>
        <v>0.26224940396233898</v>
      </c>
      <c r="V134" s="39"/>
      <c r="W134" s="31"/>
      <c r="X134" s="31"/>
      <c r="Y134" s="31"/>
      <c r="Z134" s="31"/>
      <c r="AB134" s="5"/>
    </row>
    <row r="135" spans="1:28" s="2" customFormat="1" ht="22" customHeight="1">
      <c r="A135" s="12"/>
      <c r="V135" s="31"/>
      <c r="W135" s="31"/>
      <c r="X135" s="31"/>
      <c r="Y135" s="31"/>
      <c r="Z135" s="31"/>
    </row>
    <row r="136" spans="1:28" s="2" customFormat="1" ht="22" customHeight="1">
      <c r="A136" s="12" t="s">
        <v>80</v>
      </c>
      <c r="V136" s="31"/>
      <c r="W136" s="31"/>
      <c r="X136" s="31"/>
      <c r="Y136" s="31"/>
      <c r="Z136" s="31"/>
    </row>
    <row r="137" spans="1:28" s="2" customFormat="1" ht="22" customHeight="1">
      <c r="A137" s="12"/>
      <c r="V137" s="31"/>
      <c r="W137" s="31"/>
      <c r="X137" s="31"/>
      <c r="Y137" s="31"/>
      <c r="Z137" s="31"/>
    </row>
    <row r="138" spans="1:28" s="6" customFormat="1" ht="22" customHeight="1">
      <c r="A138" s="6" t="s">
        <v>3</v>
      </c>
      <c r="S138" s="6">
        <f>+S41</f>
        <v>5481.6999999999953</v>
      </c>
      <c r="T138" s="6">
        <f>+T41</f>
        <v>5887.9292175647915</v>
      </c>
      <c r="U138" s="6">
        <f>+U41</f>
        <v>6490.3161808958357</v>
      </c>
      <c r="V138" s="34"/>
      <c r="W138" s="34"/>
      <c r="X138" s="34"/>
      <c r="Y138" s="34"/>
      <c r="Z138" s="34"/>
    </row>
    <row r="139" spans="1:28" s="2" customFormat="1" ht="22" customHeight="1">
      <c r="A139" s="2" t="s">
        <v>81</v>
      </c>
      <c r="S139" s="5">
        <f>+S125</f>
        <v>0.2366696791685497</v>
      </c>
      <c r="T139" s="5">
        <f t="shared" ref="T139:U139" si="291">+T125</f>
        <v>0.24094058326851694</v>
      </c>
      <c r="U139" s="5">
        <f t="shared" si="291"/>
        <v>0.23999999999999996</v>
      </c>
      <c r="V139" s="31"/>
      <c r="W139" s="31"/>
      <c r="X139" s="31"/>
      <c r="Y139" s="31"/>
      <c r="Z139" s="31"/>
    </row>
    <row r="140" spans="1:28" s="2" customFormat="1" ht="22" customHeight="1">
      <c r="A140" s="2" t="s">
        <v>23</v>
      </c>
      <c r="S140" s="2">
        <f>+S138*S139</f>
        <v>1297.3521802982377</v>
      </c>
      <c r="T140" s="2">
        <f t="shared" ref="T140:U140" si="292">+T138*T139</f>
        <v>1418.6410999238035</v>
      </c>
      <c r="U140" s="2">
        <f t="shared" si="292"/>
        <v>1557.6758834150003</v>
      </c>
      <c r="V140" s="31"/>
      <c r="W140" s="31"/>
      <c r="X140" s="31"/>
      <c r="Y140" s="31"/>
      <c r="Z140" s="31"/>
    </row>
    <row r="141" spans="1:28" s="6" customFormat="1" ht="22" customHeight="1">
      <c r="A141" s="6" t="s">
        <v>24</v>
      </c>
      <c r="S141" s="6">
        <f>+S138-S140</f>
        <v>4184.3478197017575</v>
      </c>
      <c r="T141" s="6">
        <f t="shared" ref="T141:U141" si="293">+T138-T140</f>
        <v>4469.2881176409883</v>
      </c>
      <c r="U141" s="6">
        <f t="shared" si="293"/>
        <v>4932.6402974808352</v>
      </c>
      <c r="V141" s="34"/>
      <c r="W141" s="34"/>
      <c r="X141" s="34"/>
      <c r="Y141" s="34"/>
      <c r="Z141" s="34"/>
    </row>
    <row r="142" spans="1:28" s="2" customFormat="1" ht="22" customHeight="1">
      <c r="A142" s="6" t="s">
        <v>35</v>
      </c>
      <c r="S142" s="2">
        <f>+S69</f>
        <v>1450.3</v>
      </c>
      <c r="T142" s="2">
        <f>+T69</f>
        <v>1500</v>
      </c>
      <c r="U142" s="2">
        <f>+U69</f>
        <v>1575</v>
      </c>
      <c r="V142" s="31"/>
      <c r="W142" s="31"/>
      <c r="X142" s="31"/>
      <c r="Y142" s="31"/>
      <c r="Z142" s="31"/>
    </row>
    <row r="143" spans="1:28" s="2" customFormat="1" ht="22" customHeight="1">
      <c r="A143" s="6" t="s">
        <v>5</v>
      </c>
      <c r="S143" s="2">
        <f>+S76</f>
        <v>2333.6</v>
      </c>
      <c r="T143" s="2">
        <f>+T76</f>
        <v>2500</v>
      </c>
      <c r="U143" s="2">
        <f>+U76</f>
        <v>3000</v>
      </c>
      <c r="V143" s="31"/>
      <c r="W143" s="31"/>
      <c r="X143" s="31"/>
      <c r="Y143" s="31"/>
      <c r="Z143" s="31"/>
    </row>
    <row r="144" spans="1:28" s="7" customFormat="1" ht="22" customHeight="1">
      <c r="A144" s="7" t="s">
        <v>26</v>
      </c>
      <c r="S144" s="7">
        <f>+S114</f>
        <v>0</v>
      </c>
      <c r="T144" s="7">
        <f t="shared" ref="T144:U144" si="294">+T114</f>
        <v>-42.799999999999272</v>
      </c>
      <c r="U144" s="7">
        <f t="shared" si="294"/>
        <v>-17.799999999999272</v>
      </c>
      <c r="V144" s="35"/>
      <c r="W144" s="35"/>
      <c r="X144" s="35"/>
      <c r="Y144" s="35"/>
      <c r="Z144" s="35"/>
    </row>
    <row r="145" spans="1:28" s="7" customFormat="1" ht="22" customHeight="1">
      <c r="A145" s="7" t="s">
        <v>82</v>
      </c>
      <c r="S145" s="6">
        <f>+S141+S142-S143+S144</f>
        <v>3301.0478197017578</v>
      </c>
      <c r="T145" s="6">
        <f t="shared" ref="T145:U145" si="295">+T141+T142-T143+T144</f>
        <v>3426.488117640989</v>
      </c>
      <c r="U145" s="6">
        <f t="shared" si="295"/>
        <v>3489.8402974808359</v>
      </c>
      <c r="V145" s="34">
        <f>+U145*(1+B151)/(+B152-B151)</f>
        <v>122726.05046140937</v>
      </c>
      <c r="W145" s="35"/>
      <c r="X145" s="35"/>
      <c r="Y145" s="35"/>
      <c r="Z145" s="35"/>
      <c r="AB145" s="6"/>
    </row>
    <row r="146" spans="1:28" s="2" customFormat="1" ht="22" customHeight="1">
      <c r="V146" s="31"/>
      <c r="W146" s="31"/>
      <c r="X146" s="31"/>
      <c r="Y146" s="31"/>
      <c r="Z146" s="31"/>
    </row>
    <row r="147" spans="1:28" s="2" customFormat="1" ht="22" customHeight="1">
      <c r="A147" s="2" t="s">
        <v>82</v>
      </c>
      <c r="S147" s="6">
        <f>+S145</f>
        <v>3301.0478197017578</v>
      </c>
      <c r="T147" s="6">
        <f t="shared" ref="T147:V147" si="296">+T145</f>
        <v>3426.488117640989</v>
      </c>
      <c r="U147" s="6">
        <f t="shared" si="296"/>
        <v>3489.8402974808359</v>
      </c>
      <c r="V147" s="34">
        <f t="shared" si="296"/>
        <v>122726.05046140937</v>
      </c>
      <c r="W147" s="31"/>
      <c r="X147" s="31"/>
      <c r="Y147" s="31"/>
      <c r="Z147" s="31"/>
      <c r="AB147" s="6"/>
    </row>
    <row r="148" spans="1:28" s="2" customFormat="1" ht="22" customHeight="1">
      <c r="A148" s="2" t="s">
        <v>83</v>
      </c>
      <c r="T148" s="6">
        <f>+T145/(1+B152)^1</f>
        <v>3158.053564646073</v>
      </c>
      <c r="U148" s="6">
        <f>+U145/(1+B152)^2</f>
        <v>2964.4632907735022</v>
      </c>
      <c r="V148" s="34">
        <f>+V145/(1+B152)^2</f>
        <v>104250.29239220146</v>
      </c>
      <c r="W148" s="31"/>
      <c r="X148" s="31"/>
      <c r="Y148" s="31"/>
      <c r="Z148" s="31"/>
      <c r="AB148" s="6"/>
    </row>
    <row r="149" spans="1:28" s="2" customFormat="1" ht="22" customHeight="1">
      <c r="V149" s="31"/>
      <c r="W149" s="31"/>
      <c r="X149" s="31"/>
      <c r="Y149" s="31"/>
      <c r="Z149" s="31"/>
    </row>
    <row r="150" spans="1:28" s="2" customFormat="1" ht="22" customHeight="1">
      <c r="V150" s="31"/>
      <c r="W150" s="31"/>
      <c r="X150" s="31"/>
      <c r="Y150" s="31"/>
      <c r="Z150" s="31"/>
    </row>
    <row r="151" spans="1:28" s="2" customFormat="1" ht="22" customHeight="1">
      <c r="A151" s="2" t="s">
        <v>86</v>
      </c>
      <c r="B151" s="5">
        <v>5.5E-2</v>
      </c>
      <c r="C151" s="5"/>
      <c r="D151" s="5"/>
      <c r="E151" s="5"/>
      <c r="F151" s="5"/>
      <c r="G151" s="5"/>
      <c r="H151" s="5"/>
      <c r="I151" s="5"/>
      <c r="J151" s="5"/>
      <c r="V151" s="31"/>
      <c r="W151" s="31"/>
      <c r="X151" s="31"/>
      <c r="Y151" s="31"/>
      <c r="Z151" s="31"/>
    </row>
    <row r="152" spans="1:28" s="2" customFormat="1" ht="22" customHeight="1">
      <c r="A152" s="2" t="s">
        <v>87</v>
      </c>
      <c r="B152" s="5">
        <v>8.5000000000000006E-2</v>
      </c>
      <c r="C152" s="5"/>
      <c r="D152" s="5"/>
      <c r="E152" s="5"/>
      <c r="F152" s="5"/>
      <c r="G152" s="5"/>
      <c r="H152" s="5"/>
      <c r="I152" s="5"/>
      <c r="J152" s="5"/>
      <c r="V152" s="31"/>
      <c r="W152" s="31"/>
      <c r="X152" s="31"/>
      <c r="Y152" s="31"/>
      <c r="Z152" s="31"/>
    </row>
    <row r="153" spans="1:28" s="2" customFormat="1" ht="22" customHeight="1">
      <c r="B153" s="5"/>
      <c r="C153" s="5"/>
      <c r="D153" s="5"/>
      <c r="E153" s="5"/>
      <c r="F153" s="5"/>
      <c r="G153" s="5"/>
      <c r="H153" s="5"/>
      <c r="I153" s="5"/>
      <c r="J153" s="5"/>
      <c r="V153" s="31"/>
      <c r="W153" s="31"/>
      <c r="X153" s="31"/>
      <c r="Y153" s="31"/>
      <c r="Z153" s="31"/>
    </row>
    <row r="154" spans="1:28" s="2" customFormat="1" ht="22" customHeight="1">
      <c r="A154" s="2" t="s">
        <v>83</v>
      </c>
      <c r="B154" s="6">
        <f>SUM(T148:V148)</f>
        <v>110372.80924762103</v>
      </c>
      <c r="C154" s="6"/>
      <c r="D154" s="6"/>
      <c r="E154" s="6"/>
      <c r="F154" s="6"/>
      <c r="G154" s="6"/>
      <c r="H154" s="6"/>
      <c r="I154" s="6"/>
      <c r="J154" s="6"/>
      <c r="V154" s="31"/>
      <c r="W154" s="31"/>
      <c r="X154" s="31"/>
      <c r="Y154" s="31"/>
      <c r="Z154" s="31"/>
    </row>
    <row r="155" spans="1:28" s="2" customFormat="1" ht="22" customHeight="1">
      <c r="A155" s="2" t="s">
        <v>39</v>
      </c>
      <c r="B155" s="2">
        <f>S161</f>
        <v>11199.300000000001</v>
      </c>
      <c r="V155" s="31"/>
      <c r="W155" s="31"/>
      <c r="X155" s="31"/>
      <c r="Y155" s="31"/>
      <c r="Z155" s="31"/>
    </row>
    <row r="156" spans="1:28" s="2" customFormat="1" ht="22" customHeight="1">
      <c r="A156" s="2" t="s">
        <v>84</v>
      </c>
      <c r="B156" s="6">
        <f>+B154-B155</f>
        <v>99173.509247621027</v>
      </c>
      <c r="C156" s="6"/>
      <c r="D156" s="6"/>
      <c r="E156" s="6"/>
      <c r="F156" s="6"/>
      <c r="G156" s="6"/>
      <c r="H156" s="6"/>
      <c r="I156" s="6"/>
      <c r="J156" s="6"/>
      <c r="V156" s="31"/>
      <c r="W156" s="31"/>
      <c r="X156" s="31"/>
      <c r="Y156" s="31"/>
      <c r="Z156" s="31"/>
    </row>
    <row r="157" spans="1:28" s="2" customFormat="1" ht="22" customHeight="1">
      <c r="A157" s="2" t="s">
        <v>29</v>
      </c>
      <c r="B157" s="2">
        <f>S51</f>
        <v>1151.3</v>
      </c>
      <c r="V157" s="31"/>
      <c r="W157" s="31"/>
      <c r="X157" s="31"/>
      <c r="Y157" s="31"/>
      <c r="Z157" s="31"/>
    </row>
    <row r="158" spans="1:28" s="2" customFormat="1" ht="22" customHeight="1">
      <c r="A158" s="2" t="s">
        <v>85</v>
      </c>
      <c r="B158" s="15">
        <f t="shared" ref="B158" si="297">+B156/B157</f>
        <v>86.140457958499979</v>
      </c>
      <c r="C158" s="15"/>
      <c r="D158" s="15"/>
      <c r="E158" s="15"/>
      <c r="F158" s="15"/>
      <c r="G158" s="15"/>
      <c r="H158" s="15"/>
      <c r="I158" s="15"/>
      <c r="J158" s="1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39"/>
      <c r="W158" s="31"/>
      <c r="X158" s="31"/>
      <c r="Y158" s="31"/>
      <c r="Z158" s="31"/>
      <c r="AB158" s="5"/>
    </row>
    <row r="159" spans="1:28" s="2" customFormat="1" ht="22" customHeight="1">
      <c r="A159" s="12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39"/>
      <c r="W159" s="31"/>
      <c r="X159" s="31"/>
      <c r="Y159" s="31"/>
      <c r="Z159" s="31"/>
      <c r="AB159" s="5"/>
    </row>
    <row r="160" spans="1:28" s="6" customFormat="1" ht="22" customHeight="1">
      <c r="A160" s="6" t="s">
        <v>78</v>
      </c>
      <c r="B160" s="6">
        <v>18</v>
      </c>
      <c r="C160" s="6">
        <v>10</v>
      </c>
      <c r="D160" s="6">
        <v>5</v>
      </c>
      <c r="E160" s="6">
        <v>12</v>
      </c>
      <c r="F160" s="6">
        <v>16</v>
      </c>
      <c r="G160" s="6">
        <v>23</v>
      </c>
      <c r="H160" s="6">
        <v>26</v>
      </c>
      <c r="I160" s="6">
        <v>39</v>
      </c>
      <c r="J160" s="6">
        <v>41</v>
      </c>
      <c r="K160" s="6">
        <v>60</v>
      </c>
      <c r="L160" s="6">
        <v>57</v>
      </c>
      <c r="M160" s="6">
        <v>57</v>
      </c>
      <c r="N160" s="6">
        <v>61</v>
      </c>
      <c r="O160" s="6">
        <v>88</v>
      </c>
      <c r="P160" s="6">
        <v>107</v>
      </c>
      <c r="Q160" s="6">
        <v>117</v>
      </c>
      <c r="R160" s="6">
        <v>99</v>
      </c>
      <c r="S160" s="6">
        <v>96</v>
      </c>
      <c r="T160" s="6">
        <v>74</v>
      </c>
      <c r="U160" s="6">
        <v>92</v>
      </c>
      <c r="V160" s="6">
        <v>92</v>
      </c>
      <c r="W160" s="34"/>
      <c r="X160" s="34"/>
      <c r="Y160" s="34"/>
      <c r="Z160" s="34"/>
      <c r="AB160" s="15"/>
    </row>
    <row r="161" spans="1:28" ht="22" customHeight="1">
      <c r="A161" s="12" t="s">
        <v>39</v>
      </c>
      <c r="B161" s="15">
        <f t="shared" ref="B161:S161" si="298">+B106+B108-B91-B98</f>
        <v>243.39999999999992</v>
      </c>
      <c r="C161" s="15">
        <f t="shared" si="298"/>
        <v>801.49999999999977</v>
      </c>
      <c r="D161" s="15">
        <f t="shared" si="298"/>
        <v>869.60000000000025</v>
      </c>
      <c r="E161" s="15">
        <f t="shared" si="298"/>
        <v>-187.99999999999994</v>
      </c>
      <c r="F161" s="15">
        <f t="shared" si="298"/>
        <v>-1092.1000000000001</v>
      </c>
      <c r="G161" s="15">
        <f t="shared" si="298"/>
        <v>-1608.1999999999998</v>
      </c>
      <c r="H161" s="15">
        <f t="shared" si="298"/>
        <v>-1603.4</v>
      </c>
      <c r="I161" s="15">
        <f t="shared" si="298"/>
        <v>-1992.6999999999996</v>
      </c>
      <c r="J161" s="15">
        <f t="shared" si="298"/>
        <v>-113.89999999999998</v>
      </c>
      <c r="K161" s="15">
        <f t="shared" si="298"/>
        <v>423.60000000000014</v>
      </c>
      <c r="L161" s="15">
        <f t="shared" si="298"/>
        <v>197.2999999999995</v>
      </c>
      <c r="M161" s="15">
        <f t="shared" si="298"/>
        <v>699.39999999999986</v>
      </c>
      <c r="N161" s="15">
        <f t="shared" si="298"/>
        <v>234.6000000000011</v>
      </c>
      <c r="O161" s="15">
        <f t="shared" si="298"/>
        <v>8189.9</v>
      </c>
      <c r="P161" s="15">
        <f t="shared" si="298"/>
        <v>11510.1</v>
      </c>
      <c r="Q161" s="15">
        <f t="shared" si="298"/>
        <v>7716.2</v>
      </c>
      <c r="R161" s="15">
        <f t="shared" si="298"/>
        <v>11581.9</v>
      </c>
      <c r="S161" s="15">
        <f t="shared" si="298"/>
        <v>11199.300000000001</v>
      </c>
      <c r="T161" s="15">
        <f>+T106+T108-T91-T98</f>
        <v>8284.2707824352092</v>
      </c>
      <c r="U161" s="15">
        <f>+U106+U108-U91-U98</f>
        <v>5196.7546015393727</v>
      </c>
      <c r="V161" s="15">
        <f>+V106+V108-V91-V98</f>
        <v>-14421.760388073533</v>
      </c>
      <c r="W161" s="48"/>
      <c r="X161" s="48"/>
      <c r="Y161" s="48"/>
      <c r="Z161" s="48"/>
      <c r="AB161" s="15"/>
    </row>
    <row r="162" spans="1:28" ht="22" customHeight="1">
      <c r="A162" s="12" t="s">
        <v>1</v>
      </c>
      <c r="B162" s="15">
        <f t="shared" ref="B162:H162" si="299">+B160*B51</f>
        <v>28533.600000000002</v>
      </c>
      <c r="C162" s="15">
        <f t="shared" si="299"/>
        <v>15402</v>
      </c>
      <c r="D162" s="15">
        <f t="shared" si="299"/>
        <v>7417</v>
      </c>
      <c r="E162" s="15">
        <f t="shared" si="299"/>
        <v>17901.599999999999</v>
      </c>
      <c r="F162" s="15">
        <f t="shared" si="299"/>
        <v>24454.400000000001</v>
      </c>
      <c r="G162" s="15">
        <f t="shared" si="299"/>
        <v>35406.200000000004</v>
      </c>
      <c r="H162" s="15">
        <f t="shared" si="299"/>
        <v>40196</v>
      </c>
      <c r="I162" s="15">
        <f t="shared" ref="I162:J162" si="300">+I160*I51</f>
        <v>59459.399999999994</v>
      </c>
      <c r="J162" s="15">
        <f t="shared" si="300"/>
        <v>62049.4</v>
      </c>
      <c r="K162" s="15">
        <f t="shared" ref="K162:U162" si="301">+K160*K51</f>
        <v>90804</v>
      </c>
      <c r="L162" s="15">
        <f t="shared" si="301"/>
        <v>84741.900000000009</v>
      </c>
      <c r="M162" s="15">
        <f t="shared" si="301"/>
        <v>83299.8</v>
      </c>
      <c r="N162" s="15">
        <f t="shared" si="301"/>
        <v>85070.599999999991</v>
      </c>
      <c r="O162" s="15">
        <f t="shared" si="301"/>
        <v>108521.60000000001</v>
      </c>
      <c r="P162" s="15">
        <f t="shared" si="301"/>
        <v>126452.59999999999</v>
      </c>
      <c r="Q162" s="15">
        <f t="shared" si="301"/>
        <v>138703.5</v>
      </c>
      <c r="R162" s="15">
        <f t="shared" si="301"/>
        <v>114691.5</v>
      </c>
      <c r="S162" s="15">
        <f t="shared" si="301"/>
        <v>110524.79999999999</v>
      </c>
      <c r="T162" s="15">
        <f>+T160*T51</f>
        <v>84722.6</v>
      </c>
      <c r="U162" s="15">
        <f t="shared" si="301"/>
        <v>105340</v>
      </c>
      <c r="V162" s="15">
        <f t="shared" ref="V162" si="302">+V160*V51</f>
        <v>105340</v>
      </c>
      <c r="W162" s="48"/>
      <c r="X162" s="48"/>
      <c r="Y162" s="48"/>
      <c r="Z162" s="48"/>
      <c r="AB162" s="15"/>
    </row>
    <row r="163" spans="1:28" ht="22" customHeight="1">
      <c r="A163" s="12" t="s">
        <v>75</v>
      </c>
      <c r="B163" s="15">
        <f t="shared" ref="B163:G163" si="303">+B161+B162</f>
        <v>28777.000000000004</v>
      </c>
      <c r="C163" s="15">
        <f t="shared" si="303"/>
        <v>16203.5</v>
      </c>
      <c r="D163" s="15">
        <f t="shared" si="303"/>
        <v>8286.6</v>
      </c>
      <c r="E163" s="15">
        <f t="shared" si="303"/>
        <v>17713.599999999999</v>
      </c>
      <c r="F163" s="15">
        <f t="shared" si="303"/>
        <v>23362.300000000003</v>
      </c>
      <c r="G163" s="15">
        <f t="shared" si="303"/>
        <v>33798.000000000007</v>
      </c>
      <c r="H163" s="15">
        <f t="shared" ref="H163:J163" si="304">+H161+H162</f>
        <v>38592.6</v>
      </c>
      <c r="I163" s="15">
        <f t="shared" si="304"/>
        <v>57466.7</v>
      </c>
      <c r="J163" s="15">
        <f t="shared" si="304"/>
        <v>61935.5</v>
      </c>
      <c r="K163" s="15">
        <f t="shared" ref="K163" si="305">+K161+K162</f>
        <v>91227.6</v>
      </c>
      <c r="L163" s="15">
        <f t="shared" ref="L163" si="306">+L161+L162</f>
        <v>84939.200000000012</v>
      </c>
      <c r="M163" s="15">
        <f t="shared" ref="M163" si="307">+M161+M162</f>
        <v>83999.2</v>
      </c>
      <c r="N163" s="15">
        <f>+N161+N162</f>
        <v>85305.2</v>
      </c>
      <c r="O163" s="15">
        <f t="shared" ref="O163:U163" si="308">+O161+O162</f>
        <v>116711.5</v>
      </c>
      <c r="P163" s="15">
        <f t="shared" si="308"/>
        <v>137962.69999999998</v>
      </c>
      <c r="Q163" s="15">
        <f t="shared" si="308"/>
        <v>146419.70000000001</v>
      </c>
      <c r="R163" s="15">
        <f t="shared" si="308"/>
        <v>126273.4</v>
      </c>
      <c r="S163" s="15">
        <f t="shared" si="308"/>
        <v>121724.09999999999</v>
      </c>
      <c r="T163" s="15">
        <f t="shared" si="308"/>
        <v>93006.870782435217</v>
      </c>
      <c r="U163" s="15">
        <f t="shared" si="308"/>
        <v>110536.75460153937</v>
      </c>
      <c r="V163" s="15">
        <f t="shared" ref="V163" si="309">+V161+V162</f>
        <v>90918.239611926459</v>
      </c>
      <c r="W163" s="48"/>
      <c r="X163" s="48"/>
      <c r="Y163" s="48"/>
      <c r="Z163" s="48"/>
      <c r="AB163" s="15"/>
    </row>
    <row r="164" spans="1:28" ht="22" customHeight="1">
      <c r="A164" s="12" t="s">
        <v>25</v>
      </c>
      <c r="B164" s="15">
        <f t="shared" ref="B164:G164" si="310">+B132</f>
        <v>2734.7000000000003</v>
      </c>
      <c r="C164" s="15">
        <f t="shared" si="310"/>
        <v>3439.4000000000005</v>
      </c>
      <c r="D164" s="15">
        <f t="shared" si="310"/>
        <v>3803</v>
      </c>
      <c r="E164" s="15">
        <f t="shared" si="310"/>
        <v>3258.4</v>
      </c>
      <c r="F164" s="15">
        <f t="shared" si="310"/>
        <v>2965.2999999999997</v>
      </c>
      <c r="G164" s="15">
        <f t="shared" si="310"/>
        <v>3126.9</v>
      </c>
      <c r="H164" s="15">
        <f t="shared" ref="H164:J164" si="311">+H132</f>
        <v>3856.4</v>
      </c>
      <c r="I164" s="15">
        <f t="shared" si="311"/>
        <v>4617.2000000000007</v>
      </c>
      <c r="J164" s="15">
        <f t="shared" si="311"/>
        <v>5552.0000000000009</v>
      </c>
      <c r="K164" s="15">
        <f t="shared" ref="K164:U164" si="312">+K132</f>
        <v>6844.8</v>
      </c>
      <c r="L164" s="15">
        <f t="shared" si="312"/>
        <v>6777.6999999999989</v>
      </c>
      <c r="M164" s="15">
        <f t="shared" si="312"/>
        <v>6911.7000000000007</v>
      </c>
      <c r="N164" s="15">
        <f t="shared" si="312"/>
        <v>9616.6</v>
      </c>
      <c r="O164" s="15">
        <f t="shared" si="312"/>
        <v>10073.800000000001</v>
      </c>
      <c r="P164" s="15">
        <f t="shared" si="312"/>
        <v>18878.2</v>
      </c>
      <c r="Q164" s="15">
        <f t="shared" si="312"/>
        <v>17340.5</v>
      </c>
      <c r="R164" s="15">
        <f t="shared" si="312"/>
        <v>17288.599999999999</v>
      </c>
      <c r="S164" s="15">
        <f t="shared" si="312"/>
        <v>17751.900000000001</v>
      </c>
      <c r="T164" s="15">
        <f t="shared" si="312"/>
        <v>18800</v>
      </c>
      <c r="U164" s="15">
        <f t="shared" si="312"/>
        <v>19875</v>
      </c>
      <c r="V164" s="15"/>
      <c r="W164" s="48"/>
      <c r="X164" s="48"/>
      <c r="Y164" s="48"/>
      <c r="Z164" s="48"/>
      <c r="AB164" s="15"/>
    </row>
    <row r="165" spans="1:28" ht="22" customHeight="1">
      <c r="A165" s="12" t="s">
        <v>0</v>
      </c>
      <c r="B165" s="15">
        <f t="shared" ref="B165:H165" si="313">+B41+B69</f>
        <v>1212.5999999999995</v>
      </c>
      <c r="C165" s="15">
        <f t="shared" si="313"/>
        <v>1437.1000000000001</v>
      </c>
      <c r="D165" s="15">
        <f t="shared" si="313"/>
        <v>994.80000000000041</v>
      </c>
      <c r="E165" s="15">
        <f t="shared" si="313"/>
        <v>1003.4000000000003</v>
      </c>
      <c r="F165" s="15">
        <f t="shared" si="313"/>
        <v>1812.0999999999997</v>
      </c>
      <c r="G165" s="15">
        <f t="shared" si="313"/>
        <v>2074.6</v>
      </c>
      <c r="H165" s="15">
        <f t="shared" si="313"/>
        <v>2367.3000000000002</v>
      </c>
      <c r="I165" s="15">
        <f t="shared" ref="I165:J165" si="314">+I41+I69</f>
        <v>2862.8999999999992</v>
      </c>
      <c r="J165" s="15">
        <f t="shared" si="314"/>
        <v>3561.1999999999994</v>
      </c>
      <c r="K165" s="15">
        <f t="shared" ref="K165:U165" si="315">+K41+K69</f>
        <v>4284.9000000000005</v>
      </c>
      <c r="L165" s="15">
        <f t="shared" si="315"/>
        <v>4884.3</v>
      </c>
      <c r="M165" s="15">
        <f t="shared" si="315"/>
        <v>4810.2000000000025</v>
      </c>
      <c r="N165" s="15">
        <f t="shared" si="315"/>
        <v>4888.2999999999975</v>
      </c>
      <c r="O165" s="15">
        <f t="shared" si="315"/>
        <v>5229.3000000000011</v>
      </c>
      <c r="P165" s="15">
        <f t="shared" si="315"/>
        <v>2742.2000000000016</v>
      </c>
      <c r="Q165" s="15">
        <f t="shared" si="315"/>
        <v>6011.7000000000025</v>
      </c>
      <c r="R165" s="15">
        <f t="shared" si="315"/>
        <v>5912.7000000000044</v>
      </c>
      <c r="S165" s="15">
        <f t="shared" si="315"/>
        <v>6931.9999999999955</v>
      </c>
      <c r="T165" s="15">
        <f>+T41+T69</f>
        <v>7387.9292175647915</v>
      </c>
      <c r="U165" s="15">
        <f t="shared" si="315"/>
        <v>8065.3161808958357</v>
      </c>
      <c r="V165" s="15">
        <f t="shared" ref="V165" si="316">+V41+V69</f>
        <v>8481.7891582103766</v>
      </c>
      <c r="W165" s="48"/>
      <c r="X165" s="48"/>
      <c r="Y165" s="48"/>
      <c r="Z165" s="48"/>
      <c r="AB165" s="15"/>
    </row>
    <row r="166" spans="1:28" ht="22" customHeight="1">
      <c r="A166" s="12" t="s">
        <v>76</v>
      </c>
      <c r="B166" s="5">
        <f t="shared" ref="B166:U166" si="317">+B165/B29</f>
        <v>0.1557230733668083</v>
      </c>
      <c r="C166" s="5">
        <f t="shared" si="317"/>
        <v>0.15269616957976945</v>
      </c>
      <c r="D166" s="5">
        <f t="shared" si="317"/>
        <v>9.5810459404796336E-2</v>
      </c>
      <c r="E166" s="5">
        <f t="shared" si="317"/>
        <v>0.10265381703599127</v>
      </c>
      <c r="F166" s="5">
        <f t="shared" si="317"/>
        <v>0.16923809701701625</v>
      </c>
      <c r="G166" s="5">
        <f t="shared" si="317"/>
        <v>0.17731017742983146</v>
      </c>
      <c r="H166" s="5">
        <f t="shared" si="317"/>
        <v>0.1779991729012369</v>
      </c>
      <c r="I166" s="5">
        <f t="shared" si="317"/>
        <v>0.19224157612710002</v>
      </c>
      <c r="J166" s="5">
        <f t="shared" si="317"/>
        <v>0.21651527863908848</v>
      </c>
      <c r="K166" s="5">
        <f t="shared" si="317"/>
        <v>0.22360627677728087</v>
      </c>
      <c r="L166" s="5">
        <f t="shared" si="317"/>
        <v>0.2291334371657503</v>
      </c>
      <c r="M166" s="5">
        <f t="shared" si="317"/>
        <v>0.21486864968932456</v>
      </c>
      <c r="N166" s="5">
        <f t="shared" si="317"/>
        <v>0.19774836365990006</v>
      </c>
      <c r="O166" s="5">
        <f t="shared" si="317"/>
        <v>0.19726731224088698</v>
      </c>
      <c r="P166" s="5">
        <f t="shared" si="317"/>
        <v>0.11660104261453033</v>
      </c>
      <c r="Q166" s="5">
        <f t="shared" si="317"/>
        <v>0.20686842965537422</v>
      </c>
      <c r="R166" s="5">
        <f t="shared" si="317"/>
        <v>0.18334010338016565</v>
      </c>
      <c r="S166" s="5">
        <f t="shared" si="317"/>
        <v>0.19268294038836775</v>
      </c>
      <c r="T166" s="5">
        <f t="shared" si="317"/>
        <v>0.19364523864221458</v>
      </c>
      <c r="U166" s="5">
        <f t="shared" si="317"/>
        <v>0.19782969607361428</v>
      </c>
      <c r="V166" s="5">
        <f t="shared" ref="V166" si="318">+V165/V29</f>
        <v>0.19534754199976748</v>
      </c>
      <c r="W166" s="48"/>
      <c r="X166" s="48"/>
      <c r="Y166" s="48"/>
      <c r="Z166" s="48"/>
      <c r="AB166" s="5"/>
    </row>
    <row r="167" spans="1:28" ht="22" customHeight="1">
      <c r="A167" s="12" t="s">
        <v>40</v>
      </c>
      <c r="B167" s="5"/>
      <c r="C167" s="5">
        <f t="shared" ref="C167" si="319">+C165/B165-1</f>
        <v>0.18513936994887081</v>
      </c>
      <c r="D167" s="5">
        <f t="shared" ref="D167" si="320">+D165/C165-1</f>
        <v>-0.3077725975923733</v>
      </c>
      <c r="E167" s="5">
        <f t="shared" ref="E167" si="321">+E165/D165-1</f>
        <v>8.6449537595496562E-3</v>
      </c>
      <c r="F167" s="5">
        <f t="shared" ref="F167" si="322">+F165/E165-1</f>
        <v>0.80595973689455769</v>
      </c>
      <c r="G167" s="5">
        <f t="shared" ref="G167" si="323">+G165/F165-1</f>
        <v>0.14485955521218497</v>
      </c>
      <c r="H167" s="5">
        <f t="shared" ref="H167" si="324">+H165/G165-1</f>
        <v>0.14108743854236971</v>
      </c>
      <c r="I167" s="5">
        <f t="shared" ref="I167" si="325">+I165/H165-1</f>
        <v>0.20935242681535882</v>
      </c>
      <c r="J167" s="5">
        <f t="shared" ref="J167" si="326">+J165/I165-1</f>
        <v>0.24391351426874852</v>
      </c>
      <c r="K167" s="5">
        <f t="shared" ref="K167" si="327">+K165/J165-1</f>
        <v>0.20321801639896697</v>
      </c>
      <c r="L167" s="5">
        <f t="shared" ref="L167" si="328">+L165/K165-1</f>
        <v>0.13988657844990549</v>
      </c>
      <c r="M167" s="5">
        <f t="shared" ref="M167" si="329">+M165/L165-1</f>
        <v>-1.5171058288802386E-2</v>
      </c>
      <c r="N167" s="5">
        <f t="shared" ref="N167" si="330">+N165/M165-1</f>
        <v>1.6236331129681592E-2</v>
      </c>
      <c r="O167" s="5">
        <f t="shared" ref="O167:V167" si="331">+O165/N165-1</f>
        <v>6.9758402716691759E-2</v>
      </c>
      <c r="P167" s="5">
        <f t="shared" si="331"/>
        <v>-0.4756085900598549</v>
      </c>
      <c r="Q167" s="5">
        <f t="shared" si="331"/>
        <v>1.1922908613521987</v>
      </c>
      <c r="R167" s="5">
        <f t="shared" si="331"/>
        <v>-1.6467887619142307E-2</v>
      </c>
      <c r="S167" s="5">
        <f t="shared" si="331"/>
        <v>0.17239163157271475</v>
      </c>
      <c r="T167" s="5">
        <f t="shared" si="331"/>
        <v>6.5771670162261486E-2</v>
      </c>
      <c r="U167" s="5">
        <f t="shared" si="331"/>
        <v>9.1688339639280469E-2</v>
      </c>
      <c r="V167" s="5">
        <f t="shared" si="331"/>
        <v>5.1637526412297685E-2</v>
      </c>
      <c r="W167" s="48"/>
      <c r="X167" s="48"/>
      <c r="Y167" s="48"/>
      <c r="Z167" s="48"/>
      <c r="AB167" s="5"/>
    </row>
    <row r="168" spans="1:28" ht="22" customHeight="1">
      <c r="A168" s="12" t="s">
        <v>41</v>
      </c>
      <c r="B168" s="5">
        <f t="shared" ref="B168:G168" si="332">+B134</f>
        <v>0.18769730433384132</v>
      </c>
      <c r="C168" s="5">
        <f t="shared" si="332"/>
        <v>0.17511853756385751</v>
      </c>
      <c r="D168" s="5">
        <f t="shared" si="332"/>
        <v>7.0205965429708084E-2</v>
      </c>
      <c r="E168" s="5">
        <f t="shared" si="332"/>
        <v>9.4442673003715505E-2</v>
      </c>
      <c r="F168" s="5">
        <f t="shared" si="332"/>
        <v>0.28292308945494599</v>
      </c>
      <c r="G168" s="5">
        <f t="shared" si="332"/>
        <v>0.33593955674949627</v>
      </c>
      <c r="H168" s="5">
        <f t="shared" ref="H168:J168" si="333">+H134</f>
        <v>0.31156439166414229</v>
      </c>
      <c r="I168" s="5">
        <f t="shared" si="333"/>
        <v>0.32228174151221217</v>
      </c>
      <c r="J168" s="5">
        <f t="shared" si="333"/>
        <v>0.33153629019790742</v>
      </c>
      <c r="K168" s="5">
        <f t="shared" ref="K168:U168" si="334">+K134</f>
        <v>0.31969791666666675</v>
      </c>
      <c r="L168" s="5">
        <f t="shared" si="334"/>
        <v>0.38181447005622543</v>
      </c>
      <c r="M168" s="5">
        <f t="shared" si="334"/>
        <v>0.36338673553539669</v>
      </c>
      <c r="N168" s="5">
        <f t="shared" si="334"/>
        <v>0.29131260528669156</v>
      </c>
      <c r="O168" s="5">
        <f t="shared" si="334"/>
        <v>0.30907447283955636</v>
      </c>
      <c r="P168" s="5">
        <f t="shared" si="334"/>
        <v>6.8021943093909798E-2</v>
      </c>
      <c r="Q168" s="5">
        <f t="shared" si="334"/>
        <v>0.1942796621634682</v>
      </c>
      <c r="R168" s="5">
        <f t="shared" si="334"/>
        <v>0.1964113244219732</v>
      </c>
      <c r="S168" s="5">
        <f t="shared" si="334"/>
        <v>0.23882923015948732</v>
      </c>
      <c r="T168" s="5">
        <f t="shared" si="334"/>
        <v>0.2445447770234099</v>
      </c>
      <c r="U168" s="5">
        <f t="shared" si="334"/>
        <v>0.26224940396233898</v>
      </c>
      <c r="V168" s="5"/>
      <c r="W168" s="48"/>
      <c r="X168" s="48"/>
      <c r="Y168" s="48"/>
      <c r="Z168" s="48"/>
      <c r="AB168" s="5"/>
    </row>
    <row r="169" spans="1:28" ht="22" customHeight="1">
      <c r="A169" s="12" t="s">
        <v>79</v>
      </c>
      <c r="B169" s="23">
        <f t="shared" ref="B169:G169" si="335">+B163/B165</f>
        <v>23.731650997855862</v>
      </c>
      <c r="C169" s="23">
        <f t="shared" si="335"/>
        <v>11.275137429545612</v>
      </c>
      <c r="D169" s="23">
        <f t="shared" si="335"/>
        <v>8.3299155609167634</v>
      </c>
      <c r="E169" s="23">
        <f t="shared" si="335"/>
        <v>17.653577835359769</v>
      </c>
      <c r="F169" s="23">
        <f t="shared" si="335"/>
        <v>12.892390044699523</v>
      </c>
      <c r="G169" s="23">
        <f t="shared" si="335"/>
        <v>16.291333269063919</v>
      </c>
      <c r="H169" s="23">
        <f t="shared" ref="H169:J169" si="336">+H163/H165</f>
        <v>16.302369788366491</v>
      </c>
      <c r="I169" s="23">
        <f t="shared" si="336"/>
        <v>20.072898110307733</v>
      </c>
      <c r="J169" s="23">
        <f t="shared" si="336"/>
        <v>17.39174997191958</v>
      </c>
      <c r="K169" s="23">
        <f t="shared" ref="K169:M169" si="337">+K163/K165</f>
        <v>21.290485192186512</v>
      </c>
      <c r="L169" s="23">
        <f t="shared" si="337"/>
        <v>17.390250394119938</v>
      </c>
      <c r="M169" s="23">
        <f t="shared" si="337"/>
        <v>17.462725042617762</v>
      </c>
      <c r="N169" s="23">
        <f>+N163/N165</f>
        <v>17.450892948468802</v>
      </c>
      <c r="O169" s="23">
        <f t="shared" ref="O169:U169" si="338">+O163/O165</f>
        <v>22.318761593329885</v>
      </c>
      <c r="P169" s="23">
        <f t="shared" si="338"/>
        <v>50.31095470789873</v>
      </c>
      <c r="Q169" s="23">
        <f t="shared" si="338"/>
        <v>24.355789543723066</v>
      </c>
      <c r="R169" s="23">
        <f t="shared" si="338"/>
        <v>21.356300843946066</v>
      </c>
      <c r="S169" s="23">
        <f t="shared" si="338"/>
        <v>17.55973744950953</v>
      </c>
      <c r="T169" s="23">
        <f>+T163/T165</f>
        <v>12.589031113253158</v>
      </c>
      <c r="U169" s="23">
        <f t="shared" si="338"/>
        <v>13.705197926817268</v>
      </c>
      <c r="V169" s="23">
        <f t="shared" ref="V169" si="339">+V163/V165</f>
        <v>10.719228916922269</v>
      </c>
      <c r="W169" s="48"/>
      <c r="X169" s="48"/>
      <c r="Y169" s="48"/>
      <c r="Z169" s="48"/>
      <c r="AB169" s="23"/>
    </row>
    <row r="170" spans="1:28" ht="22" customHeight="1">
      <c r="A170" s="12" t="s">
        <v>77</v>
      </c>
      <c r="B170" s="23">
        <f t="shared" ref="B170:G170" si="340">+B163/B164</f>
        <v>10.522909277068782</v>
      </c>
      <c r="C170" s="23">
        <f t="shared" si="340"/>
        <v>4.7111414781647953</v>
      </c>
      <c r="D170" s="23">
        <f t="shared" si="340"/>
        <v>2.1789639758085722</v>
      </c>
      <c r="E170" s="23">
        <f t="shared" si="340"/>
        <v>5.4362877485882635</v>
      </c>
      <c r="F170" s="23">
        <f t="shared" si="340"/>
        <v>7.8785620341955296</v>
      </c>
      <c r="G170" s="23">
        <f t="shared" si="340"/>
        <v>10.808788256739904</v>
      </c>
      <c r="H170" s="23">
        <f t="shared" ref="H170:J170" si="341">+H163/H164</f>
        <v>10.007416243128306</v>
      </c>
      <c r="I170" s="23">
        <f t="shared" si="341"/>
        <v>12.446222819024515</v>
      </c>
      <c r="J170" s="23">
        <f t="shared" si="341"/>
        <v>11.155529538904897</v>
      </c>
      <c r="K170" s="23">
        <f t="shared" ref="K170:M170" si="342">+K163/K164</f>
        <v>13.328015427769987</v>
      </c>
      <c r="L170" s="23">
        <f t="shared" si="342"/>
        <v>12.532156926390963</v>
      </c>
      <c r="M170" s="23">
        <f t="shared" si="342"/>
        <v>12.15318951922103</v>
      </c>
      <c r="N170" s="23">
        <f>+N163/N164</f>
        <v>8.8706195536884138</v>
      </c>
      <c r="O170" s="23">
        <f>+O163/O164</f>
        <v>11.585647918362483</v>
      </c>
      <c r="P170" s="23">
        <f t="shared" ref="P170:U170" si="343">+P163/P164</f>
        <v>7.3080431397061147</v>
      </c>
      <c r="Q170" s="23">
        <f t="shared" si="343"/>
        <v>8.4437991984083514</v>
      </c>
      <c r="R170" s="23">
        <f t="shared" si="343"/>
        <v>7.3038534062908509</v>
      </c>
      <c r="S170" s="23">
        <f t="shared" si="343"/>
        <v>6.8569617900055757</v>
      </c>
      <c r="T170" s="23">
        <f t="shared" si="343"/>
        <v>4.9471739777891068</v>
      </c>
      <c r="U170" s="23">
        <f t="shared" si="343"/>
        <v>5.5615977158007235</v>
      </c>
      <c r="V170" s="23"/>
      <c r="W170" s="48"/>
      <c r="X170" s="48"/>
      <c r="Y170" s="48"/>
      <c r="Z170" s="48"/>
      <c r="AB170" s="23"/>
    </row>
    <row r="171" spans="1:28" ht="22" customHeight="1">
      <c r="A171" s="12" t="s">
        <v>114</v>
      </c>
      <c r="B171" s="5">
        <f t="shared" ref="B171:E171" si="344">+B78/B160</f>
        <v>1.2630723077354413E-2</v>
      </c>
      <c r="C171" s="5">
        <f t="shared" si="344"/>
        <v>1.6290092195818732E-2</v>
      </c>
      <c r="D171" s="5">
        <f t="shared" si="344"/>
        <v>3.6928677362815146E-2</v>
      </c>
      <c r="E171" s="5">
        <f t="shared" si="344"/>
        <v>5.2699200071501993E-2</v>
      </c>
      <c r="F171" s="5">
        <f t="shared" ref="F171:J171" si="345">+F78/F160</f>
        <v>5.1688039780162245E-2</v>
      </c>
      <c r="G171" s="5">
        <f t="shared" si="345"/>
        <v>3.0517254040252836E-2</v>
      </c>
      <c r="H171" s="5">
        <f t="shared" si="345"/>
        <v>2.1477261419046677E-2</v>
      </c>
      <c r="I171" s="5">
        <f t="shared" si="345"/>
        <v>2.9549575004120456E-2</v>
      </c>
      <c r="J171" s="5">
        <f t="shared" si="345"/>
        <v>-8.9138654040168044E-3</v>
      </c>
      <c r="K171" s="5">
        <f t="shared" ref="K171:T171" si="346">+K78/K160</f>
        <v>2.6930531694639007E-2</v>
      </c>
      <c r="L171" s="5">
        <f t="shared" si="346"/>
        <v>3.8441432160477879E-2</v>
      </c>
      <c r="M171" s="5">
        <f t="shared" si="346"/>
        <v>3.2801999524608702E-2</v>
      </c>
      <c r="N171" s="5">
        <f t="shared" si="346"/>
        <v>0.11709568287986685</v>
      </c>
      <c r="O171" s="5">
        <f t="shared" si="346"/>
        <v>2.9859493409606933E-2</v>
      </c>
      <c r="P171" s="5">
        <f t="shared" si="346"/>
        <v>9.0310519514822372E-4</v>
      </c>
      <c r="Q171" s="5">
        <f t="shared" si="346"/>
        <v>3.2581009130988048E-2</v>
      </c>
      <c r="R171" s="5">
        <f t="shared" si="346"/>
        <v>2.2286743132664578E-2</v>
      </c>
      <c r="S171" s="5">
        <f t="shared" si="346"/>
        <v>3.3251360780566903E-2</v>
      </c>
      <c r="T171" s="5">
        <f t="shared" si="346"/>
        <v>7.5721580989780657E-2</v>
      </c>
      <c r="U171" s="5">
        <f>+U78/U160</f>
        <v>6.2535752619098495E-2</v>
      </c>
      <c r="V171" s="5">
        <f>+V78/V160</f>
        <v>6.6365245771909123E-2</v>
      </c>
      <c r="W171" s="48"/>
      <c r="X171" s="48"/>
      <c r="Y171" s="48"/>
      <c r="Z171" s="48"/>
      <c r="AB171" s="23"/>
    </row>
    <row r="172" spans="1:28" ht="22" customHeight="1">
      <c r="A172" s="1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8"/>
      <c r="X172" s="48"/>
      <c r="Y172" s="48"/>
      <c r="Z172" s="48"/>
      <c r="AB172" s="23"/>
    </row>
    <row r="173" spans="1:28" ht="22" customHeight="1">
      <c r="A173" s="12" t="s">
        <v>116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30">
        <f>K161/K162</f>
        <v>4.6649927315977283E-3</v>
      </c>
      <c r="L173" s="30">
        <f t="shared" ref="L173:U173" si="347">L161/L162</f>
        <v>2.3282461214582098E-3</v>
      </c>
      <c r="M173" s="30">
        <f t="shared" si="347"/>
        <v>8.3961786222776034E-3</v>
      </c>
      <c r="N173" s="30">
        <f t="shared" si="347"/>
        <v>2.757709478950438E-3</v>
      </c>
      <c r="O173" s="30">
        <f t="shared" si="347"/>
        <v>7.5467925279391376E-2</v>
      </c>
      <c r="P173" s="30">
        <f t="shared" si="347"/>
        <v>9.1023039463008285E-2</v>
      </c>
      <c r="Q173" s="30">
        <f t="shared" si="347"/>
        <v>5.563089612014116E-2</v>
      </c>
      <c r="R173" s="30">
        <f t="shared" si="347"/>
        <v>0.10098307198005083</v>
      </c>
      <c r="S173" s="30">
        <f t="shared" si="347"/>
        <v>0.10132838964648661</v>
      </c>
      <c r="T173" s="30">
        <f t="shared" si="347"/>
        <v>9.7781120768663951E-2</v>
      </c>
      <c r="U173" s="30">
        <f t="shared" si="347"/>
        <v>4.9333155511100936E-2</v>
      </c>
      <c r="V173" s="30">
        <f t="shared" ref="V173" si="348">V161/V162</f>
        <v>-0.13690678173603127</v>
      </c>
      <c r="W173" s="48"/>
      <c r="X173" s="48"/>
      <c r="Y173" s="48"/>
      <c r="Z173" s="48"/>
      <c r="AB173" s="23"/>
    </row>
    <row r="174" spans="1:28" ht="22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AB174" s="2"/>
    </row>
    <row r="175" spans="1:28" s="2" customFormat="1" ht="22" customHeight="1">
      <c r="A175" s="2" t="s">
        <v>110</v>
      </c>
      <c r="B175" s="6">
        <f>+U165</f>
        <v>8065.3161808958357</v>
      </c>
    </row>
    <row r="176" spans="1:28" s="2" customFormat="1" ht="22" customHeight="1">
      <c r="A176" s="2" t="s">
        <v>111</v>
      </c>
      <c r="B176" s="2">
        <v>12</v>
      </c>
    </row>
    <row r="177" spans="1:2" s="2" customFormat="1" ht="22" customHeight="1">
      <c r="A177" s="2" t="s">
        <v>75</v>
      </c>
      <c r="B177" s="6">
        <f>+B175*B176</f>
        <v>96783.794170750029</v>
      </c>
    </row>
    <row r="178" spans="1:2" s="2" customFormat="1" ht="22" customHeight="1">
      <c r="A178" s="2" t="s">
        <v>39</v>
      </c>
      <c r="B178" s="2">
        <f>+U161</f>
        <v>5196.7546015393727</v>
      </c>
    </row>
    <row r="179" spans="1:2" s="2" customFormat="1" ht="22" customHeight="1">
      <c r="A179" s="2" t="s">
        <v>112</v>
      </c>
      <c r="B179" s="6">
        <f>+B177-B178</f>
        <v>91587.039569210654</v>
      </c>
    </row>
    <row r="180" spans="1:2" s="2" customFormat="1" ht="22" customHeight="1">
      <c r="A180" s="2" t="s">
        <v>29</v>
      </c>
      <c r="B180" s="2">
        <f>+U51</f>
        <v>1145</v>
      </c>
    </row>
    <row r="181" spans="1:2" s="2" customFormat="1" ht="22" customHeight="1">
      <c r="A181" s="2" t="s">
        <v>85</v>
      </c>
      <c r="B181" s="6">
        <f>+B179/B180</f>
        <v>79.988680846472192</v>
      </c>
    </row>
    <row r="182" spans="1:2" s="2" customFormat="1" ht="22" customHeight="1"/>
    <row r="183" spans="1:2" s="2" customFormat="1" ht="22" customHeight="1">
      <c r="A183" s="2" t="s">
        <v>113</v>
      </c>
      <c r="B183" s="6">
        <v>75.23</v>
      </c>
    </row>
  </sheetData>
  <phoneticPr fontId="0" type="noConversion"/>
  <pageMargins left="0.75" right="0.75" top="1" bottom="1" header="0.5" footer="0.5"/>
  <pageSetup scale="40" orientation="landscape" horizontalDpi="4294967292" verticalDpi="4294967292"/>
  <headerFooter alignWithMargins="0"/>
  <ignoredErrors>
    <ignoredError sqref="J95 AO17 T35 T46" formula="1"/>
    <ignoredError sqref="AM40:AP40 U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SBUX</vt:lpstr>
      <vt:lpstr>SBUX!Print_Area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Fidelity Investments</dc:creator>
  <cp:lastModifiedBy>Janc, Maja</cp:lastModifiedBy>
  <cp:lastPrinted>2007-10-22T14:51:34Z</cp:lastPrinted>
  <dcterms:created xsi:type="dcterms:W3CDTF">2005-06-23T13:16:59Z</dcterms:created>
  <dcterms:modified xsi:type="dcterms:W3CDTF">2024-07-25T09:26:57Z</dcterms:modified>
</cp:coreProperties>
</file>